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xml"/>
  <Override PartName="/xl/charts/chart2.xml" ContentType="application/vnd.openxmlformats-officedocument.drawingml.chart+xml"/>
  <Override PartName="/xl/drawings/drawing4.xml" ContentType="application/vnd.openxmlformats-officedocument.drawing+xml"/>
  <Override PartName="/xl/charts/chart3.xml" ContentType="application/vnd.openxmlformats-officedocument.drawingml.chart+xml"/>
  <Override PartName="/xl/drawings/drawing5.xml" ContentType="application/vnd.openxmlformats-officedocument.drawing+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6.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style1.xml" ContentType="application/vnd.ms-office.chartstyle+xml"/>
  <Override PartName="/xl/charts/colors1.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style2.xml" ContentType="application/vnd.ms-office.chartstyle+xml"/>
  <Override PartName="/xl/charts/colors2.xml" ContentType="application/vnd.ms-office.chartcolorstyle+xml"/>
  <Override PartName="/xl/charts/chart22.xml" ContentType="application/vnd.openxmlformats-officedocument.drawingml.chart+xml"/>
  <Override PartName="/xl/charts/style3.xml" ContentType="application/vnd.ms-office.chartstyle+xml"/>
  <Override PartName="/xl/charts/colors3.xml" ContentType="application/vnd.ms-office.chartcolorstyle+xml"/>
  <Override PartName="/xl/comments11.xml" ContentType="application/vnd.openxmlformats-officedocument.spreadsheetml.comments+xml"/>
  <Override PartName="/xl/comments12.xml" ContentType="application/vnd.openxmlformats-officedocument.spreadsheetml.comments+xml"/>
  <Override PartName="/xl/drawings/drawing7.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theme/themeOverride1.xml" ContentType="application/vnd.openxmlformats-officedocument.themeOverride+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threadedComments/threadedComment1.xml" ContentType="application/vnd.ms-excel.threaded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fileSharing readOnlyRecommended="1"/>
  <workbookPr backupFile="1" updateLinks="never" codeName="ThisWorkbook"/>
  <mc:AlternateContent xmlns:mc="http://schemas.openxmlformats.org/markup-compatibility/2006">
    <mc:Choice Requires="x15">
      <x15ac:absPath xmlns:x15ac="http://schemas.microsoft.com/office/spreadsheetml/2010/11/ac" url="O:\Forsyth\Bottling Reports '26\"/>
    </mc:Choice>
  </mc:AlternateContent>
  <xr:revisionPtr revIDLastSave="0" documentId="13_ncr:1_{7F03666F-568B-4D1D-8F6E-D6244080F481}" xr6:coauthVersionLast="47" xr6:coauthVersionMax="47" xr10:uidLastSave="{00000000-0000-0000-0000-000000000000}"/>
  <bookViews>
    <workbookView xWindow="-120" yWindow="-120" windowWidth="29040" windowHeight="15720" tabRatio="591" firstSheet="7" activeTab="7" xr2:uid="{00000000-000D-0000-FFFF-FFFF00000000}"/>
  </bookViews>
  <sheets>
    <sheet name="Print" sheetId="31" r:id="rId1"/>
    <sheet name="Monthly summary loss" sheetId="17" r:id="rId2"/>
    <sheet name="Pareto YTD" sheetId="40" r:id="rId3"/>
    <sheet name="Pareto Data" sheetId="18" r:id="rId4"/>
    <sheet name="Pareto analysis month " sheetId="2" r:id="rId5"/>
    <sheet name="Uncaser Downtime Detail " sheetId="65" r:id="rId6"/>
    <sheet name="Washer Downtime Detail" sheetId="56" r:id="rId7"/>
    <sheet name="EBI Downtime Detail" sheetId="58" r:id="rId8"/>
    <sheet name="Filler Downtime Detail" sheetId="57" r:id="rId9"/>
    <sheet name="Pasteurizer Downtime Detail" sheetId="62" r:id="rId10"/>
    <sheet name="Videojet Downtime Detail " sheetId="61" r:id="rId11"/>
    <sheet name="Labeler Downtime Detail" sheetId="60" r:id="rId12"/>
    <sheet name="Packer Downtime Detail  " sheetId="66" r:id="rId13"/>
    <sheet name="Carton Errector-sealer Detail" sheetId="81" r:id="rId14"/>
    <sheet name="Conveyor Downtime (new)" sheetId="79" r:id="rId15"/>
    <sheet name="Org &amp; Tech Downtime" sheetId="80" r:id="rId16"/>
    <sheet name="Sept" sheetId="75" r:id="rId17"/>
    <sheet name="Oct" sheetId="76" r:id="rId18"/>
    <sheet name="Data Sheet" sheetId="55" r:id="rId19"/>
    <sheet name="2 weeks Downtime Trend" sheetId="41" r:id="rId20"/>
    <sheet name="Jan" sheetId="43" r:id="rId21"/>
    <sheet name="Feb" sheetId="68" r:id="rId22"/>
    <sheet name="Mar" sheetId="69" r:id="rId23"/>
    <sheet name="Apr" sheetId="70" r:id="rId24"/>
    <sheet name="May" sheetId="71" r:id="rId25"/>
    <sheet name="Jun" sheetId="72" r:id="rId26"/>
    <sheet name="Jul" sheetId="73" r:id="rId27"/>
    <sheet name="Aug" sheetId="74" r:id="rId28"/>
    <sheet name="Nov" sheetId="77" r:id="rId29"/>
    <sheet name="Dec" sheetId="67"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s>
  <definedNames>
    <definedName name="_xlnm._FilterDatabase" localSheetId="3" hidden="1">'Pareto Data'!$C$53:$E$72</definedName>
    <definedName name="Apr" localSheetId="15">#REF!</definedName>
    <definedName name="Apr">#REF!</definedName>
    <definedName name="Aug" localSheetId="15">#REF!</definedName>
    <definedName name="Aug">#REF!</definedName>
    <definedName name="Dec" localSheetId="15">#REF!</definedName>
    <definedName name="Dec">#REF!</definedName>
    <definedName name="Feb" localSheetId="15">#REF!</definedName>
    <definedName name="Feb">#REF!</definedName>
    <definedName name="Jan" localSheetId="23">Apr!$B$1:$R$59</definedName>
    <definedName name="Jan" localSheetId="27">Aug!$B$1:$R$73</definedName>
    <definedName name="Jan" localSheetId="29">Dec!$B$1:$R$63</definedName>
    <definedName name="Jan" localSheetId="21">Feb!$B$1:$R$65</definedName>
    <definedName name="Jan" localSheetId="20">Jan!$B$1:$R$66</definedName>
    <definedName name="Jan" localSheetId="26">Jul!$B$1:$R$66</definedName>
    <definedName name="Jan" localSheetId="25">Jun!$B$1:$R$62</definedName>
    <definedName name="Jan" localSheetId="22">Mar!$B$1:$R$67</definedName>
    <definedName name="Jan" localSheetId="24">May!$B$1:$R$68</definedName>
    <definedName name="Jan" localSheetId="28">Nov!$B$1:$R$75</definedName>
    <definedName name="Jan" localSheetId="17">Oct!$B$1:$R$76</definedName>
    <definedName name="Jan" localSheetId="15">#REF!</definedName>
    <definedName name="Jan" localSheetId="16">Sept!$B$1:$R$60</definedName>
    <definedName name="Jan">#REF!</definedName>
    <definedName name="July" localSheetId="15">#REF!</definedName>
    <definedName name="July">#REF!</definedName>
    <definedName name="June" localSheetId="23">Apr!$B$1:$R$59</definedName>
    <definedName name="June" localSheetId="27">Aug!$B$1:$R$73</definedName>
    <definedName name="June" localSheetId="29">Dec!$B$1:$R$63</definedName>
    <definedName name="June" localSheetId="21">Feb!$B$1:$R$65</definedName>
    <definedName name="June" localSheetId="20">Jan!$B$1:$R$66</definedName>
    <definedName name="June" localSheetId="26">Jul!$B$1:$R$66</definedName>
    <definedName name="June" localSheetId="25">Jun!$B$1:$R$62</definedName>
    <definedName name="June" localSheetId="22">Mar!$B$1:$R$67</definedName>
    <definedName name="June" localSheetId="24">May!$B$1:$R$68</definedName>
    <definedName name="June" localSheetId="28">Nov!$B$1:$R$75</definedName>
    <definedName name="June" localSheetId="17">Oct!$B$1:$R$76</definedName>
    <definedName name="June" localSheetId="15">#REF!</definedName>
    <definedName name="June" localSheetId="16">Sept!$B$1:$R$60</definedName>
    <definedName name="June">#REF!</definedName>
    <definedName name="Mar" localSheetId="15">#REF!</definedName>
    <definedName name="Mar">#REF!</definedName>
    <definedName name="May" localSheetId="15">#REF!</definedName>
    <definedName name="May">#REF!</definedName>
    <definedName name="Nov" localSheetId="15">#REF!</definedName>
    <definedName name="Nov">#REF!</definedName>
    <definedName name="Oct" localSheetId="15">#REF!</definedName>
    <definedName name="Oct">#REF!</definedName>
    <definedName name="_xlnm.Print_Area" localSheetId="23">Apr!$A$1:$AD$62</definedName>
    <definedName name="_xlnm.Print_Area" localSheetId="27">Aug!$A$1:$AD$76</definedName>
    <definedName name="_xlnm.Print_Area" localSheetId="29">Dec!$A$1:$AD$66</definedName>
    <definedName name="_xlnm.Print_Area" localSheetId="21">Feb!$A$1:$AD$68</definedName>
    <definedName name="_xlnm.Print_Area" localSheetId="20">Jan!$A$1:$AD$69</definedName>
    <definedName name="_xlnm.Print_Area" localSheetId="26">Jul!$A$1:$AD$69</definedName>
    <definedName name="_xlnm.Print_Area" localSheetId="25">Jun!$A$1:$AD$65</definedName>
    <definedName name="_xlnm.Print_Area" localSheetId="22">Mar!$A$1:$AD$70</definedName>
    <definedName name="_xlnm.Print_Area" localSheetId="24">May!$A$1:$AD$71</definedName>
    <definedName name="_xlnm.Print_Area" localSheetId="1">'Monthly summary loss'!$A$1:$Y$45</definedName>
    <definedName name="_xlnm.Print_Area" localSheetId="28">Nov!$A$1:$AD$78</definedName>
    <definedName name="_xlnm.Print_Area" localSheetId="17">Oct!$A$1:$AD$79</definedName>
    <definedName name="_xlnm.Print_Area" localSheetId="16">Sept!$A$1:$AD$63</definedName>
    <definedName name="Sept" localSheetId="15">#REF!</definedName>
    <definedName name="Sept">#REF!</definedName>
    <definedName name="Summary">'Monthly summary loss'!$A$1:$Y$44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58" i="58" l="1"/>
  <c r="AD556" i="79"/>
  <c r="S556" i="79"/>
  <c r="BF561" i="56"/>
  <c r="Z8" i="76"/>
  <c r="I46" i="75"/>
  <c r="H537" i="56"/>
  <c r="K517" i="62"/>
  <c r="X517" i="62"/>
  <c r="Z45" i="75"/>
  <c r="B525" i="61"/>
  <c r="AE45" i="75"/>
  <c r="T100" i="75"/>
  <c r="A47" i="75"/>
  <c r="B47" i="75"/>
  <c r="C47" i="75"/>
  <c r="A48" i="75"/>
  <c r="B48" i="75"/>
  <c r="C48" i="75"/>
  <c r="A49" i="75"/>
  <c r="B49" i="75"/>
  <c r="C49" i="75"/>
  <c r="A50" i="75"/>
  <c r="B50" i="75"/>
  <c r="C50" i="75"/>
  <c r="A51" i="75"/>
  <c r="B51" i="75"/>
  <c r="C51" i="75"/>
  <c r="Z46" i="75" l="1"/>
  <c r="B531" i="57"/>
  <c r="A531" i="57"/>
  <c r="A532" i="57"/>
  <c r="AD533" i="58"/>
  <c r="F517" i="60"/>
  <c r="S532" i="79"/>
  <c r="C45" i="75"/>
  <c r="C46" i="75"/>
  <c r="Z516" i="60"/>
  <c r="F530" i="57"/>
  <c r="S531" i="79"/>
  <c r="U532" i="58"/>
  <c r="J45" i="75"/>
  <c r="O532" i="58"/>
  <c r="K7" i="80"/>
  <c r="AB44" i="75"/>
  <c r="O530" i="58"/>
  <c r="K44" i="75"/>
  <c r="S530" i="79"/>
  <c r="B529" i="57"/>
  <c r="I44" i="75"/>
  <c r="AF529" i="79"/>
  <c r="N102" i="75" l="1"/>
  <c r="T98" i="75" l="1"/>
  <c r="AE43" i="75"/>
  <c r="C43" i="75"/>
  <c r="C44" i="75"/>
  <c r="J44" i="75"/>
  <c r="AM515" i="60"/>
  <c r="BF535" i="56"/>
  <c r="H535" i="56"/>
  <c r="C515" i="60"/>
  <c r="I535" i="56"/>
  <c r="F529" i="57"/>
  <c r="E520" i="66"/>
  <c r="Z513" i="60"/>
  <c r="Z42" i="75"/>
  <c r="P527" i="65"/>
  <c r="K527" i="65"/>
  <c r="D514" i="62"/>
  <c r="D518" i="66" l="1"/>
  <c r="S528" i="79"/>
  <c r="I533" i="56"/>
  <c r="AM513" i="60"/>
  <c r="AF528" i="79"/>
  <c r="Z527" i="57"/>
  <c r="A42" i="75" l="1"/>
  <c r="B42" i="75"/>
  <c r="A43" i="75"/>
  <c r="B43" i="75"/>
  <c r="A44" i="75"/>
  <c r="B44" i="75"/>
  <c r="A45" i="75"/>
  <c r="B45" i="75"/>
  <c r="A46" i="75"/>
  <c r="B46" i="75"/>
  <c r="I41" i="75"/>
  <c r="Z40" i="75"/>
  <c r="K525" i="65"/>
  <c r="P525" i="65"/>
  <c r="AE40" i="75"/>
  <c r="AE39" i="75"/>
  <c r="S526" i="79" l="1"/>
  <c r="AB40" i="75"/>
  <c r="F525" i="57"/>
  <c r="D516" i="66"/>
  <c r="M511" i="60"/>
  <c r="AC526" i="79"/>
  <c r="E510" i="60"/>
  <c r="V524" i="57"/>
  <c r="T94" i="75"/>
  <c r="M510" i="81"/>
  <c r="D515" i="66"/>
  <c r="B524" i="57"/>
  <c r="V525" i="79"/>
  <c r="S526" i="58"/>
  <c r="O510" i="81"/>
  <c r="K511" i="62"/>
  <c r="N510" i="81"/>
  <c r="H530" i="56"/>
  <c r="K524" i="65"/>
  <c r="AB39" i="75"/>
  <c r="S525" i="79"/>
  <c r="B510" i="60"/>
  <c r="J39" i="75"/>
  <c r="O524" i="58"/>
  <c r="R524" i="79"/>
  <c r="Z38" i="75"/>
  <c r="S524" i="79"/>
  <c r="J38" i="75"/>
  <c r="D514" i="66"/>
  <c r="I38" i="75"/>
  <c r="BF528" i="56"/>
  <c r="T92" i="75"/>
  <c r="AE37" i="75"/>
  <c r="AD524" i="79" l="1"/>
  <c r="K510" i="62"/>
  <c r="Z509" i="60"/>
  <c r="B518" i="61"/>
  <c r="H528" i="56" l="1"/>
  <c r="B522" i="57"/>
  <c r="B517" i="61"/>
  <c r="AC523" i="79"/>
  <c r="B521" i="57" l="1"/>
  <c r="BF527" i="56"/>
  <c r="U523" i="58"/>
  <c r="Z36" i="75"/>
  <c r="T91" i="75"/>
  <c r="AE36" i="75"/>
  <c r="S522" i="79" l="1"/>
  <c r="J36" i="75"/>
  <c r="F521" i="57"/>
  <c r="V521" i="57"/>
  <c r="H34" i="75"/>
  <c r="A36" i="75"/>
  <c r="B36" i="75"/>
  <c r="C36" i="75"/>
  <c r="A37" i="75"/>
  <c r="B37" i="75"/>
  <c r="C37" i="75"/>
  <c r="A38" i="75"/>
  <c r="B38" i="75"/>
  <c r="C38" i="75"/>
  <c r="A39" i="75"/>
  <c r="B39" i="75"/>
  <c r="C39" i="75"/>
  <c r="A40" i="75"/>
  <c r="B40" i="75"/>
  <c r="C40" i="75"/>
  <c r="A41" i="75"/>
  <c r="B41" i="75"/>
  <c r="C41" i="75"/>
  <c r="C42" i="75"/>
  <c r="B520" i="57"/>
  <c r="AB34" i="75"/>
  <c r="AQ525" i="56"/>
  <c r="T89" i="75"/>
  <c r="AE34" i="75"/>
  <c r="A35" i="75"/>
  <c r="B35" i="75"/>
  <c r="C35" i="75"/>
  <c r="C34" i="75"/>
  <c r="B34" i="75"/>
  <c r="A34" i="75"/>
  <c r="K507" i="62"/>
  <c r="N519" i="57"/>
  <c r="C521" i="58"/>
  <c r="O505" i="81"/>
  <c r="F505" i="60"/>
  <c r="S520" i="79"/>
  <c r="BF525" i="56"/>
  <c r="A31" i="75"/>
  <c r="A32" i="75"/>
  <c r="A33" i="75"/>
  <c r="B29" i="75"/>
  <c r="B30" i="75"/>
  <c r="B31" i="75"/>
  <c r="B32" i="75"/>
  <c r="B33" i="75"/>
  <c r="I33" i="75"/>
  <c r="AB31" i="75"/>
  <c r="T86" i="75"/>
  <c r="T83" i="75"/>
  <c r="AE31" i="75"/>
  <c r="B518" i="57" l="1"/>
  <c r="F504" i="60"/>
  <c r="B503" i="60"/>
  <c r="B517" i="57"/>
  <c r="I32" i="75"/>
  <c r="H522" i="56"/>
  <c r="F516" i="57"/>
  <c r="S517" i="79"/>
  <c r="J31" i="75"/>
  <c r="BF522" i="56"/>
  <c r="L31" i="75"/>
  <c r="O518" i="58"/>
  <c r="B516" i="57"/>
  <c r="AD517" i="79"/>
  <c r="B511" i="61"/>
  <c r="K516" i="65"/>
  <c r="S516" i="65"/>
  <c r="AC516" i="57"/>
  <c r="D507" i="66"/>
  <c r="A52" i="75"/>
  <c r="A53" i="75"/>
  <c r="Z30" i="75" l="1"/>
  <c r="BF520" i="56"/>
  <c r="BF519" i="56"/>
  <c r="D505" i="66"/>
  <c r="K500" i="62"/>
  <c r="AF514" i="57"/>
  <c r="AE516" i="58"/>
  <c r="B508" i="61"/>
  <c r="AE28" i="75"/>
  <c r="T507" i="66" l="1"/>
  <c r="V516" i="57"/>
  <c r="S516" i="57"/>
  <c r="Y517" i="79"/>
  <c r="I503" i="62"/>
  <c r="Z31" i="75"/>
  <c r="N86" i="75" s="1"/>
  <c r="I501" i="81"/>
  <c r="AD516" i="79"/>
  <c r="Y517" i="58"/>
  <c r="J30" i="75"/>
  <c r="I521" i="56"/>
  <c r="K502" i="62"/>
  <c r="O501" i="81"/>
  <c r="AB30" i="75"/>
  <c r="Z501" i="60"/>
  <c r="N517" i="58"/>
  <c r="S516" i="79"/>
  <c r="B515" i="57"/>
  <c r="F502" i="62"/>
  <c r="A30" i="75"/>
  <c r="K500" i="81"/>
  <c r="V516" i="58"/>
  <c r="AB29" i="75"/>
  <c r="I27" i="75"/>
  <c r="Z27" i="75" l="1"/>
  <c r="AE26" i="75" l="1"/>
  <c r="I29" i="75"/>
  <c r="J28" i="75"/>
  <c r="P513" i="57"/>
  <c r="I514" i="58"/>
  <c r="AF512" i="57"/>
  <c r="L27" i="75"/>
  <c r="N82" i="75" s="1"/>
  <c r="J27" i="75"/>
  <c r="C27" i="75"/>
  <c r="C28" i="75"/>
  <c r="AB26" i="75"/>
  <c r="Z25" i="75"/>
  <c r="Y25" i="75"/>
  <c r="J24" i="75"/>
  <c r="BF515" i="56"/>
  <c r="Z24" i="75"/>
  <c r="AE24" i="75"/>
  <c r="S512" i="79" l="1"/>
  <c r="K511" i="65"/>
  <c r="F511" i="57"/>
  <c r="H517" i="56"/>
  <c r="Z26" i="75"/>
  <c r="V511" i="57"/>
  <c r="B511" i="57"/>
  <c r="A26" i="75"/>
  <c r="A27" i="75"/>
  <c r="A28" i="75"/>
  <c r="A29" i="75"/>
  <c r="J501" i="66"/>
  <c r="K510" i="65"/>
  <c r="J25" i="75"/>
  <c r="AD511" i="79"/>
  <c r="B510" i="57"/>
  <c r="V510" i="57"/>
  <c r="P516" i="56"/>
  <c r="S511" i="79"/>
  <c r="H516" i="56"/>
  <c r="Y512" i="58"/>
  <c r="Y510" i="57"/>
  <c r="F510" i="57"/>
  <c r="B505" i="61"/>
  <c r="R511" i="79"/>
  <c r="C510" i="57"/>
  <c r="H510" i="57"/>
  <c r="AB25" i="75"/>
  <c r="R496" i="60"/>
  <c r="AH511" i="79"/>
  <c r="Y510" i="58"/>
  <c r="U510" i="58"/>
  <c r="I23" i="75"/>
  <c r="Z23" i="75"/>
  <c r="K495" i="62"/>
  <c r="Y507" i="57"/>
  <c r="Z22" i="75"/>
  <c r="AE22" i="75" l="1"/>
  <c r="I516" i="56"/>
  <c r="I25" i="75"/>
  <c r="A25" i="75"/>
  <c r="H515" i="56"/>
  <c r="B509" i="57"/>
  <c r="S510" i="79"/>
  <c r="V509" i="57"/>
  <c r="I515" i="56"/>
  <c r="K509" i="65"/>
  <c r="K508" i="65"/>
  <c r="S509" i="79"/>
  <c r="BF514" i="56"/>
  <c r="F508" i="57"/>
  <c r="AA510" i="58"/>
  <c r="B508" i="57"/>
  <c r="AN509" i="79"/>
  <c r="Y508" i="57"/>
  <c r="U509" i="58"/>
  <c r="T507" i="57"/>
  <c r="F507" i="57"/>
  <c r="AC508" i="79"/>
  <c r="AD508" i="79"/>
  <c r="J22" i="75"/>
  <c r="N75" i="75"/>
  <c r="AB21" i="75" l="1"/>
  <c r="O508" i="58"/>
  <c r="Z21" i="75"/>
  <c r="U508" i="58"/>
  <c r="I493" i="62"/>
  <c r="Z20" i="75"/>
  <c r="T75" i="75"/>
  <c r="AE20" i="75"/>
  <c r="K494" i="62" l="1"/>
  <c r="A14" i="75"/>
  <c r="A15" i="75"/>
  <c r="A16" i="75"/>
  <c r="A17" i="75"/>
  <c r="A18" i="75"/>
  <c r="A19" i="75"/>
  <c r="A20" i="75"/>
  <c r="A21" i="75"/>
  <c r="A22" i="75"/>
  <c r="A23" i="75"/>
  <c r="A24" i="75"/>
  <c r="I513" i="56"/>
  <c r="V508" i="79"/>
  <c r="J21" i="75"/>
  <c r="N76" i="75" s="1"/>
  <c r="C492" i="60"/>
  <c r="S507" i="79"/>
  <c r="H512" i="56"/>
  <c r="C508" i="58"/>
  <c r="K508" i="58"/>
  <c r="I21" i="75"/>
  <c r="F505" i="57"/>
  <c r="B20" i="75"/>
  <c r="B21" i="75"/>
  <c r="C20" i="75"/>
  <c r="C21" i="75"/>
  <c r="S505" i="79"/>
  <c r="U506" i="58"/>
  <c r="J19" i="75" l="1"/>
  <c r="B504" i="57"/>
  <c r="F504" i="57"/>
  <c r="C506" i="58"/>
  <c r="P510" i="56"/>
  <c r="U505" i="58"/>
  <c r="Z19" i="75"/>
  <c r="Y506" i="58"/>
  <c r="AA506" i="58"/>
  <c r="K504" i="65"/>
  <c r="I491" i="62"/>
  <c r="B19" i="75"/>
  <c r="B22" i="75"/>
  <c r="B23" i="75"/>
  <c r="B24" i="75"/>
  <c r="B25" i="75"/>
  <c r="B26" i="75"/>
  <c r="B27" i="75"/>
  <c r="C19" i="75"/>
  <c r="C22" i="75"/>
  <c r="C23" i="75"/>
  <c r="C24" i="75"/>
  <c r="C25" i="75"/>
  <c r="C26" i="75"/>
  <c r="C29" i="75"/>
  <c r="AC55" i="75"/>
  <c r="S504" i="79"/>
  <c r="Z18" i="75"/>
  <c r="T73" i="75" l="1"/>
  <c r="AE18" i="75"/>
  <c r="F503" i="57" l="1"/>
  <c r="J18" i="75"/>
  <c r="O505" i="58"/>
  <c r="K503" i="65"/>
  <c r="N68" i="74" l="1"/>
  <c r="Y68" i="74"/>
  <c r="T503" i="57"/>
  <c r="S503" i="65"/>
  <c r="W494" i="66"/>
  <c r="H509" i="56"/>
  <c r="BF509" i="56"/>
  <c r="Y505" i="58"/>
  <c r="K490" i="62"/>
  <c r="N18" i="75"/>
  <c r="H18" i="75"/>
  <c r="B28" i="75"/>
  <c r="C18" i="75"/>
  <c r="C30" i="75"/>
  <c r="C31" i="75"/>
  <c r="B18" i="75"/>
  <c r="O489" i="62"/>
  <c r="S503" i="79"/>
  <c r="K502" i="65"/>
  <c r="Z17" i="75"/>
  <c r="T72" i="75"/>
  <c r="AE17" i="75"/>
  <c r="J17" i="75"/>
  <c r="C488" i="60"/>
  <c r="F502" i="57"/>
  <c r="AD503" i="79"/>
  <c r="K489" i="62"/>
  <c r="AT503" i="79"/>
  <c r="B502" i="57"/>
  <c r="AC504" i="58"/>
  <c r="B17" i="75"/>
  <c r="C17" i="75"/>
  <c r="J7" i="80"/>
  <c r="AB16" i="75"/>
  <c r="N15" i="75"/>
  <c r="S69" i="75"/>
  <c r="AE16" i="75"/>
  <c r="B16" i="75" l="1"/>
  <c r="B15" i="75"/>
  <c r="C16" i="75"/>
  <c r="AE13" i="75"/>
  <c r="A502" i="58"/>
  <c r="Y502" i="58"/>
  <c r="AB15" i="75"/>
  <c r="N70" i="75" s="1"/>
  <c r="F486" i="62"/>
  <c r="AB14" i="75"/>
  <c r="Z14" i="75"/>
  <c r="J15" i="75" l="1"/>
  <c r="I15" i="75"/>
  <c r="C15" i="75"/>
  <c r="S500" i="79"/>
  <c r="Y490" i="66"/>
  <c r="BF505" i="56"/>
  <c r="B485" i="60"/>
  <c r="B499" i="57"/>
  <c r="D490" i="66"/>
  <c r="B494" i="61"/>
  <c r="I505" i="56"/>
  <c r="O501" i="58"/>
  <c r="AD500" i="79"/>
  <c r="F499" i="57"/>
  <c r="J14" i="75"/>
  <c r="H505" i="56"/>
  <c r="Z12" i="75"/>
  <c r="B496" i="57"/>
  <c r="B497" i="57"/>
  <c r="Z11" i="75"/>
  <c r="F496" i="57"/>
  <c r="H10" i="75"/>
  <c r="Z10" i="75"/>
  <c r="AE10" i="75"/>
  <c r="Y500" i="58" l="1"/>
  <c r="S499" i="79"/>
  <c r="L500" i="58"/>
  <c r="Y497" i="57"/>
  <c r="A13" i="75"/>
  <c r="B13" i="75"/>
  <c r="C13" i="75"/>
  <c r="B14" i="75"/>
  <c r="C14" i="75"/>
  <c r="BF503" i="56"/>
  <c r="S498" i="79"/>
  <c r="F497" i="57"/>
  <c r="AA499" i="58"/>
  <c r="U499" i="58"/>
  <c r="A12" i="75"/>
  <c r="B12" i="75"/>
  <c r="C12" i="75"/>
  <c r="AE483" i="60"/>
  <c r="I12" i="75"/>
  <c r="I503" i="56"/>
  <c r="AB11" i="75"/>
  <c r="O498" i="58"/>
  <c r="V497" i="79"/>
  <c r="Y496" i="57"/>
  <c r="S497" i="79"/>
  <c r="I11" i="75"/>
  <c r="S496" i="79"/>
  <c r="F495" i="57"/>
  <c r="W482" i="62"/>
  <c r="J10" i="75"/>
  <c r="N65" i="75" s="1"/>
  <c r="AA495" i="57"/>
  <c r="I9" i="75"/>
  <c r="AB9" i="75"/>
  <c r="S494" i="79"/>
  <c r="AB8" i="75"/>
  <c r="O495" i="58"/>
  <c r="I8" i="75"/>
  <c r="AE8" i="75"/>
  <c r="K495" i="65" l="1"/>
  <c r="O481" i="81"/>
  <c r="S495" i="79"/>
  <c r="D486" i="66"/>
  <c r="Z9" i="75"/>
  <c r="BF499" i="56"/>
  <c r="B479" i="60"/>
  <c r="B493" i="57"/>
  <c r="Z8" i="75"/>
  <c r="L9" i="75"/>
  <c r="F481" i="62"/>
  <c r="J9" i="75"/>
  <c r="AD495" i="79"/>
  <c r="K480" i="81"/>
  <c r="D485" i="66"/>
  <c r="E480" i="81"/>
  <c r="C45" i="74"/>
  <c r="F480" i="60"/>
  <c r="Y494" i="57"/>
  <c r="F480" i="62"/>
  <c r="B488" i="61"/>
  <c r="P493" i="65"/>
  <c r="I499" i="56"/>
  <c r="H499" i="56"/>
  <c r="K493" i="65"/>
  <c r="AA493" i="57"/>
  <c r="F468" i="57"/>
  <c r="AB44" i="74"/>
  <c r="O470" i="58"/>
  <c r="BF473" i="56"/>
  <c r="N459" i="60"/>
  <c r="T111" i="74" l="1"/>
  <c r="AE44" i="74"/>
  <c r="AD468" i="79"/>
  <c r="B468" i="57"/>
  <c r="U470" i="58"/>
  <c r="S468" i="79"/>
  <c r="Z44" i="74"/>
  <c r="N111" i="74" s="1"/>
  <c r="K468" i="65"/>
  <c r="AM473" i="56"/>
  <c r="AA468" i="57"/>
  <c r="P468" i="57"/>
  <c r="C44" i="74"/>
  <c r="B44" i="74"/>
  <c r="B45" i="74"/>
  <c r="AE40" i="74"/>
  <c r="R467" i="79"/>
  <c r="I42" i="74"/>
  <c r="I43" i="74"/>
  <c r="S464" i="79"/>
  <c r="Z40" i="74"/>
  <c r="K464" i="65"/>
  <c r="C458" i="60" l="1"/>
  <c r="K459" i="62"/>
  <c r="U469" i="58"/>
  <c r="W467" i="57"/>
  <c r="I459" i="62"/>
  <c r="B42" i="74"/>
  <c r="B43" i="74"/>
  <c r="C43" i="74"/>
  <c r="Z457" i="60"/>
  <c r="R466" i="79"/>
  <c r="C42" i="74"/>
  <c r="N105" i="74"/>
  <c r="T104" i="74"/>
  <c r="AE37" i="74"/>
  <c r="C465" i="58"/>
  <c r="W464" i="79"/>
  <c r="V464" i="79"/>
  <c r="AV464" i="79" s="1"/>
  <c r="AV463" i="79"/>
  <c r="M38" i="74"/>
  <c r="Z38" i="74"/>
  <c r="I38" i="74"/>
  <c r="AB37" i="74"/>
  <c r="H466" i="56"/>
  <c r="S461" i="79"/>
  <c r="I37" i="74"/>
  <c r="Z37" i="74"/>
  <c r="C41" i="74" l="1"/>
  <c r="I41" i="74"/>
  <c r="M40" i="74"/>
  <c r="K40" i="74"/>
  <c r="C39" i="74"/>
  <c r="C40" i="74"/>
  <c r="B39" i="74"/>
  <c r="B40" i="74"/>
  <c r="B41" i="74"/>
  <c r="U464" i="58"/>
  <c r="Z39" i="74"/>
  <c r="J39" i="74"/>
  <c r="I39" i="74"/>
  <c r="D456" i="66"/>
  <c r="AU467" i="56"/>
  <c r="A38" i="74"/>
  <c r="B38" i="74"/>
  <c r="C38" i="74"/>
  <c r="R461" i="79"/>
  <c r="B461" i="65"/>
  <c r="I466" i="56"/>
  <c r="N461" i="79"/>
  <c r="B461" i="79"/>
  <c r="F461" i="57"/>
  <c r="K453" i="62"/>
  <c r="O463" i="58"/>
  <c r="R5" i="41"/>
  <c r="T5" i="41"/>
  <c r="W5" i="41"/>
  <c r="X5" i="41"/>
  <c r="Y5" i="41"/>
  <c r="Z5" i="41"/>
  <c r="AA5" i="41"/>
  <c r="N106" i="74" l="1"/>
  <c r="AB5" i="41"/>
  <c r="J34" i="74"/>
  <c r="Z35" i="74"/>
  <c r="F451" i="62"/>
  <c r="O461" i="58"/>
  <c r="Z36" i="74"/>
  <c r="AB35" i="74"/>
  <c r="J35" i="74"/>
  <c r="N102" i="74" l="1"/>
  <c r="AE35" i="74"/>
  <c r="K461" i="65" l="1"/>
  <c r="D452" i="60"/>
  <c r="J37" i="74"/>
  <c r="V461" i="79"/>
  <c r="K37" i="74"/>
  <c r="C37" i="74"/>
  <c r="B37" i="74"/>
  <c r="F460" i="57"/>
  <c r="O462" i="58"/>
  <c r="G461" i="58"/>
  <c r="U461" i="58"/>
  <c r="I36" i="74"/>
  <c r="I461" i="58"/>
  <c r="S459" i="79"/>
  <c r="J6" i="80"/>
  <c r="F459" i="57"/>
  <c r="H464" i="56"/>
  <c r="I464" i="56"/>
  <c r="Z459" i="79"/>
  <c r="N101" i="74"/>
  <c r="BF462" i="56"/>
  <c r="U459" i="58"/>
  <c r="V449" i="62"/>
  <c r="F449" i="62"/>
  <c r="AB33" i="74"/>
  <c r="N100" i="74" s="1"/>
  <c r="K449" i="62"/>
  <c r="V361" i="62"/>
  <c r="Z33" i="74"/>
  <c r="AE33" i="74"/>
  <c r="BF464" i="56" l="1"/>
  <c r="S459" i="65"/>
  <c r="B450" i="60"/>
  <c r="AO464" i="56"/>
  <c r="C35" i="74"/>
  <c r="C36" i="74"/>
  <c r="B35" i="74"/>
  <c r="B36" i="74"/>
  <c r="B457" i="57"/>
  <c r="B448" i="60"/>
  <c r="AD457" i="79"/>
  <c r="F457" i="57"/>
  <c r="B457" i="79"/>
  <c r="B457" i="65"/>
  <c r="Z31" i="74"/>
  <c r="AQ460" i="56"/>
  <c r="T46" i="74"/>
  <c r="T47" i="74"/>
  <c r="T48" i="74"/>
  <c r="T49" i="74"/>
  <c r="T50" i="74"/>
  <c r="T51" i="74"/>
  <c r="T52" i="74"/>
  <c r="T53" i="74"/>
  <c r="T54" i="74"/>
  <c r="T55" i="74"/>
  <c r="Z427" i="62"/>
  <c r="S10" i="74" s="1"/>
  <c r="Z428" i="62"/>
  <c r="S11" i="74" s="1"/>
  <c r="Z429" i="62"/>
  <c r="S12" i="74" s="1"/>
  <c r="Z432" i="62"/>
  <c r="S15" i="74" s="1"/>
  <c r="Z435" i="62"/>
  <c r="S18" i="74" s="1"/>
  <c r="Z436" i="62"/>
  <c r="S19" i="74" s="1"/>
  <c r="Z438" i="62"/>
  <c r="S21" i="74" s="1"/>
  <c r="Z439" i="62"/>
  <c r="S22" i="74" s="1"/>
  <c r="Z440" i="62"/>
  <c r="S23" i="74" s="1"/>
  <c r="Z441" i="62"/>
  <c r="S24" i="74" s="1"/>
  <c r="Z442" i="62"/>
  <c r="S25" i="74" s="1"/>
  <c r="Z446" i="62"/>
  <c r="S29" i="74" s="1"/>
  <c r="Z447" i="62"/>
  <c r="S31" i="74" s="1"/>
  <c r="Z450" i="62"/>
  <c r="S34" i="74" s="1"/>
  <c r="Z451" i="62"/>
  <c r="S35" i="74" s="1"/>
  <c r="Z452" i="62"/>
  <c r="S36" i="74" s="1"/>
  <c r="Z453" i="62"/>
  <c r="S37" i="74" s="1"/>
  <c r="Z454" i="62"/>
  <c r="S38" i="74" s="1"/>
  <c r="Z455" i="62"/>
  <c r="S39" i="74" s="1"/>
  <c r="Z456" i="62"/>
  <c r="S40" i="74" s="1"/>
  <c r="Z457" i="62"/>
  <c r="S41" i="74" s="1"/>
  <c r="Z458" i="62"/>
  <c r="S42" i="74" s="1"/>
  <c r="Z459" i="62"/>
  <c r="S43" i="74" s="1"/>
  <c r="Z460" i="62"/>
  <c r="S44" i="74" s="1"/>
  <c r="Z461" i="62"/>
  <c r="S45" i="74" s="1"/>
  <c r="Z462" i="62"/>
  <c r="S46" i="74" s="1"/>
  <c r="Z463" i="62"/>
  <c r="S47" i="74" s="1"/>
  <c r="Z464" i="62"/>
  <c r="S48" i="74" s="1"/>
  <c r="Z465" i="62"/>
  <c r="S49" i="74" s="1"/>
  <c r="Z466" i="62"/>
  <c r="S50" i="74" s="1"/>
  <c r="Z467" i="62"/>
  <c r="S51" i="74" s="1"/>
  <c r="Z468" i="62"/>
  <c r="S52" i="74" s="1"/>
  <c r="Z469" i="62"/>
  <c r="S53" i="74" s="1"/>
  <c r="Z470" i="62"/>
  <c r="S54" i="74" s="1"/>
  <c r="Z471" i="62"/>
  <c r="S55" i="74" s="1"/>
  <c r="Z472" i="62"/>
  <c r="Z473" i="62"/>
  <c r="Z474" i="62"/>
  <c r="Z475" i="62"/>
  <c r="A445" i="62"/>
  <c r="A446" i="62"/>
  <c r="A447" i="62"/>
  <c r="A448" i="62"/>
  <c r="A449" i="62"/>
  <c r="A450" i="62"/>
  <c r="A451" i="62"/>
  <c r="A452" i="62"/>
  <c r="A453" i="62"/>
  <c r="A454" i="62"/>
  <c r="A455" i="62"/>
  <c r="A456" i="62"/>
  <c r="A457" i="62"/>
  <c r="A458" i="62"/>
  <c r="A459" i="62"/>
  <c r="A460" i="62"/>
  <c r="A461" i="62"/>
  <c r="A462" i="62"/>
  <c r="A463" i="62"/>
  <c r="A464" i="62"/>
  <c r="A465" i="62"/>
  <c r="A466" i="62"/>
  <c r="A467" i="62"/>
  <c r="A468" i="62"/>
  <c r="A469" i="62"/>
  <c r="A470" i="62"/>
  <c r="A471" i="62"/>
  <c r="A472" i="62"/>
  <c r="A473" i="62"/>
  <c r="I32" i="74"/>
  <c r="B455" i="57"/>
  <c r="BF460" i="56"/>
  <c r="J31" i="74"/>
  <c r="F455" i="57"/>
  <c r="X455" i="65"/>
  <c r="N99" i="74" l="1"/>
  <c r="J99" i="74"/>
  <c r="K99" i="74"/>
  <c r="AE31" i="74"/>
  <c r="Z449" i="62"/>
  <c r="S33" i="74" s="1"/>
  <c r="O459" i="58"/>
  <c r="P457" i="65"/>
  <c r="H462" i="56"/>
  <c r="C448" i="60"/>
  <c r="E451" i="66"/>
  <c r="F448" i="60"/>
  <c r="C33" i="74"/>
  <c r="C34" i="74"/>
  <c r="B33" i="74"/>
  <c r="B34" i="74"/>
  <c r="K448" i="62"/>
  <c r="Z448" i="62" s="1"/>
  <c r="S32" i="74" s="1"/>
  <c r="B452" i="61"/>
  <c r="O456" i="79"/>
  <c r="M456" i="79"/>
  <c r="A32" i="74"/>
  <c r="C32" i="74"/>
  <c r="B451" i="61"/>
  <c r="S455" i="79"/>
  <c r="K455" i="65"/>
  <c r="K455" i="57"/>
  <c r="Y457" i="58"/>
  <c r="R455" i="79"/>
  <c r="AU455" i="79"/>
  <c r="B455" i="65"/>
  <c r="I460" i="56"/>
  <c r="AC455" i="65"/>
  <c r="P460" i="56"/>
  <c r="AB455" i="57"/>
  <c r="Z455" i="57"/>
  <c r="Y455" i="57"/>
  <c r="B29" i="74"/>
  <c r="B30" i="74"/>
  <c r="B31" i="74"/>
  <c r="B32" i="74"/>
  <c r="S96" i="74"/>
  <c r="L99" i="74" l="1"/>
  <c r="N95" i="74"/>
  <c r="T95" i="74" l="1"/>
  <c r="Z29" i="74"/>
  <c r="I29" i="74"/>
  <c r="BF458" i="56"/>
  <c r="AE28" i="74"/>
  <c r="AD454" i="79" l="1"/>
  <c r="BF459" i="56"/>
  <c r="S454" i="79"/>
  <c r="AB29" i="74"/>
  <c r="D445" i="60"/>
  <c r="AG454" i="79"/>
  <c r="W448" i="66"/>
  <c r="B445" i="60"/>
  <c r="B454" i="57"/>
  <c r="D448" i="66"/>
  <c r="K454" i="65"/>
  <c r="H459" i="56"/>
  <c r="N94" i="74"/>
  <c r="AE26" i="74"/>
  <c r="AB26" i="74" l="1"/>
  <c r="S453" i="79"/>
  <c r="B453" i="57"/>
  <c r="F453" i="57"/>
  <c r="F445" i="62"/>
  <c r="Z445" i="62" s="1"/>
  <c r="S28" i="74" s="1"/>
  <c r="O455" i="58"/>
  <c r="I28" i="74"/>
  <c r="R452" i="79"/>
  <c r="BF457" i="56"/>
  <c r="S452" i="79"/>
  <c r="B452" i="57"/>
  <c r="C28" i="74"/>
  <c r="A28" i="74"/>
  <c r="B28" i="74"/>
  <c r="K444" i="62"/>
  <c r="D443" i="60"/>
  <c r="F452" i="57"/>
  <c r="I444" i="62"/>
  <c r="O454" i="58"/>
  <c r="I457" i="56"/>
  <c r="Z27" i="74"/>
  <c r="I27" i="74"/>
  <c r="B27" i="74"/>
  <c r="C27" i="74"/>
  <c r="C29" i="74"/>
  <c r="C30" i="74"/>
  <c r="C31" i="74"/>
  <c r="T451" i="57"/>
  <c r="D445" i="66"/>
  <c r="K443" i="62"/>
  <c r="Z443" i="62" s="1"/>
  <c r="S26" i="74" s="1"/>
  <c r="B442" i="60"/>
  <c r="K451" i="65"/>
  <c r="B451" i="57"/>
  <c r="S451" i="79"/>
  <c r="Z25" i="74"/>
  <c r="H25" i="74"/>
  <c r="V449" i="79"/>
  <c r="AE24" i="74"/>
  <c r="B450" i="57"/>
  <c r="I25" i="74"/>
  <c r="O452" i="58"/>
  <c r="Z444" i="62" l="1"/>
  <c r="S27" i="74" s="1"/>
  <c r="AD451" i="79"/>
  <c r="R451" i="79"/>
  <c r="F451" i="57"/>
  <c r="Z26" i="74"/>
  <c r="AC451" i="65"/>
  <c r="H456" i="56"/>
  <c r="S442" i="60"/>
  <c r="I26" i="74"/>
  <c r="C26" i="74"/>
  <c r="B26" i="74"/>
  <c r="A26" i="74"/>
  <c r="A27" i="74"/>
  <c r="A29" i="74"/>
  <c r="A30" i="74"/>
  <c r="A31" i="74"/>
  <c r="A33" i="74"/>
  <c r="A34" i="74"/>
  <c r="A35" i="74"/>
  <c r="A36" i="74"/>
  <c r="A37" i="74"/>
  <c r="A39" i="74"/>
  <c r="A40" i="74"/>
  <c r="A41" i="74"/>
  <c r="A42" i="74"/>
  <c r="A43" i="74"/>
  <c r="A44" i="74"/>
  <c r="A45" i="74"/>
  <c r="A46" i="74"/>
  <c r="A47" i="74"/>
  <c r="A48" i="74"/>
  <c r="A49" i="74"/>
  <c r="A50" i="74"/>
  <c r="A51" i="74"/>
  <c r="A52" i="74"/>
  <c r="A53" i="74"/>
  <c r="A54" i="74"/>
  <c r="A55" i="74"/>
  <c r="A56" i="74"/>
  <c r="A57" i="74"/>
  <c r="A58" i="74"/>
  <c r="A59" i="74"/>
  <c r="A60" i="74"/>
  <c r="A61" i="74"/>
  <c r="A62" i="74"/>
  <c r="A63" i="74"/>
  <c r="A64" i="74"/>
  <c r="A65" i="74"/>
  <c r="A66" i="74"/>
  <c r="AD450" i="79"/>
  <c r="H455" i="56"/>
  <c r="K450" i="65"/>
  <c r="S450" i="79"/>
  <c r="Q444" i="66"/>
  <c r="J25" i="74"/>
  <c r="P450" i="65"/>
  <c r="I455" i="56"/>
  <c r="U452" i="58"/>
  <c r="P455" i="56"/>
  <c r="F450" i="57"/>
  <c r="Z441" i="60"/>
  <c r="S450" i="65"/>
  <c r="N90" i="74"/>
  <c r="K442" i="66" l="1"/>
  <c r="O433" i="81"/>
  <c r="J22" i="74"/>
  <c r="I22" i="74"/>
  <c r="I23" i="74"/>
  <c r="AE22" i="74"/>
  <c r="AB22" i="74"/>
  <c r="I438" i="60"/>
  <c r="N89" i="74" l="1"/>
  <c r="B449" i="57"/>
  <c r="BF455" i="56"/>
  <c r="L24" i="74"/>
  <c r="BF454" i="56"/>
  <c r="Y451" i="58"/>
  <c r="I24" i="74"/>
  <c r="C451" i="58"/>
  <c r="D450" i="58"/>
  <c r="T450" i="58"/>
  <c r="T448" i="57"/>
  <c r="I452" i="56"/>
  <c r="S447" i="79"/>
  <c r="AD447" i="79"/>
  <c r="AB438" i="60"/>
  <c r="Z438" i="60"/>
  <c r="T87" i="74"/>
  <c r="AE20" i="74"/>
  <c r="O447" i="58" l="1"/>
  <c r="T445" i="57"/>
  <c r="K20" i="74"/>
  <c r="S445" i="79"/>
  <c r="AC447" i="79" l="1"/>
  <c r="R447" i="79"/>
  <c r="AD445" i="79"/>
  <c r="L433" i="81"/>
  <c r="B433" i="81"/>
  <c r="AE438" i="60"/>
  <c r="R438" i="60"/>
  <c r="C436" i="60"/>
  <c r="K437" i="62"/>
  <c r="F437" i="62"/>
  <c r="F447" i="57"/>
  <c r="F445" i="57"/>
  <c r="B445" i="57"/>
  <c r="Y449" i="58"/>
  <c r="BF451" i="56"/>
  <c r="BF450" i="56"/>
  <c r="K447" i="65"/>
  <c r="K445" i="65"/>
  <c r="Z20" i="74"/>
  <c r="N87" i="74" s="1"/>
  <c r="X64" i="74"/>
  <c r="I21" i="74"/>
  <c r="I20" i="74"/>
  <c r="A439" i="66"/>
  <c r="I18" i="74"/>
  <c r="Z437" i="62" l="1"/>
  <c r="S20" i="74" s="1"/>
  <c r="I17" i="74"/>
  <c r="R444" i="79"/>
  <c r="BF449" i="56"/>
  <c r="AB19" i="74"/>
  <c r="Z19" i="74"/>
  <c r="AE17" i="74"/>
  <c r="AB18" i="74"/>
  <c r="U445" i="58"/>
  <c r="M443" i="79"/>
  <c r="Z17" i="74"/>
  <c r="B433" i="60"/>
  <c r="F433" i="62"/>
  <c r="B432" i="60"/>
  <c r="A20" i="74" l="1"/>
  <c r="B20" i="74"/>
  <c r="C20" i="74"/>
  <c r="S444" i="79"/>
  <c r="C446" i="58"/>
  <c r="F444" i="57"/>
  <c r="AD444" i="79"/>
  <c r="B444" i="57"/>
  <c r="I19" i="74"/>
  <c r="C19" i="74"/>
  <c r="B19" i="74"/>
  <c r="A19" i="74"/>
  <c r="F443" i="57"/>
  <c r="H448" i="56"/>
  <c r="AS448" i="56"/>
  <c r="AE443" i="65"/>
  <c r="S443" i="79"/>
  <c r="R443" i="79"/>
  <c r="P448" i="56"/>
  <c r="I6" i="80"/>
  <c r="I7" i="80"/>
  <c r="AC11" i="74" l="1"/>
  <c r="AC68" i="74" s="1"/>
  <c r="AB11" i="74"/>
  <c r="S83" i="74" l="1"/>
  <c r="T83" i="74" s="1"/>
  <c r="H446" i="56"/>
  <c r="AB16" i="74"/>
  <c r="Z16" i="74"/>
  <c r="AE16" i="74"/>
  <c r="I448" i="56" l="1"/>
  <c r="BF447" i="56"/>
  <c r="O444" i="58"/>
  <c r="S442" i="79"/>
  <c r="B428" i="81"/>
  <c r="F434" i="62"/>
  <c r="Z434" i="62" s="1"/>
  <c r="S17" i="74" s="1"/>
  <c r="B427" i="81" l="1"/>
  <c r="K427" i="81"/>
  <c r="B441" i="57"/>
  <c r="K433" i="62"/>
  <c r="R441" i="79"/>
  <c r="S441" i="79"/>
  <c r="L433" i="62"/>
  <c r="B437" i="61"/>
  <c r="F441" i="57"/>
  <c r="K441" i="65"/>
  <c r="AC441" i="79"/>
  <c r="N443" i="58"/>
  <c r="P441" i="65"/>
  <c r="AC441" i="65"/>
  <c r="O443" i="58"/>
  <c r="T81" i="74"/>
  <c r="O441" i="58"/>
  <c r="H14" i="74"/>
  <c r="AE14" i="74"/>
  <c r="Z433" i="62" l="1"/>
  <c r="S16" i="74" s="1"/>
  <c r="S439" i="79"/>
  <c r="F431" i="62"/>
  <c r="BF444" i="56"/>
  <c r="Y441" i="58"/>
  <c r="F439" i="57"/>
  <c r="AB14" i="74"/>
  <c r="H444" i="56"/>
  <c r="U441" i="58"/>
  <c r="K439" i="65"/>
  <c r="N82" i="74"/>
  <c r="N83" i="74"/>
  <c r="N84" i="74"/>
  <c r="N85" i="74"/>
  <c r="N86" i="74"/>
  <c r="N88" i="74"/>
  <c r="Z13" i="74"/>
  <c r="T80" i="74"/>
  <c r="I13" i="74"/>
  <c r="M438" i="79" l="1"/>
  <c r="AD438" i="79"/>
  <c r="S438" i="79"/>
  <c r="F429" i="60"/>
  <c r="AE13" i="74"/>
  <c r="P444" i="56" l="1"/>
  <c r="N81" i="74"/>
  <c r="K431" i="62"/>
  <c r="F430" i="60"/>
  <c r="AO444" i="56"/>
  <c r="Y439" i="65"/>
  <c r="I431" i="62"/>
  <c r="U440" i="58"/>
  <c r="Z431" i="62" l="1"/>
  <c r="S14" i="74" s="1"/>
  <c r="K430" i="62"/>
  <c r="L13" i="74"/>
  <c r="BF443" i="56"/>
  <c r="O440" i="58"/>
  <c r="H443" i="56"/>
  <c r="W430" i="62"/>
  <c r="I443" i="56" l="1"/>
  <c r="F438" i="57"/>
  <c r="Z429" i="60"/>
  <c r="AA440" i="58"/>
  <c r="K438" i="57"/>
  <c r="AE10" i="74"/>
  <c r="Z11" i="74" l="1"/>
  <c r="U437" i="58" l="1"/>
  <c r="O437" i="58"/>
  <c r="Z10" i="74"/>
  <c r="M430" i="62"/>
  <c r="Z430" i="62" s="1"/>
  <c r="S13" i="74" s="1"/>
  <c r="P438" i="65"/>
  <c r="B438" i="57"/>
  <c r="O432" i="66"/>
  <c r="I440" i="58"/>
  <c r="F437" i="57"/>
  <c r="I12" i="74"/>
  <c r="X438" i="58"/>
  <c r="O438" i="58"/>
  <c r="K436" i="65"/>
  <c r="B432" i="61" l="1"/>
  <c r="AA438" i="58"/>
  <c r="AA427" i="60"/>
  <c r="S436" i="65"/>
  <c r="Y438" i="58"/>
  <c r="S436" i="79"/>
  <c r="B436" i="57"/>
  <c r="AD436" i="79"/>
  <c r="I11" i="74"/>
  <c r="W6" i="41"/>
  <c r="X6" i="41"/>
  <c r="Y6" i="41"/>
  <c r="Z6" i="41"/>
  <c r="AA6" i="41"/>
  <c r="W7" i="41"/>
  <c r="X7" i="41"/>
  <c r="Y7" i="41"/>
  <c r="Z7" i="41"/>
  <c r="AA7" i="41"/>
  <c r="W8" i="41"/>
  <c r="X8" i="41"/>
  <c r="Y8" i="41"/>
  <c r="Z8" i="41"/>
  <c r="AA8" i="41"/>
  <c r="W9" i="41"/>
  <c r="X9" i="41"/>
  <c r="Y9" i="41"/>
  <c r="Z9" i="41"/>
  <c r="AA9" i="41"/>
  <c r="W10" i="41"/>
  <c r="X10" i="41"/>
  <c r="Y10" i="41"/>
  <c r="Z10" i="41"/>
  <c r="AA10" i="41"/>
  <c r="W11" i="41"/>
  <c r="X11" i="41"/>
  <c r="Y11" i="41"/>
  <c r="Z11" i="41"/>
  <c r="AA11" i="41"/>
  <c r="W12" i="41"/>
  <c r="X12" i="41"/>
  <c r="Y12" i="41"/>
  <c r="Z12" i="41"/>
  <c r="AA12" i="41"/>
  <c r="W13" i="41"/>
  <c r="X13" i="41"/>
  <c r="Y13" i="41"/>
  <c r="Z13" i="41"/>
  <c r="AA13" i="41"/>
  <c r="W14" i="41"/>
  <c r="X14" i="41"/>
  <c r="Y14" i="41"/>
  <c r="Z14" i="41"/>
  <c r="AA14" i="41"/>
  <c r="W15" i="41"/>
  <c r="X15" i="41"/>
  <c r="Y15" i="41"/>
  <c r="Z15" i="41"/>
  <c r="AA15" i="41"/>
  <c r="W16" i="41"/>
  <c r="X16" i="41"/>
  <c r="Y16" i="41"/>
  <c r="Z16" i="41"/>
  <c r="AA16" i="41"/>
  <c r="W17" i="41"/>
  <c r="X17" i="41"/>
  <c r="Y17" i="41"/>
  <c r="Z17" i="41"/>
  <c r="AA17" i="41"/>
  <c r="W18" i="41"/>
  <c r="X18" i="41"/>
  <c r="Y18" i="41"/>
  <c r="Z18" i="41"/>
  <c r="AA18" i="41"/>
  <c r="W19" i="41"/>
  <c r="X19" i="41"/>
  <c r="Y19" i="41"/>
  <c r="Z19" i="41"/>
  <c r="AA19" i="41"/>
  <c r="W20" i="41"/>
  <c r="X20" i="41"/>
  <c r="Y20" i="41"/>
  <c r="Z20" i="41"/>
  <c r="AA20" i="41"/>
  <c r="W21" i="41"/>
  <c r="X21" i="41"/>
  <c r="Y21" i="41"/>
  <c r="Z21" i="41"/>
  <c r="AA21" i="41"/>
  <c r="W22" i="41"/>
  <c r="X22" i="41"/>
  <c r="Y22" i="41"/>
  <c r="Z22" i="41"/>
  <c r="AA22" i="41"/>
  <c r="W23" i="41"/>
  <c r="X23" i="41"/>
  <c r="Y23" i="41"/>
  <c r="Z23" i="41"/>
  <c r="AA23" i="41"/>
  <c r="W24" i="41"/>
  <c r="X24" i="41"/>
  <c r="Y24" i="41"/>
  <c r="Z24" i="41"/>
  <c r="AA24" i="41"/>
  <c r="W25" i="41"/>
  <c r="X25" i="41"/>
  <c r="Y25" i="41"/>
  <c r="Z25" i="41"/>
  <c r="AA25" i="41"/>
  <c r="W26" i="41"/>
  <c r="X26" i="41"/>
  <c r="Y26" i="41"/>
  <c r="Z26" i="41"/>
  <c r="AA26" i="41"/>
  <c r="X4" i="41"/>
  <c r="Y4" i="41"/>
  <c r="Z4" i="41"/>
  <c r="AA4" i="41"/>
  <c r="W4" i="41"/>
  <c r="H439" i="56"/>
  <c r="J9" i="74"/>
  <c r="Z9" i="74"/>
  <c r="AB9" i="74"/>
  <c r="O436" i="58"/>
  <c r="BF439" i="56"/>
  <c r="I439" i="56"/>
  <c r="AE9" i="74"/>
  <c r="S435" i="79" l="1"/>
  <c r="AJ440" i="56"/>
  <c r="J10" i="74"/>
  <c r="S435" i="65"/>
  <c r="AP440" i="56"/>
  <c r="F435" i="57"/>
  <c r="P434" i="65"/>
  <c r="U436" i="58"/>
  <c r="F434" i="57"/>
  <c r="F426" i="62"/>
  <c r="K434" i="65" l="1"/>
  <c r="D428" i="66"/>
  <c r="S434" i="79" l="1"/>
  <c r="B434" i="57"/>
  <c r="AD434" i="79"/>
  <c r="AA436" i="58"/>
  <c r="U434" i="65"/>
  <c r="Z8" i="74"/>
  <c r="P433" i="65"/>
  <c r="B424" i="60"/>
  <c r="AD433" i="79"/>
  <c r="S425" i="62"/>
  <c r="O435" i="58"/>
  <c r="P435" i="58"/>
  <c r="AE8" i="74"/>
  <c r="E428" i="66" l="1"/>
  <c r="F425" i="60"/>
  <c r="S426" i="62"/>
  <c r="Z426" i="62" s="1"/>
  <c r="S9" i="74" s="1"/>
  <c r="I9" i="74"/>
  <c r="D424" i="60"/>
  <c r="K425" i="62"/>
  <c r="B433" i="57"/>
  <c r="F425" i="62"/>
  <c r="AB8" i="74"/>
  <c r="Z424" i="60"/>
  <c r="S433" i="79"/>
  <c r="AC433" i="79"/>
  <c r="N435" i="58"/>
  <c r="N114" i="73"/>
  <c r="N110" i="73"/>
  <c r="N108" i="73"/>
  <c r="N101" i="73"/>
  <c r="N98" i="73"/>
  <c r="AB59" i="73"/>
  <c r="J59" i="73" l="1"/>
  <c r="AA59" i="73"/>
  <c r="B419" i="61"/>
  <c r="H426" i="56"/>
  <c r="S423" i="79"/>
  <c r="Z59" i="73"/>
  <c r="R120" i="73"/>
  <c r="T120" i="73" s="1"/>
  <c r="P121" i="73"/>
  <c r="Q121" i="73"/>
  <c r="R121" i="73"/>
  <c r="S121" i="73"/>
  <c r="P122" i="73"/>
  <c r="Q122" i="73"/>
  <c r="R122" i="73"/>
  <c r="S122" i="73"/>
  <c r="P123" i="73"/>
  <c r="Q123" i="73"/>
  <c r="R123" i="73"/>
  <c r="S123" i="73"/>
  <c r="P124" i="73"/>
  <c r="Q124" i="73"/>
  <c r="R124" i="73"/>
  <c r="S124" i="73"/>
  <c r="P125" i="73"/>
  <c r="Q125" i="73"/>
  <c r="R125" i="73"/>
  <c r="S125" i="73"/>
  <c r="P126" i="73"/>
  <c r="Q126" i="73"/>
  <c r="R126" i="73"/>
  <c r="S126" i="73"/>
  <c r="P127" i="73"/>
  <c r="S127" i="73"/>
  <c r="P128" i="73"/>
  <c r="S128" i="73"/>
  <c r="AE59" i="73"/>
  <c r="N120" i="73" l="1"/>
  <c r="O424" i="58"/>
  <c r="K433" i="65"/>
  <c r="F433" i="57"/>
  <c r="F424" i="60"/>
  <c r="I425" i="62"/>
  <c r="P422" i="65"/>
  <c r="AD423" i="79"/>
  <c r="AB422" i="65"/>
  <c r="A415" i="66"/>
  <c r="A416" i="66"/>
  <c r="A417" i="66"/>
  <c r="A418" i="66"/>
  <c r="A419" i="66"/>
  <c r="A420" i="66"/>
  <c r="A421" i="66"/>
  <c r="A422" i="66"/>
  <c r="Z414" i="62"/>
  <c r="S57" i="73" s="1"/>
  <c r="Z415" i="62"/>
  <c r="S58" i="73" s="1"/>
  <c r="Z416" i="62"/>
  <c r="S59" i="73" s="1"/>
  <c r="Z417" i="62"/>
  <c r="Z418" i="62"/>
  <c r="Z419" i="62"/>
  <c r="S421" i="79"/>
  <c r="AB57" i="73"/>
  <c r="Z57" i="73"/>
  <c r="AF420" i="65"/>
  <c r="B412" i="60"/>
  <c r="AN412" i="60" s="1"/>
  <c r="T57" i="73" s="1"/>
  <c r="B421" i="57"/>
  <c r="A412" i="60"/>
  <c r="A413" i="60"/>
  <c r="A414" i="60"/>
  <c r="AN408" i="60"/>
  <c r="T53" i="73" s="1"/>
  <c r="AN409" i="60"/>
  <c r="T54" i="73" s="1"/>
  <c r="AN411" i="60"/>
  <c r="T56" i="73" s="1"/>
  <c r="AN413" i="60"/>
  <c r="T58" i="73" s="1"/>
  <c r="AN414" i="60"/>
  <c r="T59" i="73" s="1"/>
  <c r="AN415" i="60"/>
  <c r="T60" i="73" s="1"/>
  <c r="AN416" i="60"/>
  <c r="AN417" i="60"/>
  <c r="AN418" i="60"/>
  <c r="AN419" i="60"/>
  <c r="N422" i="58"/>
  <c r="O422" i="58"/>
  <c r="O423" i="58"/>
  <c r="F420" i="57"/>
  <c r="S60" i="73" l="1"/>
  <c r="AE56" i="73"/>
  <c r="F423" i="57" l="1"/>
  <c r="M59" i="73"/>
  <c r="K422" i="65"/>
  <c r="AA424" i="58"/>
  <c r="Y424" i="58"/>
  <c r="A426" i="56"/>
  <c r="A425" i="56"/>
  <c r="A423" i="57"/>
  <c r="A422" i="57"/>
  <c r="A422" i="65"/>
  <c r="A59" i="73"/>
  <c r="B59" i="73"/>
  <c r="P120" i="73" s="1"/>
  <c r="P421" i="65"/>
  <c r="Y423" i="58"/>
  <c r="Z58" i="73"/>
  <c r="J58" i="73"/>
  <c r="N119" i="73" s="1"/>
  <c r="I58" i="73"/>
  <c r="A423" i="58"/>
  <c r="A424" i="58"/>
  <c r="A422" i="58"/>
  <c r="B422" i="58"/>
  <c r="C422" i="58"/>
  <c r="B421" i="58"/>
  <c r="C421" i="58"/>
  <c r="C58" i="73"/>
  <c r="C59" i="73"/>
  <c r="Q120" i="73" s="1"/>
  <c r="B58" i="73"/>
  <c r="A58" i="73"/>
  <c r="P424" i="56"/>
  <c r="P420" i="65"/>
  <c r="BF424" i="56"/>
  <c r="S420" i="79"/>
  <c r="K413" i="62"/>
  <c r="A413" i="62"/>
  <c r="J57" i="73"/>
  <c r="N118" i="73" s="1"/>
  <c r="A411" i="60"/>
  <c r="AE53" i="73"/>
  <c r="I422" i="56" l="1"/>
  <c r="AB55" i="73"/>
  <c r="B419" i="57"/>
  <c r="D410" i="60"/>
  <c r="AN410" i="60" s="1"/>
  <c r="T55" i="73" s="1"/>
  <c r="Z55" i="73"/>
  <c r="I54" i="73"/>
  <c r="I55" i="73"/>
  <c r="Z54" i="73"/>
  <c r="N115" i="73" s="1"/>
  <c r="A410" i="60"/>
  <c r="AD418" i="79"/>
  <c r="K400" i="81"/>
  <c r="Z53" i="73"/>
  <c r="B400" i="81"/>
  <c r="A402" i="81"/>
  <c r="A421" i="58" l="1"/>
  <c r="I57" i="73"/>
  <c r="A57" i="73"/>
  <c r="B57" i="73"/>
  <c r="P118" i="73" s="1"/>
  <c r="C57" i="73"/>
  <c r="Q118" i="73" s="1"/>
  <c r="AD420" i="79"/>
  <c r="AB56" i="73"/>
  <c r="N117" i="73" s="1"/>
  <c r="H423" i="56"/>
  <c r="V420" i="79"/>
  <c r="A56" i="73"/>
  <c r="B56" i="73"/>
  <c r="P117" i="73" s="1"/>
  <c r="C56" i="73"/>
  <c r="Q117" i="73" s="1"/>
  <c r="S419" i="79"/>
  <c r="J55" i="73"/>
  <c r="N116" i="73" s="1"/>
  <c r="F412" i="62"/>
  <c r="Z419" i="57"/>
  <c r="AE51" i="73"/>
  <c r="R113" i="73"/>
  <c r="S113" i="73"/>
  <c r="R114" i="73"/>
  <c r="S114" i="73"/>
  <c r="R115" i="73"/>
  <c r="S115" i="73"/>
  <c r="R116" i="73"/>
  <c r="S116" i="73"/>
  <c r="R117" i="73"/>
  <c r="S117" i="73"/>
  <c r="R118" i="73"/>
  <c r="S118" i="73"/>
  <c r="P119" i="73"/>
  <c r="Q119" i="73"/>
  <c r="R119" i="73"/>
  <c r="S119" i="73"/>
  <c r="A384" i="81"/>
  <c r="A385" i="81"/>
  <c r="A386" i="81"/>
  <c r="A387" i="81"/>
  <c r="A388" i="81"/>
  <c r="A389" i="81"/>
  <c r="A390" i="81"/>
  <c r="A391" i="81"/>
  <c r="A392" i="81"/>
  <c r="A393" i="81"/>
  <c r="A394" i="81"/>
  <c r="A395" i="81"/>
  <c r="A396" i="81"/>
  <c r="A397" i="81"/>
  <c r="A398" i="81"/>
  <c r="A399" i="81"/>
  <c r="A400" i="81"/>
  <c r="A401" i="81"/>
  <c r="A383" i="81"/>
  <c r="P383" i="81"/>
  <c r="X36" i="73" s="1"/>
  <c r="P384" i="81"/>
  <c r="X37" i="73" s="1"/>
  <c r="P385" i="81"/>
  <c r="X38" i="73" s="1"/>
  <c r="P386" i="81"/>
  <c r="X39" i="73" s="1"/>
  <c r="O399" i="81"/>
  <c r="J51" i="73"/>
  <c r="N112" i="73" s="1"/>
  <c r="Z51" i="73"/>
  <c r="I52" i="73"/>
  <c r="T117" i="73" l="1"/>
  <c r="T114" i="73"/>
  <c r="A55" i="73"/>
  <c r="B55" i="73"/>
  <c r="P116" i="73" s="1"/>
  <c r="C55" i="73"/>
  <c r="Q116" i="73" s="1"/>
  <c r="A54" i="73"/>
  <c r="B54" i="73"/>
  <c r="P115" i="73" s="1"/>
  <c r="C54" i="73"/>
  <c r="Q115" i="73" s="1"/>
  <c r="N417" i="58"/>
  <c r="AD416" i="79"/>
  <c r="A53" i="73"/>
  <c r="B53" i="73"/>
  <c r="P114" i="73" s="1"/>
  <c r="C53" i="73"/>
  <c r="Q114" i="73" s="1"/>
  <c r="Z52" i="73"/>
  <c r="H419" i="56"/>
  <c r="F416" i="57"/>
  <c r="S416" i="79"/>
  <c r="AB52" i="73"/>
  <c r="H417" i="58"/>
  <c r="B416" i="57"/>
  <c r="D407" i="60"/>
  <c r="AN407" i="60" s="1"/>
  <c r="T52" i="73" s="1"/>
  <c r="A407" i="60"/>
  <c r="A408" i="60"/>
  <c r="A409" i="60"/>
  <c r="V416" i="57"/>
  <c r="C52" i="73"/>
  <c r="Q113" i="73" s="1"/>
  <c r="B52" i="73"/>
  <c r="P113" i="73" s="1"/>
  <c r="A52" i="73"/>
  <c r="F415" i="57"/>
  <c r="N415" i="58"/>
  <c r="I418" i="56"/>
  <c r="K414" i="65"/>
  <c r="S415" i="79"/>
  <c r="H418" i="56"/>
  <c r="B411" i="61"/>
  <c r="B414" i="57"/>
  <c r="I417" i="56"/>
  <c r="R417" i="56"/>
  <c r="AA50" i="73"/>
  <c r="N111" i="73" s="1"/>
  <c r="Z50" i="73"/>
  <c r="H417" i="56"/>
  <c r="O415" i="58"/>
  <c r="R112" i="73"/>
  <c r="T112" i="73" s="1"/>
  <c r="AE50" i="73"/>
  <c r="N113" i="73" l="1"/>
  <c r="AA416" i="58"/>
  <c r="BF418" i="56"/>
  <c r="V415" i="79"/>
  <c r="A51" i="73"/>
  <c r="B51" i="73"/>
  <c r="H112" i="73" s="1"/>
  <c r="C51" i="73"/>
  <c r="I112" i="73" s="1"/>
  <c r="S414" i="79"/>
  <c r="AD414" i="79"/>
  <c r="I414" i="57"/>
  <c r="Z414" i="57"/>
  <c r="V414" i="79"/>
  <c r="F414" i="57"/>
  <c r="J48" i="73"/>
  <c r="T109" i="73"/>
  <c r="H113" i="73"/>
  <c r="I113" i="73"/>
  <c r="H114" i="73"/>
  <c r="I114" i="73"/>
  <c r="H115" i="73"/>
  <c r="I115" i="73"/>
  <c r="H116" i="73"/>
  <c r="I116" i="73"/>
  <c r="H117" i="73"/>
  <c r="I117" i="73"/>
  <c r="H118" i="73"/>
  <c r="I118" i="73"/>
  <c r="H119" i="73"/>
  <c r="I119" i="73"/>
  <c r="H120" i="73"/>
  <c r="I120" i="73"/>
  <c r="H121" i="73"/>
  <c r="I121" i="73"/>
  <c r="J109" i="73"/>
  <c r="K109" i="73"/>
  <c r="J110" i="73"/>
  <c r="K110" i="73"/>
  <c r="J111" i="73"/>
  <c r="K111" i="73"/>
  <c r="J112" i="73"/>
  <c r="K112" i="73"/>
  <c r="J113" i="73"/>
  <c r="K113" i="73"/>
  <c r="J114" i="73"/>
  <c r="K114" i="73"/>
  <c r="J115" i="73"/>
  <c r="K115" i="73"/>
  <c r="J116" i="73"/>
  <c r="K116" i="73"/>
  <c r="J117" i="73"/>
  <c r="K117" i="73"/>
  <c r="J118" i="73"/>
  <c r="K118" i="73"/>
  <c r="J119" i="73"/>
  <c r="K119" i="73"/>
  <c r="L119" i="73" s="1"/>
  <c r="J120" i="73"/>
  <c r="K120" i="73"/>
  <c r="J121" i="73"/>
  <c r="K121" i="73"/>
  <c r="AE48" i="73"/>
  <c r="L115" i="73" l="1"/>
  <c r="L113" i="73"/>
  <c r="L110" i="73"/>
  <c r="L109" i="73"/>
  <c r="L121" i="73"/>
  <c r="L114" i="73"/>
  <c r="L118" i="73"/>
  <c r="L120" i="73"/>
  <c r="L117" i="73"/>
  <c r="L116" i="73"/>
  <c r="L112" i="73"/>
  <c r="L111" i="73"/>
  <c r="A50" i="73"/>
  <c r="B50" i="73"/>
  <c r="H111" i="73" s="1"/>
  <c r="C50" i="73"/>
  <c r="I111" i="73" s="1"/>
  <c r="V414" i="58"/>
  <c r="I49" i="73"/>
  <c r="B49" i="73"/>
  <c r="B408" i="61"/>
  <c r="Z48" i="73"/>
  <c r="N109" i="73" s="1"/>
  <c r="M395" i="81"/>
  <c r="AD411" i="65"/>
  <c r="Z401" i="60"/>
  <c r="AD412" i="79"/>
  <c r="U412" i="79"/>
  <c r="AG412" i="57"/>
  <c r="V412" i="79"/>
  <c r="J106" i="73"/>
  <c r="K106" i="73"/>
  <c r="J107" i="73"/>
  <c r="K107" i="73"/>
  <c r="J108" i="73"/>
  <c r="K108" i="73"/>
  <c r="AB46" i="73"/>
  <c r="J46" i="73"/>
  <c r="AA46" i="73"/>
  <c r="N107" i="73" l="1"/>
  <c r="L107" i="73"/>
  <c r="L108" i="73"/>
  <c r="L106" i="73"/>
  <c r="AE46" i="73"/>
  <c r="AD411" i="79"/>
  <c r="F411" i="57"/>
  <c r="O394" i="81"/>
  <c r="O412" i="58"/>
  <c r="AH412" i="58"/>
  <c r="I47" i="73"/>
  <c r="M393" i="81"/>
  <c r="O393" i="81"/>
  <c r="P413" i="56"/>
  <c r="K409" i="65"/>
  <c r="F410" i="57"/>
  <c r="I409" i="65"/>
  <c r="C44" i="73"/>
  <c r="C45" i="73"/>
  <c r="C46" i="73"/>
  <c r="C47" i="73"/>
  <c r="C48" i="73"/>
  <c r="C49" i="73"/>
  <c r="U411" i="58"/>
  <c r="E393" i="81"/>
  <c r="B410" i="57"/>
  <c r="S410" i="79"/>
  <c r="I107" i="73" l="1"/>
  <c r="I108" i="73"/>
  <c r="J101" i="73"/>
  <c r="K101" i="73"/>
  <c r="J102" i="73"/>
  <c r="K102" i="73"/>
  <c r="J103" i="73"/>
  <c r="K103" i="73"/>
  <c r="J104" i="73"/>
  <c r="K104" i="73"/>
  <c r="J105" i="73"/>
  <c r="K105" i="73"/>
  <c r="AE44" i="73"/>
  <c r="Z44" i="73"/>
  <c r="S102" i="73"/>
  <c r="S103" i="73"/>
  <c r="S104" i="73"/>
  <c r="S105" i="73"/>
  <c r="S107" i="73"/>
  <c r="S108" i="73"/>
  <c r="S109" i="73"/>
  <c r="S111" i="73"/>
  <c r="T111" i="73" s="1"/>
  <c r="T100" i="73"/>
  <c r="R99" i="73"/>
  <c r="R101" i="73"/>
  <c r="R102" i="73"/>
  <c r="R103" i="73"/>
  <c r="R104" i="73"/>
  <c r="R105" i="73"/>
  <c r="T105" i="73" s="1"/>
  <c r="R106" i="73"/>
  <c r="R108" i="73"/>
  <c r="R110" i="73"/>
  <c r="Q107" i="73"/>
  <c r="Q108" i="73"/>
  <c r="Q109" i="73"/>
  <c r="P110" i="73"/>
  <c r="Q110" i="73"/>
  <c r="P111" i="73"/>
  <c r="Q111" i="73"/>
  <c r="P112" i="73"/>
  <c r="Q112" i="73"/>
  <c r="J45" i="73"/>
  <c r="AB44" i="73"/>
  <c r="N105" i="73" l="1"/>
  <c r="T102" i="73"/>
  <c r="I411" i="56"/>
  <c r="I407" i="65"/>
  <c r="B408" i="57"/>
  <c r="AD408" i="79"/>
  <c r="A395" i="62"/>
  <c r="A396" i="62"/>
  <c r="A397" i="62"/>
  <c r="A398" i="62"/>
  <c r="A399" i="62"/>
  <c r="A400" i="62"/>
  <c r="A401" i="62"/>
  <c r="A402" i="62"/>
  <c r="A403" i="62"/>
  <c r="A404" i="62"/>
  <c r="A405" i="62"/>
  <c r="A406" i="62"/>
  <c r="A407" i="62"/>
  <c r="A408" i="62"/>
  <c r="A409" i="62"/>
  <c r="A410" i="62"/>
  <c r="A411" i="62"/>
  <c r="A412" i="62"/>
  <c r="F400" i="62" l="1"/>
  <c r="AE41" i="73"/>
  <c r="AB43" i="73"/>
  <c r="N104" i="73" s="1"/>
  <c r="A38" i="73"/>
  <c r="A39" i="73"/>
  <c r="A40" i="73"/>
  <c r="A41" i="73"/>
  <c r="A42" i="73"/>
  <c r="A43" i="73"/>
  <c r="A44" i="73"/>
  <c r="A45" i="73"/>
  <c r="A46" i="73"/>
  <c r="A47" i="73"/>
  <c r="A48" i="73"/>
  <c r="A49" i="73"/>
  <c r="B37" i="73"/>
  <c r="B38" i="73"/>
  <c r="B39" i="73"/>
  <c r="B40" i="73"/>
  <c r="B41" i="73"/>
  <c r="B42" i="73"/>
  <c r="B43" i="73"/>
  <c r="B44" i="73"/>
  <c r="B45" i="73"/>
  <c r="B46" i="73"/>
  <c r="B47" i="73"/>
  <c r="B48" i="73"/>
  <c r="P109" i="73" s="1"/>
  <c r="C36" i="73"/>
  <c r="C37" i="73"/>
  <c r="C38" i="73"/>
  <c r="C39" i="73"/>
  <c r="C40" i="73"/>
  <c r="C41" i="73"/>
  <c r="C42" i="73"/>
  <c r="C43" i="73"/>
  <c r="S406" i="79"/>
  <c r="AV406" i="79" s="1"/>
  <c r="Z42" i="73"/>
  <c r="N103" i="73" s="1"/>
  <c r="AB41" i="73"/>
  <c r="B406" i="57"/>
  <c r="F406" i="57"/>
  <c r="B407" i="57"/>
  <c r="I409" i="56"/>
  <c r="I410" i="56"/>
  <c r="U407" i="58"/>
  <c r="Z407" i="79"/>
  <c r="AV407" i="79" s="1"/>
  <c r="AV408" i="79"/>
  <c r="V44" i="73" s="1"/>
  <c r="Z41" i="73"/>
  <c r="S112" i="73"/>
  <c r="V42" i="73" l="1"/>
  <c r="V43" i="73"/>
  <c r="H101" i="73"/>
  <c r="P101" i="73"/>
  <c r="Q105" i="73"/>
  <c r="I105" i="73"/>
  <c r="Q106" i="73"/>
  <c r="I106" i="73"/>
  <c r="Q104" i="73"/>
  <c r="I104" i="73"/>
  <c r="P105" i="73"/>
  <c r="H105" i="73"/>
  <c r="P102" i="73"/>
  <c r="H102" i="73"/>
  <c r="Q103" i="73"/>
  <c r="I103" i="73"/>
  <c r="I101" i="73"/>
  <c r="Q101" i="73"/>
  <c r="H108" i="73"/>
  <c r="P108" i="73"/>
  <c r="H107" i="73"/>
  <c r="P107" i="73"/>
  <c r="P106" i="73"/>
  <c r="H106" i="73"/>
  <c r="P104" i="73"/>
  <c r="H104" i="73"/>
  <c r="Q102" i="73"/>
  <c r="I102" i="73"/>
  <c r="P103" i="73"/>
  <c r="H103" i="73"/>
  <c r="I43" i="73"/>
  <c r="Z39" i="73"/>
  <c r="AE39" i="73"/>
  <c r="Z40" i="73"/>
  <c r="I40" i="73"/>
  <c r="J39" i="73"/>
  <c r="AB39" i="73"/>
  <c r="O404" i="58"/>
  <c r="S403" i="79"/>
  <c r="U403" i="79"/>
  <c r="C404" i="58"/>
  <c r="N100" i="73" l="1"/>
  <c r="I42" i="73"/>
  <c r="F403" i="57"/>
  <c r="C399" i="66"/>
  <c r="K402" i="65"/>
  <c r="U404" i="58"/>
  <c r="AC403" i="79"/>
  <c r="I406" i="56"/>
  <c r="B403" i="57"/>
  <c r="Z403" i="57"/>
  <c r="H7" i="80"/>
  <c r="V7" i="80" s="1"/>
  <c r="AH403" i="79"/>
  <c r="AE37" i="73"/>
  <c r="Z38" i="73"/>
  <c r="I395" i="62" l="1"/>
  <c r="AV403" i="79"/>
  <c r="O402" i="58"/>
  <c r="V39" i="73" l="1"/>
  <c r="L38" i="73"/>
  <c r="J38" i="73"/>
  <c r="I38" i="73"/>
  <c r="I35" i="73"/>
  <c r="Z35" i="73"/>
  <c r="S400" i="79" l="1"/>
  <c r="S401" i="79"/>
  <c r="AG400" i="79"/>
  <c r="Z34" i="73"/>
  <c r="T398" i="79"/>
  <c r="Z33" i="73"/>
  <c r="AE33" i="73"/>
  <c r="AE10" i="73"/>
  <c r="AE18" i="73"/>
  <c r="AE23" i="73"/>
  <c r="A37" i="73" l="1"/>
  <c r="I404" i="56"/>
  <c r="Y394" i="62"/>
  <c r="AC401" i="79"/>
  <c r="E396" i="66"/>
  <c r="AH400" i="79"/>
  <c r="AE391" i="60"/>
  <c r="Z36" i="73"/>
  <c r="K393" i="62"/>
  <c r="M401" i="58"/>
  <c r="Y400" i="79"/>
  <c r="S400" i="58"/>
  <c r="B390" i="60"/>
  <c r="AC399" i="79"/>
  <c r="A36" i="73"/>
  <c r="B36" i="73"/>
  <c r="A35" i="73" l="1"/>
  <c r="AC398" i="79"/>
  <c r="S398" i="79"/>
  <c r="Y398" i="57"/>
  <c r="K397" i="65"/>
  <c r="F398" i="57"/>
  <c r="P399" i="58"/>
  <c r="D394" i="66"/>
  <c r="C398" i="58" l="1"/>
  <c r="K389" i="62"/>
  <c r="F396" i="57"/>
  <c r="S396" i="79"/>
  <c r="W387" i="60"/>
  <c r="AB31" i="73"/>
  <c r="I31" i="73"/>
  <c r="AE31" i="73"/>
  <c r="O381" i="81" l="1"/>
  <c r="A381" i="81"/>
  <c r="A382" i="81"/>
  <c r="I34" i="73"/>
  <c r="O399" i="58"/>
  <c r="N399" i="58"/>
  <c r="S397" i="79"/>
  <c r="C33" i="73"/>
  <c r="C34" i="73"/>
  <c r="C35" i="73"/>
  <c r="AH397" i="79"/>
  <c r="F397" i="57"/>
  <c r="E393" i="66"/>
  <c r="B34" i="73"/>
  <c r="B35" i="73"/>
  <c r="A32" i="73"/>
  <c r="A33" i="73"/>
  <c r="A34" i="73"/>
  <c r="B32" i="73"/>
  <c r="B33" i="73"/>
  <c r="N392" i="66"/>
  <c r="F395" i="57"/>
  <c r="I399" i="56"/>
  <c r="I32" i="73"/>
  <c r="U397" i="58"/>
  <c r="O397" i="58"/>
  <c r="O396" i="58"/>
  <c r="AE395" i="79"/>
  <c r="V386" i="60"/>
  <c r="Z31" i="73"/>
  <c r="P396" i="58"/>
  <c r="K378" i="81"/>
  <c r="S395" i="79"/>
  <c r="J31" i="73"/>
  <c r="AB30" i="73"/>
  <c r="J30" i="73"/>
  <c r="F394" i="57"/>
  <c r="U395" i="58"/>
  <c r="Z30" i="73"/>
  <c r="AE30" i="73"/>
  <c r="D378" i="81" l="1"/>
  <c r="F386" i="60"/>
  <c r="AD395" i="79"/>
  <c r="N396" i="58"/>
  <c r="I395" i="57"/>
  <c r="A31" i="73"/>
  <c r="B385" i="60"/>
  <c r="H397" i="56"/>
  <c r="O395" i="58" l="1"/>
  <c r="S394" i="79"/>
  <c r="I394" i="79"/>
  <c r="K393" i="65"/>
  <c r="I397" i="56"/>
  <c r="I393" i="65"/>
  <c r="AC394" i="79"/>
  <c r="AH395" i="58"/>
  <c r="N395" i="58"/>
  <c r="B391" i="61"/>
  <c r="AA395" i="58"/>
  <c r="L27" i="73"/>
  <c r="AE28" i="73"/>
  <c r="AC393" i="79"/>
  <c r="H396" i="56"/>
  <c r="I396" i="56"/>
  <c r="S393" i="79"/>
  <c r="I29" i="73"/>
  <c r="Z29" i="73"/>
  <c r="Z28" i="73"/>
  <c r="AV394" i="79" l="1"/>
  <c r="Y394" i="57"/>
  <c r="AC392" i="79"/>
  <c r="I395" i="56"/>
  <c r="H395" i="56"/>
  <c r="S392" i="79"/>
  <c r="J29" i="73"/>
  <c r="N90" i="73" s="1"/>
  <c r="U393" i="58"/>
  <c r="B392" i="57"/>
  <c r="K385" i="62"/>
  <c r="B383" i="60"/>
  <c r="F385" i="62"/>
  <c r="AE383" i="60"/>
  <c r="AD392" i="79"/>
  <c r="AB28" i="73"/>
  <c r="AA393" i="58"/>
  <c r="G392" i="79"/>
  <c r="K391" i="65"/>
  <c r="F392" i="57"/>
  <c r="B389" i="61"/>
  <c r="AT391" i="79"/>
  <c r="AE391" i="79"/>
  <c r="Z27" i="73"/>
  <c r="AC391" i="79"/>
  <c r="C392" i="58"/>
  <c r="O392" i="58"/>
  <c r="I26" i="73"/>
  <c r="I27" i="73"/>
  <c r="I383" i="62"/>
  <c r="I384" i="62"/>
  <c r="AE26" i="73"/>
  <c r="W383" i="60" l="1"/>
  <c r="AH392" i="79"/>
  <c r="I385" i="62"/>
  <c r="C28" i="73"/>
  <c r="C29" i="73"/>
  <c r="C30" i="73"/>
  <c r="C31" i="73"/>
  <c r="B28" i="73"/>
  <c r="B29" i="73"/>
  <c r="B30" i="73"/>
  <c r="B31" i="73"/>
  <c r="A28" i="73"/>
  <c r="A29" i="73"/>
  <c r="A30" i="73"/>
  <c r="I394" i="56"/>
  <c r="S391" i="79"/>
  <c r="D382" i="60"/>
  <c r="AD391" i="79"/>
  <c r="P390" i="65"/>
  <c r="J27" i="73"/>
  <c r="N88" i="73" s="1"/>
  <c r="F391" i="57"/>
  <c r="C382" i="60"/>
  <c r="B388" i="61"/>
  <c r="B381" i="60"/>
  <c r="S390" i="79"/>
  <c r="O391" i="58"/>
  <c r="K383" i="62"/>
  <c r="AO390" i="79"/>
  <c r="F390" i="57"/>
  <c r="B390" i="57"/>
  <c r="Y390" i="57"/>
  <c r="S85" i="73" l="1"/>
  <c r="J85" i="73"/>
  <c r="K85" i="73"/>
  <c r="J86" i="73"/>
  <c r="K86" i="73"/>
  <c r="J87" i="73"/>
  <c r="K87" i="73"/>
  <c r="J88" i="73"/>
  <c r="K88" i="73"/>
  <c r="J89" i="73"/>
  <c r="K89" i="73"/>
  <c r="J90" i="73"/>
  <c r="K90" i="73"/>
  <c r="J91" i="73"/>
  <c r="K91" i="73"/>
  <c r="J92" i="73"/>
  <c r="K92" i="73"/>
  <c r="J93" i="73"/>
  <c r="K93" i="73"/>
  <c r="J94" i="73"/>
  <c r="K94" i="73"/>
  <c r="J95" i="73"/>
  <c r="K95" i="73"/>
  <c r="J96" i="73"/>
  <c r="K96" i="73"/>
  <c r="J97" i="73"/>
  <c r="K97" i="73"/>
  <c r="J98" i="73"/>
  <c r="K98" i="73"/>
  <c r="J99" i="73"/>
  <c r="K99" i="73"/>
  <c r="J100" i="73"/>
  <c r="K100" i="73"/>
  <c r="L101" i="73"/>
  <c r="L105" i="73"/>
  <c r="K84" i="73"/>
  <c r="J84" i="73"/>
  <c r="O389" i="58"/>
  <c r="K390" i="58"/>
  <c r="Z25" i="73"/>
  <c r="H391" i="56"/>
  <c r="AA24" i="73"/>
  <c r="Z24" i="73"/>
  <c r="I24" i="73"/>
  <c r="BF391" i="56"/>
  <c r="BF390" i="56"/>
  <c r="Z23" i="73"/>
  <c r="Z368" i="62"/>
  <c r="Z370" i="62"/>
  <c r="Z372" i="62"/>
  <c r="Z375" i="62"/>
  <c r="Z376" i="62"/>
  <c r="Z377" i="62"/>
  <c r="Z378" i="62"/>
  <c r="Z379" i="62"/>
  <c r="Z380" i="62"/>
  <c r="Z381" i="62"/>
  <c r="Z382" i="62"/>
  <c r="Z383" i="62"/>
  <c r="Z384" i="62"/>
  <c r="Z385" i="62"/>
  <c r="Z386" i="62"/>
  <c r="Z387" i="62"/>
  <c r="Z388" i="62"/>
  <c r="Z389" i="62"/>
  <c r="Z390" i="62"/>
  <c r="Z391" i="62"/>
  <c r="Z392" i="62"/>
  <c r="Z393" i="62"/>
  <c r="Z394" i="62"/>
  <c r="S37" i="73" s="1"/>
  <c r="Z395" i="62"/>
  <c r="S38" i="73" s="1"/>
  <c r="Z396" i="62"/>
  <c r="S39" i="73" s="1"/>
  <c r="Z397" i="62"/>
  <c r="S40" i="73" s="1"/>
  <c r="Z398" i="62"/>
  <c r="S41" i="73" s="1"/>
  <c r="Z399" i="62"/>
  <c r="S42" i="73" s="1"/>
  <c r="Z400" i="62"/>
  <c r="S43" i="73" s="1"/>
  <c r="Z401" i="62"/>
  <c r="S44" i="73" s="1"/>
  <c r="Z402" i="62"/>
  <c r="S45" i="73" s="1"/>
  <c r="Z403" i="62"/>
  <c r="S46" i="73" s="1"/>
  <c r="Z404" i="62"/>
  <c r="S47" i="73" s="1"/>
  <c r="Z405" i="62"/>
  <c r="S48" i="73" s="1"/>
  <c r="Z406" i="62"/>
  <c r="S49" i="73" s="1"/>
  <c r="Z407" i="62"/>
  <c r="S50" i="73" s="1"/>
  <c r="Z408" i="62"/>
  <c r="S51" i="73" s="1"/>
  <c r="Z409" i="62"/>
  <c r="S52" i="73" s="1"/>
  <c r="Z410" i="62"/>
  <c r="S53" i="73" s="1"/>
  <c r="Z411" i="62"/>
  <c r="S54" i="73" s="1"/>
  <c r="Z412" i="62"/>
  <c r="S55" i="73" s="1"/>
  <c r="Z413" i="62"/>
  <c r="S56" i="73" s="1"/>
  <c r="O388" i="58"/>
  <c r="S387" i="79"/>
  <c r="AV387" i="79" s="1"/>
  <c r="V23" i="73" s="1"/>
  <c r="I23" i="73"/>
  <c r="H390" i="56"/>
  <c r="AV386" i="79"/>
  <c r="V22" i="73" s="1"/>
  <c r="AV388" i="79"/>
  <c r="Y391" i="58"/>
  <c r="W381" i="60"/>
  <c r="Z26" i="73"/>
  <c r="U391" i="58"/>
  <c r="I393" i="56"/>
  <c r="B387" i="61"/>
  <c r="Z381" i="60"/>
  <c r="S381" i="60"/>
  <c r="AB26" i="73"/>
  <c r="AB25" i="73"/>
  <c r="H25" i="73"/>
  <c r="S389" i="79"/>
  <c r="J25" i="73"/>
  <c r="W380" i="60"/>
  <c r="AD389" i="79"/>
  <c r="I25" i="73"/>
  <c r="W379" i="60"/>
  <c r="Z18" i="73"/>
  <c r="J18" i="73"/>
  <c r="L85" i="73" l="1"/>
  <c r="L86" i="73"/>
  <c r="L99" i="73"/>
  <c r="L103" i="73"/>
  <c r="L100" i="73"/>
  <c r="L98" i="73"/>
  <c r="L102" i="73"/>
  <c r="L97" i="73"/>
  <c r="L91" i="73"/>
  <c r="L95" i="73"/>
  <c r="L96" i="73"/>
  <c r="L92" i="73"/>
  <c r="L93" i="73"/>
  <c r="L94" i="73"/>
  <c r="L104" i="73"/>
  <c r="AV389" i="79"/>
  <c r="V25" i="73" s="1"/>
  <c r="L87" i="73"/>
  <c r="V24" i="73"/>
  <c r="L90" i="73"/>
  <c r="L89" i="73"/>
  <c r="L88" i="73"/>
  <c r="AB23" i="73"/>
  <c r="A379" i="65"/>
  <c r="A380" i="65"/>
  <c r="A381" i="65"/>
  <c r="A382" i="65"/>
  <c r="A383" i="65"/>
  <c r="A384" i="65"/>
  <c r="A385" i="65"/>
  <c r="A386" i="65"/>
  <c r="A387" i="65"/>
  <c r="A388" i="65"/>
  <c r="A389" i="65"/>
  <c r="A390" i="65"/>
  <c r="A391" i="65"/>
  <c r="A392" i="65"/>
  <c r="A393" i="65"/>
  <c r="A394" i="65"/>
  <c r="A395" i="65"/>
  <c r="A396" i="65"/>
  <c r="A397" i="65"/>
  <c r="A398" i="65"/>
  <c r="A399" i="65"/>
  <c r="A400" i="65"/>
  <c r="A401" i="65"/>
  <c r="A402" i="65"/>
  <c r="A403" i="65"/>
  <c r="A404" i="65"/>
  <c r="A405" i="65"/>
  <c r="A406" i="65"/>
  <c r="A407" i="65"/>
  <c r="A408" i="65"/>
  <c r="A409" i="65"/>
  <c r="A410" i="65"/>
  <c r="A411" i="65"/>
  <c r="A412" i="65"/>
  <c r="A413" i="65"/>
  <c r="A414" i="65"/>
  <c r="A415" i="65"/>
  <c r="A416" i="65"/>
  <c r="A417" i="65"/>
  <c r="A418" i="65"/>
  <c r="A419" i="65"/>
  <c r="A420" i="65"/>
  <c r="A421" i="65"/>
  <c r="BH390" i="56"/>
  <c r="A390" i="56"/>
  <c r="A391" i="56"/>
  <c r="A392" i="56"/>
  <c r="A393" i="56"/>
  <c r="A394" i="56"/>
  <c r="A395" i="56"/>
  <c r="A396" i="56"/>
  <c r="A397" i="56"/>
  <c r="A398" i="56"/>
  <c r="A399" i="56"/>
  <c r="A400" i="56"/>
  <c r="A401" i="56"/>
  <c r="A402" i="56"/>
  <c r="A403" i="56"/>
  <c r="A404" i="56"/>
  <c r="A405" i="56"/>
  <c r="A406" i="56"/>
  <c r="A407" i="56"/>
  <c r="A408" i="56"/>
  <c r="A409" i="56"/>
  <c r="A410" i="56"/>
  <c r="A411" i="56"/>
  <c r="A412" i="56"/>
  <c r="A413" i="56"/>
  <c r="A414" i="56"/>
  <c r="A415" i="56"/>
  <c r="A416" i="56"/>
  <c r="A417" i="56"/>
  <c r="A418" i="56"/>
  <c r="A419" i="56"/>
  <c r="A420" i="56"/>
  <c r="A421" i="56"/>
  <c r="A422" i="56"/>
  <c r="A423" i="56"/>
  <c r="A424" i="56"/>
  <c r="A382" i="56"/>
  <c r="A383" i="56"/>
  <c r="A384" i="56"/>
  <c r="A385" i="56"/>
  <c r="A386" i="56"/>
  <c r="A387" i="56"/>
  <c r="A388" i="56"/>
  <c r="A389" i="56"/>
  <c r="A379" i="58"/>
  <c r="A380" i="58"/>
  <c r="A381" i="58"/>
  <c r="A382" i="58"/>
  <c r="A383" i="58"/>
  <c r="A384" i="58"/>
  <c r="A385" i="58"/>
  <c r="A386" i="58"/>
  <c r="A387" i="58"/>
  <c r="A388" i="58"/>
  <c r="A389" i="58"/>
  <c r="A390" i="58"/>
  <c r="A391" i="58"/>
  <c r="A392" i="58"/>
  <c r="A393" i="58"/>
  <c r="A394" i="58"/>
  <c r="A395" i="58"/>
  <c r="F387" i="57"/>
  <c r="C387" i="57"/>
  <c r="B387" i="57"/>
  <c r="A387" i="57"/>
  <c r="A383" i="57"/>
  <c r="A384" i="57"/>
  <c r="A385" i="57"/>
  <c r="A386" i="57"/>
  <c r="A388" i="57"/>
  <c r="A389" i="57"/>
  <c r="A390" i="57"/>
  <c r="A391" i="57"/>
  <c r="A392" i="57"/>
  <c r="A393" i="57"/>
  <c r="A394" i="57"/>
  <c r="A395" i="57"/>
  <c r="A396" i="57"/>
  <c r="A397" i="57"/>
  <c r="A398" i="57"/>
  <c r="A399" i="57"/>
  <c r="A400" i="57"/>
  <c r="A401" i="57"/>
  <c r="A402" i="57"/>
  <c r="A403" i="57"/>
  <c r="A404" i="57"/>
  <c r="A405" i="57"/>
  <c r="A406" i="57"/>
  <c r="A407" i="57"/>
  <c r="A408" i="57"/>
  <c r="A409" i="57"/>
  <c r="A410" i="57"/>
  <c r="A411" i="57"/>
  <c r="A412" i="57"/>
  <c r="A413" i="57"/>
  <c r="A414" i="57"/>
  <c r="A415" i="57"/>
  <c r="A416" i="57"/>
  <c r="A417" i="57"/>
  <c r="A418" i="57"/>
  <c r="A419" i="57"/>
  <c r="A420" i="57"/>
  <c r="A421" i="57"/>
  <c r="A374" i="62"/>
  <c r="A375" i="62"/>
  <c r="A376" i="62"/>
  <c r="A377" i="62"/>
  <c r="A378" i="62"/>
  <c r="A379" i="62"/>
  <c r="A380" i="62"/>
  <c r="A381" i="62"/>
  <c r="A382" i="62"/>
  <c r="A383" i="62"/>
  <c r="A384" i="62"/>
  <c r="A385" i="62"/>
  <c r="A386" i="62"/>
  <c r="A387" i="62"/>
  <c r="A388" i="62"/>
  <c r="A389" i="62"/>
  <c r="A390" i="62"/>
  <c r="A391" i="62"/>
  <c r="A392" i="62"/>
  <c r="A393" i="62"/>
  <c r="A394" i="62"/>
  <c r="A378" i="66"/>
  <c r="A379" i="66"/>
  <c r="A380" i="66"/>
  <c r="A381" i="66"/>
  <c r="A382" i="66"/>
  <c r="A383" i="66"/>
  <c r="A384" i="66"/>
  <c r="A385" i="66"/>
  <c r="A386" i="66"/>
  <c r="A387" i="66"/>
  <c r="A388" i="66"/>
  <c r="A389" i="66"/>
  <c r="A390" i="66"/>
  <c r="A391" i="66"/>
  <c r="A392" i="66"/>
  <c r="A393" i="66"/>
  <c r="A394" i="66"/>
  <c r="A395" i="66"/>
  <c r="A396" i="66"/>
  <c r="A397" i="66"/>
  <c r="A398" i="66"/>
  <c r="A399" i="66"/>
  <c r="A400" i="66"/>
  <c r="A401" i="66"/>
  <c r="A402" i="66"/>
  <c r="A403" i="66"/>
  <c r="A404" i="66"/>
  <c r="A405" i="66"/>
  <c r="A406" i="66"/>
  <c r="A407" i="66"/>
  <c r="A408" i="66"/>
  <c r="A409" i="66"/>
  <c r="A410" i="66"/>
  <c r="A411" i="66"/>
  <c r="A412" i="66"/>
  <c r="A413" i="66"/>
  <c r="A414" i="66"/>
  <c r="O368" i="81"/>
  <c r="O369" i="81"/>
  <c r="A366" i="81"/>
  <c r="A367" i="81"/>
  <c r="A368" i="81"/>
  <c r="A369" i="81"/>
  <c r="A370" i="81"/>
  <c r="A371" i="81"/>
  <c r="A372" i="81"/>
  <c r="A373" i="81"/>
  <c r="A374" i="81"/>
  <c r="A375" i="81"/>
  <c r="A376" i="81"/>
  <c r="A377" i="81"/>
  <c r="A378" i="81"/>
  <c r="A379" i="81"/>
  <c r="A380" i="81"/>
  <c r="A377" i="61"/>
  <c r="A378" i="61"/>
  <c r="A379" i="61"/>
  <c r="A380" i="61"/>
  <c r="A381" i="61"/>
  <c r="A382" i="61"/>
  <c r="A383" i="61"/>
  <c r="A384" i="61"/>
  <c r="A385" i="61"/>
  <c r="A386" i="61"/>
  <c r="A387" i="61"/>
  <c r="A388" i="61"/>
  <c r="A389" i="61"/>
  <c r="A390" i="61"/>
  <c r="A391" i="61"/>
  <c r="A392" i="61"/>
  <c r="A393" i="61"/>
  <c r="A394" i="61"/>
  <c r="A395" i="61"/>
  <c r="A396" i="61"/>
  <c r="A397" i="61"/>
  <c r="A398" i="61"/>
  <c r="A399" i="61"/>
  <c r="A400" i="61"/>
  <c r="A377" i="60"/>
  <c r="A378" i="60"/>
  <c r="A379" i="60"/>
  <c r="A380" i="60"/>
  <c r="A381" i="60"/>
  <c r="A382" i="60"/>
  <c r="A383" i="60"/>
  <c r="A384" i="60"/>
  <c r="A385" i="60"/>
  <c r="A386" i="60"/>
  <c r="A387" i="60"/>
  <c r="A388" i="60"/>
  <c r="A389" i="60"/>
  <c r="A390" i="60"/>
  <c r="A391" i="60"/>
  <c r="A392" i="60"/>
  <c r="A393" i="60"/>
  <c r="A394" i="60"/>
  <c r="A395" i="60"/>
  <c r="A396" i="60"/>
  <c r="A397" i="60"/>
  <c r="A398" i="60"/>
  <c r="A399" i="60"/>
  <c r="A400" i="60"/>
  <c r="A401" i="60"/>
  <c r="A402" i="60"/>
  <c r="A403" i="60"/>
  <c r="A404" i="60"/>
  <c r="A405" i="60"/>
  <c r="A406" i="60"/>
  <c r="A376" i="56"/>
  <c r="A377" i="56"/>
  <c r="A378" i="56"/>
  <c r="A379" i="56"/>
  <c r="A380" i="56"/>
  <c r="A381" i="56"/>
  <c r="BH376" i="56"/>
  <c r="BH377" i="56"/>
  <c r="BH387" i="56"/>
  <c r="P20" i="73" s="1"/>
  <c r="BH388" i="56"/>
  <c r="P21" i="73" s="1"/>
  <c r="BH389" i="56"/>
  <c r="P22" i="73" s="1"/>
  <c r="BH391" i="56"/>
  <c r="BH392" i="56"/>
  <c r="BH393" i="56"/>
  <c r="BH394" i="56"/>
  <c r="BH395" i="56"/>
  <c r="BH396" i="56"/>
  <c r="BH397" i="56"/>
  <c r="BH398" i="56"/>
  <c r="BH399" i="56"/>
  <c r="BH400" i="56"/>
  <c r="BH401" i="56"/>
  <c r="BH402" i="56"/>
  <c r="BH403" i="56"/>
  <c r="BH404" i="56"/>
  <c r="BH405" i="56"/>
  <c r="BH406" i="56"/>
  <c r="BH407" i="56"/>
  <c r="BH408" i="56"/>
  <c r="P41" i="73" s="1"/>
  <c r="BH409" i="56"/>
  <c r="P42" i="73" s="1"/>
  <c r="BH410" i="56"/>
  <c r="P43" i="73" s="1"/>
  <c r="BH411" i="56"/>
  <c r="P44" i="73" s="1"/>
  <c r="BH412" i="56"/>
  <c r="P45" i="73" s="1"/>
  <c r="BH413" i="56"/>
  <c r="P46" i="73" s="1"/>
  <c r="BH414" i="56"/>
  <c r="P47" i="73" s="1"/>
  <c r="BH415" i="56"/>
  <c r="P48" i="73" s="1"/>
  <c r="BH416" i="56"/>
  <c r="P49" i="73" s="1"/>
  <c r="BH417" i="56"/>
  <c r="P50" i="73" s="1"/>
  <c r="BH418" i="56"/>
  <c r="P51" i="73" s="1"/>
  <c r="BH419" i="56"/>
  <c r="P52" i="73" s="1"/>
  <c r="BH420" i="56"/>
  <c r="P53" i="73" s="1"/>
  <c r="BH421" i="56"/>
  <c r="P54" i="73" s="1"/>
  <c r="BH422" i="56"/>
  <c r="P55" i="73" s="1"/>
  <c r="BH423" i="56"/>
  <c r="P56" i="73" s="1"/>
  <c r="BH424" i="56"/>
  <c r="P57" i="73" s="1"/>
  <c r="BH425" i="56"/>
  <c r="P58" i="73" s="1"/>
  <c r="BH426" i="56"/>
  <c r="P59" i="73" s="1"/>
  <c r="BH427" i="56"/>
  <c r="P60" i="73" s="1"/>
  <c r="BH428" i="56"/>
  <c r="BH429" i="56"/>
  <c r="BH430" i="56"/>
  <c r="BH431" i="56"/>
  <c r="BH432" i="56"/>
  <c r="AA388" i="58"/>
  <c r="AI388" i="58" s="1"/>
  <c r="Q23" i="73" s="1"/>
  <c r="AK386" i="57"/>
  <c r="A378" i="65"/>
  <c r="AK387" i="57" l="1"/>
  <c r="P23" i="73"/>
  <c r="A374" i="60"/>
  <c r="A375" i="60"/>
  <c r="A376" i="60"/>
  <c r="A364" i="81"/>
  <c r="A365" i="81"/>
  <c r="C11" i="73"/>
  <c r="C12" i="73"/>
  <c r="C13" i="73"/>
  <c r="C14" i="73"/>
  <c r="C15" i="73"/>
  <c r="C16" i="73"/>
  <c r="C17" i="73"/>
  <c r="C18" i="73"/>
  <c r="C19" i="73"/>
  <c r="C20" i="73"/>
  <c r="C21" i="73"/>
  <c r="C22" i="73"/>
  <c r="C23" i="73"/>
  <c r="C24" i="73"/>
  <c r="C25" i="73"/>
  <c r="C26" i="73"/>
  <c r="C27" i="73"/>
  <c r="C32" i="73"/>
  <c r="A13" i="73"/>
  <c r="B13" i="73"/>
  <c r="A14" i="73"/>
  <c r="B14" i="73"/>
  <c r="A15" i="73"/>
  <c r="B15" i="73"/>
  <c r="A16" i="73"/>
  <c r="B16" i="73"/>
  <c r="A17" i="73"/>
  <c r="B17" i="73"/>
  <c r="A18" i="73"/>
  <c r="B18" i="73"/>
  <c r="A19" i="73"/>
  <c r="B19" i="73"/>
  <c r="A20" i="73"/>
  <c r="B20" i="73"/>
  <c r="A21" i="73"/>
  <c r="B21" i="73"/>
  <c r="A22" i="73"/>
  <c r="B22" i="73"/>
  <c r="A23" i="73"/>
  <c r="B23" i="73"/>
  <c r="A24" i="73"/>
  <c r="B24" i="73"/>
  <c r="A25" i="73"/>
  <c r="B25" i="73"/>
  <c r="A26" i="73"/>
  <c r="B26" i="73"/>
  <c r="A27" i="73"/>
  <c r="B27" i="73"/>
  <c r="A373" i="66"/>
  <c r="A374" i="66"/>
  <c r="A375" i="66"/>
  <c r="A376" i="66"/>
  <c r="A377" i="66"/>
  <c r="I20" i="73"/>
  <c r="B379" i="61" l="1"/>
  <c r="AR385" i="79" l="1"/>
  <c r="I21" i="73"/>
  <c r="Z21" i="73"/>
  <c r="N82" i="73" s="1"/>
  <c r="A373" i="60"/>
  <c r="AS385" i="79"/>
  <c r="S385" i="79"/>
  <c r="N385" i="58"/>
  <c r="I386" i="56"/>
  <c r="BH386" i="56" s="1"/>
  <c r="P19" i="73" s="1"/>
  <c r="S382" i="79"/>
  <c r="N384" i="58"/>
  <c r="Z19" i="73"/>
  <c r="I19" i="73"/>
  <c r="I385" i="56"/>
  <c r="O383" i="58"/>
  <c r="H385" i="56"/>
  <c r="I374" i="62"/>
  <c r="Z374" i="62" s="1"/>
  <c r="BH385" i="56" l="1"/>
  <c r="P18" i="73" s="1"/>
  <c r="H384" i="56"/>
  <c r="Z14" i="73"/>
  <c r="A376" i="61"/>
  <c r="A401" i="61"/>
  <c r="A402" i="61"/>
  <c r="A403" i="61"/>
  <c r="A404" i="61"/>
  <c r="A405" i="61"/>
  <c r="A406" i="61"/>
  <c r="A407" i="61"/>
  <c r="A408" i="61"/>
  <c r="A409" i="61"/>
  <c r="A410" i="61"/>
  <c r="A411" i="61"/>
  <c r="A412" i="61"/>
  <c r="A413" i="61"/>
  <c r="A414" i="61"/>
  <c r="A415" i="61"/>
  <c r="A416" i="61"/>
  <c r="A417" i="61"/>
  <c r="A418" i="61"/>
  <c r="A419" i="61"/>
  <c r="A420" i="61"/>
  <c r="A421" i="61"/>
  <c r="A422" i="61"/>
  <c r="A423" i="61"/>
  <c r="A424" i="61"/>
  <c r="A377" i="57"/>
  <c r="A378" i="57"/>
  <c r="A379" i="57"/>
  <c r="A380" i="57"/>
  <c r="A381" i="57"/>
  <c r="A382" i="57"/>
  <c r="A372" i="62"/>
  <c r="A373" i="62"/>
  <c r="AE16" i="73"/>
  <c r="G382" i="79" l="1"/>
  <c r="O382" i="58"/>
  <c r="AB17" i="73"/>
  <c r="I384" i="56"/>
  <c r="BH384" i="56" s="1"/>
  <c r="P17" i="73" s="1"/>
  <c r="Z17" i="73"/>
  <c r="B377" i="61"/>
  <c r="B376" i="61"/>
  <c r="Z15" i="73"/>
  <c r="Y15" i="73"/>
  <c r="AE15" i="73" l="1"/>
  <c r="K373" i="62" l="1"/>
  <c r="AA381" i="58"/>
  <c r="O380" i="79"/>
  <c r="I383" i="56"/>
  <c r="BH383" i="56" s="1"/>
  <c r="P16" i="73" s="1"/>
  <c r="B380" i="57"/>
  <c r="S380" i="79"/>
  <c r="AB16" i="73"/>
  <c r="F373" i="62"/>
  <c r="AD380" i="79"/>
  <c r="AD379" i="79"/>
  <c r="H382" i="56"/>
  <c r="S379" i="79"/>
  <c r="B370" i="60"/>
  <c r="AH379" i="79"/>
  <c r="F379" i="57"/>
  <c r="O380" i="58"/>
  <c r="B379" i="57"/>
  <c r="W370" i="60"/>
  <c r="C370" i="60"/>
  <c r="N87" i="71"/>
  <c r="N74" i="71"/>
  <c r="N76" i="71"/>
  <c r="N80" i="71"/>
  <c r="N104" i="71"/>
  <c r="N109" i="71"/>
  <c r="N110" i="71"/>
  <c r="N111" i="71"/>
  <c r="N112" i="71"/>
  <c r="N113" i="71"/>
  <c r="N114" i="71"/>
  <c r="N115" i="71"/>
  <c r="N116" i="71"/>
  <c r="N117" i="71"/>
  <c r="N118" i="71"/>
  <c r="N119" i="71"/>
  <c r="N120" i="71"/>
  <c r="N121" i="71"/>
  <c r="N122" i="71"/>
  <c r="N123" i="71"/>
  <c r="N124" i="71"/>
  <c r="N125" i="71"/>
  <c r="N71" i="71"/>
  <c r="Z373" i="62" l="1"/>
  <c r="Z10" i="72"/>
  <c r="N380" i="58" l="1"/>
  <c r="U380" i="58"/>
  <c r="L15" i="73"/>
  <c r="Y59" i="72"/>
  <c r="Z29" i="72"/>
  <c r="L329" i="62"/>
  <c r="Z27" i="72"/>
  <c r="F323" i="62"/>
  <c r="E317" i="62"/>
  <c r="Z17" i="72"/>
  <c r="Z16" i="72"/>
  <c r="D316" i="62"/>
  <c r="D310" i="62"/>
  <c r="Z9" i="72"/>
  <c r="K309" i="62"/>
  <c r="F310" i="62" l="1"/>
  <c r="S378" i="79" l="1"/>
  <c r="Z13" i="73"/>
  <c r="AE13" i="73"/>
  <c r="BF382" i="56"/>
  <c r="BH382" i="56" s="1"/>
  <c r="BF381" i="56"/>
  <c r="AA369" i="60"/>
  <c r="Y379" i="58"/>
  <c r="B369" i="60"/>
  <c r="F378" i="57"/>
  <c r="J14" i="73"/>
  <c r="N75" i="73" s="1"/>
  <c r="B378" i="57"/>
  <c r="K377" i="65"/>
  <c r="I381" i="56"/>
  <c r="H381" i="56"/>
  <c r="I371" i="62"/>
  <c r="Z371" i="62" s="1"/>
  <c r="I14" i="73"/>
  <c r="N73" i="73"/>
  <c r="N76" i="73"/>
  <c r="O377" i="58"/>
  <c r="B376" i="57"/>
  <c r="U376" i="58"/>
  <c r="Z10" i="73"/>
  <c r="N71" i="73" s="1"/>
  <c r="B374" i="57"/>
  <c r="B365" i="60"/>
  <c r="U375" i="58"/>
  <c r="C365" i="60"/>
  <c r="BH381" i="56" l="1"/>
  <c r="H380" i="56"/>
  <c r="BH380" i="56" s="1"/>
  <c r="S377" i="79"/>
  <c r="K376" i="65"/>
  <c r="N74" i="73"/>
  <c r="O378" i="58"/>
  <c r="L369" i="62"/>
  <c r="I375" i="65"/>
  <c r="S376" i="79"/>
  <c r="R376" i="79"/>
  <c r="Z367" i="60"/>
  <c r="Y377" i="58"/>
  <c r="F376" i="57"/>
  <c r="K369" i="62"/>
  <c r="D369" i="62"/>
  <c r="C367" i="60"/>
  <c r="H379" i="56"/>
  <c r="BH379" i="56" s="1"/>
  <c r="Z12" i="73"/>
  <c r="I369" i="62"/>
  <c r="I12" i="73"/>
  <c r="Z11" i="73"/>
  <c r="AB11" i="73"/>
  <c r="O376" i="58"/>
  <c r="I378" i="56"/>
  <c r="BH378" i="56" s="1"/>
  <c r="AH375" i="79"/>
  <c r="N77" i="73"/>
  <c r="N78" i="73"/>
  <c r="N79" i="73"/>
  <c r="N80" i="73"/>
  <c r="N81" i="73"/>
  <c r="N84" i="73"/>
  <c r="N85" i="73"/>
  <c r="N86" i="73"/>
  <c r="N87" i="73"/>
  <c r="N89" i="73"/>
  <c r="N91" i="73"/>
  <c r="N92" i="73"/>
  <c r="N93" i="73"/>
  <c r="N94" i="73"/>
  <c r="N95" i="73"/>
  <c r="N96" i="73"/>
  <c r="N97" i="73"/>
  <c r="AB9" i="73"/>
  <c r="K371" i="65"/>
  <c r="AC372" i="79"/>
  <c r="AE8" i="73"/>
  <c r="AE61" i="73" s="1"/>
  <c r="Z369" i="62" l="1"/>
  <c r="N72" i="73"/>
  <c r="I11" i="73"/>
  <c r="K367" i="62"/>
  <c r="Z367" i="62" s="1"/>
  <c r="K366" i="62"/>
  <c r="Z366" i="62" s="1"/>
  <c r="B364" i="60"/>
  <c r="F373" i="57"/>
  <c r="U374" i="58"/>
  <c r="V364" i="60"/>
  <c r="L9" i="73"/>
  <c r="N70" i="73" s="1"/>
  <c r="B373" i="57"/>
  <c r="T374" i="58"/>
  <c r="Z9" i="73"/>
  <c r="I9" i="73"/>
  <c r="Z8" i="73"/>
  <c r="N69" i="73" s="1"/>
  <c r="S372" i="79"/>
  <c r="I375" i="56"/>
  <c r="U372" i="79"/>
  <c r="F372" i="57"/>
  <c r="H375" i="56"/>
  <c r="Y372" i="57"/>
  <c r="AH372" i="79"/>
  <c r="U373" i="58"/>
  <c r="O373" i="58"/>
  <c r="Z30" i="72"/>
  <c r="K331" i="58" l="1"/>
  <c r="I329" i="62"/>
  <c r="I29" i="72"/>
  <c r="AE29" i="72"/>
  <c r="A9" i="73" l="1"/>
  <c r="B9" i="73"/>
  <c r="C9" i="73"/>
  <c r="A8" i="73"/>
  <c r="B8" i="73"/>
  <c r="S330" i="79"/>
  <c r="H333" i="56"/>
  <c r="U332" i="58"/>
  <c r="O332" i="58"/>
  <c r="F332" i="57"/>
  <c r="B333" i="56"/>
  <c r="B332" i="57"/>
  <c r="AB30" i="72"/>
  <c r="AA332" i="58"/>
  <c r="B329" i="61"/>
  <c r="H30" i="72"/>
  <c r="I332" i="58"/>
  <c r="Y332" i="58"/>
  <c r="I30" i="72"/>
  <c r="N332" i="58"/>
  <c r="L29" i="72"/>
  <c r="N86" i="72" s="1"/>
  <c r="I332" i="56"/>
  <c r="I331" i="56"/>
  <c r="I327" i="62" l="1"/>
  <c r="L324" i="62"/>
  <c r="Z26" i="72"/>
  <c r="AE26" i="72"/>
  <c r="U330" i="58" l="1"/>
  <c r="Z330" i="57"/>
  <c r="T330" i="58"/>
  <c r="N330" i="58"/>
  <c r="Y330" i="57"/>
  <c r="C330" i="58"/>
  <c r="Z28" i="72"/>
  <c r="I28" i="72"/>
  <c r="M27" i="72"/>
  <c r="L27" i="72"/>
  <c r="AB27" i="72"/>
  <c r="B329" i="57"/>
  <c r="S327" i="79"/>
  <c r="J27" i="72"/>
  <c r="I27" i="72"/>
  <c r="C27" i="72"/>
  <c r="C28" i="72"/>
  <c r="C29" i="72"/>
  <c r="C30" i="72"/>
  <c r="C31" i="72"/>
  <c r="C32" i="72"/>
  <c r="C33" i="72"/>
  <c r="C34" i="72"/>
  <c r="C35" i="72"/>
  <c r="D325" i="61"/>
  <c r="AE24" i="72"/>
  <c r="AE22" i="72"/>
  <c r="AE16" i="72"/>
  <c r="I327" i="56"/>
  <c r="AV323" i="79"/>
  <c r="A325" i="58"/>
  <c r="AI325" i="58"/>
  <c r="Q23" i="72" s="1"/>
  <c r="Z24" i="72"/>
  <c r="A323" i="65"/>
  <c r="AG323" i="65"/>
  <c r="A326" i="56"/>
  <c r="BH326" i="56"/>
  <c r="P23" i="72" s="1"/>
  <c r="A325" i="57"/>
  <c r="AK325" i="57"/>
  <c r="R23" i="72" s="1"/>
  <c r="A323" i="62"/>
  <c r="Z323" i="62"/>
  <c r="S23" i="72" s="1"/>
  <c r="A321" i="60"/>
  <c r="AN321" i="60"/>
  <c r="T23" i="72" s="1"/>
  <c r="A322" i="61"/>
  <c r="O322" i="61"/>
  <c r="U23" i="72" s="1"/>
  <c r="A322" i="66"/>
  <c r="AD322" i="66"/>
  <c r="W23" i="72" s="1"/>
  <c r="A311" i="81"/>
  <c r="P311" i="81"/>
  <c r="N84" i="72" l="1"/>
  <c r="V23" i="72"/>
  <c r="J23" i="72"/>
  <c r="N80" i="72" s="1"/>
  <c r="I23" i="72"/>
  <c r="H329" i="56" l="1"/>
  <c r="B325" i="66"/>
  <c r="L326" i="62"/>
  <c r="L26" i="72"/>
  <c r="S326" i="79"/>
  <c r="N325" i="66"/>
  <c r="Y328" i="58"/>
  <c r="B26" i="72" l="1"/>
  <c r="C26" i="72"/>
  <c r="K325" i="62"/>
  <c r="D323" i="60"/>
  <c r="F323" i="60"/>
  <c r="S325" i="79"/>
  <c r="AV325" i="79" s="1"/>
  <c r="V25" i="72" s="1"/>
  <c r="I25" i="72"/>
  <c r="J24" i="72"/>
  <c r="S324" i="79"/>
  <c r="K326" i="58"/>
  <c r="O326" i="58"/>
  <c r="O324" i="79"/>
  <c r="W324" i="79"/>
  <c r="B24" i="72"/>
  <c r="C24" i="72"/>
  <c r="C25" i="72"/>
  <c r="C23" i="72"/>
  <c r="O324" i="58"/>
  <c r="B321" i="57"/>
  <c r="I324" i="56"/>
  <c r="K321" i="65"/>
  <c r="BG324" i="56"/>
  <c r="G321" i="62"/>
  <c r="L320" i="62"/>
  <c r="J19" i="72"/>
  <c r="AC319" i="79"/>
  <c r="Z19" i="72"/>
  <c r="I19" i="72"/>
  <c r="Z18" i="72"/>
  <c r="AE18" i="72"/>
  <c r="K322" i="62"/>
  <c r="K324" i="58"/>
  <c r="U324" i="58"/>
  <c r="I324" i="58"/>
  <c r="AB22" i="72"/>
  <c r="I325" i="56"/>
  <c r="F324" i="57"/>
  <c r="J22" i="72"/>
  <c r="L22" i="72"/>
  <c r="Y324" i="58"/>
  <c r="S322" i="79"/>
  <c r="H325" i="56"/>
  <c r="T322" i="79"/>
  <c r="T321" i="79"/>
  <c r="I21" i="72"/>
  <c r="K320" i="65"/>
  <c r="AB20" i="72"/>
  <c r="S320" i="79"/>
  <c r="F320" i="62"/>
  <c r="C318" i="60"/>
  <c r="U322" i="58"/>
  <c r="I323" i="56"/>
  <c r="I20" i="72"/>
  <c r="AV324" i="79" l="1"/>
  <c r="V24" i="72" s="1"/>
  <c r="M318" i="66"/>
  <c r="H322" i="56"/>
  <c r="F321" i="57"/>
  <c r="O321" i="58"/>
  <c r="AA321" i="58"/>
  <c r="K319" i="62"/>
  <c r="F319" i="62"/>
  <c r="K19" i="72"/>
  <c r="H6" i="80"/>
  <c r="V6" i="80" s="1"/>
  <c r="K316" i="62"/>
  <c r="G317" i="62"/>
  <c r="D317" i="62" l="1"/>
  <c r="P317" i="79"/>
  <c r="I17" i="72"/>
  <c r="I319" i="56"/>
  <c r="S319" i="79"/>
  <c r="H319" i="62"/>
  <c r="Z317" i="60"/>
  <c r="F317" i="60"/>
  <c r="L19" i="72"/>
  <c r="H321" i="56"/>
  <c r="S318" i="79"/>
  <c r="F320" i="57"/>
  <c r="AC318" i="79"/>
  <c r="S317" i="79"/>
  <c r="L317" i="62"/>
  <c r="C315" i="60"/>
  <c r="I320" i="56"/>
  <c r="K317" i="62"/>
  <c r="B17" i="72"/>
  <c r="C17" i="72"/>
  <c r="S316" i="79"/>
  <c r="Z316" i="79"/>
  <c r="AC316" i="79"/>
  <c r="B318" i="57"/>
  <c r="AE13" i="72"/>
  <c r="G315" i="62"/>
  <c r="Z15" i="72" l="1"/>
  <c r="K315" i="62"/>
  <c r="B314" i="61"/>
  <c r="Z13" i="72"/>
  <c r="D313" i="62"/>
  <c r="F318" i="57" l="1"/>
  <c r="AM314" i="60"/>
  <c r="S315" i="79"/>
  <c r="I318" i="56"/>
  <c r="K252" i="58"/>
  <c r="K250" i="58"/>
  <c r="I15" i="72"/>
  <c r="J15" i="72"/>
  <c r="B15" i="72"/>
  <c r="C15" i="72"/>
  <c r="F316" i="57"/>
  <c r="S314" i="79"/>
  <c r="AB14" i="72"/>
  <c r="D314" i="62"/>
  <c r="Y316" i="58"/>
  <c r="Z14" i="72"/>
  <c r="AE8" i="72"/>
  <c r="Z12" i="72"/>
  <c r="I311" i="62"/>
  <c r="I12" i="72"/>
  <c r="AE11" i="72"/>
  <c r="J65" i="72"/>
  <c r="K65" i="72"/>
  <c r="N65" i="72"/>
  <c r="I14" i="72" l="1"/>
  <c r="AA315" i="58"/>
  <c r="K313" i="65"/>
  <c r="I316" i="56"/>
  <c r="F315" i="57"/>
  <c r="H316" i="56"/>
  <c r="C315" i="58"/>
  <c r="J12" i="72"/>
  <c r="S312" i="79"/>
  <c r="K312" i="65"/>
  <c r="L12" i="72"/>
  <c r="D312" i="62"/>
  <c r="AM310" i="60"/>
  <c r="I315" i="56"/>
  <c r="B12" i="72"/>
  <c r="C12" i="72"/>
  <c r="F311" i="62"/>
  <c r="R311" i="79"/>
  <c r="F313" i="57"/>
  <c r="H311" i="62"/>
  <c r="K11" i="72"/>
  <c r="AB11" i="72"/>
  <c r="N67" i="72"/>
  <c r="K310" i="65" l="1"/>
  <c r="V309" i="79"/>
  <c r="A310" i="57"/>
  <c r="X309" i="62"/>
  <c r="AE9" i="72"/>
  <c r="A308" i="65"/>
  <c r="AG308" i="65"/>
  <c r="A311" i="56"/>
  <c r="BH311" i="56"/>
  <c r="A310" i="58"/>
  <c r="AI310" i="58"/>
  <c r="AK310" i="57"/>
  <c r="A308" i="62"/>
  <c r="Z308" i="62"/>
  <c r="A306" i="60"/>
  <c r="AN306" i="60"/>
  <c r="A307" i="61"/>
  <c r="O307" i="61"/>
  <c r="A307" i="66"/>
  <c r="AD307" i="66"/>
  <c r="A296" i="81"/>
  <c r="P296" i="81"/>
  <c r="AV308" i="79"/>
  <c r="A8" i="72"/>
  <c r="B8" i="72"/>
  <c r="C8" i="72"/>
  <c r="B9" i="72"/>
  <c r="K9" i="72"/>
  <c r="N66" i="72" s="1"/>
  <c r="B10" i="72"/>
  <c r="C10" i="72"/>
  <c r="AE10" i="72"/>
  <c r="P314" i="56"/>
  <c r="T313" i="57"/>
  <c r="S311" i="79"/>
  <c r="K311" i="65"/>
  <c r="P311" i="65"/>
  <c r="I314" i="56"/>
  <c r="H311" i="65"/>
  <c r="H11" i="72"/>
  <c r="U313" i="58"/>
  <c r="AE311" i="65"/>
  <c r="O313" i="58"/>
  <c r="B312" i="57"/>
  <c r="I313" i="56"/>
  <c r="H313" i="56"/>
  <c r="C11" i="72"/>
  <c r="I312" i="56"/>
  <c r="S309" i="79"/>
  <c r="F311" i="57"/>
  <c r="H312" i="56"/>
  <c r="O311" i="58"/>
  <c r="B311" i="57"/>
  <c r="C307" i="60"/>
  <c r="K309" i="65"/>
  <c r="B25" i="72"/>
  <c r="B27" i="72"/>
  <c r="B28" i="72"/>
  <c r="B29" i="72"/>
  <c r="B30" i="72"/>
  <c r="B31" i="72"/>
  <c r="B32" i="72"/>
  <c r="B33" i="72"/>
  <c r="B34" i="72"/>
  <c r="B35" i="72"/>
  <c r="B36" i="72"/>
  <c r="B37" i="72"/>
  <c r="B38" i="72"/>
  <c r="B39" i="72"/>
  <c r="B40" i="72"/>
  <c r="B41" i="72"/>
  <c r="B42" i="72"/>
  <c r="B11" i="72"/>
  <c r="B13" i="72"/>
  <c r="B14" i="72"/>
  <c r="B16" i="72"/>
  <c r="B18" i="72"/>
  <c r="B19" i="72"/>
  <c r="B20" i="72"/>
  <c r="B21" i="72"/>
  <c r="B22" i="72"/>
  <c r="B23" i="72"/>
  <c r="B307" i="60"/>
  <c r="AC309" i="79"/>
  <c r="T309" i="65"/>
  <c r="AS312" i="56"/>
  <c r="AN312" i="56"/>
  <c r="I309" i="62"/>
  <c r="C8" i="67"/>
  <c r="B8" i="67"/>
  <c r="A8" i="67"/>
  <c r="A9" i="74"/>
  <c r="B9" i="74"/>
  <c r="C9" i="74"/>
  <c r="A10" i="74"/>
  <c r="B10" i="74"/>
  <c r="C10" i="74"/>
  <c r="A11" i="74"/>
  <c r="B11" i="74"/>
  <c r="C11" i="74"/>
  <c r="A12" i="74"/>
  <c r="B12" i="74"/>
  <c r="C12" i="74"/>
  <c r="A13" i="74"/>
  <c r="B13" i="74"/>
  <c r="C13" i="74"/>
  <c r="A14" i="74"/>
  <c r="B14" i="74"/>
  <c r="C14" i="74"/>
  <c r="A15" i="74"/>
  <c r="B15" i="74"/>
  <c r="C15" i="74"/>
  <c r="A16" i="74"/>
  <c r="B16" i="74"/>
  <c r="C16" i="74"/>
  <c r="A17" i="74"/>
  <c r="B17" i="74"/>
  <c r="C17" i="74"/>
  <c r="A18" i="74"/>
  <c r="B18" i="74"/>
  <c r="C18" i="74"/>
  <c r="A21" i="74"/>
  <c r="B21" i="74"/>
  <c r="C21" i="74"/>
  <c r="A22" i="74"/>
  <c r="B22" i="74"/>
  <c r="C22" i="74"/>
  <c r="A23" i="74"/>
  <c r="B23" i="74"/>
  <c r="C23" i="74"/>
  <c r="A24" i="74"/>
  <c r="B24" i="74"/>
  <c r="C24" i="74"/>
  <c r="A25" i="74"/>
  <c r="B25" i="74"/>
  <c r="C25" i="74"/>
  <c r="C8" i="74"/>
  <c r="B8" i="74"/>
  <c r="A8" i="74"/>
  <c r="P8" i="72" l="1"/>
  <c r="R8" i="72"/>
  <c r="U8" i="72"/>
  <c r="Q8" i="72"/>
  <c r="T8" i="72"/>
  <c r="O8" i="72"/>
  <c r="S8" i="72"/>
  <c r="W8" i="72"/>
  <c r="V8" i="72"/>
  <c r="AH38" i="71"/>
  <c r="AH39" i="71" s="1"/>
  <c r="AF14" i="71"/>
  <c r="AG14" i="71"/>
  <c r="AG10" i="71"/>
  <c r="Z38" i="71"/>
  <c r="AB37" i="71"/>
  <c r="AH10" i="71"/>
  <c r="AF10" i="71"/>
  <c r="Z19" i="71"/>
  <c r="Z20" i="71"/>
  <c r="N83" i="71" s="1"/>
  <c r="Z21" i="71"/>
  <c r="AD8" i="72" l="1"/>
  <c r="AG15" i="71"/>
  <c r="AF15" i="71"/>
  <c r="AF11" i="71"/>
  <c r="G6" i="80"/>
  <c r="U6" i="80" s="1"/>
  <c r="N101" i="72"/>
  <c r="N102" i="72"/>
  <c r="N103" i="72"/>
  <c r="N104" i="72"/>
  <c r="N105" i="72"/>
  <c r="N106" i="72"/>
  <c r="N107" i="72"/>
  <c r="A9" i="75"/>
  <c r="B9" i="75"/>
  <c r="C9" i="75"/>
  <c r="A10" i="75"/>
  <c r="B10" i="75"/>
  <c r="C10" i="75"/>
  <c r="A11" i="75"/>
  <c r="B11" i="75"/>
  <c r="C11" i="75"/>
  <c r="C8" i="75"/>
  <c r="B8" i="75"/>
  <c r="A8" i="75"/>
  <c r="N80" i="75"/>
  <c r="N81" i="75"/>
  <c r="N83" i="75"/>
  <c r="N84" i="75"/>
  <c r="N85" i="75"/>
  <c r="N87" i="75"/>
  <c r="N88" i="75"/>
  <c r="N89" i="75"/>
  <c r="N90" i="75"/>
  <c r="N91" i="75"/>
  <c r="N92" i="75"/>
  <c r="N93" i="75"/>
  <c r="N94" i="75"/>
  <c r="N95" i="75"/>
  <c r="N96" i="75"/>
  <c r="N97" i="75"/>
  <c r="N98" i="75"/>
  <c r="N99" i="75"/>
  <c r="N100" i="75"/>
  <c r="N101" i="75"/>
  <c r="N103" i="75"/>
  <c r="N104" i="75"/>
  <c r="N105" i="75"/>
  <c r="N106" i="75"/>
  <c r="N63" i="75"/>
  <c r="R80" i="76"/>
  <c r="S80" i="76"/>
  <c r="R81" i="76"/>
  <c r="S81" i="76"/>
  <c r="R82" i="76"/>
  <c r="S82" i="76"/>
  <c r="R83" i="76"/>
  <c r="S83" i="76"/>
  <c r="R84" i="76"/>
  <c r="S84" i="76"/>
  <c r="R85" i="76"/>
  <c r="S85" i="76"/>
  <c r="R86" i="76"/>
  <c r="S86" i="76"/>
  <c r="R87" i="76"/>
  <c r="S87" i="76"/>
  <c r="R88" i="76"/>
  <c r="S88" i="76"/>
  <c r="R89" i="76"/>
  <c r="S89" i="76"/>
  <c r="R90" i="76"/>
  <c r="S90" i="76"/>
  <c r="R91" i="76"/>
  <c r="S91" i="76"/>
  <c r="R92" i="76"/>
  <c r="S92" i="76"/>
  <c r="R93" i="76"/>
  <c r="S93" i="76"/>
  <c r="R94" i="76"/>
  <c r="S94" i="76"/>
  <c r="R95" i="76"/>
  <c r="S95" i="76"/>
  <c r="R96" i="76"/>
  <c r="S96" i="76"/>
  <c r="R97" i="76"/>
  <c r="S97" i="76"/>
  <c r="R98" i="76"/>
  <c r="S98" i="76"/>
  <c r="R99" i="76"/>
  <c r="S99" i="76"/>
  <c r="R100" i="76"/>
  <c r="S100" i="76"/>
  <c r="R101" i="76"/>
  <c r="S101" i="76"/>
  <c r="R102" i="76"/>
  <c r="S102" i="76"/>
  <c r="R103" i="76"/>
  <c r="S103" i="76"/>
  <c r="R104" i="76"/>
  <c r="S104" i="76"/>
  <c r="R105" i="76"/>
  <c r="S105" i="76"/>
  <c r="R106" i="76"/>
  <c r="S106" i="76"/>
  <c r="R107" i="76"/>
  <c r="S107" i="76"/>
  <c r="R108" i="76"/>
  <c r="S108" i="76"/>
  <c r="R109" i="76"/>
  <c r="S109" i="76"/>
  <c r="R110" i="76"/>
  <c r="S110" i="76"/>
  <c r="R111" i="76"/>
  <c r="S111" i="76"/>
  <c r="R112" i="76"/>
  <c r="S112" i="76"/>
  <c r="R113" i="76"/>
  <c r="S113" i="76"/>
  <c r="R114" i="76"/>
  <c r="S114" i="76"/>
  <c r="R115" i="76"/>
  <c r="S115" i="76"/>
  <c r="R116" i="76"/>
  <c r="S116" i="76"/>
  <c r="R117" i="76"/>
  <c r="S117" i="76"/>
  <c r="R118" i="76"/>
  <c r="S118" i="76"/>
  <c r="R119" i="76"/>
  <c r="S119" i="76"/>
  <c r="R120" i="76"/>
  <c r="S120" i="76"/>
  <c r="R121" i="76"/>
  <c r="S121" i="76"/>
  <c r="R122" i="76"/>
  <c r="S122" i="76"/>
  <c r="R123" i="76"/>
  <c r="S123" i="76"/>
  <c r="R124" i="76"/>
  <c r="S124" i="76"/>
  <c r="N80" i="76"/>
  <c r="N81" i="76"/>
  <c r="N82" i="76"/>
  <c r="N83" i="76"/>
  <c r="N84" i="76"/>
  <c r="N85" i="76"/>
  <c r="N86" i="76"/>
  <c r="N87" i="76"/>
  <c r="N88" i="76"/>
  <c r="N89" i="76"/>
  <c r="N90" i="76"/>
  <c r="N91" i="76"/>
  <c r="N92" i="76"/>
  <c r="N93" i="76"/>
  <c r="N94" i="76"/>
  <c r="N95" i="76"/>
  <c r="N96" i="76"/>
  <c r="N97" i="76"/>
  <c r="N98" i="76"/>
  <c r="N99" i="76"/>
  <c r="N100" i="76"/>
  <c r="N101" i="76"/>
  <c r="N102" i="76"/>
  <c r="N103" i="76"/>
  <c r="N104" i="76"/>
  <c r="N105" i="76"/>
  <c r="N106" i="76"/>
  <c r="N107" i="76"/>
  <c r="N108" i="76"/>
  <c r="N109" i="76"/>
  <c r="N110" i="76"/>
  <c r="N111" i="76"/>
  <c r="N112" i="76"/>
  <c r="N113" i="76"/>
  <c r="N114" i="76"/>
  <c r="N115" i="76"/>
  <c r="N116" i="76"/>
  <c r="N117" i="76"/>
  <c r="N118" i="76"/>
  <c r="N119" i="76"/>
  <c r="N120" i="76"/>
  <c r="N121" i="76"/>
  <c r="N122" i="76"/>
  <c r="N123" i="76"/>
  <c r="N124" i="76"/>
  <c r="N125" i="76"/>
  <c r="N126" i="76"/>
  <c r="N127" i="76"/>
  <c r="N128" i="76"/>
  <c r="N129" i="76"/>
  <c r="N130" i="76"/>
  <c r="N131" i="76"/>
  <c r="N132" i="76"/>
  <c r="N133" i="76"/>
  <c r="N134" i="76"/>
  <c r="N79" i="76"/>
  <c r="A9" i="76"/>
  <c r="B9" i="76"/>
  <c r="C9" i="76"/>
  <c r="A10" i="76"/>
  <c r="B10" i="76"/>
  <c r="C10" i="76"/>
  <c r="C8" i="76"/>
  <c r="A8" i="76"/>
  <c r="B8" i="76"/>
  <c r="A9" i="77"/>
  <c r="B9" i="77"/>
  <c r="C9" i="77"/>
  <c r="A10" i="77"/>
  <c r="B10" i="77"/>
  <c r="C10" i="77"/>
  <c r="A11" i="77"/>
  <c r="B11" i="77"/>
  <c r="C11" i="77"/>
  <c r="C8" i="77"/>
  <c r="B8" i="77"/>
  <c r="A8" i="77"/>
  <c r="N80" i="77"/>
  <c r="N81" i="77"/>
  <c r="N82" i="77"/>
  <c r="N83" i="77"/>
  <c r="N84" i="77"/>
  <c r="N85" i="77"/>
  <c r="N86" i="77"/>
  <c r="N87" i="77"/>
  <c r="N88" i="77"/>
  <c r="N89" i="77"/>
  <c r="N90" i="77"/>
  <c r="N91" i="77"/>
  <c r="N92" i="77"/>
  <c r="N93" i="77"/>
  <c r="N94" i="77"/>
  <c r="N95" i="77"/>
  <c r="N96" i="77"/>
  <c r="N97" i="77"/>
  <c r="N98" i="77"/>
  <c r="N99" i="77"/>
  <c r="N100" i="77"/>
  <c r="N101" i="77"/>
  <c r="N102" i="77"/>
  <c r="N103" i="77"/>
  <c r="N104" i="77"/>
  <c r="N105" i="77"/>
  <c r="N106" i="77"/>
  <c r="N107" i="77"/>
  <c r="N108" i="77"/>
  <c r="N109" i="77"/>
  <c r="N110" i="77"/>
  <c r="N111" i="77"/>
  <c r="N112" i="77"/>
  <c r="N113" i="77"/>
  <c r="N114" i="77"/>
  <c r="N115" i="77"/>
  <c r="N116" i="77"/>
  <c r="N117" i="77"/>
  <c r="N118" i="77"/>
  <c r="N119" i="77"/>
  <c r="N120" i="77"/>
  <c r="N121" i="77"/>
  <c r="N122" i="77"/>
  <c r="N123" i="77"/>
  <c r="N124" i="77"/>
  <c r="N125" i="77"/>
  <c r="N126" i="77"/>
  <c r="N127" i="77"/>
  <c r="N128" i="77"/>
  <c r="N129" i="77"/>
  <c r="N130" i="77"/>
  <c r="N131" i="77"/>
  <c r="N132" i="77"/>
  <c r="N133" i="77"/>
  <c r="N134" i="77"/>
  <c r="N135" i="77"/>
  <c r="N68" i="67"/>
  <c r="N69" i="67"/>
  <c r="N70" i="67"/>
  <c r="N71" i="67"/>
  <c r="N72" i="67"/>
  <c r="N73" i="67"/>
  <c r="N74" i="67"/>
  <c r="N75" i="67"/>
  <c r="N76" i="67"/>
  <c r="N77" i="67"/>
  <c r="N78" i="67"/>
  <c r="N79" i="67"/>
  <c r="N80" i="67"/>
  <c r="N81" i="67"/>
  <c r="N82" i="67"/>
  <c r="N83" i="67"/>
  <c r="N84" i="67"/>
  <c r="N85" i="67"/>
  <c r="N86" i="67"/>
  <c r="N87" i="67"/>
  <c r="N88" i="67"/>
  <c r="N89" i="67"/>
  <c r="N90" i="67"/>
  <c r="N91" i="67"/>
  <c r="N92" i="67"/>
  <c r="N93" i="67"/>
  <c r="N94" i="67"/>
  <c r="N66" i="67"/>
  <c r="R100" i="67"/>
  <c r="S100" i="67"/>
  <c r="R101" i="67"/>
  <c r="S101" i="67"/>
  <c r="R102" i="67"/>
  <c r="S102" i="67"/>
  <c r="R103" i="67"/>
  <c r="S103" i="67"/>
  <c r="R67" i="67"/>
  <c r="S67" i="67"/>
  <c r="R68" i="67"/>
  <c r="S68" i="67"/>
  <c r="R69" i="67"/>
  <c r="S69" i="67"/>
  <c r="R70" i="67"/>
  <c r="S70" i="67"/>
  <c r="R71" i="67"/>
  <c r="S71" i="67"/>
  <c r="R72" i="67"/>
  <c r="S72" i="67"/>
  <c r="R73" i="67"/>
  <c r="S73" i="67"/>
  <c r="R74" i="67"/>
  <c r="S74" i="67"/>
  <c r="R75" i="67"/>
  <c r="S75" i="67"/>
  <c r="R76" i="67"/>
  <c r="S76" i="67"/>
  <c r="R77" i="67"/>
  <c r="S77" i="67"/>
  <c r="R78" i="67"/>
  <c r="S78" i="67"/>
  <c r="R79" i="67"/>
  <c r="S79" i="67"/>
  <c r="R80" i="67"/>
  <c r="S80" i="67"/>
  <c r="R81" i="67"/>
  <c r="S81" i="67"/>
  <c r="R82" i="67"/>
  <c r="S82" i="67"/>
  <c r="R83" i="67"/>
  <c r="S83" i="67"/>
  <c r="R84" i="67"/>
  <c r="S84" i="67"/>
  <c r="R85" i="67"/>
  <c r="S85" i="67"/>
  <c r="R86" i="67"/>
  <c r="S86" i="67"/>
  <c r="R87" i="67"/>
  <c r="S87" i="67"/>
  <c r="R88" i="67"/>
  <c r="S88" i="67"/>
  <c r="R89" i="67"/>
  <c r="S89" i="67"/>
  <c r="R90" i="67"/>
  <c r="S90" i="67"/>
  <c r="R91" i="67"/>
  <c r="S91" i="67"/>
  <c r="R92" i="67"/>
  <c r="S92" i="67"/>
  <c r="R93" i="67"/>
  <c r="S93" i="67"/>
  <c r="R94" i="67"/>
  <c r="S94" i="67"/>
  <c r="R95" i="67"/>
  <c r="S95" i="67"/>
  <c r="R96" i="67"/>
  <c r="S96" i="67"/>
  <c r="R97" i="67"/>
  <c r="S97" i="67"/>
  <c r="R98" i="67"/>
  <c r="S98" i="67"/>
  <c r="R99" i="67"/>
  <c r="S99" i="67"/>
  <c r="R66" i="67"/>
  <c r="S66" i="67"/>
  <c r="R78" i="77"/>
  <c r="S78" i="77"/>
  <c r="R79" i="77"/>
  <c r="S79" i="77"/>
  <c r="R80" i="77"/>
  <c r="S80" i="77"/>
  <c r="R81" i="77"/>
  <c r="S81" i="77"/>
  <c r="R82" i="77"/>
  <c r="S82" i="77"/>
  <c r="R83" i="77"/>
  <c r="S83" i="77"/>
  <c r="R84" i="77"/>
  <c r="S84" i="77"/>
  <c r="R85" i="77"/>
  <c r="S85" i="77"/>
  <c r="R86" i="77"/>
  <c r="S86" i="77"/>
  <c r="R87" i="77"/>
  <c r="S87" i="77"/>
  <c r="R88" i="77"/>
  <c r="S88" i="77"/>
  <c r="R89" i="77"/>
  <c r="S89" i="77"/>
  <c r="R90" i="77"/>
  <c r="S90" i="77"/>
  <c r="R91" i="77"/>
  <c r="S91" i="77"/>
  <c r="R92" i="77"/>
  <c r="S92" i="77"/>
  <c r="R93" i="77"/>
  <c r="S93" i="77"/>
  <c r="R94" i="77"/>
  <c r="S94" i="77"/>
  <c r="R95" i="77"/>
  <c r="S95" i="77"/>
  <c r="R96" i="77"/>
  <c r="S96" i="77"/>
  <c r="R97" i="77"/>
  <c r="S97" i="77"/>
  <c r="R98" i="77"/>
  <c r="S98" i="77"/>
  <c r="R99" i="77"/>
  <c r="S99" i="77"/>
  <c r="R100" i="77"/>
  <c r="S100" i="77"/>
  <c r="R101" i="77"/>
  <c r="S101" i="77"/>
  <c r="R102" i="77"/>
  <c r="S102" i="77"/>
  <c r="R103" i="77"/>
  <c r="S103" i="77"/>
  <c r="R104" i="77"/>
  <c r="S104" i="77"/>
  <c r="R105" i="77"/>
  <c r="S105" i="77"/>
  <c r="R106" i="77"/>
  <c r="S106" i="77"/>
  <c r="R107" i="77"/>
  <c r="S107" i="77"/>
  <c r="R108" i="77"/>
  <c r="S108" i="77"/>
  <c r="R109" i="77"/>
  <c r="S109" i="77"/>
  <c r="R110" i="77"/>
  <c r="S110" i="77"/>
  <c r="R111" i="77"/>
  <c r="S111" i="77"/>
  <c r="R112" i="77"/>
  <c r="S112" i="77"/>
  <c r="R113" i="77"/>
  <c r="S113" i="77"/>
  <c r="R114" i="77"/>
  <c r="S114" i="77"/>
  <c r="R115" i="77"/>
  <c r="S115" i="77"/>
  <c r="R116" i="77"/>
  <c r="S116" i="77"/>
  <c r="R117" i="77"/>
  <c r="S117" i="77"/>
  <c r="R118" i="77"/>
  <c r="S118" i="77"/>
  <c r="R119" i="77"/>
  <c r="S119" i="77"/>
  <c r="R64" i="75"/>
  <c r="S64" i="75"/>
  <c r="T63" i="75" s="1"/>
  <c r="S65" i="75"/>
  <c r="R66" i="75"/>
  <c r="S66" i="75"/>
  <c r="R67" i="75"/>
  <c r="S67" i="75"/>
  <c r="R68" i="75"/>
  <c r="S68" i="75"/>
  <c r="R69" i="75"/>
  <c r="R70" i="75"/>
  <c r="S70" i="75"/>
  <c r="T68" i="75" s="1"/>
  <c r="R71" i="75"/>
  <c r="S71" i="75"/>
  <c r="T71" i="75" s="1"/>
  <c r="S75" i="75"/>
  <c r="R76" i="75"/>
  <c r="S77" i="75"/>
  <c r="R78" i="75"/>
  <c r="S78" i="75"/>
  <c r="T77" i="75" s="1"/>
  <c r="R79" i="75"/>
  <c r="S79" i="75"/>
  <c r="R80" i="75"/>
  <c r="S80" i="75"/>
  <c r="T79" i="75" s="1"/>
  <c r="R81" i="75"/>
  <c r="S81" i="75"/>
  <c r="R82" i="75"/>
  <c r="S82" i="75"/>
  <c r="S83" i="75"/>
  <c r="R84" i="75"/>
  <c r="S84" i="75"/>
  <c r="R85" i="75"/>
  <c r="S86" i="75"/>
  <c r="R87" i="75"/>
  <c r="S87" i="75"/>
  <c r="R88" i="75"/>
  <c r="S89" i="75"/>
  <c r="R90" i="75"/>
  <c r="S92" i="75"/>
  <c r="R93" i="75"/>
  <c r="S95" i="75"/>
  <c r="R96" i="75"/>
  <c r="S96" i="75"/>
  <c r="T95" i="75" s="1"/>
  <c r="S98" i="75"/>
  <c r="R99" i="75"/>
  <c r="S100" i="75"/>
  <c r="R101" i="75"/>
  <c r="R102" i="75"/>
  <c r="S102" i="75"/>
  <c r="R103" i="75"/>
  <c r="S103" i="75"/>
  <c r="R104" i="75"/>
  <c r="S104" i="75"/>
  <c r="R105" i="75"/>
  <c r="S105" i="75"/>
  <c r="R106" i="75"/>
  <c r="S106" i="75"/>
  <c r="S63" i="75"/>
  <c r="S84" i="74"/>
  <c r="R85" i="74"/>
  <c r="S85" i="74"/>
  <c r="R86" i="74"/>
  <c r="S86" i="74"/>
  <c r="T84" i="74" s="1"/>
  <c r="S87" i="74"/>
  <c r="R88" i="74"/>
  <c r="S89" i="74"/>
  <c r="R90" i="74"/>
  <c r="S90" i="74"/>
  <c r="T89" i="74" s="1"/>
  <c r="S91" i="74"/>
  <c r="R92" i="74"/>
  <c r="S92" i="74"/>
  <c r="T91" i="74" s="1"/>
  <c r="S93" i="74"/>
  <c r="R94" i="74"/>
  <c r="S94" i="74"/>
  <c r="T93" i="74" s="1"/>
  <c r="S95" i="74"/>
  <c r="R96" i="74"/>
  <c r="R97" i="74"/>
  <c r="S97" i="74"/>
  <c r="S98" i="74"/>
  <c r="R99" i="74"/>
  <c r="S99" i="74"/>
  <c r="T98" i="74" s="1"/>
  <c r="S100" i="74"/>
  <c r="R101" i="74"/>
  <c r="S101" i="74"/>
  <c r="T100" i="74" s="1"/>
  <c r="S102" i="74"/>
  <c r="R103" i="74"/>
  <c r="S103" i="74"/>
  <c r="S104" i="74"/>
  <c r="R105" i="74"/>
  <c r="S105" i="74"/>
  <c r="R106" i="74"/>
  <c r="R107" i="74"/>
  <c r="T107" i="74" s="1"/>
  <c r="S107" i="74"/>
  <c r="R108" i="74"/>
  <c r="S108" i="74"/>
  <c r="R109" i="74"/>
  <c r="S109" i="74"/>
  <c r="R110" i="74"/>
  <c r="R112" i="74"/>
  <c r="S112" i="74"/>
  <c r="R113" i="74"/>
  <c r="S113" i="74"/>
  <c r="R114" i="74"/>
  <c r="S114" i="74"/>
  <c r="R115" i="74"/>
  <c r="S115" i="74"/>
  <c r="R116" i="74"/>
  <c r="S116" i="74"/>
  <c r="R117" i="74"/>
  <c r="S117" i="74"/>
  <c r="S76" i="74"/>
  <c r="T76" i="74" s="1"/>
  <c r="S77" i="74"/>
  <c r="R78" i="74"/>
  <c r="S78" i="74"/>
  <c r="R79" i="74"/>
  <c r="S79" i="74"/>
  <c r="T78" i="74" s="1"/>
  <c r="S81" i="74"/>
  <c r="R82" i="74"/>
  <c r="A10" i="73"/>
  <c r="B10" i="73"/>
  <c r="C10" i="73"/>
  <c r="A11" i="73"/>
  <c r="B11" i="73"/>
  <c r="A12" i="73"/>
  <c r="B12" i="73"/>
  <c r="C8" i="73"/>
  <c r="T81" i="75" l="1"/>
  <c r="T65" i="75"/>
  <c r="R70" i="73"/>
  <c r="S70" i="73"/>
  <c r="T69" i="73" s="1"/>
  <c r="R71" i="73"/>
  <c r="S71" i="73"/>
  <c r="R72" i="73"/>
  <c r="S72" i="73"/>
  <c r="R73" i="73"/>
  <c r="S73" i="73"/>
  <c r="R74" i="73"/>
  <c r="S74" i="73"/>
  <c r="R75" i="73"/>
  <c r="S75" i="73"/>
  <c r="S76" i="73"/>
  <c r="T76" i="73" s="1"/>
  <c r="S77" i="73"/>
  <c r="R78" i="73"/>
  <c r="S78" i="73"/>
  <c r="T77" i="73" s="1"/>
  <c r="R79" i="73"/>
  <c r="S79" i="73"/>
  <c r="R80" i="73"/>
  <c r="S80" i="73"/>
  <c r="R81" i="73"/>
  <c r="S81" i="73"/>
  <c r="R82" i="73"/>
  <c r="S82" i="73"/>
  <c r="R83" i="73"/>
  <c r="S83" i="73"/>
  <c r="R84" i="73"/>
  <c r="T84" i="73" s="1"/>
  <c r="S84" i="73"/>
  <c r="R85" i="73"/>
  <c r="R86" i="73"/>
  <c r="R87" i="73"/>
  <c r="S87" i="73"/>
  <c r="R88" i="73"/>
  <c r="S88" i="73"/>
  <c r="R89" i="73"/>
  <c r="S89" i="73"/>
  <c r="R90" i="73"/>
  <c r="S90" i="73"/>
  <c r="R91" i="73"/>
  <c r="S91" i="73"/>
  <c r="S92" i="73"/>
  <c r="R93" i="73"/>
  <c r="S93" i="73"/>
  <c r="T92" i="73" s="1"/>
  <c r="R94" i="73"/>
  <c r="S94" i="73"/>
  <c r="R95" i="73"/>
  <c r="S95" i="73"/>
  <c r="R96" i="73"/>
  <c r="S96" i="73"/>
  <c r="R97" i="73"/>
  <c r="S97" i="73"/>
  <c r="R98" i="73"/>
  <c r="T98" i="73" s="1"/>
  <c r="S98" i="73"/>
  <c r="S100" i="73"/>
  <c r="A680" i="58"/>
  <c r="A681" i="58"/>
  <c r="A682" i="58"/>
  <c r="A683" i="58"/>
  <c r="A684" i="58"/>
  <c r="A685" i="58"/>
  <c r="A686" i="58"/>
  <c r="A687" i="58"/>
  <c r="A688" i="58"/>
  <c r="A689" i="58"/>
  <c r="A690" i="58"/>
  <c r="A691" i="58"/>
  <c r="A692" i="58"/>
  <c r="A693" i="58"/>
  <c r="A694" i="58"/>
  <c r="A695" i="58"/>
  <c r="A696" i="58"/>
  <c r="A697" i="58"/>
  <c r="A698" i="58"/>
  <c r="A699" i="58"/>
  <c r="A700" i="58"/>
  <c r="A701" i="58"/>
  <c r="A702" i="58"/>
  <c r="A703" i="58"/>
  <c r="A704" i="58"/>
  <c r="A705" i="58"/>
  <c r="A706" i="58"/>
  <c r="A707" i="58"/>
  <c r="A708" i="58"/>
  <c r="A709" i="58"/>
  <c r="A710" i="58"/>
  <c r="A711" i="58"/>
  <c r="A712" i="58"/>
  <c r="A713" i="58"/>
  <c r="A714" i="58"/>
  <c r="A715" i="58"/>
  <c r="A716" i="58"/>
  <c r="A717" i="58"/>
  <c r="A718" i="58"/>
  <c r="A719" i="58"/>
  <c r="A720" i="58"/>
  <c r="A721" i="58"/>
  <c r="A722" i="58"/>
  <c r="A723" i="58"/>
  <c r="A724" i="58"/>
  <c r="A725" i="58"/>
  <c r="A726" i="58"/>
  <c r="A727" i="58"/>
  <c r="A728" i="58"/>
  <c r="A729" i="58"/>
  <c r="A730" i="58"/>
  <c r="A731" i="58"/>
  <c r="R69" i="72"/>
  <c r="S69" i="72"/>
  <c r="R70" i="72"/>
  <c r="S70" i="72"/>
  <c r="R71" i="72"/>
  <c r="S71" i="72"/>
  <c r="R72" i="72"/>
  <c r="S72" i="72"/>
  <c r="R73" i="72"/>
  <c r="S73" i="72"/>
  <c r="R74" i="72"/>
  <c r="S74" i="72"/>
  <c r="R75" i="72"/>
  <c r="S75" i="72"/>
  <c r="R76" i="72"/>
  <c r="S76" i="72"/>
  <c r="R77" i="72"/>
  <c r="S77" i="72"/>
  <c r="R78" i="72"/>
  <c r="S78" i="72"/>
  <c r="R79" i="72"/>
  <c r="T79" i="72" s="1"/>
  <c r="S79" i="72"/>
  <c r="R80" i="72"/>
  <c r="S81" i="72"/>
  <c r="R82" i="72"/>
  <c r="S82" i="72"/>
  <c r="T81" i="72" s="1"/>
  <c r="S83" i="72"/>
  <c r="R84" i="72"/>
  <c r="S84" i="72"/>
  <c r="R85" i="72"/>
  <c r="S85" i="72"/>
  <c r="T83" i="72" s="1"/>
  <c r="S86" i="72"/>
  <c r="R87" i="72"/>
  <c r="S87" i="72"/>
  <c r="T86" i="72" s="1"/>
  <c r="R88" i="72"/>
  <c r="S88" i="72"/>
  <c r="R89" i="72"/>
  <c r="S89" i="72"/>
  <c r="R90" i="72"/>
  <c r="S90" i="72"/>
  <c r="R91" i="72"/>
  <c r="S91" i="72"/>
  <c r="R92" i="72"/>
  <c r="S92" i="72"/>
  <c r="R93" i="72"/>
  <c r="S93" i="72"/>
  <c r="R94" i="72"/>
  <c r="S94" i="72"/>
  <c r="R95" i="72"/>
  <c r="S95" i="72"/>
  <c r="R96" i="72"/>
  <c r="S96" i="72"/>
  <c r="R97" i="72"/>
  <c r="S97" i="72"/>
  <c r="C13" i="72"/>
  <c r="C14" i="72"/>
  <c r="C16" i="72"/>
  <c r="C18" i="72"/>
  <c r="C19" i="72"/>
  <c r="C20" i="72"/>
  <c r="C21" i="72"/>
  <c r="C22" i="72"/>
  <c r="Z47" i="71"/>
  <c r="AE47" i="71"/>
  <c r="T94" i="73" l="1"/>
  <c r="T71" i="73"/>
  <c r="T74" i="73"/>
  <c r="T87" i="73"/>
  <c r="T91" i="73"/>
  <c r="T89" i="73"/>
  <c r="T79" i="73"/>
  <c r="T73" i="72"/>
  <c r="T75" i="72"/>
  <c r="T70" i="72"/>
  <c r="S286" i="79"/>
  <c r="I287" i="62"/>
  <c r="S285" i="79"/>
  <c r="AA285" i="65"/>
  <c r="AE45" i="71"/>
  <c r="AE44" i="71"/>
  <c r="B287" i="66" l="1"/>
  <c r="Y290" i="57"/>
  <c r="Y289" i="57"/>
  <c r="BF288" i="56"/>
  <c r="AB45" i="71"/>
  <c r="B288" i="57"/>
  <c r="F288" i="57"/>
  <c r="AJ288" i="57"/>
  <c r="AD285" i="65"/>
  <c r="J44" i="71"/>
  <c r="Z44" i="71"/>
  <c r="N107" i="71" s="1"/>
  <c r="AI287" i="57" l="1"/>
  <c r="I287" i="56" l="1"/>
  <c r="AA287" i="58"/>
  <c r="Y287" i="58"/>
  <c r="J45" i="71"/>
  <c r="N108" i="71" s="1"/>
  <c r="B282" i="60"/>
  <c r="BF286" i="56"/>
  <c r="B287" i="57"/>
  <c r="S284" i="79"/>
  <c r="I286" i="56"/>
  <c r="F287" i="57" l="1"/>
  <c r="AJ287" i="57"/>
  <c r="O286" i="58"/>
  <c r="F284" i="79"/>
  <c r="I286" i="58"/>
  <c r="I41" i="71"/>
  <c r="AE41" i="71" l="1"/>
  <c r="BF285" i="56"/>
  <c r="V283" i="79" l="1"/>
  <c r="S283" i="79"/>
  <c r="J43" i="71" l="1"/>
  <c r="N106" i="71" s="1"/>
  <c r="I43" i="71"/>
  <c r="AM279" i="60" l="1"/>
  <c r="E282" i="79"/>
  <c r="Z42" i="71"/>
  <c r="N105" i="71" s="1"/>
  <c r="T285" i="57"/>
  <c r="S282" i="79"/>
  <c r="U284" i="58"/>
  <c r="B285" i="57"/>
  <c r="O284" i="58"/>
  <c r="AJ285" i="57"/>
  <c r="N282" i="66"/>
  <c r="I42" i="71"/>
  <c r="BF283" i="56"/>
  <c r="Z281" i="79"/>
  <c r="L269" i="81"/>
  <c r="A42" i="71"/>
  <c r="B42" i="71"/>
  <c r="C42" i="71"/>
  <c r="AB40" i="71"/>
  <c r="AB39" i="71"/>
  <c r="BF281" i="56"/>
  <c r="Z39" i="71"/>
  <c r="U281" i="58"/>
  <c r="AE38" i="71"/>
  <c r="O269" i="81"/>
  <c r="N102" i="71" l="1"/>
  <c r="U283" i="58"/>
  <c r="AD281" i="79"/>
  <c r="V281" i="79"/>
  <c r="M269" i="81"/>
  <c r="O283" i="58"/>
  <c r="S281" i="79"/>
  <c r="Y283" i="58"/>
  <c r="F284" i="57"/>
  <c r="I283" i="56"/>
  <c r="F278" i="60"/>
  <c r="S280" i="79" l="1"/>
  <c r="R280" i="79"/>
  <c r="O280" i="79"/>
  <c r="AD280" i="79" l="1"/>
  <c r="M263" i="81"/>
  <c r="E263" i="81"/>
  <c r="V280" i="79"/>
  <c r="Z40" i="71"/>
  <c r="J40" i="71" l="1"/>
  <c r="N103" i="71" s="1"/>
  <c r="I40" i="71"/>
  <c r="S279" i="79" l="1"/>
  <c r="K279" i="65"/>
  <c r="AO279" i="79"/>
  <c r="H281" i="56"/>
  <c r="F282" i="57"/>
  <c r="B282" i="57"/>
  <c r="G7" i="80"/>
  <c r="U7" i="80" s="1"/>
  <c r="Z37" i="71"/>
  <c r="AB36" i="71"/>
  <c r="AE36" i="71"/>
  <c r="F276" i="60"/>
  <c r="J279" i="66" l="1"/>
  <c r="I39" i="71"/>
  <c r="AF279" i="79"/>
  <c r="AD278" i="79" l="1"/>
  <c r="AB38" i="71"/>
  <c r="N101" i="71" s="1"/>
  <c r="S278" i="79"/>
  <c r="F281" i="57"/>
  <c r="K276" i="65" l="1"/>
  <c r="K277" i="65"/>
  <c r="J37" i="71"/>
  <c r="N100" i="71" s="1"/>
  <c r="I279" i="56"/>
  <c r="F280" i="57" l="1"/>
  <c r="H279" i="56"/>
  <c r="Z274" i="60"/>
  <c r="B280" i="57"/>
  <c r="B274" i="60"/>
  <c r="AM274" i="60"/>
  <c r="Y279" i="58"/>
  <c r="AA279" i="58"/>
  <c r="U279" i="58"/>
  <c r="I37" i="71"/>
  <c r="S276" i="79" l="1"/>
  <c r="I278" i="56"/>
  <c r="AE273" i="60"/>
  <c r="F279" i="57"/>
  <c r="N278" i="58"/>
  <c r="AE33" i="71"/>
  <c r="AE13" i="71"/>
  <c r="AE24" i="71"/>
  <c r="O277" i="58"/>
  <c r="V274" i="79"/>
  <c r="BF276" i="56"/>
  <c r="B276" i="57"/>
  <c r="F276" i="57"/>
  <c r="K273" i="65"/>
  <c r="BF275" i="56"/>
  <c r="I275" i="56"/>
  <c r="AB33" i="71"/>
  <c r="H278" i="56" l="1"/>
  <c r="J36" i="71"/>
  <c r="N99" i="71" s="1"/>
  <c r="AD276" i="79"/>
  <c r="D273" i="60"/>
  <c r="F273" i="60" l="1"/>
  <c r="R275" i="79" l="1"/>
  <c r="N277" i="58"/>
  <c r="F278" i="57"/>
  <c r="B278" i="57"/>
  <c r="AA277" i="58"/>
  <c r="I277" i="56"/>
  <c r="I35" i="71" l="1"/>
  <c r="BF277" i="56"/>
  <c r="Z35" i="71" l="1"/>
  <c r="N98" i="71" s="1"/>
  <c r="B262" i="81" l="1"/>
  <c r="I276" i="56"/>
  <c r="H276" i="56"/>
  <c r="F277" i="57" l="1"/>
  <c r="AB34" i="71"/>
  <c r="N97" i="71" s="1"/>
  <c r="U275" i="58"/>
  <c r="C270" i="60"/>
  <c r="I34" i="71"/>
  <c r="Y275" i="58"/>
  <c r="S273" i="79"/>
  <c r="Z31" i="71" l="1"/>
  <c r="I274" i="56"/>
  <c r="AC272" i="79"/>
  <c r="H274" i="56"/>
  <c r="V271" i="79"/>
  <c r="B274" i="57"/>
  <c r="AB31" i="71"/>
  <c r="AE31" i="71"/>
  <c r="C275" i="58"/>
  <c r="I33" i="71" l="1"/>
  <c r="Z33" i="71" l="1"/>
  <c r="N96" i="71" s="1"/>
  <c r="D270" i="60"/>
  <c r="P273" i="65"/>
  <c r="AD273" i="79"/>
  <c r="J32" i="71" l="1"/>
  <c r="AJ275" i="57" l="1"/>
  <c r="AB32" i="71"/>
  <c r="N95" i="71" s="1"/>
  <c r="K272" i="65"/>
  <c r="U274" i="58" l="1"/>
  <c r="F275" i="57"/>
  <c r="K32" i="71"/>
  <c r="Z269" i="60"/>
  <c r="I32" i="71" l="1"/>
  <c r="B272" i="62" l="1"/>
  <c r="F274" i="57"/>
  <c r="B268" i="60"/>
  <c r="AJ271" i="79"/>
  <c r="S271" i="79"/>
  <c r="AA274" i="57"/>
  <c r="AF15" i="70"/>
  <c r="AG15" i="70"/>
  <c r="AG16" i="70" s="1"/>
  <c r="AH15" i="70"/>
  <c r="F6" i="80"/>
  <c r="AE30" i="71"/>
  <c r="Z30" i="71"/>
  <c r="AB28" i="71"/>
  <c r="I270" i="56"/>
  <c r="Z28" i="71"/>
  <c r="J28" i="71"/>
  <c r="N270" i="58"/>
  <c r="I28" i="71"/>
  <c r="AE28" i="71"/>
  <c r="N91" i="71" l="1"/>
  <c r="AH16" i="70"/>
  <c r="AF16" i="70"/>
  <c r="I273" i="56"/>
  <c r="F268" i="60"/>
  <c r="R271" i="79"/>
  <c r="J31" i="71"/>
  <c r="N94" i="71" s="1"/>
  <c r="C31" i="71"/>
  <c r="C32" i="71"/>
  <c r="C33" i="71"/>
  <c r="B31" i="71"/>
  <c r="B32" i="71"/>
  <c r="B33" i="71"/>
  <c r="A30" i="71"/>
  <c r="A31" i="71"/>
  <c r="A32" i="71"/>
  <c r="A33" i="71"/>
  <c r="G270" i="79"/>
  <c r="U272" i="58"/>
  <c r="F273" i="57" l="1"/>
  <c r="I272" i="56"/>
  <c r="S270" i="79" l="1"/>
  <c r="P270" i="65"/>
  <c r="Z267" i="60"/>
  <c r="O270" i="79" l="1"/>
  <c r="J30" i="71" l="1"/>
  <c r="N93" i="71" s="1"/>
  <c r="R270" i="79"/>
  <c r="J270" i="79"/>
  <c r="H272" i="56"/>
  <c r="C271" i="58"/>
  <c r="S269" i="79"/>
  <c r="AB29" i="71"/>
  <c r="N92" i="71" s="1"/>
  <c r="D266" i="60"/>
  <c r="D265" i="60" l="1"/>
  <c r="D268" i="66"/>
  <c r="F271" i="57"/>
  <c r="F7" i="80"/>
  <c r="AC268" i="79"/>
  <c r="B271" i="57"/>
  <c r="S268" i="79"/>
  <c r="R6" i="41" l="1"/>
  <c r="T6" i="41"/>
  <c r="AB6" i="41"/>
  <c r="R7" i="41"/>
  <c r="T7" i="41"/>
  <c r="AB7" i="41"/>
  <c r="R8" i="41"/>
  <c r="T8" i="41"/>
  <c r="AB8" i="41"/>
  <c r="R9" i="41"/>
  <c r="T9" i="41"/>
  <c r="AB9" i="41"/>
  <c r="R10" i="41"/>
  <c r="T10" i="41"/>
  <c r="AB10" i="41"/>
  <c r="R11" i="41"/>
  <c r="T11" i="41"/>
  <c r="AB11" i="41"/>
  <c r="R12" i="41"/>
  <c r="T12" i="41"/>
  <c r="AB12" i="41"/>
  <c r="R13" i="41"/>
  <c r="T13" i="41"/>
  <c r="AB13" i="41"/>
  <c r="R14" i="41"/>
  <c r="T14" i="41"/>
  <c r="AB14" i="41"/>
  <c r="R15" i="41"/>
  <c r="T15" i="41"/>
  <c r="AB15" i="41"/>
  <c r="R16" i="41"/>
  <c r="T16" i="41"/>
  <c r="AB16" i="41"/>
  <c r="R17" i="41"/>
  <c r="T17" i="41"/>
  <c r="AB17" i="41"/>
  <c r="R18" i="41"/>
  <c r="T18" i="41"/>
  <c r="AB18" i="41"/>
  <c r="R19" i="41"/>
  <c r="T19" i="41"/>
  <c r="AB19" i="41"/>
  <c r="R20" i="41"/>
  <c r="T20" i="41"/>
  <c r="AB20" i="41"/>
  <c r="R21" i="41"/>
  <c r="T21" i="41"/>
  <c r="AB21" i="41"/>
  <c r="R22" i="41"/>
  <c r="T22" i="41"/>
  <c r="AB22" i="41"/>
  <c r="R23" i="41"/>
  <c r="T23" i="41"/>
  <c r="AB23" i="41"/>
  <c r="R24" i="41"/>
  <c r="T24" i="41"/>
  <c r="AB24" i="41"/>
  <c r="R25" i="41"/>
  <c r="T25" i="41"/>
  <c r="AB25" i="41"/>
  <c r="R26" i="41"/>
  <c r="T26" i="41"/>
  <c r="AB26" i="41"/>
  <c r="AB265" i="66"/>
  <c r="AA27" i="71"/>
  <c r="I26" i="71"/>
  <c r="O268" i="58"/>
  <c r="BF268" i="56"/>
  <c r="Z26" i="71"/>
  <c r="AD265" i="79"/>
  <c r="AB25" i="71"/>
  <c r="N88" i="71" s="1"/>
  <c r="BF267" i="56"/>
  <c r="A28" i="71"/>
  <c r="B28" i="71"/>
  <c r="C28" i="71"/>
  <c r="J27" i="71"/>
  <c r="C269" i="58"/>
  <c r="N90" i="71" l="1"/>
  <c r="I269" i="56"/>
  <c r="S267" i="79"/>
  <c r="I269" i="58"/>
  <c r="F264" i="60"/>
  <c r="I268" i="62"/>
  <c r="I27" i="71"/>
  <c r="T266" i="79"/>
  <c r="F269" i="57"/>
  <c r="S266" i="79"/>
  <c r="B269" i="57"/>
  <c r="I268" i="56"/>
  <c r="Z263" i="60"/>
  <c r="J26" i="71"/>
  <c r="N89" i="71" s="1"/>
  <c r="F268" i="57" l="1"/>
  <c r="AV265" i="79"/>
  <c r="F258" i="60"/>
  <c r="AB21" i="71"/>
  <c r="Z22" i="71"/>
  <c r="N85" i="71" s="1"/>
  <c r="Z23" i="71"/>
  <c r="AB263" i="66"/>
  <c r="AB262" i="66"/>
  <c r="I23" i="71"/>
  <c r="AJ266" i="57"/>
  <c r="AB23" i="71"/>
  <c r="U263" i="79"/>
  <c r="S263" i="79"/>
  <c r="O265" i="58"/>
  <c r="I265" i="56"/>
  <c r="F266" i="57"/>
  <c r="AG266" i="58"/>
  <c r="A265" i="58"/>
  <c r="A266" i="58"/>
  <c r="A267" i="58"/>
  <c r="A268" i="58"/>
  <c r="A269" i="58"/>
  <c r="A270" i="58"/>
  <c r="A271" i="58"/>
  <c r="A272" i="58"/>
  <c r="A273" i="58"/>
  <c r="A274" i="58"/>
  <c r="A275" i="58"/>
  <c r="A276" i="58"/>
  <c r="A277" i="58"/>
  <c r="A278" i="58"/>
  <c r="A279" i="58"/>
  <c r="A280" i="58"/>
  <c r="A281" i="58"/>
  <c r="A282" i="58"/>
  <c r="A283" i="58"/>
  <c r="A284" i="58"/>
  <c r="A285" i="58"/>
  <c r="A286" i="58"/>
  <c r="A287" i="58"/>
  <c r="A288" i="58"/>
  <c r="A289" i="58"/>
  <c r="A290" i="58"/>
  <c r="A291" i="58"/>
  <c r="A292" i="58"/>
  <c r="A293" i="58"/>
  <c r="A294" i="58"/>
  <c r="A295" i="58"/>
  <c r="A296" i="58"/>
  <c r="A297" i="58"/>
  <c r="A298" i="58"/>
  <c r="A299" i="58"/>
  <c r="A300" i="58"/>
  <c r="A301" i="58"/>
  <c r="A302" i="58"/>
  <c r="A303" i="58"/>
  <c r="B267" i="57"/>
  <c r="A252" i="57"/>
  <c r="A253" i="57"/>
  <c r="A254" i="57"/>
  <c r="A255" i="57"/>
  <c r="A256" i="57"/>
  <c r="A257" i="57"/>
  <c r="A258" i="57"/>
  <c r="A259" i="57"/>
  <c r="A260" i="57"/>
  <c r="A261" i="57"/>
  <c r="A262" i="57"/>
  <c r="A263" i="57"/>
  <c r="A264" i="57"/>
  <c r="A265" i="57"/>
  <c r="A266" i="57"/>
  <c r="A267" i="57"/>
  <c r="A268" i="57"/>
  <c r="A269" i="57"/>
  <c r="A270" i="57"/>
  <c r="A271" i="57"/>
  <c r="A272" i="57"/>
  <c r="A273" i="57"/>
  <c r="A274" i="57"/>
  <c r="A275" i="57"/>
  <c r="A276" i="57"/>
  <c r="A277" i="57"/>
  <c r="A278" i="57"/>
  <c r="A279" i="57"/>
  <c r="A280" i="57"/>
  <c r="A281" i="57"/>
  <c r="A282" i="57"/>
  <c r="A283" i="57"/>
  <c r="A284" i="57"/>
  <c r="A285" i="57"/>
  <c r="A286" i="57"/>
  <c r="A287" i="57"/>
  <c r="A288" i="57"/>
  <c r="A289" i="57"/>
  <c r="A290" i="57"/>
  <c r="A291" i="57"/>
  <c r="A292" i="57"/>
  <c r="D262" i="79"/>
  <c r="AV264" i="79"/>
  <c r="AE22" i="71"/>
  <c r="AE20" i="71"/>
  <c r="N86" i="71" l="1"/>
  <c r="AV263" i="79"/>
  <c r="A23" i="71"/>
  <c r="A24" i="71"/>
  <c r="J261" i="66"/>
  <c r="J261" i="79"/>
  <c r="U263" i="58"/>
  <c r="A22" i="71"/>
  <c r="B22" i="71"/>
  <c r="C22" i="71"/>
  <c r="S261" i="79"/>
  <c r="C258" i="60"/>
  <c r="I261" i="79"/>
  <c r="W261" i="66"/>
  <c r="J21" i="71"/>
  <c r="N84" i="71" s="1"/>
  <c r="S263" i="58"/>
  <c r="F264" i="57"/>
  <c r="K261" i="65"/>
  <c r="O263" i="58"/>
  <c r="I263" i="56"/>
  <c r="E261" i="66"/>
  <c r="B261" i="66" l="1"/>
  <c r="B264" i="57" l="1"/>
  <c r="BF263" i="56"/>
  <c r="Z258" i="60"/>
  <c r="AA263" i="58"/>
  <c r="AB19" i="71" l="1"/>
  <c r="AJ262" i="57"/>
  <c r="AE19" i="71"/>
  <c r="U262" i="58"/>
  <c r="B263" i="57"/>
  <c r="S263" i="57"/>
  <c r="F263" i="57"/>
  <c r="S262" i="58"/>
  <c r="J19" i="71"/>
  <c r="A20" i="71"/>
  <c r="B20" i="71"/>
  <c r="C20" i="71"/>
  <c r="S259" i="79"/>
  <c r="I261" i="56"/>
  <c r="B262" i="57" l="1"/>
  <c r="D256" i="60"/>
  <c r="F262" i="57" l="1"/>
  <c r="R259" i="79"/>
  <c r="C256" i="60"/>
  <c r="B259" i="66"/>
  <c r="L19" i="71" l="1"/>
  <c r="N82" i="71" s="1"/>
  <c r="D259" i="66" l="1"/>
  <c r="Z256" i="60"/>
  <c r="H261" i="56"/>
  <c r="E259" i="66"/>
  <c r="O259" i="79"/>
  <c r="Z18" i="71"/>
  <c r="I260" i="56"/>
  <c r="B261" i="57"/>
  <c r="AE18" i="71"/>
  <c r="J17" i="71"/>
  <c r="S257" i="79"/>
  <c r="O258" i="58"/>
  <c r="AB16" i="71"/>
  <c r="K256" i="65"/>
  <c r="H258" i="56"/>
  <c r="AE16" i="71"/>
  <c r="A19" i="71" l="1"/>
  <c r="B19" i="71"/>
  <c r="C19" i="71"/>
  <c r="A252" i="60"/>
  <c r="F261" i="57"/>
  <c r="B258" i="66"/>
  <c r="K258" i="65"/>
  <c r="V257" i="79" l="1"/>
  <c r="S258" i="79"/>
  <c r="P258" i="65"/>
  <c r="D258" i="66"/>
  <c r="V258" i="79" l="1"/>
  <c r="S261" i="57"/>
  <c r="J18" i="71"/>
  <c r="N81" i="71" s="1"/>
  <c r="I17" i="71"/>
  <c r="I258" i="56" l="1"/>
  <c r="E256" i="66"/>
  <c r="I258" i="58"/>
  <c r="S256" i="79"/>
  <c r="F259" i="57"/>
  <c r="R256" i="79"/>
  <c r="T256" i="66"/>
  <c r="Z259" i="57"/>
  <c r="B259" i="57"/>
  <c r="J72" i="71"/>
  <c r="K72" i="71"/>
  <c r="J73" i="71"/>
  <c r="K73" i="71"/>
  <c r="J74" i="71"/>
  <c r="K74" i="71"/>
  <c r="J75" i="71"/>
  <c r="K75" i="71"/>
  <c r="J76" i="71"/>
  <c r="K76" i="71"/>
  <c r="J77" i="71"/>
  <c r="K77" i="71"/>
  <c r="J78" i="71"/>
  <c r="K78" i="71"/>
  <c r="J79" i="71"/>
  <c r="K79" i="71"/>
  <c r="J80" i="71"/>
  <c r="K80" i="71"/>
  <c r="J81" i="71"/>
  <c r="K81" i="71"/>
  <c r="J82" i="71"/>
  <c r="K82" i="71"/>
  <c r="I15" i="71"/>
  <c r="I14" i="71"/>
  <c r="B256" i="57"/>
  <c r="I255" i="56"/>
  <c r="L78" i="71" l="1"/>
  <c r="L76" i="71"/>
  <c r="L79" i="71"/>
  <c r="L80" i="71"/>
  <c r="L74" i="71"/>
  <c r="L75" i="71"/>
  <c r="L77" i="71"/>
  <c r="L82" i="71"/>
  <c r="L81" i="71"/>
  <c r="J16" i="71"/>
  <c r="N79" i="71" s="1"/>
  <c r="I257" i="56"/>
  <c r="BF258" i="56"/>
  <c r="P256" i="79" l="1"/>
  <c r="Y258" i="58"/>
  <c r="A15" i="71"/>
  <c r="A17" i="71"/>
  <c r="B258" i="57" l="1"/>
  <c r="S255" i="79"/>
  <c r="AB15" i="71" l="1"/>
  <c r="N78" i="71" s="1"/>
  <c r="F252" i="60"/>
  <c r="K255" i="65"/>
  <c r="L14" i="71"/>
  <c r="B15" i="71"/>
  <c r="C15" i="71"/>
  <c r="F257" i="57"/>
  <c r="S254" i="79"/>
  <c r="B257" i="57"/>
  <c r="AD254" i="79"/>
  <c r="J14" i="71"/>
  <c r="V257" i="57"/>
  <c r="Y257" i="57"/>
  <c r="C14" i="71"/>
  <c r="C16" i="71"/>
  <c r="B14" i="71"/>
  <c r="B16" i="71"/>
  <c r="A14" i="71"/>
  <c r="F255" i="57"/>
  <c r="I254" i="56"/>
  <c r="Z249" i="60"/>
  <c r="R252" i="79"/>
  <c r="AE254" i="58"/>
  <c r="AE12" i="71"/>
  <c r="S253" i="79"/>
  <c r="AA255" i="58"/>
  <c r="U255" i="58"/>
  <c r="N77" i="71" l="1"/>
  <c r="D255" i="58"/>
  <c r="O255" i="58"/>
  <c r="S252" i="79" l="1"/>
  <c r="C249" i="60"/>
  <c r="B255" i="57"/>
  <c r="AJ255" i="57"/>
  <c r="J12" i="71"/>
  <c r="O254" i="58"/>
  <c r="AB12" i="71"/>
  <c r="S255" i="57"/>
  <c r="B252" i="66"/>
  <c r="I254" i="58"/>
  <c r="J5" i="55"/>
  <c r="J18" i="55"/>
  <c r="J14" i="55"/>
  <c r="J22" i="55"/>
  <c r="J25" i="55"/>
  <c r="J24" i="55"/>
  <c r="J8" i="55"/>
  <c r="J16" i="55"/>
  <c r="J17" i="55"/>
  <c r="J9" i="55"/>
  <c r="J6" i="55"/>
  <c r="J10" i="55"/>
  <c r="J19" i="55"/>
  <c r="J13" i="55"/>
  <c r="J7" i="55"/>
  <c r="J15" i="55"/>
  <c r="J23" i="55"/>
  <c r="J11" i="55"/>
  <c r="J20" i="55"/>
  <c r="J12" i="55"/>
  <c r="J26" i="55"/>
  <c r="J21" i="55"/>
  <c r="AE10" i="71"/>
  <c r="O253" i="58"/>
  <c r="U252" i="58"/>
  <c r="AJ253" i="57"/>
  <c r="Z10" i="71"/>
  <c r="U254" i="58"/>
  <c r="Z53" i="41" l="1"/>
  <c r="N75" i="71"/>
  <c r="Z52" i="41"/>
  <c r="Z49" i="41"/>
  <c r="Z51" i="41"/>
  <c r="Z50" i="41"/>
  <c r="Z47" i="41"/>
  <c r="Z33" i="41"/>
  <c r="Z48" i="41"/>
  <c r="Z40" i="41"/>
  <c r="Z35" i="41"/>
  <c r="Z32" i="41"/>
  <c r="Z41" i="41"/>
  <c r="Z46" i="41"/>
  <c r="Z38" i="41"/>
  <c r="Z36" i="41"/>
  <c r="Z45" i="41"/>
  <c r="Z37" i="41"/>
  <c r="Z44" i="41"/>
  <c r="Z39" i="41"/>
  <c r="Z34" i="41"/>
  <c r="Z43" i="41"/>
  <c r="Z42" i="41"/>
  <c r="AA254" i="58"/>
  <c r="Y254" i="58"/>
  <c r="S254" i="58" l="1"/>
  <c r="R251" i="79" l="1"/>
  <c r="W254" i="57"/>
  <c r="L10" i="71"/>
  <c r="N73" i="71" s="1"/>
  <c r="B253" i="57"/>
  <c r="S250" i="79"/>
  <c r="AA250" i="79"/>
  <c r="B250" i="61"/>
  <c r="AH250" i="79"/>
  <c r="AE250" i="79"/>
  <c r="V250" i="79"/>
  <c r="S73" i="71" l="1"/>
  <c r="R74" i="71"/>
  <c r="S74" i="71"/>
  <c r="T73" i="71" s="1"/>
  <c r="R75" i="71"/>
  <c r="S75" i="71"/>
  <c r="R76" i="71"/>
  <c r="S76" i="71"/>
  <c r="R77" i="71"/>
  <c r="S77" i="71"/>
  <c r="R78" i="71"/>
  <c r="S78" i="71"/>
  <c r="R79" i="71"/>
  <c r="T79" i="71" s="1"/>
  <c r="S79" i="71"/>
  <c r="R80" i="71"/>
  <c r="S81" i="71"/>
  <c r="T81" i="71" s="1"/>
  <c r="S82" i="71"/>
  <c r="T82" i="71" s="1"/>
  <c r="R83" i="71"/>
  <c r="S83" i="71"/>
  <c r="R84" i="71"/>
  <c r="S84" i="71"/>
  <c r="R85" i="71"/>
  <c r="S85" i="71"/>
  <c r="R86" i="71"/>
  <c r="S86" i="71"/>
  <c r="R87" i="71"/>
  <c r="S87" i="71"/>
  <c r="R88" i="71"/>
  <c r="S88" i="71"/>
  <c r="R89" i="71"/>
  <c r="S89" i="71"/>
  <c r="R90" i="71"/>
  <c r="S90" i="71"/>
  <c r="S91" i="71"/>
  <c r="R92" i="71"/>
  <c r="S92" i="71"/>
  <c r="T91" i="71" s="1"/>
  <c r="S93" i="71"/>
  <c r="T93" i="71" s="1"/>
  <c r="S94" i="71"/>
  <c r="R95" i="71"/>
  <c r="S95" i="71"/>
  <c r="T94" i="71" s="1"/>
  <c r="R96" i="71"/>
  <c r="S96" i="71"/>
  <c r="R97" i="71"/>
  <c r="S97" i="71"/>
  <c r="R98" i="71"/>
  <c r="S98" i="71"/>
  <c r="S99" i="71"/>
  <c r="R100" i="71"/>
  <c r="S100" i="71"/>
  <c r="T99" i="71" s="1"/>
  <c r="R101" i="71"/>
  <c r="S101" i="71"/>
  <c r="R102" i="71"/>
  <c r="S102" i="71"/>
  <c r="R103" i="71"/>
  <c r="S103" i="71"/>
  <c r="R104" i="71"/>
  <c r="S104" i="71"/>
  <c r="R105" i="71"/>
  <c r="S105" i="71"/>
  <c r="R106" i="71"/>
  <c r="S106" i="71"/>
  <c r="S107" i="71"/>
  <c r="T107" i="71" s="1"/>
  <c r="R108" i="71"/>
  <c r="S108" i="71"/>
  <c r="R109" i="71"/>
  <c r="S109" i="71"/>
  <c r="R110" i="71"/>
  <c r="S110" i="71"/>
  <c r="R111" i="71"/>
  <c r="S111" i="71"/>
  <c r="R112" i="71"/>
  <c r="S112" i="71"/>
  <c r="R113" i="71"/>
  <c r="S113" i="71"/>
  <c r="R114" i="71"/>
  <c r="S114" i="71"/>
  <c r="AE8" i="71"/>
  <c r="AB9" i="71"/>
  <c r="N72" i="71" s="1"/>
  <c r="U251" i="58"/>
  <c r="S249" i="79"/>
  <c r="O251" i="58"/>
  <c r="AJ252" i="57"/>
  <c r="I252" i="56"/>
  <c r="T108" i="71" l="1"/>
  <c r="T101" i="71"/>
  <c r="T110" i="71"/>
  <c r="T96" i="71"/>
  <c r="T87" i="71"/>
  <c r="T104" i="71"/>
  <c r="T76" i="71"/>
  <c r="T83" i="71"/>
  <c r="T75" i="71"/>
  <c r="T85" i="71"/>
  <c r="O252" i="58"/>
  <c r="T252" i="58"/>
  <c r="I10" i="71"/>
  <c r="Z246" i="60" l="1"/>
  <c r="Z9" i="71"/>
  <c r="AI249" i="79"/>
  <c r="AE249" i="79"/>
  <c r="B252" i="57"/>
  <c r="N251" i="58" l="1"/>
  <c r="W252" i="57"/>
  <c r="T251" i="58"/>
  <c r="I9" i="71"/>
  <c r="Y27" i="41" l="1"/>
  <c r="X27" i="41"/>
  <c r="Z27" i="41"/>
  <c r="Z48" i="70"/>
  <c r="AE47" i="70"/>
  <c r="S227" i="79"/>
  <c r="Y229" i="58"/>
  <c r="AG227" i="79"/>
  <c r="I229" i="56"/>
  <c r="AC227" i="66"/>
  <c r="J48" i="70"/>
  <c r="J227" i="66"/>
  <c r="U229" i="58"/>
  <c r="F229" i="57"/>
  <c r="C229" i="58"/>
  <c r="I229" i="62"/>
  <c r="W227" i="79"/>
  <c r="O229" i="58"/>
  <c r="I48" i="70"/>
  <c r="S248" i="79"/>
  <c r="Z245" i="60"/>
  <c r="K248" i="65"/>
  <c r="A10" i="71"/>
  <c r="B10" i="71"/>
  <c r="A11" i="71"/>
  <c r="B11" i="71"/>
  <c r="A12" i="71"/>
  <c r="B12" i="71"/>
  <c r="A13" i="71"/>
  <c r="B13" i="71"/>
  <c r="B17" i="71"/>
  <c r="A18" i="71"/>
  <c r="B18" i="71"/>
  <c r="A21" i="71"/>
  <c r="B21" i="71"/>
  <c r="A25" i="71"/>
  <c r="B25" i="71"/>
  <c r="A26" i="71"/>
  <c r="B26" i="71"/>
  <c r="A27" i="71"/>
  <c r="B27" i="71"/>
  <c r="A29" i="71"/>
  <c r="B29" i="71"/>
  <c r="B30" i="71"/>
  <c r="A34" i="71"/>
  <c r="B34" i="71"/>
  <c r="A35" i="71"/>
  <c r="B35" i="71"/>
  <c r="A36" i="71"/>
  <c r="B36" i="71"/>
  <c r="A37" i="71"/>
  <c r="B37" i="71"/>
  <c r="A38" i="71"/>
  <c r="B38" i="71"/>
  <c r="A39" i="71"/>
  <c r="B39" i="71"/>
  <c r="A40" i="71"/>
  <c r="B40" i="71"/>
  <c r="A41" i="71"/>
  <c r="B41" i="71"/>
  <c r="A43" i="71"/>
  <c r="B43" i="71"/>
  <c r="A44" i="71"/>
  <c r="B44" i="71"/>
  <c r="A45" i="71"/>
  <c r="B45" i="71"/>
  <c r="A46" i="71"/>
  <c r="B46" i="71"/>
  <c r="A48" i="71"/>
  <c r="B48" i="71"/>
  <c r="A49" i="71"/>
  <c r="B49" i="71"/>
  <c r="C9" i="71"/>
  <c r="C10" i="71"/>
  <c r="C11" i="71"/>
  <c r="C12" i="71"/>
  <c r="C13" i="71"/>
  <c r="C17" i="71"/>
  <c r="C18" i="71"/>
  <c r="C21" i="71"/>
  <c r="C25" i="71"/>
  <c r="C26" i="71"/>
  <c r="C27" i="71"/>
  <c r="C29" i="71"/>
  <c r="C30" i="71"/>
  <c r="C34" i="71"/>
  <c r="C35" i="71"/>
  <c r="C36" i="71"/>
  <c r="C37" i="71"/>
  <c r="C38" i="71"/>
  <c r="C39" i="71"/>
  <c r="C40" i="71"/>
  <c r="C41" i="71"/>
  <c r="C43" i="71"/>
  <c r="C44" i="71"/>
  <c r="C45" i="71"/>
  <c r="C46" i="71"/>
  <c r="C48" i="71"/>
  <c r="C49" i="71"/>
  <c r="C50" i="71"/>
  <c r="C51" i="71"/>
  <c r="C52" i="71"/>
  <c r="C53" i="71"/>
  <c r="C54" i="71"/>
  <c r="C55" i="71"/>
  <c r="C56" i="71"/>
  <c r="C57" i="71"/>
  <c r="C58" i="71"/>
  <c r="C59" i="71"/>
  <c r="C60" i="71"/>
  <c r="C61" i="71"/>
  <c r="C62" i="71"/>
  <c r="A9" i="71"/>
  <c r="B9" i="71"/>
  <c r="A8" i="71"/>
  <c r="C8" i="71"/>
  <c r="B8" i="71"/>
  <c r="M7" i="55" l="1"/>
  <c r="M19" i="55"/>
  <c r="M15" i="55"/>
  <c r="M10" i="55"/>
  <c r="M23" i="55"/>
  <c r="M11" i="55"/>
  <c r="M6" i="55"/>
  <c r="M25" i="55"/>
  <c r="M21" i="55"/>
  <c r="M14" i="55"/>
  <c r="M8" i="55"/>
  <c r="M24" i="55"/>
  <c r="M5" i="55"/>
  <c r="M16" i="55"/>
  <c r="M20" i="55"/>
  <c r="M12" i="55"/>
  <c r="M22" i="55"/>
  <c r="M13" i="55"/>
  <c r="M17" i="55"/>
  <c r="M26" i="55"/>
  <c r="W27" i="41"/>
  <c r="AA27" i="41"/>
  <c r="Y250" i="58"/>
  <c r="AE250" i="58"/>
  <c r="AB53" i="41" l="1"/>
  <c r="AB49" i="41"/>
  <c r="AB52" i="41"/>
  <c r="AB50" i="41"/>
  <c r="AB47" i="41"/>
  <c r="AB51" i="41"/>
  <c r="AB48" i="41"/>
  <c r="M18" i="55"/>
  <c r="AB46" i="41" s="1"/>
  <c r="M9" i="55"/>
  <c r="AB27" i="41"/>
  <c r="B248" i="61"/>
  <c r="A249" i="61"/>
  <c r="A250" i="61"/>
  <c r="A251" i="61"/>
  <c r="A252" i="61"/>
  <c r="A253" i="61"/>
  <c r="A254" i="61"/>
  <c r="A255" i="61"/>
  <c r="A256" i="61"/>
  <c r="A257" i="61"/>
  <c r="L251" i="57"/>
  <c r="C8" i="70"/>
  <c r="AB42" i="41" l="1"/>
  <c r="AB41" i="41"/>
  <c r="AB45" i="41"/>
  <c r="AB43" i="41"/>
  <c r="AB40" i="41"/>
  <c r="AB32" i="41"/>
  <c r="AB36" i="41"/>
  <c r="AB39" i="41"/>
  <c r="AB37" i="41"/>
  <c r="AB33" i="41"/>
  <c r="AB35" i="41"/>
  <c r="AB34" i="41"/>
  <c r="AB44" i="41"/>
  <c r="AB38" i="41"/>
  <c r="M27" i="55"/>
  <c r="K21" i="55" s="1"/>
  <c r="A258" i="61"/>
  <c r="A259" i="61"/>
  <c r="A250" i="62"/>
  <c r="A251" i="62"/>
  <c r="A252" i="62"/>
  <c r="A253" i="62"/>
  <c r="A254" i="62"/>
  <c r="A255" i="62"/>
  <c r="A256" i="62"/>
  <c r="A257" i="62"/>
  <c r="A258" i="62"/>
  <c r="A259" i="62"/>
  <c r="A260" i="62"/>
  <c r="A261" i="62"/>
  <c r="A262" i="62"/>
  <c r="A251" i="58"/>
  <c r="A252" i="58"/>
  <c r="A253" i="58"/>
  <c r="A254" i="58"/>
  <c r="A255" i="58"/>
  <c r="A256" i="58"/>
  <c r="A257" i="58"/>
  <c r="A258" i="58"/>
  <c r="A259" i="58"/>
  <c r="J227" i="79"/>
  <c r="S226" i="79"/>
  <c r="AD226" i="79"/>
  <c r="AB54" i="41" l="1"/>
  <c r="AB48" i="70"/>
  <c r="F228" i="57"/>
  <c r="A48" i="70"/>
  <c r="B48" i="70"/>
  <c r="C48" i="70"/>
  <c r="C224" i="60"/>
  <c r="I46" i="70"/>
  <c r="AD224" i="79"/>
  <c r="P224" i="65"/>
  <c r="Z226" i="57"/>
  <c r="D223" i="60"/>
  <c r="G226" i="57"/>
  <c r="AE45" i="70"/>
  <c r="AE41" i="70"/>
  <c r="D226" i="66"/>
  <c r="C225" i="60"/>
  <c r="V228" i="57" l="1"/>
  <c r="AG226" i="79"/>
  <c r="G228" i="57"/>
  <c r="V226" i="66"/>
  <c r="AE226" i="79"/>
  <c r="AO226" i="79"/>
  <c r="AN225" i="79" l="1"/>
  <c r="Z224" i="60"/>
  <c r="AD225" i="79"/>
  <c r="S225" i="79"/>
  <c r="F227" i="57" l="1"/>
  <c r="B227" i="57"/>
  <c r="Y227" i="58" l="1"/>
  <c r="Z46" i="70"/>
  <c r="I227" i="56"/>
  <c r="H227" i="56"/>
  <c r="B225" i="61" l="1"/>
  <c r="O227" i="58"/>
  <c r="AA227" i="58"/>
  <c r="U226" i="58" l="1"/>
  <c r="S224" i="79"/>
  <c r="B223" i="60"/>
  <c r="K224" i="65"/>
  <c r="I226" i="57"/>
  <c r="AF224" i="79"/>
  <c r="Z44" i="70" l="1"/>
  <c r="AC223" i="79"/>
  <c r="F225" i="57"/>
  <c r="S223" i="79"/>
  <c r="H225" i="56"/>
  <c r="I225" i="56"/>
  <c r="I44" i="70"/>
  <c r="AE44" i="70"/>
  <c r="B226" i="57"/>
  <c r="F226" i="57" l="1"/>
  <c r="I226" i="58" l="1"/>
  <c r="J44" i="70" l="1"/>
  <c r="B225" i="57"/>
  <c r="BF225" i="56" l="1"/>
  <c r="U225" i="58"/>
  <c r="AA225" i="58" l="1"/>
  <c r="L44" i="70" l="1"/>
  <c r="Y225" i="58"/>
  <c r="I225" i="57"/>
  <c r="AL222" i="60"/>
  <c r="K223" i="65"/>
  <c r="L43" i="70"/>
  <c r="K43" i="70"/>
  <c r="AB43" i="70"/>
  <c r="I224" i="56"/>
  <c r="S222" i="79"/>
  <c r="U224" i="58"/>
  <c r="I224" i="57"/>
  <c r="O224" i="58"/>
  <c r="H43" i="70"/>
  <c r="B222" i="66"/>
  <c r="Z43" i="70"/>
  <c r="H224" i="56"/>
  <c r="B224" i="57"/>
  <c r="K222" i="65"/>
  <c r="N43" i="70"/>
  <c r="V97" i="70"/>
  <c r="T98" i="70"/>
  <c r="U98" i="70"/>
  <c r="T99" i="70"/>
  <c r="U99" i="70"/>
  <c r="T100" i="70"/>
  <c r="U100" i="70"/>
  <c r="AE43" i="70"/>
  <c r="AM222" i="60"/>
  <c r="D222" i="60"/>
  <c r="B223" i="66"/>
  <c r="V99" i="70" l="1"/>
  <c r="V98" i="70"/>
  <c r="Z224" i="57"/>
  <c r="S224" i="57"/>
  <c r="F224" i="57"/>
  <c r="J222" i="66"/>
  <c r="AG222" i="79"/>
  <c r="O223" i="58"/>
  <c r="I42" i="70"/>
  <c r="V95" i="70"/>
  <c r="L96" i="70"/>
  <c r="M96" i="70"/>
  <c r="AR223" i="56"/>
  <c r="Z42" i="70"/>
  <c r="J42" i="70"/>
  <c r="Z41" i="70"/>
  <c r="AQ223" i="56"/>
  <c r="S221" i="79"/>
  <c r="AE221" i="79"/>
  <c r="J221" i="66"/>
  <c r="S220" i="79"/>
  <c r="A44" i="70"/>
  <c r="B44" i="70"/>
  <c r="C44" i="70"/>
  <c r="H222" i="56"/>
  <c r="N96" i="70" l="1"/>
  <c r="C42" i="70"/>
  <c r="C43" i="70"/>
  <c r="B42" i="70"/>
  <c r="B43" i="70"/>
  <c r="A42" i="70"/>
  <c r="A43" i="70"/>
  <c r="D220" i="79"/>
  <c r="AE39" i="70" l="1"/>
  <c r="H40" i="70"/>
  <c r="H39" i="70"/>
  <c r="I221" i="56"/>
  <c r="AP220" i="56"/>
  <c r="B221" i="57"/>
  <c r="P221" i="58"/>
  <c r="U222" i="58"/>
  <c r="AC219" i="79" l="1"/>
  <c r="A41" i="70"/>
  <c r="B41" i="70"/>
  <c r="C41" i="70"/>
  <c r="Y219" i="79"/>
  <c r="U221" i="58"/>
  <c r="K219" i="65"/>
  <c r="R219" i="79"/>
  <c r="S219" i="79"/>
  <c r="F221" i="57"/>
  <c r="F218" i="60"/>
  <c r="B221" i="58"/>
  <c r="J40" i="70"/>
  <c r="E219" i="66"/>
  <c r="I40" i="70"/>
  <c r="AL217" i="60"/>
  <c r="T218" i="66"/>
  <c r="S218" i="79"/>
  <c r="U220" i="58"/>
  <c r="K206" i="81"/>
  <c r="E206" i="81"/>
  <c r="O206" i="81"/>
  <c r="J39" i="70"/>
  <c r="I39" i="70"/>
  <c r="H220" i="56" l="1"/>
  <c r="B220" i="57"/>
  <c r="R220" i="56" l="1"/>
  <c r="AF217" i="79" l="1"/>
  <c r="I219" i="56"/>
  <c r="AC217" i="79"/>
  <c r="Z38" i="70"/>
  <c r="J38" i="70"/>
  <c r="B219" i="57"/>
  <c r="I38" i="70"/>
  <c r="AB37" i="70"/>
  <c r="Z37" i="70"/>
  <c r="AE37" i="70"/>
  <c r="T91" i="70"/>
  <c r="U91" i="70"/>
  <c r="T92" i="70"/>
  <c r="AB38" i="70"/>
  <c r="S217" i="79"/>
  <c r="F219" i="57"/>
  <c r="G219" i="57" l="1"/>
  <c r="O219" i="58"/>
  <c r="U219" i="58"/>
  <c r="L38" i="70"/>
  <c r="E217" i="66"/>
  <c r="D216" i="60"/>
  <c r="B217" i="66"/>
  <c r="K217" i="65" l="1"/>
  <c r="Y219" i="58"/>
  <c r="B216" i="60"/>
  <c r="C217" i="61"/>
  <c r="AD217" i="79"/>
  <c r="Z35" i="70"/>
  <c r="AE35" i="70"/>
  <c r="B217" i="57"/>
  <c r="B214" i="60"/>
  <c r="Z36" i="70"/>
  <c r="I216" i="56"/>
  <c r="T214" i="65"/>
  <c r="S214" i="79"/>
  <c r="P218" i="56"/>
  <c r="S216" i="79"/>
  <c r="B218" i="57"/>
  <c r="I218" i="56"/>
  <c r="K216" i="65"/>
  <c r="S215" i="79"/>
  <c r="AG215" i="79"/>
  <c r="A37" i="70"/>
  <c r="B37" i="70"/>
  <c r="C37" i="70"/>
  <c r="AE215" i="79"/>
  <c r="G217" i="57"/>
  <c r="I217" i="56"/>
  <c r="B217" i="62" l="1"/>
  <c r="J36" i="70"/>
  <c r="Z214" i="60" l="1"/>
  <c r="I36" i="70"/>
  <c r="K215" i="65"/>
  <c r="O217" i="58" l="1"/>
  <c r="F216" i="57" l="1"/>
  <c r="B213" i="60"/>
  <c r="H216" i="56"/>
  <c r="BF216" i="56"/>
  <c r="Y216" i="58"/>
  <c r="H34" i="70"/>
  <c r="Z33" i="70"/>
  <c r="AB32" i="70"/>
  <c r="K212" i="65"/>
  <c r="I33" i="70"/>
  <c r="Z32" i="70"/>
  <c r="T90" i="70"/>
  <c r="U90" i="70"/>
  <c r="U93" i="70"/>
  <c r="AE32" i="70"/>
  <c r="AE25" i="70"/>
  <c r="AE213" i="60"/>
  <c r="A35" i="70" l="1"/>
  <c r="B35" i="70"/>
  <c r="C35" i="70"/>
  <c r="AE212" i="60"/>
  <c r="W215" i="57"/>
  <c r="U215" i="58"/>
  <c r="I34" i="70"/>
  <c r="S212" i="79" l="1"/>
  <c r="BF214" i="56"/>
  <c r="F214" i="57"/>
  <c r="O214" i="58"/>
  <c r="BF213" i="56" l="1"/>
  <c r="B211" i="65"/>
  <c r="B213" i="56"/>
  <c r="B213" i="57" l="1"/>
  <c r="F211" i="66" l="1"/>
  <c r="Z30" i="70"/>
  <c r="U85" i="70"/>
  <c r="H212" i="56"/>
  <c r="AB30" i="70"/>
  <c r="AE30" i="70"/>
  <c r="D211" i="66" l="1"/>
  <c r="Y213" i="57"/>
  <c r="A32" i="70"/>
  <c r="B32" i="70"/>
  <c r="C32" i="70"/>
  <c r="Z31" i="70"/>
  <c r="BF212" i="56"/>
  <c r="O212" i="58"/>
  <c r="AA209" i="60"/>
  <c r="A31" i="70" l="1"/>
  <c r="B31" i="70"/>
  <c r="C31" i="70"/>
  <c r="K210" i="65"/>
  <c r="S210" i="79"/>
  <c r="I212" i="56"/>
  <c r="AB31" i="70"/>
  <c r="J31" i="70"/>
  <c r="I31" i="70"/>
  <c r="B207" i="66"/>
  <c r="I210" i="56"/>
  <c r="S208" i="79"/>
  <c r="F210" i="57"/>
  <c r="Z29" i="70"/>
  <c r="AB28" i="70"/>
  <c r="F209" i="57"/>
  <c r="AE28" i="70" l="1"/>
  <c r="B211" i="57" l="1"/>
  <c r="I211" i="56"/>
  <c r="S209" i="79"/>
  <c r="H30" i="70"/>
  <c r="U211" i="58"/>
  <c r="F211" i="57"/>
  <c r="H211" i="56"/>
  <c r="Y211" i="58"/>
  <c r="P209" i="65"/>
  <c r="O209" i="79"/>
  <c r="I209" i="65"/>
  <c r="AD209" i="79"/>
  <c r="B208" i="66"/>
  <c r="K208" i="65"/>
  <c r="B210" i="57"/>
  <c r="AD208" i="79"/>
  <c r="P208" i="65" l="1"/>
  <c r="I209" i="56" l="1"/>
  <c r="AB29" i="70"/>
  <c r="I29" i="70"/>
  <c r="O209" i="58"/>
  <c r="B207" i="61"/>
  <c r="I207" i="56"/>
  <c r="BF208" i="56"/>
  <c r="K208" i="58"/>
  <c r="AJ208" i="57"/>
  <c r="BF207" i="56"/>
  <c r="B207" i="57"/>
  <c r="Y209" i="58" l="1"/>
  <c r="B206" i="60"/>
  <c r="AE207" i="79"/>
  <c r="B209" i="57"/>
  <c r="S207" i="79"/>
  <c r="H209" i="56"/>
  <c r="R207" i="79"/>
  <c r="AD207" i="79"/>
  <c r="Z28" i="70"/>
  <c r="H208" i="56"/>
  <c r="S206" i="79"/>
  <c r="Z27" i="70" l="1"/>
  <c r="B208" i="57" l="1"/>
  <c r="E206" i="66"/>
  <c r="I208" i="56"/>
  <c r="W206" i="79"/>
  <c r="E206" i="79"/>
  <c r="AC206" i="79"/>
  <c r="T208" i="58"/>
  <c r="I27" i="70"/>
  <c r="A27" i="70"/>
  <c r="B27" i="70"/>
  <c r="C27" i="70"/>
  <c r="AB23" i="70"/>
  <c r="O203" i="58"/>
  <c r="BF203" i="56"/>
  <c r="T77" i="70"/>
  <c r="U77" i="70"/>
  <c r="T78" i="70"/>
  <c r="U78" i="70"/>
  <c r="V75" i="70" s="1"/>
  <c r="T79" i="70"/>
  <c r="U79" i="70"/>
  <c r="T80" i="70"/>
  <c r="U80" i="70"/>
  <c r="T81" i="70"/>
  <c r="U81" i="70"/>
  <c r="T82" i="70"/>
  <c r="U82" i="70"/>
  <c r="T83" i="70"/>
  <c r="U83" i="70"/>
  <c r="T84" i="70"/>
  <c r="V84" i="70" s="1"/>
  <c r="U84" i="70"/>
  <c r="T85" i="70"/>
  <c r="AE21" i="70"/>
  <c r="AB21" i="70"/>
  <c r="V79" i="70" l="1"/>
  <c r="V82" i="70"/>
  <c r="V207" i="58"/>
  <c r="Y207" i="58"/>
  <c r="U207" i="58"/>
  <c r="F207" i="57"/>
  <c r="N206" i="58"/>
  <c r="O205" i="79"/>
  <c r="S205" i="79"/>
  <c r="A207" i="56"/>
  <c r="I26" i="70"/>
  <c r="AB25" i="70"/>
  <c r="F206" i="57"/>
  <c r="I206" i="56"/>
  <c r="Y206" i="58"/>
  <c r="Z25" i="70"/>
  <c r="I24" i="70"/>
  <c r="I190" i="81"/>
  <c r="Q201" i="60"/>
  <c r="B204" i="62"/>
  <c r="U204" i="58"/>
  <c r="I23" i="70"/>
  <c r="A23" i="70"/>
  <c r="B23" i="70"/>
  <c r="C23" i="70"/>
  <c r="B203" i="62"/>
  <c r="Z22" i="70"/>
  <c r="S201" i="79"/>
  <c r="K201" i="65" l="1"/>
  <c r="I22" i="70"/>
  <c r="H202" i="56"/>
  <c r="AE19" i="70"/>
  <c r="AB19" i="70"/>
  <c r="T199" i="66"/>
  <c r="I201" i="56"/>
  <c r="K198" i="65"/>
  <c r="N201" i="58"/>
  <c r="I20" i="70"/>
  <c r="B198" i="61"/>
  <c r="P198" i="65"/>
  <c r="R198" i="79"/>
  <c r="F202" i="57"/>
  <c r="P200" i="65"/>
  <c r="B202" i="57"/>
  <c r="S200" i="79"/>
  <c r="I202" i="56"/>
  <c r="Z21" i="70"/>
  <c r="K200" i="65"/>
  <c r="R200" i="79"/>
  <c r="AF200" i="79"/>
  <c r="AA202" i="58"/>
  <c r="BF202" i="56"/>
  <c r="Y202" i="58"/>
  <c r="C198" i="60"/>
  <c r="B199" i="66"/>
  <c r="S199" i="79"/>
  <c r="B198" i="60"/>
  <c r="X199" i="79"/>
  <c r="BF201" i="56"/>
  <c r="K199" i="65"/>
  <c r="AJ201" i="57"/>
  <c r="S198" i="79"/>
  <c r="F200" i="57" l="1"/>
  <c r="O200" i="58"/>
  <c r="B200" i="62"/>
  <c r="I199" i="56"/>
  <c r="O199" i="58"/>
  <c r="BF199" i="56"/>
  <c r="Z18" i="70"/>
  <c r="AB18" i="70"/>
  <c r="V72" i="70"/>
  <c r="AE18" i="70" l="1"/>
  <c r="O198" i="79"/>
  <c r="B200" i="57"/>
  <c r="B186" i="81"/>
  <c r="H200" i="56"/>
  <c r="A19" i="70"/>
  <c r="B19" i="70"/>
  <c r="C19" i="70"/>
  <c r="S197" i="79"/>
  <c r="B199" i="57"/>
  <c r="Y199" i="58"/>
  <c r="H199" i="56"/>
  <c r="F199" i="57"/>
  <c r="AI197" i="79"/>
  <c r="L18" i="70"/>
  <c r="U199" i="58"/>
  <c r="AH196" i="60"/>
  <c r="H185" i="81"/>
  <c r="AE17" i="70"/>
  <c r="I198" i="56"/>
  <c r="T198" i="57"/>
  <c r="Z17" i="70"/>
  <c r="O198" i="58"/>
  <c r="BF198" i="56"/>
  <c r="V71" i="70"/>
  <c r="K197" i="65" l="1"/>
  <c r="D196" i="60" l="1"/>
  <c r="AD199" i="58"/>
  <c r="K196" i="65" l="1"/>
  <c r="F198" i="57"/>
  <c r="H198" i="56"/>
  <c r="U198" i="58"/>
  <c r="B198" i="57"/>
  <c r="S196" i="79"/>
  <c r="J17" i="70"/>
  <c r="B196" i="66"/>
  <c r="N196" i="65"/>
  <c r="AJ198" i="57"/>
  <c r="L17" i="70"/>
  <c r="I16" i="70"/>
  <c r="K194" i="65"/>
  <c r="BF196" i="56"/>
  <c r="I196" i="56"/>
  <c r="S194" i="79"/>
  <c r="AB15" i="70"/>
  <c r="Z15" i="70"/>
  <c r="AE15" i="70"/>
  <c r="B195" i="60" l="1"/>
  <c r="E196" i="66" l="1"/>
  <c r="I17" i="70" l="1"/>
  <c r="AB17" i="70"/>
  <c r="T197" i="58" l="1"/>
  <c r="P195" i="65"/>
  <c r="U197" i="58"/>
  <c r="B197" i="57"/>
  <c r="K195" i="65"/>
  <c r="O197" i="58"/>
  <c r="I197" i="56"/>
  <c r="BF197" i="56"/>
  <c r="F197" i="57"/>
  <c r="AB16" i="70"/>
  <c r="L15" i="70"/>
  <c r="F196" i="57"/>
  <c r="H196" i="56"/>
  <c r="Y196" i="57"/>
  <c r="U196" i="58"/>
  <c r="Y196" i="58"/>
  <c r="E7" i="80"/>
  <c r="E6" i="80"/>
  <c r="I14" i="70" l="1"/>
  <c r="Y194" i="57"/>
  <c r="W194" i="58"/>
  <c r="Z13" i="70"/>
  <c r="AE13" i="70"/>
  <c r="P194" i="65" l="1"/>
  <c r="W196" i="57"/>
  <c r="B194" i="66" l="1"/>
  <c r="J14" i="70" l="1"/>
  <c r="B194" i="57"/>
  <c r="N194" i="58"/>
  <c r="BF194" i="56"/>
  <c r="AB13" i="70"/>
  <c r="P67" i="70" s="1"/>
  <c r="A13" i="70"/>
  <c r="B13" i="70"/>
  <c r="C13" i="70"/>
  <c r="P194" i="57"/>
  <c r="B191" i="65"/>
  <c r="Z12" i="70"/>
  <c r="AF192" i="57"/>
  <c r="V65" i="70" l="1"/>
  <c r="T68" i="70"/>
  <c r="T69" i="70"/>
  <c r="T70" i="70"/>
  <c r="T74" i="70"/>
  <c r="T76" i="70"/>
  <c r="AE11" i="70"/>
  <c r="S191" i="79" l="1"/>
  <c r="R191" i="79"/>
  <c r="B191" i="61" l="1"/>
  <c r="J12" i="70"/>
  <c r="Y193" i="57"/>
  <c r="AJ193" i="57"/>
  <c r="I12" i="70"/>
  <c r="K192" i="57"/>
  <c r="P192" i="57"/>
  <c r="A194" i="57"/>
  <c r="A11" i="70"/>
  <c r="A12" i="70"/>
  <c r="B11" i="70"/>
  <c r="B12" i="70"/>
  <c r="C11" i="70"/>
  <c r="C12" i="70"/>
  <c r="E5" i="55"/>
  <c r="E15" i="55"/>
  <c r="AE8" i="70"/>
  <c r="AF191" i="57"/>
  <c r="T188" i="79"/>
  <c r="T187" i="79"/>
  <c r="I9" i="70"/>
  <c r="I10" i="70"/>
  <c r="R27" i="41" l="1"/>
  <c r="P62" i="70"/>
  <c r="U189" i="58"/>
  <c r="B187" i="66"/>
  <c r="Z56" i="69"/>
  <c r="I179" i="62"/>
  <c r="A180" i="62"/>
  <c r="A179" i="62"/>
  <c r="A178" i="62"/>
  <c r="A177" i="62"/>
  <c r="A176" i="62"/>
  <c r="A175" i="62"/>
  <c r="A174" i="62"/>
  <c r="A173" i="62"/>
  <c r="A172" i="62"/>
  <c r="A171" i="62"/>
  <c r="A170" i="62"/>
  <c r="J118" i="69"/>
  <c r="K118" i="69"/>
  <c r="S115" i="69"/>
  <c r="S116" i="69"/>
  <c r="S117" i="69"/>
  <c r="S118" i="69"/>
  <c r="T115" i="69" s="1"/>
  <c r="R117" i="69"/>
  <c r="R118" i="69"/>
  <c r="AE53" i="69"/>
  <c r="AJ176" i="57"/>
  <c r="W176" i="57"/>
  <c r="I176" i="56"/>
  <c r="Q177" i="66"/>
  <c r="U174" i="58"/>
  <c r="AB55" i="69"/>
  <c r="Z54" i="69"/>
  <c r="AB54" i="69"/>
  <c r="U173" i="58"/>
  <c r="A175" i="66"/>
  <c r="A176" i="66"/>
  <c r="A177" i="66"/>
  <c r="A178" i="66"/>
  <c r="A179" i="66"/>
  <c r="A180" i="66"/>
  <c r="A176" i="57"/>
  <c r="A177" i="57"/>
  <c r="A178" i="57"/>
  <c r="J187" i="66" l="1"/>
  <c r="F189" i="57"/>
  <c r="B189" i="57"/>
  <c r="K176" i="65" l="1"/>
  <c r="S173" i="79"/>
  <c r="Z177" i="60"/>
  <c r="H57" i="69" l="1"/>
  <c r="AB57" i="69"/>
  <c r="V176" i="58"/>
  <c r="I57" i="69"/>
  <c r="B57" i="69"/>
  <c r="C57" i="69"/>
  <c r="S172" i="79"/>
  <c r="Y175" i="58"/>
  <c r="AB56" i="69"/>
  <c r="F175" i="57"/>
  <c r="U175" i="58"/>
  <c r="X175" i="65"/>
  <c r="H176" i="56"/>
  <c r="AD172" i="79"/>
  <c r="S114" i="69"/>
  <c r="R116" i="69"/>
  <c r="B171" i="57"/>
  <c r="F171" i="57"/>
  <c r="B172" i="57"/>
  <c r="F172" i="57"/>
  <c r="T172" i="57"/>
  <c r="AJ172" i="57"/>
  <c r="F173" i="57"/>
  <c r="A160" i="57"/>
  <c r="A161" i="57"/>
  <c r="A162" i="57"/>
  <c r="A163" i="57"/>
  <c r="A164" i="57"/>
  <c r="A165" i="57"/>
  <c r="A166" i="57"/>
  <c r="A167" i="57"/>
  <c r="A168" i="57"/>
  <c r="A169" i="57"/>
  <c r="A170" i="57"/>
  <c r="A171" i="57"/>
  <c r="A172" i="57"/>
  <c r="A173" i="57"/>
  <c r="A174" i="57"/>
  <c r="A175" i="57"/>
  <c r="B158" i="57"/>
  <c r="F158" i="57"/>
  <c r="B159" i="57"/>
  <c r="F159" i="57"/>
  <c r="F160" i="57"/>
  <c r="B161" i="57"/>
  <c r="B162" i="57"/>
  <c r="F162" i="57"/>
  <c r="F166" i="57"/>
  <c r="A159" i="57"/>
  <c r="Z53" i="69"/>
  <c r="A173" i="60"/>
  <c r="A174" i="60"/>
  <c r="A175" i="60"/>
  <c r="A176" i="60"/>
  <c r="A177" i="60"/>
  <c r="A178" i="60"/>
  <c r="A179" i="60"/>
  <c r="Y172" i="58"/>
  <c r="A180" i="61"/>
  <c r="A179" i="61"/>
  <c r="A178" i="61"/>
  <c r="A177" i="61"/>
  <c r="A176" i="61"/>
  <c r="A175" i="61"/>
  <c r="A174" i="61"/>
  <c r="A173" i="61"/>
  <c r="A172" i="61"/>
  <c r="A171" i="61"/>
  <c r="A170" i="61"/>
  <c r="A169" i="61"/>
  <c r="A168" i="61"/>
  <c r="A167" i="61"/>
  <c r="A166" i="61"/>
  <c r="A165" i="61"/>
  <c r="A164" i="61"/>
  <c r="A163" i="61"/>
  <c r="A162" i="61"/>
  <c r="A161" i="61"/>
  <c r="A160" i="61"/>
  <c r="A159" i="61"/>
  <c r="A158" i="61"/>
  <c r="A157" i="61"/>
  <c r="B175" i="66" l="1"/>
  <c r="Q175" i="66"/>
  <c r="P173" i="58"/>
  <c r="BF174" i="56"/>
  <c r="B54" i="69"/>
  <c r="C54" i="69"/>
  <c r="B55" i="69"/>
  <c r="C55" i="69"/>
  <c r="B56" i="69"/>
  <c r="C56" i="69"/>
  <c r="H173" i="56"/>
  <c r="J53" i="69"/>
  <c r="N114" i="69" s="1"/>
  <c r="D174" i="66"/>
  <c r="X172" i="58"/>
  <c r="E174" i="66"/>
  <c r="Z173" i="60"/>
  <c r="B174" i="66"/>
  <c r="O172" i="58"/>
  <c r="B53" i="69"/>
  <c r="C53" i="69"/>
  <c r="AJ169" i="79"/>
  <c r="B175" i="62"/>
  <c r="I173" i="56"/>
  <c r="R169" i="79"/>
  <c r="S169" i="79"/>
  <c r="F174" i="61"/>
  <c r="R112" i="69"/>
  <c r="T112" i="69" s="1"/>
  <c r="R113" i="69"/>
  <c r="AE51" i="69"/>
  <c r="A154" i="66"/>
  <c r="A155" i="66"/>
  <c r="A156" i="66"/>
  <c r="A157" i="66"/>
  <c r="A158" i="66"/>
  <c r="A159" i="66"/>
  <c r="A160" i="66"/>
  <c r="A161" i="66"/>
  <c r="A162" i="66"/>
  <c r="A163" i="66"/>
  <c r="A164" i="66"/>
  <c r="A165" i="66"/>
  <c r="A166" i="66"/>
  <c r="A167" i="66"/>
  <c r="A168" i="66"/>
  <c r="A169" i="66"/>
  <c r="A170" i="66"/>
  <c r="A171" i="66"/>
  <c r="A172" i="66"/>
  <c r="A173" i="66"/>
  <c r="A174" i="66"/>
  <c r="D163" i="66"/>
  <c r="B164" i="66"/>
  <c r="D164" i="66"/>
  <c r="E164" i="66"/>
  <c r="E167" i="66"/>
  <c r="E168" i="66"/>
  <c r="J169" i="66"/>
  <c r="B173" i="66"/>
  <c r="T173" i="66"/>
  <c r="O171" i="58"/>
  <c r="U171" i="58"/>
  <c r="Z52" i="69"/>
  <c r="B172" i="60"/>
  <c r="K172" i="65"/>
  <c r="K174" i="62"/>
  <c r="A156" i="62"/>
  <c r="A157" i="62"/>
  <c r="A158" i="62"/>
  <c r="A159" i="62"/>
  <c r="A160" i="62"/>
  <c r="A161" i="62"/>
  <c r="A162" i="62"/>
  <c r="A163" i="62"/>
  <c r="A164" i="62"/>
  <c r="A165" i="62"/>
  <c r="A166" i="62"/>
  <c r="A167" i="62"/>
  <c r="A168" i="62"/>
  <c r="A169" i="62"/>
  <c r="B161" i="62"/>
  <c r="B162" i="62"/>
  <c r="B164" i="62"/>
  <c r="S168" i="79" l="1"/>
  <c r="C171" i="58"/>
  <c r="AF163" i="57" l="1"/>
  <c r="I44" i="69"/>
  <c r="I47" i="69" l="1"/>
  <c r="M156" i="81"/>
  <c r="A154" i="61"/>
  <c r="A155" i="61"/>
  <c r="A156" i="61"/>
  <c r="Z50" i="69"/>
  <c r="A168" i="60"/>
  <c r="A169" i="60"/>
  <c r="A170" i="60"/>
  <c r="A171" i="60"/>
  <c r="A172" i="60"/>
  <c r="K170" i="65"/>
  <c r="A163" i="65"/>
  <c r="A164" i="65"/>
  <c r="A165" i="65"/>
  <c r="A166" i="65"/>
  <c r="A167" i="65"/>
  <c r="A168" i="65"/>
  <c r="A169" i="65"/>
  <c r="A170" i="65"/>
  <c r="A171" i="65"/>
  <c r="A172" i="65"/>
  <c r="A173" i="65"/>
  <c r="A174" i="65"/>
  <c r="A175" i="65"/>
  <c r="A162" i="65"/>
  <c r="A151" i="65"/>
  <c r="A152" i="65"/>
  <c r="A153" i="65"/>
  <c r="A154" i="65"/>
  <c r="A155" i="65"/>
  <c r="A156" i="65"/>
  <c r="A157" i="65"/>
  <c r="A158" i="65"/>
  <c r="A159" i="65"/>
  <c r="A160" i="65"/>
  <c r="A161" i="65"/>
  <c r="A176" i="65"/>
  <c r="A177" i="65"/>
  <c r="A178" i="65"/>
  <c r="A179" i="65"/>
  <c r="A147" i="81"/>
  <c r="A148" i="81"/>
  <c r="A149" i="81"/>
  <c r="A150" i="81"/>
  <c r="A151" i="81"/>
  <c r="A152" i="81"/>
  <c r="A153" i="81"/>
  <c r="A154" i="81"/>
  <c r="A155" i="81"/>
  <c r="A156" i="81"/>
  <c r="A157" i="81"/>
  <c r="A158" i="81"/>
  <c r="A159" i="81"/>
  <c r="A160" i="81"/>
  <c r="S165" i="79"/>
  <c r="Y168" i="58"/>
  <c r="Y169" i="58"/>
  <c r="AB48" i="69"/>
  <c r="J111" i="69"/>
  <c r="K111" i="69"/>
  <c r="J112" i="69"/>
  <c r="K112" i="69"/>
  <c r="J113" i="69"/>
  <c r="K113" i="69"/>
  <c r="J114" i="69"/>
  <c r="K114" i="69"/>
  <c r="J115" i="69"/>
  <c r="K115" i="69"/>
  <c r="S108" i="69"/>
  <c r="R109" i="69"/>
  <c r="S109" i="69"/>
  <c r="R110" i="69"/>
  <c r="S110" i="69"/>
  <c r="R111" i="69"/>
  <c r="S111" i="69"/>
  <c r="T108" i="69" s="1"/>
  <c r="S112" i="69"/>
  <c r="AE47" i="69"/>
  <c r="Y171" i="58" l="1"/>
  <c r="I52" i="69"/>
  <c r="M51" i="69"/>
  <c r="S167" i="79"/>
  <c r="Z51" i="69"/>
  <c r="B51" i="69"/>
  <c r="B52" i="69"/>
  <c r="C52" i="69"/>
  <c r="C51" i="69"/>
  <c r="Z170" i="60"/>
  <c r="AB50" i="69"/>
  <c r="I50" i="69"/>
  <c r="M49" i="69"/>
  <c r="B50" i="69"/>
  <c r="C50" i="69"/>
  <c r="B46" i="69"/>
  <c r="B47" i="69"/>
  <c r="B48" i="69"/>
  <c r="B49" i="69"/>
  <c r="C48" i="69"/>
  <c r="C49" i="69"/>
  <c r="I49" i="69" l="1"/>
  <c r="S168" i="58"/>
  <c r="AD164" i="79"/>
  <c r="K153" i="81"/>
  <c r="D168" i="60"/>
  <c r="I48" i="69" l="1"/>
  <c r="J48" i="69"/>
  <c r="AH167" i="58"/>
  <c r="C167" i="58"/>
  <c r="AD163" i="79"/>
  <c r="AE43" i="69"/>
  <c r="K150" i="81"/>
  <c r="K151" i="81"/>
  <c r="K152" i="81"/>
  <c r="A140" i="81"/>
  <c r="A141" i="81"/>
  <c r="A142" i="81"/>
  <c r="A143" i="81"/>
  <c r="A144" i="81"/>
  <c r="A145" i="81"/>
  <c r="A146" i="81"/>
  <c r="Z46" i="69"/>
  <c r="I46" i="69"/>
  <c r="Y163" i="58"/>
  <c r="AB43" i="69"/>
  <c r="Z43" i="69"/>
  <c r="S104" i="69"/>
  <c r="R105" i="69"/>
  <c r="S105" i="69"/>
  <c r="R106" i="69"/>
  <c r="S106" i="69"/>
  <c r="R107" i="69"/>
  <c r="S107" i="69"/>
  <c r="T104" i="69" s="1"/>
  <c r="S163" i="79" l="1"/>
  <c r="H47" i="69" l="1"/>
  <c r="O167" i="58"/>
  <c r="M47" i="69"/>
  <c r="AB46" i="69"/>
  <c r="Y166" i="58"/>
  <c r="S162" i="79"/>
  <c r="A44" i="69"/>
  <c r="A45" i="69"/>
  <c r="A46" i="69"/>
  <c r="B44" i="69"/>
  <c r="B45" i="69"/>
  <c r="C45" i="69"/>
  <c r="C46" i="69"/>
  <c r="C47" i="69"/>
  <c r="C44" i="69"/>
  <c r="U165" i="58"/>
  <c r="V161" i="79"/>
  <c r="J45" i="69"/>
  <c r="I45" i="69"/>
  <c r="AE41" i="69" l="1"/>
  <c r="A153" i="57" l="1"/>
  <c r="A154" i="57"/>
  <c r="A155" i="57"/>
  <c r="A156" i="57"/>
  <c r="A157" i="57"/>
  <c r="A158" i="57"/>
  <c r="Y160" i="58"/>
  <c r="O157" i="58"/>
  <c r="O159" i="58"/>
  <c r="O162" i="58"/>
  <c r="O163" i="58"/>
  <c r="A156" i="58"/>
  <c r="A157" i="58"/>
  <c r="A158" i="58"/>
  <c r="A159" i="58"/>
  <c r="A160" i="58"/>
  <c r="A161" i="58"/>
  <c r="A162" i="58"/>
  <c r="A163" i="58"/>
  <c r="A164" i="58"/>
  <c r="A165" i="58"/>
  <c r="A166" i="58"/>
  <c r="A167" i="58"/>
  <c r="A168" i="58"/>
  <c r="AB42" i="69"/>
  <c r="K162" i="65"/>
  <c r="A43" i="69"/>
  <c r="B43" i="69"/>
  <c r="C43" i="69"/>
  <c r="A42" i="69"/>
  <c r="B42" i="69"/>
  <c r="C42" i="69"/>
  <c r="F161" i="60"/>
  <c r="I41" i="69"/>
  <c r="H164" i="56" l="1"/>
  <c r="S159" i="79"/>
  <c r="K163" i="65"/>
  <c r="I164" i="56"/>
  <c r="I163" i="56"/>
  <c r="C162" i="60"/>
  <c r="Z42" i="69"/>
  <c r="H163" i="56"/>
  <c r="S158" i="79"/>
  <c r="AD158" i="79" l="1"/>
  <c r="F162" i="60"/>
  <c r="I42" i="69"/>
  <c r="S157" i="79" l="1"/>
  <c r="Z41" i="69"/>
  <c r="I162" i="56"/>
  <c r="C161" i="60"/>
  <c r="AN154" i="60"/>
  <c r="T34" i="69" s="1"/>
  <c r="AN155" i="60"/>
  <c r="T35" i="69" s="1"/>
  <c r="A155" i="60"/>
  <c r="A156" i="60"/>
  <c r="A157" i="60"/>
  <c r="A158" i="60"/>
  <c r="A159" i="60"/>
  <c r="A160" i="60"/>
  <c r="A161" i="60"/>
  <c r="A162" i="60"/>
  <c r="A163" i="60"/>
  <c r="A164" i="60"/>
  <c r="A165" i="60"/>
  <c r="B158" i="60"/>
  <c r="B157" i="60"/>
  <c r="C156" i="60"/>
  <c r="AE38" i="69" l="1"/>
  <c r="T99" i="69"/>
  <c r="K159" i="65"/>
  <c r="K160" i="65"/>
  <c r="K161" i="65"/>
  <c r="I40" i="69"/>
  <c r="Z40" i="69"/>
  <c r="I159" i="56"/>
  <c r="AA39" i="69"/>
  <c r="I39" i="69"/>
  <c r="R100" i="69"/>
  <c r="S100" i="69"/>
  <c r="R101" i="69"/>
  <c r="S102" i="69"/>
  <c r="R103" i="69"/>
  <c r="S103" i="69"/>
  <c r="T102" i="69" s="1"/>
  <c r="AD157" i="79" l="1"/>
  <c r="R157" i="79"/>
  <c r="AB40" i="69"/>
  <c r="A41" i="69"/>
  <c r="B41" i="69"/>
  <c r="S155" i="79"/>
  <c r="Z39" i="69"/>
  <c r="A40" i="69"/>
  <c r="B40" i="69"/>
  <c r="C40" i="69"/>
  <c r="A39" i="69"/>
  <c r="B39" i="69"/>
  <c r="AD154" i="79" l="1"/>
  <c r="S154" i="79"/>
  <c r="F157" i="57" l="1"/>
  <c r="J38" i="69"/>
  <c r="Z37" i="69"/>
  <c r="AB36" i="69"/>
  <c r="Z36" i="69"/>
  <c r="R97" i="69" l="1"/>
  <c r="T97" i="69" s="1"/>
  <c r="S97" i="69"/>
  <c r="R98" i="69"/>
  <c r="S99" i="69"/>
  <c r="AE36" i="69"/>
  <c r="Z158" i="60" l="1"/>
  <c r="AN158" i="60" s="1"/>
  <c r="T38" i="69" s="1"/>
  <c r="BF159" i="56"/>
  <c r="W157" i="57"/>
  <c r="H159" i="56"/>
  <c r="AA157" i="57"/>
  <c r="A160" i="56"/>
  <c r="A161" i="56"/>
  <c r="A162" i="56"/>
  <c r="A163" i="56"/>
  <c r="A164" i="56"/>
  <c r="A165" i="56"/>
  <c r="A159" i="56"/>
  <c r="A38" i="69"/>
  <c r="B38" i="69"/>
  <c r="R158" i="56"/>
  <c r="J37" i="69"/>
  <c r="N98" i="69" s="1"/>
  <c r="Z157" i="60"/>
  <c r="H158" i="56"/>
  <c r="AD153" i="79"/>
  <c r="BF158" i="56"/>
  <c r="A158" i="56"/>
  <c r="F156" i="57"/>
  <c r="S153" i="79"/>
  <c r="F157" i="60"/>
  <c r="A37" i="69"/>
  <c r="B37" i="69"/>
  <c r="C37" i="69"/>
  <c r="I157" i="56"/>
  <c r="AU152" i="79"/>
  <c r="AN157" i="60" l="1"/>
  <c r="T37" i="69" s="1"/>
  <c r="AL156" i="60"/>
  <c r="AN156" i="60" s="1"/>
  <c r="T36" i="69" s="1"/>
  <c r="S152" i="79"/>
  <c r="J33" i="69"/>
  <c r="P27" i="41"/>
  <c r="O27" i="41"/>
  <c r="N27" i="41"/>
  <c r="M27" i="41"/>
  <c r="L27" i="41"/>
  <c r="K27" i="41"/>
  <c r="J27" i="41"/>
  <c r="I27" i="41"/>
  <c r="H27" i="41"/>
  <c r="G27" i="41"/>
  <c r="F27" i="41"/>
  <c r="E27" i="41"/>
  <c r="Z35" i="69" l="1"/>
  <c r="I35" i="69" l="1"/>
  <c r="Z34" i="69"/>
  <c r="Z33" i="69"/>
  <c r="R94" i="69" l="1"/>
  <c r="S94" i="69"/>
  <c r="R95" i="69"/>
  <c r="S95" i="69"/>
  <c r="R96" i="69"/>
  <c r="S96" i="69"/>
  <c r="AE33" i="69"/>
  <c r="T94" i="69" l="1"/>
  <c r="K156" i="65"/>
  <c r="H157" i="56"/>
  <c r="F155" i="57"/>
  <c r="U156" i="58" l="1"/>
  <c r="L36" i="69"/>
  <c r="B36" i="69"/>
  <c r="A36" i="69"/>
  <c r="F154" i="57" l="1"/>
  <c r="Y155" i="58"/>
  <c r="R151" i="79"/>
  <c r="I156" i="56"/>
  <c r="H156" i="56"/>
  <c r="S151" i="79"/>
  <c r="B154" i="57"/>
  <c r="U155" i="58"/>
  <c r="AD151" i="79"/>
  <c r="BF155" i="56"/>
  <c r="S150" i="79"/>
  <c r="AB34" i="69"/>
  <c r="O154" i="58"/>
  <c r="R150" i="79"/>
  <c r="H155" i="56"/>
  <c r="I155" i="56"/>
  <c r="I34" i="69"/>
  <c r="A34" i="69"/>
  <c r="A35" i="69"/>
  <c r="AA153" i="58"/>
  <c r="F152" i="57"/>
  <c r="B152" i="57"/>
  <c r="U153" i="58"/>
  <c r="AL153" i="60"/>
  <c r="H154" i="56"/>
  <c r="P154" i="56"/>
  <c r="C153" i="60"/>
  <c r="S149" i="79"/>
  <c r="AE31" i="69"/>
  <c r="S93" i="69"/>
  <c r="T92" i="69" s="1"/>
  <c r="R93" i="69"/>
  <c r="S92" i="69"/>
  <c r="S91" i="69"/>
  <c r="R91" i="69"/>
  <c r="AV146" i="79"/>
  <c r="V30" i="69" s="1"/>
  <c r="A134" i="81"/>
  <c r="A135" i="81"/>
  <c r="A136" i="81"/>
  <c r="A137" i="81"/>
  <c r="A138" i="81"/>
  <c r="A139" i="81"/>
  <c r="A150" i="66"/>
  <c r="A151" i="66"/>
  <c r="A152" i="66"/>
  <c r="A153" i="66"/>
  <c r="A151" i="61"/>
  <c r="A152" i="61"/>
  <c r="A153" i="61"/>
  <c r="A149" i="60"/>
  <c r="A150" i="60"/>
  <c r="A151" i="60"/>
  <c r="A152" i="60"/>
  <c r="A153" i="60"/>
  <c r="A154" i="60"/>
  <c r="D153" i="60"/>
  <c r="A151" i="62"/>
  <c r="A152" i="62"/>
  <c r="A153" i="62"/>
  <c r="A154" i="62"/>
  <c r="A155" i="62"/>
  <c r="A148" i="57"/>
  <c r="A149" i="57"/>
  <c r="A150" i="57"/>
  <c r="A151" i="57"/>
  <c r="A152" i="57"/>
  <c r="B150" i="57"/>
  <c r="F151" i="57"/>
  <c r="A148" i="58"/>
  <c r="A149" i="58"/>
  <c r="A150" i="58"/>
  <c r="A151" i="58"/>
  <c r="A152" i="58"/>
  <c r="A153" i="58"/>
  <c r="A154" i="58"/>
  <c r="A155" i="58"/>
  <c r="O151" i="58"/>
  <c r="X152" i="58"/>
  <c r="Y152" i="58"/>
  <c r="BF153" i="56"/>
  <c r="A149" i="56"/>
  <c r="A150" i="56"/>
  <c r="A151" i="56"/>
  <c r="A152" i="56"/>
  <c r="A153" i="56"/>
  <c r="A154" i="56"/>
  <c r="A155" i="56"/>
  <c r="A156" i="56"/>
  <c r="A157" i="56"/>
  <c r="H152" i="56"/>
  <c r="I152" i="56"/>
  <c r="H153" i="56"/>
  <c r="I153" i="56"/>
  <c r="I154" i="56"/>
  <c r="K151" i="65"/>
  <c r="B152" i="65"/>
  <c r="A150" i="65"/>
  <c r="K31" i="69"/>
  <c r="A32" i="69" l="1"/>
  <c r="A33" i="69"/>
  <c r="G148" i="79" l="1"/>
  <c r="S148" i="79"/>
  <c r="I32" i="69"/>
  <c r="N31" i="69"/>
  <c r="A31" i="69"/>
  <c r="B31" i="69"/>
  <c r="C31" i="69"/>
  <c r="N150" i="56"/>
  <c r="K29" i="69" l="1"/>
  <c r="AE29" i="69"/>
  <c r="I150" i="56" l="1"/>
  <c r="AB29" i="69"/>
  <c r="BF150" i="56"/>
  <c r="R89" i="69"/>
  <c r="R88" i="69"/>
  <c r="T88" i="69" s="1"/>
  <c r="S88" i="69"/>
  <c r="Z27" i="69"/>
  <c r="Z28" i="69"/>
  <c r="I149" i="56"/>
  <c r="I150" i="62"/>
  <c r="I148" i="56"/>
  <c r="S143" i="79"/>
  <c r="AE27" i="69"/>
  <c r="AA148" i="57" l="1"/>
  <c r="S145" i="79"/>
  <c r="P150" i="56"/>
  <c r="O149" i="58"/>
  <c r="V145" i="79"/>
  <c r="C29" i="69"/>
  <c r="C30" i="69"/>
  <c r="C32" i="69"/>
  <c r="B29" i="69"/>
  <c r="B30" i="69"/>
  <c r="B32" i="69"/>
  <c r="A29" i="69"/>
  <c r="A30" i="69"/>
  <c r="O148" i="58"/>
  <c r="F147" i="57"/>
  <c r="B147" i="57"/>
  <c r="K148" i="65"/>
  <c r="U148" i="58"/>
  <c r="Y148" i="58"/>
  <c r="S144" i="79"/>
  <c r="E149" i="66"/>
  <c r="I28" i="69"/>
  <c r="A28" i="69"/>
  <c r="H148" i="56"/>
  <c r="H143" i="79"/>
  <c r="Y147" i="58"/>
  <c r="AB27" i="69"/>
  <c r="S146" i="65"/>
  <c r="R87" i="69"/>
  <c r="S87" i="69"/>
  <c r="AE25" i="69"/>
  <c r="K147" i="65"/>
  <c r="B146" i="57"/>
  <c r="A27" i="69" l="1"/>
  <c r="B27" i="69"/>
  <c r="C27" i="69"/>
  <c r="I147" i="56"/>
  <c r="P146" i="65"/>
  <c r="K146" i="65" l="1"/>
  <c r="S142" i="79"/>
  <c r="F142" i="79"/>
  <c r="F145" i="57"/>
  <c r="H147" i="56"/>
  <c r="AB145" i="57"/>
  <c r="F146" i="60"/>
  <c r="I148" i="62"/>
  <c r="I26" i="69"/>
  <c r="A26" i="69"/>
  <c r="O145" i="58"/>
  <c r="K145" i="65"/>
  <c r="B144" i="57"/>
  <c r="S141" i="79"/>
  <c r="I146" i="56"/>
  <c r="H146" i="56"/>
  <c r="F144" i="57"/>
  <c r="U145" i="58"/>
  <c r="AB25" i="69"/>
  <c r="BF146" i="56"/>
  <c r="Y145" i="58"/>
  <c r="K146" i="66"/>
  <c r="AD141" i="79"/>
  <c r="AE22" i="69"/>
  <c r="S83" i="69"/>
  <c r="R84" i="69"/>
  <c r="S84" i="69"/>
  <c r="R85" i="69"/>
  <c r="S85" i="69"/>
  <c r="T83" i="69" s="1"/>
  <c r="R86" i="69"/>
  <c r="T86" i="69" s="1"/>
  <c r="S86" i="69"/>
  <c r="R82" i="69"/>
  <c r="S82" i="69"/>
  <c r="I145" i="56"/>
  <c r="K144" i="65"/>
  <c r="E145" i="66"/>
  <c r="I24" i="69"/>
  <c r="I23" i="69"/>
  <c r="S143" i="57"/>
  <c r="Z23" i="69"/>
  <c r="AE143" i="58"/>
  <c r="I143" i="56"/>
  <c r="H143" i="56"/>
  <c r="I145" i="60" l="1"/>
  <c r="D146" i="66"/>
  <c r="B145" i="60" l="1"/>
  <c r="A25" i="69" l="1"/>
  <c r="B25" i="69"/>
  <c r="C25" i="69"/>
  <c r="H145" i="56"/>
  <c r="S140" i="79" l="1"/>
  <c r="D144" i="60"/>
  <c r="AR145" i="56"/>
  <c r="AC145" i="66"/>
  <c r="J140" i="79"/>
  <c r="F144" i="60"/>
  <c r="Y140" i="79"/>
  <c r="U144" i="58"/>
  <c r="B143" i="57"/>
  <c r="A24" i="69"/>
  <c r="H144" i="56"/>
  <c r="L128" i="81"/>
  <c r="AB23" i="69"/>
  <c r="K143" i="65"/>
  <c r="B142" i="57"/>
  <c r="BF144" i="56"/>
  <c r="I141" i="56"/>
  <c r="E141" i="66"/>
  <c r="Y140" i="58"/>
  <c r="AB20" i="69"/>
  <c r="U140" i="58"/>
  <c r="BF141" i="56"/>
  <c r="Z20" i="69"/>
  <c r="R81" i="69"/>
  <c r="T81" i="69" s="1"/>
  <c r="S81" i="69"/>
  <c r="AE20" i="69"/>
  <c r="B141" i="57" l="1"/>
  <c r="BF143" i="56" l="1"/>
  <c r="T142" i="58"/>
  <c r="AA142" i="60"/>
  <c r="U142" i="58"/>
  <c r="B142" i="61"/>
  <c r="A22" i="69"/>
  <c r="B22" i="69"/>
  <c r="C22" i="69"/>
  <c r="A23" i="69"/>
  <c r="B23" i="69"/>
  <c r="C23" i="69"/>
  <c r="AB21" i="69"/>
  <c r="K141" i="65"/>
  <c r="F140" i="57"/>
  <c r="O141" i="58"/>
  <c r="S137" i="79" l="1"/>
  <c r="N137" i="79"/>
  <c r="L142" i="66"/>
  <c r="F141" i="60"/>
  <c r="B140" i="57"/>
  <c r="AF140" i="57"/>
  <c r="J21" i="69"/>
  <c r="I21" i="69"/>
  <c r="A21" i="69" l="1"/>
  <c r="B142" i="62" l="1"/>
  <c r="F139" i="57"/>
  <c r="T139" i="57"/>
  <c r="S136" i="79"/>
  <c r="J20" i="69"/>
  <c r="O140" i="58"/>
  <c r="W139" i="57"/>
  <c r="H141" i="56"/>
  <c r="AE19" i="69"/>
  <c r="AE18" i="69"/>
  <c r="AE15" i="69"/>
  <c r="AE13" i="69"/>
  <c r="AE11" i="69"/>
  <c r="W139" i="58"/>
  <c r="G139" i="58"/>
  <c r="BF140" i="56"/>
  <c r="J19" i="69"/>
  <c r="Z19" i="69"/>
  <c r="T140" i="65" l="1"/>
  <c r="K140" i="65"/>
  <c r="W140" i="58"/>
  <c r="A20" i="69"/>
  <c r="B20" i="69"/>
  <c r="C20" i="69"/>
  <c r="H140" i="56"/>
  <c r="S135" i="79"/>
  <c r="E140" i="66"/>
  <c r="N19" i="69"/>
  <c r="AD135" i="79" l="1"/>
  <c r="AD181" i="79" s="1"/>
  <c r="D140" i="66"/>
  <c r="I140" i="56"/>
  <c r="F138" i="57" l="1"/>
  <c r="U139" i="58"/>
  <c r="P139" i="65"/>
  <c r="B139" i="60"/>
  <c r="K139" i="65"/>
  <c r="B141" i="62"/>
  <c r="U138" i="58"/>
  <c r="F137" i="57"/>
  <c r="O138" i="58"/>
  <c r="AB18" i="69"/>
  <c r="Z18" i="69"/>
  <c r="R131" i="79" l="1"/>
  <c r="AB14" i="69"/>
  <c r="O137" i="58" l="1"/>
  <c r="H138" i="56"/>
  <c r="BF138" i="56"/>
  <c r="U137" i="58"/>
  <c r="Q137" i="60"/>
  <c r="F137" i="60"/>
  <c r="I17" i="69"/>
  <c r="BF137" i="56"/>
  <c r="BF136" i="56"/>
  <c r="R76" i="69"/>
  <c r="T76" i="69" s="1"/>
  <c r="S76" i="69"/>
  <c r="R77" i="69"/>
  <c r="S77" i="69"/>
  <c r="R78" i="69"/>
  <c r="S79" i="69"/>
  <c r="T79" i="69" s="1"/>
  <c r="S80" i="69"/>
  <c r="T80" i="69" s="1"/>
  <c r="N140" i="66" l="1"/>
  <c r="S139" i="65"/>
  <c r="Y139" i="58" l="1"/>
  <c r="A19" i="69"/>
  <c r="B19" i="69"/>
  <c r="C19" i="69"/>
  <c r="B137" i="57" l="1"/>
  <c r="H139" i="56"/>
  <c r="J18" i="69"/>
  <c r="S134" i="79"/>
  <c r="P138" i="65" l="1"/>
  <c r="K138" i="65" l="1"/>
  <c r="I139" i="56" l="1"/>
  <c r="T138" i="65"/>
  <c r="BF139" i="56"/>
  <c r="H137" i="57"/>
  <c r="A17" i="69"/>
  <c r="A18" i="69"/>
  <c r="B17" i="69"/>
  <c r="B18" i="69"/>
  <c r="C18" i="69"/>
  <c r="C17" i="69"/>
  <c r="H137" i="56"/>
  <c r="I137" i="56"/>
  <c r="U136" i="58"/>
  <c r="V132" i="79" l="1"/>
  <c r="A16" i="69"/>
  <c r="P136" i="65"/>
  <c r="K136" i="65"/>
  <c r="B135" i="57"/>
  <c r="I14" i="69"/>
  <c r="J14" i="69"/>
  <c r="AZ135" i="56"/>
  <c r="Z14" i="69"/>
  <c r="O134" i="58"/>
  <c r="AC133" i="57"/>
  <c r="BF134" i="56"/>
  <c r="S74" i="69"/>
  <c r="R74" i="69"/>
  <c r="R75" i="69"/>
  <c r="S75" i="69"/>
  <c r="T74" i="69" l="1"/>
  <c r="D136" i="66"/>
  <c r="U135" i="58"/>
  <c r="AC131" i="79"/>
  <c r="AE135" i="58"/>
  <c r="AE134" i="58"/>
  <c r="BF135" i="56"/>
  <c r="C134" i="58"/>
  <c r="A9" i="70"/>
  <c r="B9" i="70"/>
  <c r="C9" i="70"/>
  <c r="A10" i="70"/>
  <c r="B10" i="70"/>
  <c r="C10" i="70"/>
  <c r="A14" i="70"/>
  <c r="B14" i="70"/>
  <c r="C14" i="70"/>
  <c r="A15" i="70"/>
  <c r="B15" i="70"/>
  <c r="C15" i="70"/>
  <c r="A16" i="70"/>
  <c r="B16" i="70"/>
  <c r="C16" i="70"/>
  <c r="A17" i="70"/>
  <c r="B17" i="70"/>
  <c r="C17" i="70"/>
  <c r="A18" i="70"/>
  <c r="B18" i="70"/>
  <c r="C18" i="70"/>
  <c r="A20" i="70"/>
  <c r="B20" i="70"/>
  <c r="C20" i="70"/>
  <c r="A21" i="70"/>
  <c r="B21" i="70"/>
  <c r="C21" i="70"/>
  <c r="A22" i="70"/>
  <c r="B22" i="70"/>
  <c r="C22" i="70"/>
  <c r="A24" i="70"/>
  <c r="B24" i="70"/>
  <c r="C24" i="70"/>
  <c r="A25" i="70"/>
  <c r="B25" i="70"/>
  <c r="C25" i="70"/>
  <c r="A26" i="70"/>
  <c r="B26" i="70"/>
  <c r="C26" i="70"/>
  <c r="A28" i="70"/>
  <c r="B28" i="70"/>
  <c r="C28" i="70"/>
  <c r="A29" i="70"/>
  <c r="B29" i="70"/>
  <c r="C29" i="70"/>
  <c r="A30" i="70"/>
  <c r="B30" i="70"/>
  <c r="C30" i="70"/>
  <c r="A33" i="70"/>
  <c r="B33" i="70"/>
  <c r="C33" i="70"/>
  <c r="A34" i="70"/>
  <c r="B34" i="70"/>
  <c r="C34" i="70"/>
  <c r="A36" i="70"/>
  <c r="B36" i="70"/>
  <c r="C36" i="70"/>
  <c r="A38" i="70"/>
  <c r="B38" i="70"/>
  <c r="C38" i="70"/>
  <c r="A39" i="70"/>
  <c r="B39" i="70"/>
  <c r="C39" i="70"/>
  <c r="A40" i="70"/>
  <c r="B40" i="70"/>
  <c r="C40" i="70"/>
  <c r="A45" i="70"/>
  <c r="B45" i="70"/>
  <c r="C45" i="70"/>
  <c r="A46" i="70"/>
  <c r="B46" i="70"/>
  <c r="C46" i="70"/>
  <c r="A47" i="70"/>
  <c r="B47" i="70"/>
  <c r="C47" i="70"/>
  <c r="A49" i="70"/>
  <c r="B49" i="70"/>
  <c r="C49" i="70"/>
  <c r="A50" i="70"/>
  <c r="B50" i="70"/>
  <c r="C50" i="70"/>
  <c r="A51" i="70"/>
  <c r="B51" i="70"/>
  <c r="C51" i="70"/>
  <c r="B8" i="70"/>
  <c r="A8" i="70"/>
  <c r="D7" i="80"/>
  <c r="S134" i="65"/>
  <c r="K134" i="65"/>
  <c r="S130" i="79"/>
  <c r="F133" i="57"/>
  <c r="AJ133" i="57"/>
  <c r="S134" i="58"/>
  <c r="AF133" i="57"/>
  <c r="AC130" i="79"/>
  <c r="N74" i="69" l="1"/>
  <c r="N75" i="69"/>
  <c r="N76" i="69"/>
  <c r="N77" i="69"/>
  <c r="N78" i="69"/>
  <c r="N79" i="69"/>
  <c r="N80" i="69"/>
  <c r="R73" i="69"/>
  <c r="S73" i="69"/>
  <c r="T72" i="69" s="1"/>
  <c r="H133" i="56"/>
  <c r="BF133" i="56"/>
  <c r="U132" i="58"/>
  <c r="O132" i="58"/>
  <c r="AB11" i="69"/>
  <c r="Y131" i="58"/>
  <c r="Y133" i="58"/>
  <c r="S129" i="79"/>
  <c r="A13" i="69"/>
  <c r="A14" i="69"/>
  <c r="A15" i="69"/>
  <c r="B13" i="69"/>
  <c r="B14" i="69"/>
  <c r="B15" i="69"/>
  <c r="C13" i="69"/>
  <c r="C14" i="69"/>
  <c r="C15" i="69"/>
  <c r="C16" i="69"/>
  <c r="AB12" i="69"/>
  <c r="Z12" i="69"/>
  <c r="K132" i="65"/>
  <c r="C131" i="57"/>
  <c r="F131" i="57"/>
  <c r="B131" i="57"/>
  <c r="Y131" i="57"/>
  <c r="L132" i="58"/>
  <c r="G131" i="57"/>
  <c r="I133" i="56"/>
  <c r="AC128" i="79"/>
  <c r="S128" i="79"/>
  <c r="O131" i="57"/>
  <c r="A12" i="69"/>
  <c r="B12" i="69"/>
  <c r="C12" i="69"/>
  <c r="M128" i="79"/>
  <c r="I12" i="69"/>
  <c r="J11" i="69"/>
  <c r="I132" i="56"/>
  <c r="B130" i="57"/>
  <c r="S131" i="65"/>
  <c r="AE10" i="69"/>
  <c r="Z10" i="69"/>
  <c r="I131" i="56"/>
  <c r="W126" i="79"/>
  <c r="BF131" i="56"/>
  <c r="H131" i="56"/>
  <c r="O130" i="58"/>
  <c r="AB10" i="69"/>
  <c r="K131" i="65" l="1"/>
  <c r="H132" i="56"/>
  <c r="S127" i="79"/>
  <c r="B131" i="60"/>
  <c r="T131" i="58"/>
  <c r="A11" i="69"/>
  <c r="B11" i="69"/>
  <c r="C11" i="69"/>
  <c r="T130" i="58"/>
  <c r="K130" i="65"/>
  <c r="F130" i="58"/>
  <c r="U130" i="58"/>
  <c r="T130" i="65"/>
  <c r="B129" i="57"/>
  <c r="V126" i="79"/>
  <c r="S126" i="79" l="1"/>
  <c r="F129" i="57" l="1"/>
  <c r="J10" i="69"/>
  <c r="A10" i="69"/>
  <c r="W125" i="79" l="1"/>
  <c r="AB9" i="69"/>
  <c r="N70" i="69" s="1"/>
  <c r="BF130" i="56"/>
  <c r="AB8" i="69"/>
  <c r="AE8" i="69"/>
  <c r="R70" i="69"/>
  <c r="S70" i="69"/>
  <c r="T69" i="69" s="1"/>
  <c r="T71" i="69"/>
  <c r="S72" i="69"/>
  <c r="S69" i="69"/>
  <c r="S130" i="65" l="1"/>
  <c r="Y130" i="58"/>
  <c r="AC126" i="79"/>
  <c r="X130" i="65"/>
  <c r="Y129" i="58"/>
  <c r="F128" i="57"/>
  <c r="X129" i="65"/>
  <c r="AB129" i="65"/>
  <c r="O129" i="58"/>
  <c r="H130" i="56"/>
  <c r="S125" i="79"/>
  <c r="I130" i="56"/>
  <c r="L128" i="57"/>
  <c r="K129" i="65"/>
  <c r="P129" i="65"/>
  <c r="U129" i="58"/>
  <c r="F129" i="60"/>
  <c r="AE46" i="68"/>
  <c r="I110" i="56"/>
  <c r="H110" i="56"/>
  <c r="I47" i="68"/>
  <c r="H109" i="56"/>
  <c r="W105" i="79"/>
  <c r="Z46" i="68"/>
  <c r="T106" i="68"/>
  <c r="J106" i="68"/>
  <c r="K106" i="68"/>
  <c r="J107" i="68"/>
  <c r="K107" i="68"/>
  <c r="J108" i="68"/>
  <c r="K108" i="68"/>
  <c r="AE43" i="68"/>
  <c r="L107" i="68" l="1"/>
  <c r="L108" i="68"/>
  <c r="L106" i="68"/>
  <c r="H107" i="56" l="1"/>
  <c r="B103" i="57"/>
  <c r="S103" i="79"/>
  <c r="O107" i="58"/>
  <c r="K107" i="65"/>
  <c r="H106" i="56"/>
  <c r="A129" i="65" l="1"/>
  <c r="A130" i="65"/>
  <c r="A131" i="65"/>
  <c r="A132" i="65"/>
  <c r="A133" i="65"/>
  <c r="A134" i="65"/>
  <c r="A135" i="65"/>
  <c r="A136" i="65"/>
  <c r="A137" i="65"/>
  <c r="A138" i="65"/>
  <c r="A139" i="65"/>
  <c r="A140" i="65"/>
  <c r="A141" i="65"/>
  <c r="A142" i="65"/>
  <c r="A143" i="65"/>
  <c r="A144" i="65"/>
  <c r="A145" i="65"/>
  <c r="A146" i="65"/>
  <c r="A147" i="65"/>
  <c r="A148" i="65"/>
  <c r="A149" i="65"/>
  <c r="A180" i="65"/>
  <c r="A181" i="65"/>
  <c r="A128" i="65"/>
  <c r="T128" i="65"/>
  <c r="S128" i="65"/>
  <c r="A130" i="56"/>
  <c r="A131" i="56"/>
  <c r="A132" i="56"/>
  <c r="A133" i="56"/>
  <c r="A134" i="56"/>
  <c r="A135" i="56"/>
  <c r="A136" i="56"/>
  <c r="A137" i="56"/>
  <c r="A138" i="56"/>
  <c r="A139" i="56"/>
  <c r="A140" i="56"/>
  <c r="A141" i="56"/>
  <c r="A142" i="56"/>
  <c r="A143" i="56"/>
  <c r="A144" i="56"/>
  <c r="A145" i="56"/>
  <c r="A146" i="56"/>
  <c r="A147" i="56"/>
  <c r="A148" i="56"/>
  <c r="A166" i="56"/>
  <c r="A167" i="56"/>
  <c r="A168" i="56"/>
  <c r="A169" i="56"/>
  <c r="A170" i="56"/>
  <c r="A171" i="56"/>
  <c r="A172" i="56"/>
  <c r="A173" i="56"/>
  <c r="A174" i="56"/>
  <c r="A175" i="56"/>
  <c r="A176" i="56"/>
  <c r="A177" i="56"/>
  <c r="A178" i="56"/>
  <c r="A179" i="56"/>
  <c r="A180" i="56"/>
  <c r="A181" i="56"/>
  <c r="A129" i="56"/>
  <c r="AE128" i="58"/>
  <c r="A131" i="58"/>
  <c r="A132" i="58"/>
  <c r="A133" i="58"/>
  <c r="A134" i="58"/>
  <c r="A135" i="58"/>
  <c r="A136" i="58"/>
  <c r="A137" i="58"/>
  <c r="A138" i="58"/>
  <c r="A139" i="58"/>
  <c r="A140" i="58"/>
  <c r="A141" i="58"/>
  <c r="A142" i="58"/>
  <c r="A143" i="58"/>
  <c r="A144" i="58"/>
  <c r="A145" i="58"/>
  <c r="A146" i="58"/>
  <c r="A147" i="58"/>
  <c r="A169" i="58"/>
  <c r="A170" i="58"/>
  <c r="A171" i="58"/>
  <c r="A172" i="58"/>
  <c r="A173" i="58"/>
  <c r="A174" i="58"/>
  <c r="A175" i="58"/>
  <c r="A176" i="58"/>
  <c r="A177" i="58"/>
  <c r="A178" i="58"/>
  <c r="A179" i="58"/>
  <c r="A180" i="58"/>
  <c r="A128" i="58"/>
  <c r="A129" i="58"/>
  <c r="A130" i="58"/>
  <c r="O128" i="58"/>
  <c r="AJ127" i="57"/>
  <c r="A127" i="57"/>
  <c r="A128" i="57"/>
  <c r="A129" i="57"/>
  <c r="A130" i="57"/>
  <c r="A131" i="62"/>
  <c r="A132" i="62"/>
  <c r="A133" i="62"/>
  <c r="A134" i="62"/>
  <c r="A135" i="62"/>
  <c r="A136" i="62"/>
  <c r="A137" i="62"/>
  <c r="A138" i="62"/>
  <c r="A139" i="62"/>
  <c r="A140" i="62"/>
  <c r="A141" i="62"/>
  <c r="A142" i="62"/>
  <c r="A143" i="62"/>
  <c r="A144" i="62"/>
  <c r="A145" i="62"/>
  <c r="A146" i="62"/>
  <c r="A147" i="62"/>
  <c r="A148" i="62"/>
  <c r="A149" i="62"/>
  <c r="A150" i="62"/>
  <c r="A130" i="62"/>
  <c r="A129" i="60"/>
  <c r="A130" i="60"/>
  <c r="A131" i="60"/>
  <c r="A132" i="60"/>
  <c r="A133" i="60"/>
  <c r="A134" i="60"/>
  <c r="A135" i="60"/>
  <c r="A136" i="60"/>
  <c r="A137" i="60"/>
  <c r="A138" i="60"/>
  <c r="A139" i="60"/>
  <c r="A140" i="60"/>
  <c r="A141" i="60"/>
  <c r="A142" i="60"/>
  <c r="A143" i="60"/>
  <c r="A144" i="60"/>
  <c r="A145" i="60"/>
  <c r="A146" i="60"/>
  <c r="A147" i="60"/>
  <c r="A148" i="60"/>
  <c r="A166" i="60"/>
  <c r="A167" i="60"/>
  <c r="A128" i="60"/>
  <c r="A130" i="61"/>
  <c r="A131" i="61"/>
  <c r="A132" i="61"/>
  <c r="A133" i="61"/>
  <c r="A134" i="61"/>
  <c r="A135" i="61"/>
  <c r="A136" i="61"/>
  <c r="A137" i="61"/>
  <c r="A138" i="61"/>
  <c r="A139" i="61"/>
  <c r="A140" i="61"/>
  <c r="A141" i="61"/>
  <c r="A142" i="61"/>
  <c r="A143" i="61"/>
  <c r="A144" i="61"/>
  <c r="A145" i="61"/>
  <c r="A146" i="61"/>
  <c r="A147" i="61"/>
  <c r="A148" i="61"/>
  <c r="A149" i="61"/>
  <c r="A150" i="61"/>
  <c r="A181" i="61"/>
  <c r="A182" i="61"/>
  <c r="A129" i="61"/>
  <c r="A130" i="66"/>
  <c r="A131" i="66"/>
  <c r="A132" i="66"/>
  <c r="A133" i="66"/>
  <c r="A134" i="66"/>
  <c r="A135" i="66"/>
  <c r="A136" i="66"/>
  <c r="A137" i="66"/>
  <c r="A138" i="66"/>
  <c r="A139" i="66"/>
  <c r="A140" i="66"/>
  <c r="A141" i="66"/>
  <c r="A142" i="66"/>
  <c r="A143" i="66"/>
  <c r="A144" i="66"/>
  <c r="A145" i="66"/>
  <c r="A146" i="66"/>
  <c r="A147" i="66"/>
  <c r="A148" i="66"/>
  <c r="A149" i="66"/>
  <c r="A181" i="66"/>
  <c r="A182" i="66"/>
  <c r="A183" i="66"/>
  <c r="A129" i="66"/>
  <c r="E129" i="66"/>
  <c r="A113" i="81"/>
  <c r="A114" i="81"/>
  <c r="A115" i="81"/>
  <c r="A116" i="81"/>
  <c r="A9" i="69"/>
  <c r="A8" i="69"/>
  <c r="B9" i="69" l="1"/>
  <c r="B10" i="69"/>
  <c r="B16" i="69"/>
  <c r="B21" i="69"/>
  <c r="B24" i="69"/>
  <c r="B26" i="69"/>
  <c r="B28" i="69"/>
  <c r="B33" i="69"/>
  <c r="B34" i="69"/>
  <c r="B35" i="69"/>
  <c r="B8" i="69"/>
  <c r="C9" i="69"/>
  <c r="C10" i="69"/>
  <c r="C21" i="69"/>
  <c r="C24" i="69"/>
  <c r="C26" i="69"/>
  <c r="C28" i="69"/>
  <c r="C33" i="69"/>
  <c r="C34" i="69"/>
  <c r="C35" i="69"/>
  <c r="C36" i="69"/>
  <c r="C38" i="69"/>
  <c r="C39" i="69"/>
  <c r="C8" i="69"/>
  <c r="AJ106" i="57"/>
  <c r="BF110" i="56"/>
  <c r="W106" i="79"/>
  <c r="S106" i="79"/>
  <c r="U109" i="58"/>
  <c r="K110" i="62"/>
  <c r="O109" i="58"/>
  <c r="J46" i="68"/>
  <c r="B46" i="68"/>
  <c r="C46" i="68"/>
  <c r="B47" i="68"/>
  <c r="C47" i="68"/>
  <c r="W104" i="79"/>
  <c r="BF108" i="56"/>
  <c r="H108" i="56"/>
  <c r="K109" i="65"/>
  <c r="S104" i="79"/>
  <c r="Y108" i="58"/>
  <c r="J45" i="68"/>
  <c r="I45" i="68"/>
  <c r="B45" i="68"/>
  <c r="C45" i="68"/>
  <c r="BF107" i="56"/>
  <c r="K108" i="65"/>
  <c r="P107" i="58"/>
  <c r="S108" i="65"/>
  <c r="H104" i="56"/>
  <c r="I42" i="68"/>
  <c r="S100" i="79"/>
  <c r="S105" i="65"/>
  <c r="R100" i="79"/>
  <c r="T100" i="79"/>
  <c r="V104" i="58"/>
  <c r="AE41" i="68" l="1"/>
  <c r="S107" i="58" l="1"/>
  <c r="N107" i="58"/>
  <c r="F108" i="60"/>
  <c r="I108" i="62"/>
  <c r="I44" i="68"/>
  <c r="S107" i="65"/>
  <c r="F102" i="57"/>
  <c r="S102" i="79"/>
  <c r="H43" i="68" l="1"/>
  <c r="O105" i="58"/>
  <c r="K106" i="65"/>
  <c r="BF105" i="56"/>
  <c r="AE105" i="58"/>
  <c r="H105" i="56"/>
  <c r="BC105" i="56"/>
  <c r="S101" i="79"/>
  <c r="I104" i="56"/>
  <c r="C105" i="60"/>
  <c r="AB41" i="68"/>
  <c r="A42" i="68"/>
  <c r="B42" i="68"/>
  <c r="C42" i="68"/>
  <c r="AS103" i="56"/>
  <c r="O103" i="58"/>
  <c r="V103" i="58"/>
  <c r="V99" i="79"/>
  <c r="AE40" i="68"/>
  <c r="N103" i="58" l="1"/>
  <c r="S99" i="79"/>
  <c r="H103" i="56"/>
  <c r="F99" i="57"/>
  <c r="Y103" i="58"/>
  <c r="S104" i="65"/>
  <c r="R99" i="79"/>
  <c r="F104" i="62"/>
  <c r="I103" i="56"/>
  <c r="O102" i="58"/>
  <c r="BF102" i="56"/>
  <c r="I40" i="68"/>
  <c r="AB39" i="68"/>
  <c r="Z38" i="68"/>
  <c r="F97" i="57"/>
  <c r="AE38" i="68"/>
  <c r="T104" i="65" l="1"/>
  <c r="AC99" i="79"/>
  <c r="C104" i="60" l="1"/>
  <c r="P104" i="65"/>
  <c r="X99" i="79" l="1"/>
  <c r="F104" i="60"/>
  <c r="C40" i="68"/>
  <c r="C41" i="68"/>
  <c r="C43" i="68"/>
  <c r="C44" i="68"/>
  <c r="B40" i="68"/>
  <c r="B41" i="68"/>
  <c r="B43" i="68"/>
  <c r="B44" i="68"/>
  <c r="A40" i="68"/>
  <c r="A41" i="68"/>
  <c r="A43" i="68"/>
  <c r="U102" i="58"/>
  <c r="AH98" i="79"/>
  <c r="K103" i="65"/>
  <c r="AE102" i="58"/>
  <c r="H102" i="56"/>
  <c r="F103" i="62"/>
  <c r="AE102" i="56"/>
  <c r="S103" i="65"/>
  <c r="S101" i="65"/>
  <c r="K101" i="65"/>
  <c r="R96" i="79"/>
  <c r="H100" i="56"/>
  <c r="Z37" i="68"/>
  <c r="AE37" i="68"/>
  <c r="S102" i="65" l="1"/>
  <c r="S97" i="79"/>
  <c r="I101" i="56"/>
  <c r="U101" i="58"/>
  <c r="E101" i="66"/>
  <c r="AB38" i="68" l="1"/>
  <c r="J38" i="68"/>
  <c r="K102" i="65"/>
  <c r="O101" i="58"/>
  <c r="S96" i="79" l="1"/>
  <c r="A38" i="68"/>
  <c r="A39" i="68"/>
  <c r="A44" i="68"/>
  <c r="X96" i="79" l="1"/>
  <c r="J37" i="68"/>
  <c r="U100" i="58"/>
  <c r="F96" i="57"/>
  <c r="V96" i="79"/>
  <c r="S101" i="62"/>
  <c r="O100" i="58"/>
  <c r="AC100" i="66"/>
  <c r="G101" i="62"/>
  <c r="I100" i="56"/>
  <c r="Y100" i="58"/>
  <c r="AB37" i="68"/>
  <c r="AE100" i="58"/>
  <c r="T87" i="68"/>
  <c r="T95" i="68"/>
  <c r="S100" i="65"/>
  <c r="AB36" i="68"/>
  <c r="K100" i="65"/>
  <c r="I36" i="68"/>
  <c r="AE35" i="68"/>
  <c r="S95" i="79" l="1"/>
  <c r="Q100" i="60" l="1"/>
  <c r="U99" i="58"/>
  <c r="F95" i="57"/>
  <c r="H99" i="56"/>
  <c r="AC99" i="66"/>
  <c r="I99" i="56"/>
  <c r="U100" i="65"/>
  <c r="D99" i="66"/>
  <c r="M36" i="68"/>
  <c r="K99" i="65"/>
  <c r="S97" i="65"/>
  <c r="O95" i="58"/>
  <c r="I95" i="56"/>
  <c r="S91" i="79"/>
  <c r="K96" i="65"/>
  <c r="G95" i="56"/>
  <c r="AE32" i="68"/>
  <c r="Z35" i="68" l="1"/>
  <c r="I98" i="56"/>
  <c r="S99" i="65"/>
  <c r="S98" i="65"/>
  <c r="S98" i="58"/>
  <c r="M35" i="68"/>
  <c r="A35" i="68"/>
  <c r="B35" i="68"/>
  <c r="C35" i="68"/>
  <c r="O97" i="58"/>
  <c r="I97" i="56" l="1"/>
  <c r="J34" i="68"/>
  <c r="I34" i="68"/>
  <c r="C92" i="57"/>
  <c r="Z33" i="68"/>
  <c r="B97" i="60"/>
  <c r="I33" i="68"/>
  <c r="S96" i="65" l="1"/>
  <c r="AB32" i="68"/>
  <c r="AC95" i="66"/>
  <c r="AE95" i="58"/>
  <c r="BF95" i="56"/>
  <c r="R91" i="79"/>
  <c r="F91" i="57"/>
  <c r="B96" i="60"/>
  <c r="Y95" i="58"/>
  <c r="A32" i="68"/>
  <c r="B32" i="68"/>
  <c r="C32" i="68"/>
  <c r="G93" i="56"/>
  <c r="H93" i="56" l="1"/>
  <c r="T90" i="68" l="1"/>
  <c r="AE30" i="68"/>
  <c r="S89" i="79" l="1"/>
  <c r="H89" i="57"/>
  <c r="O93" i="58"/>
  <c r="AC93" i="66"/>
  <c r="I93" i="56"/>
  <c r="S94" i="65"/>
  <c r="D6" i="80"/>
  <c r="Z29" i="68"/>
  <c r="N29" i="68" l="1"/>
  <c r="AE29" i="68" l="1"/>
  <c r="U93" i="58" l="1"/>
  <c r="B89" i="57"/>
  <c r="F89" i="57"/>
  <c r="J30" i="68"/>
  <c r="I30" i="68"/>
  <c r="A30" i="68"/>
  <c r="B30" i="68"/>
  <c r="C30" i="68"/>
  <c r="M92" i="56"/>
  <c r="H92" i="56"/>
  <c r="I92" i="56"/>
  <c r="F88" i="57"/>
  <c r="P93" i="65"/>
  <c r="O92" i="58"/>
  <c r="S93" i="65"/>
  <c r="S88" i="79"/>
  <c r="J29" i="68"/>
  <c r="N89" i="68" s="1"/>
  <c r="K93" i="65" l="1"/>
  <c r="L92" i="58"/>
  <c r="U92" i="58"/>
  <c r="E92" i="66"/>
  <c r="C93" i="60"/>
  <c r="AD88" i="79" l="1"/>
  <c r="AG88" i="79"/>
  <c r="W88" i="79"/>
  <c r="N88" i="68"/>
  <c r="N87" i="68"/>
  <c r="N90" i="68"/>
  <c r="S86" i="79" l="1"/>
  <c r="AE27" i="68"/>
  <c r="K92" i="65" l="1"/>
  <c r="O91" i="58"/>
  <c r="AE92" i="65"/>
  <c r="T92" i="65"/>
  <c r="Y91" i="66"/>
  <c r="H91" i="56"/>
  <c r="B27" i="68"/>
  <c r="Z26" i="68"/>
  <c r="Q27" i="41" l="1"/>
  <c r="B90" i="60"/>
  <c r="AB26" i="68"/>
  <c r="S89" i="58"/>
  <c r="V85" i="79"/>
  <c r="J26" i="68"/>
  <c r="BF89" i="56"/>
  <c r="S84" i="79" l="1"/>
  <c r="Z25" i="68"/>
  <c r="BG88" i="56"/>
  <c r="H88" i="56"/>
  <c r="H87" i="56"/>
  <c r="AE26" i="68"/>
  <c r="S91" i="65" l="1"/>
  <c r="U90" i="58"/>
  <c r="H90" i="56"/>
  <c r="F86" i="57"/>
  <c r="A27" i="68"/>
  <c r="R85" i="79"/>
  <c r="B85" i="57"/>
  <c r="C89" i="58"/>
  <c r="U89" i="58"/>
  <c r="H89" i="56"/>
  <c r="K90" i="65"/>
  <c r="Y85" i="79"/>
  <c r="S90" i="65"/>
  <c r="O89" i="58"/>
  <c r="AC89" i="66" l="1"/>
  <c r="F85" i="57"/>
  <c r="AE24" i="68" l="1"/>
  <c r="K26" i="68" l="1"/>
  <c r="N86" i="68" s="1"/>
  <c r="B89" i="61"/>
  <c r="C90" i="60"/>
  <c r="Z90" i="60"/>
  <c r="B89" i="60"/>
  <c r="Y89" i="65"/>
  <c r="S89" i="65"/>
  <c r="U88" i="58"/>
  <c r="I88" i="56"/>
  <c r="I25" i="68" l="1"/>
  <c r="K89" i="65"/>
  <c r="B84" i="57"/>
  <c r="M25" i="68"/>
  <c r="L25" i="68"/>
  <c r="AE88" i="58"/>
  <c r="B88" i="58"/>
  <c r="O88" i="58"/>
  <c r="P89" i="65"/>
  <c r="U87" i="58"/>
  <c r="O87" i="58"/>
  <c r="Z24" i="68"/>
  <c r="AB21" i="68"/>
  <c r="AE21" i="68" l="1"/>
  <c r="N82" i="68"/>
  <c r="S80" i="79"/>
  <c r="I87" i="56" l="1"/>
  <c r="V83" i="79"/>
  <c r="S88" i="65" l="1"/>
  <c r="F83" i="57"/>
  <c r="BF87" i="56"/>
  <c r="S83" i="79"/>
  <c r="Y87" i="58"/>
  <c r="R83" i="79" l="1"/>
  <c r="C25" i="68"/>
  <c r="C26" i="68"/>
  <c r="C27" i="68"/>
  <c r="C28" i="68"/>
  <c r="C29" i="68"/>
  <c r="S82" i="79" l="1"/>
  <c r="Z23" i="68"/>
  <c r="K87" i="65"/>
  <c r="I23" i="68"/>
  <c r="L85" i="58"/>
  <c r="A23" i="68"/>
  <c r="B23" i="68"/>
  <c r="C23" i="68"/>
  <c r="K86" i="65"/>
  <c r="J22" i="68"/>
  <c r="I22" i="68"/>
  <c r="K85" i="65" l="1"/>
  <c r="K84" i="65"/>
  <c r="O84" i="58"/>
  <c r="D85" i="60"/>
  <c r="M21" i="68"/>
  <c r="Z21" i="68"/>
  <c r="T78" i="68"/>
  <c r="N77" i="68"/>
  <c r="N79" i="68"/>
  <c r="N83" i="68"/>
  <c r="N84" i="68"/>
  <c r="N85" i="68"/>
  <c r="Z18" i="68"/>
  <c r="N78" i="68" s="1"/>
  <c r="AE18" i="68"/>
  <c r="K82" i="65"/>
  <c r="I84" i="56" l="1"/>
  <c r="T80" i="79"/>
  <c r="B80" i="57" l="1"/>
  <c r="R80" i="79" l="1"/>
  <c r="J21" i="68"/>
  <c r="N81" i="68" s="1"/>
  <c r="I83" i="56" l="1"/>
  <c r="B79" i="57"/>
  <c r="B84" i="60"/>
  <c r="U83" i="58"/>
  <c r="J20" i="68"/>
  <c r="N80" i="68" s="1"/>
  <c r="T84" i="65"/>
  <c r="H83" i="56"/>
  <c r="I79" i="57" l="1"/>
  <c r="Z83" i="58"/>
  <c r="I20" i="68"/>
  <c r="B19" i="68" l="1"/>
  <c r="B20" i="68"/>
  <c r="B21" i="68"/>
  <c r="B22" i="68"/>
  <c r="B24" i="68"/>
  <c r="B25" i="68"/>
  <c r="B26" i="68"/>
  <c r="B29" i="68"/>
  <c r="B31" i="68"/>
  <c r="B33" i="68"/>
  <c r="B34" i="68"/>
  <c r="B36" i="68"/>
  <c r="B37" i="68"/>
  <c r="B38" i="68"/>
  <c r="B39" i="68"/>
  <c r="A19" i="68"/>
  <c r="A20" i="68"/>
  <c r="A21" i="68"/>
  <c r="A22" i="68"/>
  <c r="A24" i="68"/>
  <c r="A25" i="68"/>
  <c r="A26" i="68"/>
  <c r="A28" i="68"/>
  <c r="A29" i="68"/>
  <c r="A31" i="68"/>
  <c r="A33" i="68"/>
  <c r="A34" i="68"/>
  <c r="A36" i="68"/>
  <c r="A37" i="68"/>
  <c r="P83" i="65" l="1"/>
  <c r="E82" i="66"/>
  <c r="AG24" i="43"/>
  <c r="C6" i="80"/>
  <c r="Z64" i="43"/>
  <c r="Z16" i="68" l="1"/>
  <c r="B75" i="57"/>
  <c r="F75" i="57"/>
  <c r="AE16" i="68"/>
  <c r="F77" i="57" l="1"/>
  <c r="R77" i="79"/>
  <c r="S77" i="79"/>
  <c r="P82" i="65" l="1"/>
  <c r="AK81" i="56"/>
  <c r="I81" i="56"/>
  <c r="A18" i="68" l="1"/>
  <c r="B18" i="68"/>
  <c r="C18" i="68"/>
  <c r="I80" i="56"/>
  <c r="R76" i="79"/>
  <c r="S76" i="79"/>
  <c r="I79" i="56" l="1"/>
  <c r="T80" i="65"/>
  <c r="U79" i="58"/>
  <c r="H79" i="56"/>
  <c r="H80" i="56"/>
  <c r="D80" i="61"/>
  <c r="I17" i="68" l="1"/>
  <c r="S75" i="79"/>
  <c r="K78" i="65" l="1"/>
  <c r="Z15" i="68"/>
  <c r="S74" i="79"/>
  <c r="BF77" i="56"/>
  <c r="S73" i="79"/>
  <c r="AD72" i="79"/>
  <c r="AE13" i="68"/>
  <c r="K80" i="65" l="1"/>
  <c r="I78" i="56" l="1"/>
  <c r="T79" i="65" l="1"/>
  <c r="I15" i="68"/>
  <c r="F73" i="57" l="1"/>
  <c r="B73" i="57"/>
  <c r="T78" i="65"/>
  <c r="B77" i="58"/>
  <c r="O77" i="58"/>
  <c r="AB78" i="65"/>
  <c r="I77" i="56"/>
  <c r="U77" i="58"/>
  <c r="AD77" i="58"/>
  <c r="S78" i="65"/>
  <c r="AE77" i="58" l="1"/>
  <c r="C7" i="80" l="1"/>
  <c r="O59" i="81"/>
  <c r="I12" i="68"/>
  <c r="I11" i="68"/>
  <c r="L60" i="81"/>
  <c r="Z12" i="68"/>
  <c r="AB11" i="68"/>
  <c r="S70" i="79"/>
  <c r="K75" i="65"/>
  <c r="R71" i="68" l="1"/>
  <c r="AE11" i="68"/>
  <c r="B77" i="61" l="1"/>
  <c r="A14" i="68" l="1"/>
  <c r="A15" i="68"/>
  <c r="A16" i="68"/>
  <c r="A17" i="68"/>
  <c r="I14" i="68" l="1"/>
  <c r="B78" i="65" l="1"/>
  <c r="Y77" i="58"/>
  <c r="Z13" i="68"/>
  <c r="B72" i="57"/>
  <c r="B61" i="81"/>
  <c r="O76" i="58"/>
  <c r="R72" i="79"/>
  <c r="O60" i="81" l="1"/>
  <c r="D76" i="60"/>
  <c r="I75" i="56"/>
  <c r="F71" i="57"/>
  <c r="B76" i="65"/>
  <c r="K76" i="65"/>
  <c r="O75" i="58" l="1"/>
  <c r="B71" i="79"/>
  <c r="Y71" i="57"/>
  <c r="H74" i="56"/>
  <c r="B70" i="57"/>
  <c r="AE74" i="56"/>
  <c r="O74" i="58"/>
  <c r="U74" i="58"/>
  <c r="F70" i="57"/>
  <c r="AH74" i="58"/>
  <c r="B59" i="81"/>
  <c r="B75" i="65"/>
  <c r="F69" i="57"/>
  <c r="Z10" i="68"/>
  <c r="AB10" i="68"/>
  <c r="AE10" i="68"/>
  <c r="D74" i="66" l="1"/>
  <c r="F75" i="60"/>
  <c r="K11" i="68"/>
  <c r="I74" i="56"/>
  <c r="AC70" i="57" l="1"/>
  <c r="D74" i="60" l="1"/>
  <c r="I73" i="56"/>
  <c r="J10" i="68" l="1"/>
  <c r="Y73" i="58" l="1"/>
  <c r="K74" i="65"/>
  <c r="U73" i="58" l="1"/>
  <c r="R69" i="79"/>
  <c r="S74" i="65" l="1"/>
  <c r="L10" i="68"/>
  <c r="N70" i="68" s="1"/>
  <c r="S69" i="79"/>
  <c r="AM73" i="56"/>
  <c r="H73" i="56"/>
  <c r="N73" i="66"/>
  <c r="B69" i="57"/>
  <c r="Z33" i="43"/>
  <c r="M33" i="43"/>
  <c r="Z36" i="43"/>
  <c r="Z8" i="68" l="1"/>
  <c r="J9" i="68"/>
  <c r="I72" i="56"/>
  <c r="S67" i="79"/>
  <c r="H71" i="56"/>
  <c r="AE8" i="68" l="1"/>
  <c r="P73" i="56" l="1"/>
  <c r="AD69" i="79" l="1"/>
  <c r="A9" i="68" l="1"/>
  <c r="A10" i="68"/>
  <c r="A11" i="68"/>
  <c r="A12" i="68"/>
  <c r="A13" i="68"/>
  <c r="A8" i="68"/>
  <c r="B9" i="68"/>
  <c r="B10" i="68"/>
  <c r="B11" i="68"/>
  <c r="B12" i="68"/>
  <c r="B13" i="68"/>
  <c r="B14" i="68"/>
  <c r="B15" i="68"/>
  <c r="B16" i="68"/>
  <c r="B17" i="68"/>
  <c r="B8" i="68"/>
  <c r="K73" i="65" l="1"/>
  <c r="S68" i="79" l="1"/>
  <c r="BF72" i="56" l="1"/>
  <c r="AB9" i="68"/>
  <c r="R68" i="79"/>
  <c r="F68" i="57"/>
  <c r="Z9" i="68"/>
  <c r="AK72" i="56" l="1"/>
  <c r="P73" i="65"/>
  <c r="H72" i="56"/>
  <c r="B68" i="57"/>
  <c r="AJ68" i="57"/>
  <c r="I9" i="68"/>
  <c r="C9" i="68"/>
  <c r="Y71" i="58"/>
  <c r="M8" i="68"/>
  <c r="AE67" i="79"/>
  <c r="Z52" i="43"/>
  <c r="S49" i="79"/>
  <c r="K50" i="65"/>
  <c r="Z51" i="43"/>
  <c r="AE51" i="43"/>
  <c r="O71" i="58" l="1"/>
  <c r="P71" i="56"/>
  <c r="F67" i="57"/>
  <c r="K72" i="65" l="1"/>
  <c r="Z67" i="79"/>
  <c r="M71" i="58"/>
  <c r="L67" i="57"/>
  <c r="C10" i="68"/>
  <c r="C11" i="68"/>
  <c r="C12" i="68"/>
  <c r="C13" i="68"/>
  <c r="C14" i="68"/>
  <c r="C15" i="68"/>
  <c r="C16" i="68"/>
  <c r="C17" i="68"/>
  <c r="C19" i="68"/>
  <c r="C20" i="68"/>
  <c r="C21" i="68"/>
  <c r="C22" i="68"/>
  <c r="C24" i="68"/>
  <c r="C31" i="68"/>
  <c r="C33" i="68"/>
  <c r="C34" i="68"/>
  <c r="C36" i="68"/>
  <c r="C37" i="68"/>
  <c r="C38" i="68"/>
  <c r="C39" i="68"/>
  <c r="C8" i="68"/>
  <c r="H52" i="56" l="1"/>
  <c r="S50" i="79"/>
  <c r="O49" i="57"/>
  <c r="I52" i="56"/>
  <c r="K51" i="65"/>
  <c r="AT50" i="79"/>
  <c r="R50" i="79" l="1"/>
  <c r="S51" i="65"/>
  <c r="AB52" i="43"/>
  <c r="Y50" i="58"/>
  <c r="BF52" i="56"/>
  <c r="F49" i="57"/>
  <c r="I52" i="43"/>
  <c r="AB51" i="43"/>
  <c r="A52" i="43"/>
  <c r="B52" i="43"/>
  <c r="C52" i="43"/>
  <c r="N110" i="43" l="1"/>
  <c r="Z49" i="43"/>
  <c r="AB47" i="43"/>
  <c r="Z47" i="43"/>
  <c r="K49" i="65"/>
  <c r="B46" i="57"/>
  <c r="BF49" i="56"/>
  <c r="A45" i="57"/>
  <c r="A46" i="57"/>
  <c r="A47" i="57"/>
  <c r="A48" i="57"/>
  <c r="A49" i="57"/>
  <c r="A50" i="57"/>
  <c r="A51" i="57"/>
  <c r="A52" i="57"/>
  <c r="A53" i="57"/>
  <c r="AE47" i="43"/>
  <c r="C48" i="60" l="1"/>
  <c r="H50" i="56"/>
  <c r="K51" i="43"/>
  <c r="A50" i="43"/>
  <c r="B50" i="43"/>
  <c r="C50" i="43"/>
  <c r="A51" i="43"/>
  <c r="B51" i="43"/>
  <c r="C51" i="43"/>
  <c r="U47" i="58"/>
  <c r="S47" i="79"/>
  <c r="I49" i="56"/>
  <c r="P49" i="56"/>
  <c r="B44" i="57"/>
  <c r="O47" i="58"/>
  <c r="H49" i="56"/>
  <c r="C47" i="58"/>
  <c r="AP47" i="79"/>
  <c r="F47" i="79"/>
  <c r="H49" i="43" l="1"/>
  <c r="I49" i="43"/>
  <c r="AB48" i="43"/>
  <c r="AE46" i="58"/>
  <c r="A48" i="43"/>
  <c r="A49" i="43"/>
  <c r="B48" i="43"/>
  <c r="B49" i="43"/>
  <c r="C49" i="43"/>
  <c r="C48" i="43"/>
  <c r="I48" i="43" l="1"/>
  <c r="U44" i="58"/>
  <c r="W43" i="57"/>
  <c r="AE44" i="43"/>
  <c r="A47" i="43"/>
  <c r="A46" i="43"/>
  <c r="B47" i="43"/>
  <c r="B46" i="43"/>
  <c r="C47" i="43"/>
  <c r="C46" i="43"/>
  <c r="AB45" i="43"/>
  <c r="S43" i="79"/>
  <c r="R42" i="79"/>
  <c r="K43" i="65"/>
  <c r="K44" i="65"/>
  <c r="J41" i="61"/>
  <c r="S42" i="79"/>
  <c r="A44" i="57" l="1"/>
  <c r="A43" i="57"/>
  <c r="V45" i="58"/>
  <c r="A46" i="56"/>
  <c r="A47" i="56"/>
  <c r="A48" i="56"/>
  <c r="A49" i="56"/>
  <c r="A50" i="56"/>
  <c r="A51" i="56"/>
  <c r="A52" i="56"/>
  <c r="A53" i="56"/>
  <c r="A54" i="56"/>
  <c r="A55" i="56"/>
  <c r="A56" i="56"/>
  <c r="A57" i="56"/>
  <c r="A58" i="56"/>
  <c r="A59" i="56"/>
  <c r="A60" i="56"/>
  <c r="A61" i="56"/>
  <c r="Y42" i="58"/>
  <c r="BF44" i="56"/>
  <c r="BF45" i="56"/>
  <c r="S44" i="79"/>
  <c r="I46" i="43" l="1"/>
  <c r="O43" i="81" l="1"/>
  <c r="D43" i="60"/>
  <c r="H45" i="56"/>
  <c r="Z45" i="43" l="1"/>
  <c r="F41" i="57"/>
  <c r="AD43" i="79"/>
  <c r="I45" i="43"/>
  <c r="B45" i="43"/>
  <c r="A45" i="43"/>
  <c r="C44" i="43"/>
  <c r="AE42" i="43" l="1"/>
  <c r="H42" i="56"/>
  <c r="AB42" i="43"/>
  <c r="U40" i="58"/>
  <c r="Z42" i="43"/>
  <c r="Y43" i="58" l="1"/>
  <c r="P43" i="58"/>
  <c r="Z41" i="79" l="1"/>
  <c r="K42" i="65"/>
  <c r="A41" i="57"/>
  <c r="A42" i="57"/>
  <c r="AL40" i="60"/>
  <c r="T39" i="57"/>
  <c r="S40" i="79"/>
  <c r="I42" i="56"/>
  <c r="Z43" i="43"/>
  <c r="AB43" i="43"/>
  <c r="N104" i="43" s="1"/>
  <c r="T42" i="66"/>
  <c r="H43" i="56" l="1"/>
  <c r="J43" i="43"/>
  <c r="I43" i="43"/>
  <c r="A43" i="43"/>
  <c r="A44" i="43"/>
  <c r="B43" i="43"/>
  <c r="B44" i="43"/>
  <c r="K41" i="65" l="1"/>
  <c r="S41" i="65"/>
  <c r="B39" i="57"/>
  <c r="F39" i="57"/>
  <c r="BF42" i="56"/>
  <c r="B40" i="60"/>
  <c r="R40" i="60"/>
  <c r="Y40" i="58"/>
  <c r="F38" i="62"/>
  <c r="K38" i="62"/>
  <c r="AE40" i="43"/>
  <c r="K40" i="65" l="1"/>
  <c r="A42" i="43"/>
  <c r="B42" i="43"/>
  <c r="C42" i="43"/>
  <c r="S39" i="79"/>
  <c r="I41" i="56"/>
  <c r="T40" i="65"/>
  <c r="R39" i="79"/>
  <c r="G38" i="62" l="1"/>
  <c r="AS41" i="56"/>
  <c r="C40" i="43"/>
  <c r="C41" i="43"/>
  <c r="C43" i="43"/>
  <c r="B40" i="43"/>
  <c r="B41" i="43"/>
  <c r="A41" i="43"/>
  <c r="A36" i="43"/>
  <c r="A37" i="43"/>
  <c r="A38" i="43"/>
  <c r="A39" i="43"/>
  <c r="A40" i="43"/>
  <c r="N97" i="43" l="1"/>
  <c r="Z39" i="43"/>
  <c r="C36" i="57"/>
  <c r="Z38" i="43"/>
  <c r="U35" i="58"/>
  <c r="H37" i="56"/>
  <c r="I37" i="56"/>
  <c r="AE36" i="43" l="1"/>
  <c r="U38" i="58" l="1"/>
  <c r="B35" i="57"/>
  <c r="L38" i="43"/>
  <c r="K37" i="65"/>
  <c r="K36" i="65"/>
  <c r="O35" i="58"/>
  <c r="B38" i="43"/>
  <c r="C38" i="43"/>
  <c r="B39" i="43"/>
  <c r="C39" i="43"/>
  <c r="Z35" i="79"/>
  <c r="AB37" i="43" l="1"/>
  <c r="S35" i="79"/>
  <c r="J37" i="43"/>
  <c r="I37" i="43" l="1"/>
  <c r="A35" i="43"/>
  <c r="B35" i="43"/>
  <c r="C35" i="43"/>
  <c r="AE35" i="43" l="1"/>
  <c r="C37" i="43"/>
  <c r="B36" i="43" l="1"/>
  <c r="B37" i="43"/>
  <c r="C36" i="43"/>
  <c r="AE31" i="65" l="1"/>
  <c r="A33" i="43"/>
  <c r="AB33" i="43"/>
  <c r="P31" i="65"/>
  <c r="H32" i="56"/>
  <c r="Z32" i="43"/>
  <c r="AB32" i="43"/>
  <c r="AE31" i="43"/>
  <c r="K32" i="65" l="1"/>
  <c r="H33" i="56"/>
  <c r="N31" i="58"/>
  <c r="U31" i="58"/>
  <c r="A34" i="43"/>
  <c r="B34" i="43"/>
  <c r="C34" i="43"/>
  <c r="I33" i="43"/>
  <c r="C33" i="43"/>
  <c r="B33" i="43"/>
  <c r="O30" i="58" l="1"/>
  <c r="T31" i="65"/>
  <c r="AE29" i="43"/>
  <c r="B27" i="62"/>
  <c r="I30" i="43" l="1"/>
  <c r="O27" i="58"/>
  <c r="B26" i="57"/>
  <c r="I32" i="43" l="1"/>
  <c r="C32" i="43"/>
  <c r="B32" i="43"/>
  <c r="A30" i="43"/>
  <c r="A31" i="43"/>
  <c r="A32" i="43"/>
  <c r="I31" i="43" l="1"/>
  <c r="I31" i="56"/>
  <c r="M31" i="43"/>
  <c r="B31" i="43"/>
  <c r="C31" i="43"/>
  <c r="B27" i="61"/>
  <c r="B27" i="57"/>
  <c r="U28" i="58"/>
  <c r="I30" i="56"/>
  <c r="F27" i="57"/>
  <c r="H30" i="56"/>
  <c r="O28" i="58"/>
  <c r="N28" i="58"/>
  <c r="AD28" i="79"/>
  <c r="C28" i="60"/>
  <c r="Z28" i="79"/>
  <c r="B26" i="62"/>
  <c r="D29" i="65" l="1"/>
  <c r="C30" i="43"/>
  <c r="B30" i="43"/>
  <c r="S27" i="79" l="1"/>
  <c r="H29" i="56"/>
  <c r="Z26" i="57"/>
  <c r="AE27" i="43"/>
  <c r="AA27" i="43"/>
  <c r="H28" i="56"/>
  <c r="S25" i="79"/>
  <c r="H27" i="43"/>
  <c r="U25" i="58"/>
  <c r="H27" i="56"/>
  <c r="B24" i="57"/>
  <c r="F24" i="57"/>
  <c r="O25" i="58"/>
  <c r="Z27" i="43"/>
  <c r="B27" i="60" l="1"/>
  <c r="R27" i="79"/>
  <c r="U27" i="58" l="1"/>
  <c r="K28" i="65"/>
  <c r="AD27" i="79"/>
  <c r="B26" i="61" l="1"/>
  <c r="I29" i="56"/>
  <c r="A29" i="43"/>
  <c r="B29" i="43"/>
  <c r="C29" i="43"/>
  <c r="K27" i="65" l="1"/>
  <c r="S26" i="79"/>
  <c r="Y26" i="58"/>
  <c r="B26" i="60"/>
  <c r="B25" i="57"/>
  <c r="A28" i="43"/>
  <c r="B28" i="43"/>
  <c r="C28" i="43"/>
  <c r="G28" i="56"/>
  <c r="F26" i="60"/>
  <c r="I28" i="43"/>
  <c r="I27" i="56"/>
  <c r="Y25" i="79" l="1"/>
  <c r="J27" i="43" l="1"/>
  <c r="Y24" i="58"/>
  <c r="BG26" i="56"/>
  <c r="I26" i="43"/>
  <c r="U23" i="58"/>
  <c r="M25" i="43"/>
  <c r="AE25" i="43"/>
  <c r="B25" i="60" l="1"/>
  <c r="Y25" i="58"/>
  <c r="BF27" i="56"/>
  <c r="H26" i="65"/>
  <c r="B24" i="61" l="1"/>
  <c r="A27" i="43"/>
  <c r="B27" i="43"/>
  <c r="C27" i="43"/>
  <c r="H26" i="56"/>
  <c r="F23" i="57"/>
  <c r="M24" i="60"/>
  <c r="O24" i="58"/>
  <c r="S24" i="79"/>
  <c r="I26" i="56"/>
  <c r="AA26" i="43"/>
  <c r="P25" i="65"/>
  <c r="U24" i="58"/>
  <c r="B23" i="57" l="1"/>
  <c r="AD24" i="79"/>
  <c r="BF23" i="56" l="1"/>
  <c r="S21" i="79"/>
  <c r="J23" i="43"/>
  <c r="AE23" i="43"/>
  <c r="I25" i="56" l="1"/>
  <c r="B22" i="57"/>
  <c r="F22" i="57" l="1"/>
  <c r="S23" i="79"/>
  <c r="T24" i="65"/>
  <c r="Z25" i="43"/>
  <c r="AB24" i="65"/>
  <c r="H25" i="56"/>
  <c r="F23" i="60" l="1"/>
  <c r="O23" i="58"/>
  <c r="K22" i="62"/>
  <c r="C25" i="43"/>
  <c r="C26" i="43"/>
  <c r="B25" i="43"/>
  <c r="B26" i="43"/>
  <c r="A25" i="43"/>
  <c r="A26" i="43"/>
  <c r="A24" i="43" l="1"/>
  <c r="B24" i="43"/>
  <c r="BF24" i="56"/>
  <c r="H24" i="56" l="1"/>
  <c r="Y22" i="58"/>
  <c r="I24" i="56"/>
  <c r="AD21" i="57"/>
  <c r="AB24" i="43" l="1"/>
  <c r="I24" i="43"/>
  <c r="B20" i="57" l="1"/>
  <c r="H23" i="56"/>
  <c r="I23" i="56"/>
  <c r="Y21" i="58"/>
  <c r="K22" i="66"/>
  <c r="Z23" i="43"/>
  <c r="I22" i="43" l="1"/>
  <c r="F19" i="57"/>
  <c r="S20" i="79"/>
  <c r="Z22" i="43"/>
  <c r="AB21" i="43"/>
  <c r="Z21" i="43"/>
  <c r="AE21" i="43"/>
  <c r="F20" i="57" l="1"/>
  <c r="O21" i="58"/>
  <c r="R21" i="79" l="1"/>
  <c r="B23" i="43"/>
  <c r="O20" i="58" l="1"/>
  <c r="BF22" i="56"/>
  <c r="I22" i="56"/>
  <c r="H22" i="56"/>
  <c r="Y20" i="58"/>
  <c r="B20" i="60" l="1"/>
  <c r="J22" i="43" l="1"/>
  <c r="K21" i="65" l="1"/>
  <c r="B19" i="57" l="1"/>
  <c r="R20" i="79"/>
  <c r="AH20" i="79"/>
  <c r="T21" i="65"/>
  <c r="AA19" i="43" l="1"/>
  <c r="BF19" i="56"/>
  <c r="Z19" i="43"/>
  <c r="AE19" i="43"/>
  <c r="K19" i="62" l="1"/>
  <c r="F20" i="60"/>
  <c r="A22" i="43"/>
  <c r="A23" i="43"/>
  <c r="I21" i="56" l="1"/>
  <c r="F18" i="57" l="1"/>
  <c r="F19" i="79"/>
  <c r="S19" i="79"/>
  <c r="K19" i="65" l="1"/>
  <c r="H20" i="56"/>
  <c r="BF20" i="56" l="1"/>
  <c r="Y18" i="58"/>
  <c r="F17" i="57"/>
  <c r="I20" i="56" l="1"/>
  <c r="S18" i="79"/>
  <c r="M18" i="60" l="1"/>
  <c r="K19" i="66" l="1"/>
  <c r="I20" i="43"/>
  <c r="AH18" i="79" l="1"/>
  <c r="H20" i="43"/>
  <c r="J20" i="43"/>
  <c r="Z16" i="57" l="1"/>
  <c r="V17" i="79"/>
  <c r="Y17" i="58"/>
  <c r="F16" i="57"/>
  <c r="H19" i="56"/>
  <c r="I19" i="56"/>
  <c r="AH17" i="79"/>
  <c r="I17" i="43"/>
  <c r="Z18" i="43"/>
  <c r="F16" i="60"/>
  <c r="S15" i="79"/>
  <c r="H17" i="56"/>
  <c r="I18" i="43"/>
  <c r="AA16" i="43"/>
  <c r="K15" i="65"/>
  <c r="T14" i="79"/>
  <c r="S15" i="65"/>
  <c r="Z16" i="43"/>
  <c r="N78" i="43"/>
  <c r="N80" i="43"/>
  <c r="AE16" i="43"/>
  <c r="N77" i="43" l="1"/>
  <c r="I17" i="58"/>
  <c r="S18" i="65" l="1"/>
  <c r="K18" i="65"/>
  <c r="S17" i="79"/>
  <c r="O16" i="57"/>
  <c r="AD16" i="79" l="1"/>
  <c r="H18" i="56"/>
  <c r="S16" i="79"/>
  <c r="J18" i="43" l="1"/>
  <c r="N79" i="43" s="1"/>
  <c r="AD16" i="65" l="1"/>
  <c r="F14" i="57"/>
  <c r="I17" i="56" l="1"/>
  <c r="B16" i="66"/>
  <c r="BF16" i="56"/>
  <c r="O14" i="58"/>
  <c r="W13" i="57"/>
  <c r="A17" i="43"/>
  <c r="B17" i="43"/>
  <c r="C17" i="43"/>
  <c r="A18" i="43"/>
  <c r="B18" i="43"/>
  <c r="C18" i="43"/>
  <c r="Z15" i="43"/>
  <c r="V10" i="79"/>
  <c r="AB14" i="43"/>
  <c r="Z14" i="43"/>
  <c r="AM12" i="60"/>
  <c r="S12" i="79"/>
  <c r="U11" i="58"/>
  <c r="AH11" i="79"/>
  <c r="Z13" i="43"/>
  <c r="AE15" i="43"/>
  <c r="AE13" i="43"/>
  <c r="F13" i="57"/>
  <c r="N75" i="43" l="1"/>
  <c r="H16" i="56"/>
  <c r="E14" i="79"/>
  <c r="AF13" i="57"/>
  <c r="C16" i="43"/>
  <c r="C19" i="43"/>
  <c r="C20" i="43"/>
  <c r="C21" i="43"/>
  <c r="C22" i="43"/>
  <c r="C23" i="43"/>
  <c r="C24" i="43"/>
  <c r="B16" i="43"/>
  <c r="B19" i="43"/>
  <c r="B20" i="43"/>
  <c r="B21" i="43"/>
  <c r="B22" i="43"/>
  <c r="A16" i="43"/>
  <c r="A19" i="43"/>
  <c r="A20" i="43"/>
  <c r="A21" i="43"/>
  <c r="AB15" i="43"/>
  <c r="N76" i="43" s="1"/>
  <c r="U13" i="58"/>
  <c r="I15" i="56"/>
  <c r="N13" i="58"/>
  <c r="AD13" i="79"/>
  <c r="Y13" i="58" l="1"/>
  <c r="S13" i="79"/>
  <c r="AE12" i="57"/>
  <c r="F12" i="57"/>
  <c r="B12" i="57"/>
  <c r="BF15" i="56"/>
  <c r="C15" i="43"/>
  <c r="A15" i="43"/>
  <c r="B15" i="43"/>
  <c r="AF13" i="65" l="1"/>
  <c r="H14" i="56"/>
  <c r="E13" i="66"/>
  <c r="I14" i="56"/>
  <c r="I14" i="43"/>
  <c r="A14" i="43"/>
  <c r="B14" i="43"/>
  <c r="AB13" i="43" l="1"/>
  <c r="N74" i="43" s="1"/>
  <c r="N11" i="58"/>
  <c r="AM11" i="60"/>
  <c r="BF13" i="56"/>
  <c r="F10" i="57"/>
  <c r="H13" i="56"/>
  <c r="N73" i="43"/>
  <c r="N68" i="68"/>
  <c r="AE12" i="43"/>
  <c r="H12" i="56"/>
  <c r="AE11" i="79" l="1"/>
  <c r="B11" i="60"/>
  <c r="K12" i="66"/>
  <c r="Y11" i="58" l="1"/>
  <c r="A13" i="43"/>
  <c r="B13" i="43"/>
  <c r="C13" i="43"/>
  <c r="O10" i="58"/>
  <c r="F9" i="57"/>
  <c r="I12" i="56" l="1"/>
  <c r="F10" i="60"/>
  <c r="C10" i="43"/>
  <c r="C11" i="43"/>
  <c r="C12" i="43"/>
  <c r="B10" i="43"/>
  <c r="B11" i="43"/>
  <c r="B12" i="43"/>
  <c r="A10" i="43"/>
  <c r="A11" i="43"/>
  <c r="A12" i="43"/>
  <c r="AE11" i="43"/>
  <c r="N70" i="43" l="1"/>
  <c r="AE9" i="43"/>
  <c r="A9" i="43" l="1"/>
  <c r="B9" i="43"/>
  <c r="B8" i="43"/>
  <c r="A8" i="43"/>
  <c r="Z8" i="43" l="1"/>
  <c r="O6" i="58"/>
  <c r="AA8" i="43"/>
  <c r="AE8" i="43" l="1"/>
  <c r="I8" i="56" l="1"/>
  <c r="H8" i="56"/>
  <c r="J8" i="43"/>
  <c r="G5" i="57"/>
  <c r="Y5" i="57"/>
  <c r="S6" i="79"/>
  <c r="AB8" i="43"/>
  <c r="AQ8" i="56"/>
  <c r="C9" i="43"/>
  <c r="C14" i="43"/>
  <c r="R69" i="68" l="1"/>
  <c r="S69" i="68"/>
  <c r="T68" i="68" s="1"/>
  <c r="S70" i="68"/>
  <c r="T70" i="68" s="1"/>
  <c r="S71" i="68"/>
  <c r="R72" i="68"/>
  <c r="S72" i="68"/>
  <c r="T71" i="68" s="1"/>
  <c r="R73" i="68"/>
  <c r="S73" i="68"/>
  <c r="R74" i="68"/>
  <c r="S74" i="68"/>
  <c r="R75" i="68"/>
  <c r="S75" i="68"/>
  <c r="R76" i="68"/>
  <c r="T76" i="68" s="1"/>
  <c r="S76" i="68"/>
  <c r="R77" i="68"/>
  <c r="S78" i="68"/>
  <c r="R79" i="68"/>
  <c r="S79" i="68"/>
  <c r="R80" i="68"/>
  <c r="S81" i="68"/>
  <c r="R82" i="68"/>
  <c r="S82" i="68"/>
  <c r="R83" i="68"/>
  <c r="S83" i="68"/>
  <c r="T81" i="68" s="1"/>
  <c r="R84" i="68"/>
  <c r="S84" i="68"/>
  <c r="R85" i="68"/>
  <c r="S85" i="68"/>
  <c r="R86" i="68"/>
  <c r="S86" i="68"/>
  <c r="S87" i="68"/>
  <c r="R88" i="68"/>
  <c r="S89" i="68"/>
  <c r="T89" i="68" s="1"/>
  <c r="R91" i="68"/>
  <c r="S91" i="68"/>
  <c r="S92" i="68"/>
  <c r="R93" i="68"/>
  <c r="S93" i="68"/>
  <c r="R94" i="68"/>
  <c r="S94" i="68"/>
  <c r="T92" i="68" s="1"/>
  <c r="S95" i="68"/>
  <c r="R96" i="68"/>
  <c r="S97" i="68"/>
  <c r="T97" i="68" s="1"/>
  <c r="R98" i="68"/>
  <c r="T98" i="68" s="1"/>
  <c r="S98" i="68"/>
  <c r="R99" i="68"/>
  <c r="S100" i="68"/>
  <c r="T100" i="68" s="1"/>
  <c r="S101" i="68"/>
  <c r="R102" i="68"/>
  <c r="S102" i="68"/>
  <c r="T101" i="68" s="1"/>
  <c r="R103" i="68"/>
  <c r="T103" i="68" s="1"/>
  <c r="S103" i="68"/>
  <c r="R104" i="68"/>
  <c r="S104" i="68"/>
  <c r="R105" i="68"/>
  <c r="S106" i="68"/>
  <c r="R107" i="68"/>
  <c r="R108" i="68"/>
  <c r="S108" i="68"/>
  <c r="R109" i="68"/>
  <c r="S109" i="68"/>
  <c r="R110" i="68"/>
  <c r="S110" i="68"/>
  <c r="R111" i="68"/>
  <c r="S111" i="68"/>
  <c r="R112" i="68"/>
  <c r="S112" i="68"/>
  <c r="R113" i="68"/>
  <c r="S113" i="68"/>
  <c r="R114" i="68"/>
  <c r="S114" i="68"/>
  <c r="R115" i="68"/>
  <c r="S115" i="68"/>
  <c r="R116" i="68"/>
  <c r="S116" i="68"/>
  <c r="R117" i="68"/>
  <c r="S117" i="68"/>
  <c r="R118" i="68"/>
  <c r="S118" i="68"/>
  <c r="R119" i="68"/>
  <c r="S119" i="68"/>
  <c r="S68" i="68"/>
  <c r="N69" i="68"/>
  <c r="N71" i="68"/>
  <c r="N72" i="68"/>
  <c r="N73" i="68"/>
  <c r="N74" i="68"/>
  <c r="N75" i="68"/>
  <c r="N76" i="68"/>
  <c r="N91" i="68"/>
  <c r="N92" i="68"/>
  <c r="N93" i="68"/>
  <c r="N94" i="68"/>
  <c r="N95" i="68"/>
  <c r="N96" i="68"/>
  <c r="N97" i="68"/>
  <c r="N98" i="68"/>
  <c r="N99" i="68"/>
  <c r="N100" i="68"/>
  <c r="N101" i="68"/>
  <c r="N102" i="68"/>
  <c r="N103" i="68"/>
  <c r="N104" i="68"/>
  <c r="N105" i="68"/>
  <c r="N106" i="68"/>
  <c r="N107" i="68"/>
  <c r="N108" i="68"/>
  <c r="N109" i="68"/>
  <c r="N110" i="68"/>
  <c r="N111" i="68"/>
  <c r="N112" i="68"/>
  <c r="N113" i="68"/>
  <c r="N114" i="68"/>
  <c r="N115" i="68"/>
  <c r="N116" i="68"/>
  <c r="N117" i="68"/>
  <c r="N118" i="68"/>
  <c r="AV678" i="79"/>
  <c r="AV679" i="79"/>
  <c r="AV680" i="79"/>
  <c r="AV681" i="79"/>
  <c r="AV682" i="79"/>
  <c r="AV683" i="79"/>
  <c r="AV684" i="79"/>
  <c r="AV685" i="79"/>
  <c r="AV686" i="79"/>
  <c r="AV687" i="79"/>
  <c r="AV688" i="79"/>
  <c r="AV689" i="79"/>
  <c r="AV690" i="79"/>
  <c r="AV691" i="79"/>
  <c r="AV692" i="79"/>
  <c r="AV693" i="79"/>
  <c r="AV694" i="79"/>
  <c r="AV695" i="79"/>
  <c r="AV696" i="79"/>
  <c r="AV697" i="79"/>
  <c r="AV698" i="79"/>
  <c r="AV699" i="79"/>
  <c r="AV700" i="79"/>
  <c r="AV701" i="79"/>
  <c r="AV702" i="79"/>
  <c r="AV703" i="79"/>
  <c r="AV704" i="79"/>
  <c r="AV705" i="79"/>
  <c r="AV706" i="79"/>
  <c r="AV707" i="79"/>
  <c r="AV708" i="79"/>
  <c r="AV709" i="79"/>
  <c r="AV710" i="79"/>
  <c r="AV711" i="79"/>
  <c r="AV712" i="79"/>
  <c r="AV713" i="79"/>
  <c r="AV714" i="79"/>
  <c r="AV715" i="79"/>
  <c r="AV716" i="79"/>
  <c r="AV717" i="79"/>
  <c r="AV718" i="79"/>
  <c r="AV719" i="79"/>
  <c r="AV720" i="79"/>
  <c r="AV721" i="79"/>
  <c r="AV722" i="79"/>
  <c r="AV723" i="79"/>
  <c r="AV724" i="79"/>
  <c r="AV725" i="79"/>
  <c r="AV726" i="79"/>
  <c r="AV727" i="79"/>
  <c r="AV728" i="79"/>
  <c r="AV729" i="79"/>
  <c r="AV730" i="79"/>
  <c r="AV731" i="79"/>
  <c r="AV732" i="79"/>
  <c r="B733" i="79"/>
  <c r="C733" i="79"/>
  <c r="D733" i="79"/>
  <c r="E733" i="79"/>
  <c r="F733" i="79"/>
  <c r="G733" i="79"/>
  <c r="H733" i="79"/>
  <c r="I733" i="79"/>
  <c r="J733" i="79"/>
  <c r="K733" i="79"/>
  <c r="L733" i="79"/>
  <c r="M733" i="79"/>
  <c r="N733" i="79"/>
  <c r="O733" i="79"/>
  <c r="P733" i="79"/>
  <c r="Q733" i="79"/>
  <c r="R733" i="79"/>
  <c r="S733" i="79"/>
  <c r="T733" i="79"/>
  <c r="U733" i="79"/>
  <c r="V733" i="79"/>
  <c r="W733" i="79"/>
  <c r="X733" i="79"/>
  <c r="Y733" i="79"/>
  <c r="Z733" i="79"/>
  <c r="AA733" i="79"/>
  <c r="AB733" i="79"/>
  <c r="AC733" i="79"/>
  <c r="AD733" i="79"/>
  <c r="AE733" i="79"/>
  <c r="AF733" i="79"/>
  <c r="AG733" i="79"/>
  <c r="AH733" i="79"/>
  <c r="AI733" i="79"/>
  <c r="AJ733" i="79"/>
  <c r="AK733" i="79"/>
  <c r="AL733" i="79"/>
  <c r="AM733" i="79"/>
  <c r="AN733" i="79"/>
  <c r="AO733" i="79"/>
  <c r="AP733" i="79"/>
  <c r="AQ733" i="79"/>
  <c r="AR733" i="79"/>
  <c r="AS733" i="79"/>
  <c r="AT733" i="79"/>
  <c r="AU733" i="79"/>
  <c r="AD429" i="66"/>
  <c r="AD430" i="66"/>
  <c r="AD431" i="66"/>
  <c r="AD432" i="66"/>
  <c r="AD433" i="66"/>
  <c r="AD434" i="66"/>
  <c r="AD435" i="66"/>
  <c r="AD436" i="66"/>
  <c r="AD437" i="66"/>
  <c r="AD438" i="66"/>
  <c r="AD439" i="66"/>
  <c r="AD440" i="66"/>
  <c r="AD441" i="66"/>
  <c r="AD442" i="66"/>
  <c r="AD443" i="66"/>
  <c r="AD444" i="66"/>
  <c r="AD445" i="66"/>
  <c r="AD446" i="66"/>
  <c r="AD447" i="66"/>
  <c r="AD448" i="66"/>
  <c r="AD449" i="66"/>
  <c r="W31" i="74" s="1"/>
  <c r="AD450" i="66"/>
  <c r="W32" i="74" s="1"/>
  <c r="AD451" i="66"/>
  <c r="W33" i="74" s="1"/>
  <c r="AD452" i="66"/>
  <c r="W34" i="74" s="1"/>
  <c r="AD453" i="66"/>
  <c r="W35" i="74" s="1"/>
  <c r="AD454" i="66"/>
  <c r="W36" i="74" s="1"/>
  <c r="AD455" i="66"/>
  <c r="W37" i="74" s="1"/>
  <c r="AD456" i="66"/>
  <c r="W38" i="74" s="1"/>
  <c r="AD457" i="66"/>
  <c r="W39" i="74" s="1"/>
  <c r="AD458" i="66"/>
  <c r="W40" i="74" s="1"/>
  <c r="AD459" i="66"/>
  <c r="W41" i="74" s="1"/>
  <c r="AD460" i="66"/>
  <c r="W42" i="74" s="1"/>
  <c r="AD461" i="66"/>
  <c r="W43" i="74" s="1"/>
  <c r="AD662" i="66"/>
  <c r="AD663" i="66"/>
  <c r="AD664" i="66"/>
  <c r="AD665" i="66"/>
  <c r="AD666" i="66"/>
  <c r="AD667" i="66"/>
  <c r="AD668" i="66"/>
  <c r="W420" i="62"/>
  <c r="X420" i="62"/>
  <c r="N420" i="62"/>
  <c r="AC121" i="58"/>
  <c r="AD121" i="58"/>
  <c r="AE121" i="58"/>
  <c r="AF121" i="58"/>
  <c r="AP494" i="56"/>
  <c r="AQ494" i="56"/>
  <c r="AR494" i="56"/>
  <c r="AS494" i="56"/>
  <c r="AT494" i="56"/>
  <c r="AU494" i="56"/>
  <c r="AV494" i="56"/>
  <c r="AW494" i="56"/>
  <c r="AX494" i="56"/>
  <c r="AY494" i="56"/>
  <c r="AZ494" i="56"/>
  <c r="BA494" i="56"/>
  <c r="BB494" i="56"/>
  <c r="BC494" i="56"/>
  <c r="BD494" i="56"/>
  <c r="BE494" i="56"/>
  <c r="BF494" i="56"/>
  <c r="BG494" i="56"/>
  <c r="AP433" i="56"/>
  <c r="AQ433" i="56"/>
  <c r="AR433" i="56"/>
  <c r="AS433" i="56"/>
  <c r="AT433" i="56"/>
  <c r="AU433" i="56"/>
  <c r="AV433" i="56"/>
  <c r="AW433" i="56"/>
  <c r="AX433" i="56"/>
  <c r="AY433" i="56"/>
  <c r="AZ433" i="56"/>
  <c r="BA433" i="56"/>
  <c r="BB433" i="56"/>
  <c r="BC433" i="56"/>
  <c r="BD433" i="56"/>
  <c r="BE433" i="56"/>
  <c r="BF433" i="56"/>
  <c r="BG433" i="56"/>
  <c r="F245" i="56"/>
  <c r="G245" i="56"/>
  <c r="H245" i="56"/>
  <c r="I245" i="56"/>
  <c r="J245" i="56"/>
  <c r="K245" i="56"/>
  <c r="L245" i="56"/>
  <c r="M245" i="56"/>
  <c r="N245" i="56"/>
  <c r="O245" i="56"/>
  <c r="P245" i="56"/>
  <c r="Q245" i="56"/>
  <c r="R245" i="56"/>
  <c r="S245" i="56"/>
  <c r="T245" i="56"/>
  <c r="N71" i="43"/>
  <c r="N72" i="43"/>
  <c r="N81" i="43"/>
  <c r="N82" i="43"/>
  <c r="N83" i="43"/>
  <c r="N84" i="43"/>
  <c r="N85" i="43"/>
  <c r="N86" i="43"/>
  <c r="N87" i="43"/>
  <c r="N88" i="43"/>
  <c r="N89" i="43"/>
  <c r="N90" i="43"/>
  <c r="N91" i="43"/>
  <c r="N92" i="43"/>
  <c r="N93" i="43"/>
  <c r="N94" i="43"/>
  <c r="N95" i="43"/>
  <c r="N96" i="43"/>
  <c r="N98" i="43"/>
  <c r="N99" i="43"/>
  <c r="N100" i="43"/>
  <c r="N101" i="43"/>
  <c r="N102" i="43"/>
  <c r="N103" i="43"/>
  <c r="N105" i="43"/>
  <c r="N106" i="43"/>
  <c r="N107" i="43"/>
  <c r="N108" i="43"/>
  <c r="N109" i="43"/>
  <c r="N111" i="43"/>
  <c r="N112" i="43"/>
  <c r="N113" i="43"/>
  <c r="N114" i="43"/>
  <c r="N115" i="43"/>
  <c r="N116" i="43"/>
  <c r="N117" i="43"/>
  <c r="N118" i="43"/>
  <c r="N119" i="43"/>
  <c r="N120" i="43"/>
  <c r="N121" i="43"/>
  <c r="N69" i="43"/>
  <c r="R70" i="43"/>
  <c r="T70" i="43" s="1"/>
  <c r="R71" i="43"/>
  <c r="S71" i="43"/>
  <c r="R72" i="43"/>
  <c r="S72" i="43"/>
  <c r="S73" i="43"/>
  <c r="T73" i="43" s="1"/>
  <c r="R74" i="43"/>
  <c r="S74" i="43"/>
  <c r="R75" i="43"/>
  <c r="S75" i="43"/>
  <c r="S76" i="43"/>
  <c r="T76" i="43" s="1"/>
  <c r="S77" i="43"/>
  <c r="R78" i="43"/>
  <c r="S78" i="43"/>
  <c r="R79" i="43"/>
  <c r="S79" i="43"/>
  <c r="T77" i="43" s="1"/>
  <c r="S80" i="43"/>
  <c r="R81" i="43"/>
  <c r="S81" i="43"/>
  <c r="T80" i="43" s="1"/>
  <c r="R82" i="43"/>
  <c r="T82" i="43" s="1"/>
  <c r="S82" i="43"/>
  <c r="R83" i="43"/>
  <c r="R84" i="43"/>
  <c r="T84" i="43" s="1"/>
  <c r="S84" i="43"/>
  <c r="R85" i="43"/>
  <c r="R86" i="43"/>
  <c r="S86" i="43"/>
  <c r="R87" i="43"/>
  <c r="S88" i="43"/>
  <c r="R89" i="43"/>
  <c r="S89" i="43"/>
  <c r="T88" i="43" s="1"/>
  <c r="R90" i="43"/>
  <c r="T90" i="43" s="1"/>
  <c r="S90" i="43"/>
  <c r="R91" i="43"/>
  <c r="S92" i="43"/>
  <c r="R93" i="43"/>
  <c r="S93" i="43"/>
  <c r="R94" i="43"/>
  <c r="S94" i="43"/>
  <c r="R95" i="43"/>
  <c r="S95" i="43"/>
  <c r="T92" i="43" s="1"/>
  <c r="R96" i="43"/>
  <c r="S96" i="43"/>
  <c r="S97" i="43"/>
  <c r="R98" i="43"/>
  <c r="S98" i="43"/>
  <c r="R99" i="43"/>
  <c r="S99" i="43"/>
  <c r="R100" i="43"/>
  <c r="S100" i="43"/>
  <c r="T97" i="43" s="1"/>
  <c r="S101" i="43"/>
  <c r="R102" i="43"/>
  <c r="S102" i="43"/>
  <c r="T101" i="43" s="1"/>
  <c r="R103" i="43"/>
  <c r="S103" i="43"/>
  <c r="R104" i="43"/>
  <c r="S104" i="43"/>
  <c r="R105" i="43"/>
  <c r="S105" i="43"/>
  <c r="R106" i="43"/>
  <c r="S106" i="43"/>
  <c r="R107" i="43"/>
  <c r="S107" i="43"/>
  <c r="R108" i="43"/>
  <c r="S108" i="43"/>
  <c r="R109" i="43"/>
  <c r="S109" i="43"/>
  <c r="R110" i="43"/>
  <c r="S110" i="43"/>
  <c r="R111" i="43"/>
  <c r="S111" i="43"/>
  <c r="R112" i="43"/>
  <c r="T112" i="43" s="1"/>
  <c r="S112" i="43"/>
  <c r="R113" i="43"/>
  <c r="R114" i="43"/>
  <c r="S114" i="43"/>
  <c r="R115" i="43"/>
  <c r="S115" i="43"/>
  <c r="R116" i="43"/>
  <c r="S116" i="43"/>
  <c r="R117" i="43"/>
  <c r="S117" i="43"/>
  <c r="R118" i="43"/>
  <c r="S118" i="43"/>
  <c r="R119" i="43"/>
  <c r="S119" i="43"/>
  <c r="R120" i="43"/>
  <c r="S120" i="43"/>
  <c r="R121" i="43"/>
  <c r="S121" i="43"/>
  <c r="T69" i="43"/>
  <c r="AE49" i="67"/>
  <c r="C51" i="67"/>
  <c r="T86" i="68" l="1"/>
  <c r="T73" i="68"/>
  <c r="T84" i="68"/>
  <c r="T108" i="43"/>
  <c r="T105" i="43"/>
  <c r="T103" i="43"/>
  <c r="T74" i="43"/>
  <c r="AV733" i="79"/>
  <c r="L734" i="79" s="1"/>
  <c r="N109" i="67"/>
  <c r="AE47" i="67"/>
  <c r="AI734" i="79" l="1"/>
  <c r="AR734" i="79"/>
  <c r="X734" i="79"/>
  <c r="AN734" i="79"/>
  <c r="AC734" i="79"/>
  <c r="T734" i="79"/>
  <c r="AQ734" i="79"/>
  <c r="AA734" i="79"/>
  <c r="AF734" i="79"/>
  <c r="AB734" i="79"/>
  <c r="AG734" i="79"/>
  <c r="N734" i="79"/>
  <c r="AD734" i="79"/>
  <c r="AH734" i="79"/>
  <c r="R734" i="79"/>
  <c r="O734" i="79"/>
  <c r="AS734" i="79"/>
  <c r="S734" i="79"/>
  <c r="W734" i="79"/>
  <c r="AP734" i="79"/>
  <c r="D734" i="79"/>
  <c r="F734" i="79"/>
  <c r="P734" i="79"/>
  <c r="AO734" i="79"/>
  <c r="G734" i="79"/>
  <c r="Q734" i="79"/>
  <c r="AK734" i="79"/>
  <c r="Y734" i="79"/>
  <c r="J734" i="79"/>
  <c r="AL734" i="79"/>
  <c r="AM734" i="79"/>
  <c r="V734" i="79"/>
  <c r="Z734" i="79"/>
  <c r="U734" i="79"/>
  <c r="AU734" i="79"/>
  <c r="K734" i="79"/>
  <c r="E734" i="79"/>
  <c r="B734" i="79"/>
  <c r="M734" i="79"/>
  <c r="H734" i="79"/>
  <c r="AE734" i="79"/>
  <c r="AT734" i="79"/>
  <c r="C734" i="79"/>
  <c r="I734" i="79"/>
  <c r="AJ734" i="79"/>
  <c r="N106" i="67" l="1"/>
  <c r="N103" i="67"/>
  <c r="N105" i="67" l="1"/>
  <c r="AE45" i="67"/>
  <c r="N104" i="67" l="1"/>
  <c r="AE44" i="67" l="1"/>
  <c r="N102" i="67" l="1"/>
  <c r="AE43" i="67"/>
  <c r="N101" i="67" l="1"/>
  <c r="AK7" i="57" l="1"/>
  <c r="R10" i="43" s="1"/>
  <c r="AK16" i="57"/>
  <c r="R19" i="43" s="1"/>
  <c r="AK20" i="57"/>
  <c r="R23" i="43" s="1"/>
  <c r="AK23" i="57"/>
  <c r="R26" i="43" s="1"/>
  <c r="AK25" i="57"/>
  <c r="R28" i="43" s="1"/>
  <c r="AK28" i="57"/>
  <c r="R31" i="43" s="1"/>
  <c r="AK30" i="57"/>
  <c r="R33" i="43" s="1"/>
  <c r="AK32" i="57"/>
  <c r="R35" i="43" s="1"/>
  <c r="AK40" i="57"/>
  <c r="R43" i="43" s="1"/>
  <c r="AK41" i="57"/>
  <c r="R44" i="43" s="1"/>
  <c r="AK42" i="57"/>
  <c r="R45" i="43" s="1"/>
  <c r="AK43" i="57"/>
  <c r="R46" i="43" s="1"/>
  <c r="AK44" i="57"/>
  <c r="R47" i="43" s="1"/>
  <c r="AK45" i="57"/>
  <c r="R48" i="43" s="1"/>
  <c r="AK46" i="57"/>
  <c r="R49" i="43" s="1"/>
  <c r="AK47" i="57"/>
  <c r="R50" i="43" s="1"/>
  <c r="AK48" i="57"/>
  <c r="R51" i="43" s="1"/>
  <c r="AK49" i="57"/>
  <c r="R52" i="43" s="1"/>
  <c r="AK50" i="57"/>
  <c r="R53" i="43" s="1"/>
  <c r="AK51" i="57"/>
  <c r="R54" i="43" s="1"/>
  <c r="AK52" i="57"/>
  <c r="R55" i="43" s="1"/>
  <c r="AK53" i="57"/>
  <c r="R56" i="43" s="1"/>
  <c r="AK54" i="57"/>
  <c r="AK55" i="57"/>
  <c r="AK56" i="57"/>
  <c r="AK57" i="57"/>
  <c r="AK58" i="57"/>
  <c r="AK59" i="57"/>
  <c r="AK60" i="57"/>
  <c r="AK61" i="57"/>
  <c r="D62" i="57"/>
  <c r="E62" i="57"/>
  <c r="H62" i="57"/>
  <c r="I62" i="57"/>
  <c r="J62" i="57"/>
  <c r="K62" i="57"/>
  <c r="L62" i="57"/>
  <c r="M62" i="57"/>
  <c r="O62" i="57"/>
  <c r="Q62" i="57"/>
  <c r="R62" i="57"/>
  <c r="V62" i="57"/>
  <c r="W62" i="57"/>
  <c r="X62" i="57"/>
  <c r="Z62" i="57"/>
  <c r="AB62" i="57"/>
  <c r="AD62" i="57"/>
  <c r="AE62" i="57"/>
  <c r="AG62" i="57"/>
  <c r="AH62" i="57"/>
  <c r="AI62" i="57"/>
  <c r="AJ62" i="57"/>
  <c r="AK37" i="57"/>
  <c r="R40" i="43" s="1"/>
  <c r="AK33" i="57"/>
  <c r="R36" i="43" s="1"/>
  <c r="AK5" i="57"/>
  <c r="AK6" i="57"/>
  <c r="R9" i="43" s="1"/>
  <c r="Y62" i="57"/>
  <c r="AF62" i="57"/>
  <c r="E121" i="57"/>
  <c r="H121" i="57"/>
  <c r="I121" i="57"/>
  <c r="K121" i="57"/>
  <c r="L121" i="57"/>
  <c r="M121" i="57"/>
  <c r="N121" i="57"/>
  <c r="P121" i="57"/>
  <c r="Q121" i="57"/>
  <c r="R121" i="57"/>
  <c r="S121" i="57"/>
  <c r="X121" i="57"/>
  <c r="Y121" i="57"/>
  <c r="Z121" i="57"/>
  <c r="AA121" i="57"/>
  <c r="AB121" i="57"/>
  <c r="AC121" i="57"/>
  <c r="AD121" i="57"/>
  <c r="AE121" i="57"/>
  <c r="AF121" i="57"/>
  <c r="AG121" i="57"/>
  <c r="AH121" i="57"/>
  <c r="AI121" i="57"/>
  <c r="AJ121" i="57"/>
  <c r="D183" i="57"/>
  <c r="H183" i="57"/>
  <c r="I183" i="57"/>
  <c r="M183" i="57"/>
  <c r="P183" i="57"/>
  <c r="Q183" i="57"/>
  <c r="R183" i="57"/>
  <c r="U183" i="57"/>
  <c r="Z183" i="57"/>
  <c r="AB183" i="57"/>
  <c r="AD183" i="57"/>
  <c r="AF183" i="57"/>
  <c r="AG183" i="57"/>
  <c r="AH183" i="57"/>
  <c r="AI183" i="57"/>
  <c r="AJ183" i="57"/>
  <c r="D245" i="57"/>
  <c r="E245" i="57"/>
  <c r="I245" i="57"/>
  <c r="J245" i="57"/>
  <c r="K245" i="57"/>
  <c r="M245" i="57"/>
  <c r="N245" i="57"/>
  <c r="Q245" i="57"/>
  <c r="R245" i="57"/>
  <c r="T245" i="57"/>
  <c r="U245" i="57"/>
  <c r="V245" i="57"/>
  <c r="Z245" i="57"/>
  <c r="AA245" i="57"/>
  <c r="AB245" i="57"/>
  <c r="AC245" i="57"/>
  <c r="AD245" i="57"/>
  <c r="AE245" i="57"/>
  <c r="AF245" i="57"/>
  <c r="AG245" i="57"/>
  <c r="AH245" i="57"/>
  <c r="AI245" i="57"/>
  <c r="AJ245" i="57"/>
  <c r="D306" i="57"/>
  <c r="E306" i="57"/>
  <c r="H306" i="57"/>
  <c r="I306" i="57"/>
  <c r="J306" i="57"/>
  <c r="K306" i="57"/>
  <c r="L306" i="57"/>
  <c r="M306" i="57"/>
  <c r="N306" i="57"/>
  <c r="O306" i="57"/>
  <c r="R306" i="57"/>
  <c r="U306" i="57"/>
  <c r="V306" i="57"/>
  <c r="W306" i="57"/>
  <c r="X306" i="57"/>
  <c r="Z306" i="57"/>
  <c r="AB306" i="57"/>
  <c r="AE306" i="57"/>
  <c r="AG306" i="57"/>
  <c r="AH306" i="57"/>
  <c r="AJ306" i="57"/>
  <c r="D369" i="57"/>
  <c r="E369" i="57"/>
  <c r="H369" i="57"/>
  <c r="I369" i="57"/>
  <c r="J369" i="57"/>
  <c r="L369" i="57"/>
  <c r="M369" i="57"/>
  <c r="N369" i="57"/>
  <c r="O369" i="57"/>
  <c r="P369" i="57"/>
  <c r="Q369" i="57"/>
  <c r="R369" i="57"/>
  <c r="S369" i="57"/>
  <c r="W369" i="57"/>
  <c r="Z369" i="57"/>
  <c r="AB369" i="57"/>
  <c r="AE369" i="57"/>
  <c r="AG369" i="57"/>
  <c r="AH369" i="57"/>
  <c r="AI369" i="57"/>
  <c r="AJ369" i="57"/>
  <c r="D428" i="57"/>
  <c r="E428" i="57"/>
  <c r="I428" i="57"/>
  <c r="J428" i="57"/>
  <c r="L428" i="57"/>
  <c r="M428" i="57"/>
  <c r="N428" i="57"/>
  <c r="O428" i="57"/>
  <c r="Q428" i="57"/>
  <c r="R428" i="57"/>
  <c r="S428" i="57"/>
  <c r="V428" i="57"/>
  <c r="W428" i="57"/>
  <c r="Z428" i="57"/>
  <c r="AB428" i="57"/>
  <c r="AD428" i="57"/>
  <c r="AF428" i="57"/>
  <c r="AG428" i="57"/>
  <c r="AH428" i="57"/>
  <c r="AJ428" i="57"/>
  <c r="D488" i="57"/>
  <c r="E488" i="57"/>
  <c r="H488" i="57"/>
  <c r="I488" i="57"/>
  <c r="J488" i="57"/>
  <c r="K488" i="57"/>
  <c r="O488" i="57"/>
  <c r="P488" i="57"/>
  <c r="R488" i="57"/>
  <c r="X488" i="57"/>
  <c r="Z488" i="57"/>
  <c r="AA488" i="57"/>
  <c r="AB488" i="57"/>
  <c r="AC488" i="57"/>
  <c r="AE488" i="57"/>
  <c r="AF488" i="57"/>
  <c r="AG488" i="57"/>
  <c r="AH488" i="57"/>
  <c r="D549" i="57"/>
  <c r="E549" i="57"/>
  <c r="H549" i="57"/>
  <c r="I549" i="57"/>
  <c r="J549" i="57"/>
  <c r="K549" i="57"/>
  <c r="L549" i="57"/>
  <c r="M549" i="57"/>
  <c r="N549" i="57"/>
  <c r="O549" i="57"/>
  <c r="P549" i="57"/>
  <c r="Q549" i="57"/>
  <c r="R549" i="57"/>
  <c r="S549" i="57"/>
  <c r="U549" i="57"/>
  <c r="V549" i="57"/>
  <c r="W549" i="57"/>
  <c r="X549" i="57"/>
  <c r="Y549" i="57"/>
  <c r="Z549" i="57"/>
  <c r="AA549" i="57"/>
  <c r="AB549" i="57"/>
  <c r="AD549" i="57"/>
  <c r="AE549" i="57"/>
  <c r="AG549" i="57"/>
  <c r="AH549" i="57"/>
  <c r="AI549" i="57"/>
  <c r="C607" i="57"/>
  <c r="D607" i="57"/>
  <c r="I607" i="57"/>
  <c r="J607" i="57"/>
  <c r="K607" i="57"/>
  <c r="L607" i="57"/>
  <c r="M607" i="57"/>
  <c r="N607" i="57"/>
  <c r="O607" i="57"/>
  <c r="R607" i="57"/>
  <c r="S607" i="57"/>
  <c r="U607" i="57"/>
  <c r="V607" i="57"/>
  <c r="W607" i="57"/>
  <c r="X607" i="57"/>
  <c r="Y607" i="57"/>
  <c r="AA607" i="57"/>
  <c r="AB607" i="57"/>
  <c r="AD607" i="57"/>
  <c r="AF607" i="57"/>
  <c r="AG607" i="57"/>
  <c r="AH607" i="57"/>
  <c r="AI607" i="57"/>
  <c r="AJ607" i="57"/>
  <c r="D665" i="57"/>
  <c r="E665" i="57"/>
  <c r="H665" i="57"/>
  <c r="I665" i="57"/>
  <c r="J665" i="57"/>
  <c r="K665" i="57"/>
  <c r="L665" i="57"/>
  <c r="M665" i="57"/>
  <c r="N665" i="57"/>
  <c r="O665" i="57"/>
  <c r="P665" i="57"/>
  <c r="Q665" i="57"/>
  <c r="R665" i="57"/>
  <c r="S665" i="57"/>
  <c r="U665" i="57"/>
  <c r="W665" i="57"/>
  <c r="X665" i="57"/>
  <c r="Y665" i="57"/>
  <c r="Z665" i="57"/>
  <c r="AA665" i="57"/>
  <c r="AB665" i="57"/>
  <c r="AC665" i="57"/>
  <c r="AF665" i="57"/>
  <c r="AG665" i="57"/>
  <c r="AH665" i="57"/>
  <c r="AI665" i="57"/>
  <c r="AJ665" i="57"/>
  <c r="D719" i="57"/>
  <c r="E719" i="57"/>
  <c r="G719" i="57"/>
  <c r="I719" i="57"/>
  <c r="J719" i="57"/>
  <c r="K719" i="57"/>
  <c r="L719" i="57"/>
  <c r="N719" i="57"/>
  <c r="O719" i="57"/>
  <c r="Q719" i="57"/>
  <c r="R719" i="57"/>
  <c r="X719" i="57"/>
  <c r="Z719" i="57"/>
  <c r="AA719" i="57"/>
  <c r="AB719" i="57"/>
  <c r="AC719" i="57"/>
  <c r="AF719" i="57"/>
  <c r="AG719" i="57"/>
  <c r="AH719" i="57"/>
  <c r="AJ719" i="57"/>
  <c r="E67" i="61"/>
  <c r="F67" i="61"/>
  <c r="G67" i="61"/>
  <c r="H67" i="61"/>
  <c r="I67" i="61"/>
  <c r="J67" i="61"/>
  <c r="K67" i="61"/>
  <c r="L67" i="61"/>
  <c r="M67" i="61"/>
  <c r="N67" i="61"/>
  <c r="C121" i="61"/>
  <c r="E121" i="61"/>
  <c r="F121" i="61"/>
  <c r="G121" i="61"/>
  <c r="H121" i="61"/>
  <c r="J121" i="61"/>
  <c r="K121" i="61"/>
  <c r="L121" i="61"/>
  <c r="M121" i="61"/>
  <c r="N121" i="61"/>
  <c r="C183" i="61"/>
  <c r="F183" i="61"/>
  <c r="G183" i="61"/>
  <c r="H183" i="61"/>
  <c r="I183" i="61"/>
  <c r="J183" i="61"/>
  <c r="L183" i="61"/>
  <c r="M183" i="61"/>
  <c r="N183" i="61"/>
  <c r="E243" i="61"/>
  <c r="G243" i="61"/>
  <c r="H243" i="61"/>
  <c r="I243" i="61"/>
  <c r="J243" i="61"/>
  <c r="K243" i="61"/>
  <c r="L243" i="61"/>
  <c r="M243" i="61"/>
  <c r="N243" i="61"/>
  <c r="E303" i="61"/>
  <c r="F303" i="61"/>
  <c r="H303" i="61"/>
  <c r="I303" i="61"/>
  <c r="J303" i="61"/>
  <c r="K303" i="61"/>
  <c r="L303" i="61"/>
  <c r="M303" i="61"/>
  <c r="C366" i="61"/>
  <c r="D366" i="61"/>
  <c r="E366" i="61"/>
  <c r="F366" i="61"/>
  <c r="G366" i="61"/>
  <c r="H366" i="61"/>
  <c r="I366" i="61"/>
  <c r="J366" i="61"/>
  <c r="K366" i="61"/>
  <c r="L366" i="61"/>
  <c r="M366" i="61"/>
  <c r="N366" i="61"/>
  <c r="E425" i="61"/>
  <c r="G425" i="61"/>
  <c r="H425" i="61"/>
  <c r="I425" i="61"/>
  <c r="J425" i="61"/>
  <c r="K425" i="61"/>
  <c r="L425" i="61"/>
  <c r="M425" i="61"/>
  <c r="N425" i="61"/>
  <c r="E483" i="61"/>
  <c r="F483" i="61"/>
  <c r="G483" i="61"/>
  <c r="H483" i="61"/>
  <c r="I483" i="61"/>
  <c r="J483" i="61"/>
  <c r="K483" i="61"/>
  <c r="L483" i="61"/>
  <c r="M483" i="61"/>
  <c r="N483" i="61"/>
  <c r="C542" i="61"/>
  <c r="E542" i="61"/>
  <c r="F542" i="61"/>
  <c r="G542" i="61"/>
  <c r="H542" i="61"/>
  <c r="I542" i="61"/>
  <c r="J542" i="61"/>
  <c r="K542" i="61"/>
  <c r="L542" i="61"/>
  <c r="M542" i="61"/>
  <c r="N542" i="61"/>
  <c r="E602" i="61"/>
  <c r="F602" i="61"/>
  <c r="G602" i="61"/>
  <c r="H602" i="61"/>
  <c r="I602" i="61"/>
  <c r="J602" i="61"/>
  <c r="K602" i="61"/>
  <c r="L602" i="61"/>
  <c r="M602" i="61"/>
  <c r="N602" i="61"/>
  <c r="C660" i="61"/>
  <c r="D660" i="61"/>
  <c r="E660" i="61"/>
  <c r="G660" i="61"/>
  <c r="H660" i="61"/>
  <c r="I660" i="61"/>
  <c r="J660" i="61"/>
  <c r="K660" i="61"/>
  <c r="L660" i="61"/>
  <c r="M660" i="61"/>
  <c r="C720" i="61"/>
  <c r="D720" i="61"/>
  <c r="E720" i="61"/>
  <c r="F720" i="61"/>
  <c r="G720" i="61"/>
  <c r="H720" i="61"/>
  <c r="I720" i="61"/>
  <c r="J720" i="61"/>
  <c r="K720" i="61"/>
  <c r="L720" i="61"/>
  <c r="M720" i="61"/>
  <c r="N720" i="61"/>
  <c r="B720" i="61"/>
  <c r="C65" i="66"/>
  <c r="F65" i="66"/>
  <c r="G65" i="66"/>
  <c r="H65" i="66"/>
  <c r="I65" i="66"/>
  <c r="J65" i="66"/>
  <c r="K65" i="66"/>
  <c r="L65" i="66"/>
  <c r="M65" i="66"/>
  <c r="N65" i="66"/>
  <c r="O65" i="66"/>
  <c r="P65" i="66"/>
  <c r="Q65" i="66"/>
  <c r="R65" i="66"/>
  <c r="S65" i="66"/>
  <c r="T65" i="66"/>
  <c r="U65" i="66"/>
  <c r="V65" i="66"/>
  <c r="X65" i="66"/>
  <c r="Y65" i="66"/>
  <c r="Z65" i="66"/>
  <c r="AA65" i="66"/>
  <c r="AB65" i="66"/>
  <c r="C120" i="66"/>
  <c r="F120" i="66"/>
  <c r="G120" i="66"/>
  <c r="H120" i="66"/>
  <c r="I120" i="66"/>
  <c r="J120" i="66"/>
  <c r="K120" i="66"/>
  <c r="N120" i="66"/>
  <c r="O120" i="66"/>
  <c r="P120" i="66"/>
  <c r="Q120" i="66"/>
  <c r="R120" i="66"/>
  <c r="S120" i="66"/>
  <c r="U120" i="66"/>
  <c r="V120" i="66"/>
  <c r="W120" i="66"/>
  <c r="X120" i="66"/>
  <c r="Z120" i="66"/>
  <c r="AA120" i="66"/>
  <c r="AB120" i="66"/>
  <c r="AC120" i="66"/>
  <c r="C182" i="66"/>
  <c r="F182" i="66"/>
  <c r="G182" i="66"/>
  <c r="I182" i="66"/>
  <c r="K182" i="66"/>
  <c r="L182" i="66"/>
  <c r="O182" i="66"/>
  <c r="P182" i="66"/>
  <c r="Q182" i="66"/>
  <c r="R182" i="66"/>
  <c r="S182" i="66"/>
  <c r="T182" i="66"/>
  <c r="U182" i="66"/>
  <c r="W182" i="66"/>
  <c r="X182" i="66"/>
  <c r="Z182" i="66"/>
  <c r="AA182" i="66"/>
  <c r="AB182" i="66"/>
  <c r="AC182" i="66"/>
  <c r="C242" i="66"/>
  <c r="F242" i="66"/>
  <c r="G242" i="66"/>
  <c r="H242" i="66"/>
  <c r="I242" i="66"/>
  <c r="K242" i="66"/>
  <c r="L242" i="66"/>
  <c r="O242" i="66"/>
  <c r="P242" i="66"/>
  <c r="R242" i="66"/>
  <c r="S242" i="66"/>
  <c r="T242" i="66"/>
  <c r="U242" i="66"/>
  <c r="V242" i="66"/>
  <c r="W242" i="66"/>
  <c r="X242" i="66"/>
  <c r="Y242" i="66"/>
  <c r="Z242" i="66"/>
  <c r="AA242" i="66"/>
  <c r="AB242" i="66"/>
  <c r="B302" i="66"/>
  <c r="C302" i="66"/>
  <c r="D302" i="66"/>
  <c r="E302" i="66"/>
  <c r="F302" i="66"/>
  <c r="G302" i="66"/>
  <c r="H302" i="66"/>
  <c r="I302" i="66"/>
  <c r="L302" i="66"/>
  <c r="M302" i="66"/>
  <c r="O302" i="66"/>
  <c r="P302" i="66"/>
  <c r="Q302" i="66"/>
  <c r="R302" i="66"/>
  <c r="S302" i="66"/>
  <c r="T302" i="66"/>
  <c r="U302" i="66"/>
  <c r="V302" i="66"/>
  <c r="W302" i="66"/>
  <c r="X302" i="66"/>
  <c r="Y302" i="66"/>
  <c r="Z302" i="66"/>
  <c r="AA302" i="66"/>
  <c r="AB302" i="66"/>
  <c r="C365" i="66"/>
  <c r="F365" i="66"/>
  <c r="G365" i="66"/>
  <c r="I365" i="66"/>
  <c r="J365" i="66"/>
  <c r="K365" i="66"/>
  <c r="L365" i="66"/>
  <c r="O365" i="66"/>
  <c r="P365" i="66"/>
  <c r="Q365" i="66"/>
  <c r="R365" i="66"/>
  <c r="S365" i="66"/>
  <c r="U365" i="66"/>
  <c r="W365" i="66"/>
  <c r="X365" i="66"/>
  <c r="Z365" i="66"/>
  <c r="AA365" i="66"/>
  <c r="AB365" i="66"/>
  <c r="AC365" i="66"/>
  <c r="C423" i="66"/>
  <c r="F423" i="66"/>
  <c r="G423" i="66"/>
  <c r="H423" i="66"/>
  <c r="J423" i="66"/>
  <c r="K423" i="66"/>
  <c r="L423" i="66"/>
  <c r="O423" i="66"/>
  <c r="P423" i="66"/>
  <c r="Q423" i="66"/>
  <c r="R423" i="66"/>
  <c r="S423" i="66"/>
  <c r="U423" i="66"/>
  <c r="V423" i="66"/>
  <c r="W423" i="66"/>
  <c r="X423" i="66"/>
  <c r="Z423" i="66"/>
  <c r="AA423" i="66"/>
  <c r="AB423" i="66"/>
  <c r="C479" i="66"/>
  <c r="F479" i="66"/>
  <c r="G479" i="66"/>
  <c r="H479" i="66"/>
  <c r="I479" i="66"/>
  <c r="L479" i="66"/>
  <c r="O479" i="66"/>
  <c r="P479" i="66"/>
  <c r="Q479" i="66"/>
  <c r="R479" i="66"/>
  <c r="S479" i="66"/>
  <c r="T479" i="66"/>
  <c r="U479" i="66"/>
  <c r="X479" i="66"/>
  <c r="Y479" i="66"/>
  <c r="Z479" i="66"/>
  <c r="AA479" i="66"/>
  <c r="AB479" i="66"/>
  <c r="C534" i="66"/>
  <c r="D534" i="66"/>
  <c r="F534" i="66"/>
  <c r="G534" i="66"/>
  <c r="H534" i="66"/>
  <c r="I534" i="66"/>
  <c r="K534" i="66"/>
  <c r="M534" i="66"/>
  <c r="N534" i="66"/>
  <c r="O534" i="66"/>
  <c r="P534" i="66"/>
  <c r="R534" i="66"/>
  <c r="S534" i="66"/>
  <c r="T534" i="66"/>
  <c r="U534" i="66"/>
  <c r="V534" i="66"/>
  <c r="W534" i="66"/>
  <c r="X534" i="66"/>
  <c r="Z534" i="66"/>
  <c r="AA534" i="66"/>
  <c r="C596" i="66"/>
  <c r="D596" i="66"/>
  <c r="F596" i="66"/>
  <c r="G596" i="66"/>
  <c r="H596" i="66"/>
  <c r="I596" i="66"/>
  <c r="L596" i="66"/>
  <c r="O596" i="66"/>
  <c r="P596" i="66"/>
  <c r="Q596" i="66"/>
  <c r="R596" i="66"/>
  <c r="S596" i="66"/>
  <c r="U596" i="66"/>
  <c r="V596" i="66"/>
  <c r="W596" i="66"/>
  <c r="X596" i="66"/>
  <c r="Y596" i="66"/>
  <c r="Z596" i="66"/>
  <c r="AA596" i="66"/>
  <c r="AB596" i="66"/>
  <c r="C655" i="66"/>
  <c r="F655" i="66"/>
  <c r="G655" i="66"/>
  <c r="H655" i="66"/>
  <c r="I655" i="66"/>
  <c r="N655" i="66"/>
  <c r="O655" i="66"/>
  <c r="P655" i="66"/>
  <c r="R655" i="66"/>
  <c r="S655" i="66"/>
  <c r="U655" i="66"/>
  <c r="V655" i="66"/>
  <c r="W655" i="66"/>
  <c r="X655" i="66"/>
  <c r="Z655" i="66"/>
  <c r="AA655" i="66"/>
  <c r="C723" i="66"/>
  <c r="F723" i="66"/>
  <c r="G723" i="66"/>
  <c r="H723" i="66"/>
  <c r="I723" i="66"/>
  <c r="K723" i="66"/>
  <c r="L723" i="66"/>
  <c r="M723" i="66"/>
  <c r="O723" i="66"/>
  <c r="P723" i="66"/>
  <c r="Q723" i="66"/>
  <c r="R723" i="66"/>
  <c r="S723" i="66"/>
  <c r="U723" i="66"/>
  <c r="V723" i="66"/>
  <c r="X723" i="66"/>
  <c r="Z723" i="66"/>
  <c r="AA723" i="66"/>
  <c r="AB723" i="66"/>
  <c r="X728" i="66" l="1"/>
  <c r="AC62" i="57"/>
  <c r="AK35" i="57"/>
  <c r="R38" i="43" s="1"/>
  <c r="AA62" i="57"/>
  <c r="AK19" i="57"/>
  <c r="R22" i="43" s="1"/>
  <c r="Z728" i="66"/>
  <c r="F728" i="66"/>
  <c r="C728" i="66"/>
  <c r="AA728" i="66"/>
  <c r="G728" i="66"/>
  <c r="S728" i="66"/>
  <c r="R728" i="66"/>
  <c r="U728" i="66"/>
  <c r="O728" i="66"/>
  <c r="P728" i="66"/>
  <c r="AE42" i="67"/>
  <c r="BH74" i="56" l="1"/>
  <c r="BH85" i="56"/>
  <c r="BH92" i="56"/>
  <c r="BH95" i="56"/>
  <c r="P32" i="68" s="1"/>
  <c r="BH96" i="56"/>
  <c r="P33" i="68" s="1"/>
  <c r="BH103" i="56"/>
  <c r="BH104" i="56"/>
  <c r="BH105" i="56"/>
  <c r="BH116" i="56"/>
  <c r="BH117" i="56"/>
  <c r="BH120" i="56"/>
  <c r="BH121" i="56"/>
  <c r="BH122" i="56"/>
  <c r="BH71" i="56"/>
  <c r="C123" i="56"/>
  <c r="D123" i="56"/>
  <c r="E123" i="56"/>
  <c r="F123" i="56"/>
  <c r="K123" i="56"/>
  <c r="M123" i="56"/>
  <c r="N123" i="56"/>
  <c r="O123" i="56"/>
  <c r="Q123" i="56"/>
  <c r="S123" i="56"/>
  <c r="T123" i="56"/>
  <c r="U123" i="56"/>
  <c r="W123" i="56"/>
  <c r="X123" i="56"/>
  <c r="Y123" i="56"/>
  <c r="Z123" i="56"/>
  <c r="AA123" i="56"/>
  <c r="AB123" i="56"/>
  <c r="AC123" i="56"/>
  <c r="AD123" i="56"/>
  <c r="AE123" i="56"/>
  <c r="AF123" i="56"/>
  <c r="AG123" i="56"/>
  <c r="AH123" i="56"/>
  <c r="AI123" i="56"/>
  <c r="AL123" i="56"/>
  <c r="AN123" i="56"/>
  <c r="AP123" i="56"/>
  <c r="AQ123" i="56"/>
  <c r="AR123" i="56"/>
  <c r="AS123" i="56"/>
  <c r="AV123" i="56"/>
  <c r="AW123" i="56"/>
  <c r="AX123" i="56"/>
  <c r="AY123" i="56"/>
  <c r="AZ123" i="56"/>
  <c r="BA123" i="56"/>
  <c r="BD123" i="56"/>
  <c r="BE123" i="56"/>
  <c r="BG123" i="56"/>
  <c r="AK70" i="57"/>
  <c r="AK75" i="57"/>
  <c r="AK81" i="57"/>
  <c r="AK87" i="57"/>
  <c r="AK88" i="57"/>
  <c r="AK90" i="57"/>
  <c r="AK91" i="57"/>
  <c r="AK93" i="57"/>
  <c r="AK94" i="57"/>
  <c r="AK97" i="57"/>
  <c r="AK100" i="57"/>
  <c r="AK102" i="57"/>
  <c r="AK103" i="57"/>
  <c r="AK114" i="57"/>
  <c r="AK116" i="57"/>
  <c r="AK117" i="57"/>
  <c r="AK118" i="57"/>
  <c r="AK119" i="57"/>
  <c r="AK120" i="57"/>
  <c r="AI306" i="56"/>
  <c r="AJ306" i="56"/>
  <c r="AL306" i="56"/>
  <c r="AM306" i="56"/>
  <c r="AO306" i="56"/>
  <c r="AP306" i="56"/>
  <c r="AR306" i="56"/>
  <c r="AT306" i="56"/>
  <c r="AW306" i="56"/>
  <c r="AX306" i="56"/>
  <c r="AY306" i="56"/>
  <c r="AZ306" i="56"/>
  <c r="BA306" i="56"/>
  <c r="BB306" i="56"/>
  <c r="BC306" i="56"/>
  <c r="BD306" i="56"/>
  <c r="B433" i="56"/>
  <c r="C433" i="56"/>
  <c r="D433" i="56"/>
  <c r="E433" i="56"/>
  <c r="F433" i="56"/>
  <c r="G433" i="56"/>
  <c r="J433" i="56"/>
  <c r="K433" i="56"/>
  <c r="L433" i="56"/>
  <c r="M433" i="56"/>
  <c r="N433" i="56"/>
  <c r="O433" i="56"/>
  <c r="Q433" i="56"/>
  <c r="R433" i="56"/>
  <c r="S433" i="56"/>
  <c r="T433" i="56"/>
  <c r="U433" i="56"/>
  <c r="V433" i="56"/>
  <c r="W433" i="56"/>
  <c r="X433" i="56"/>
  <c r="Y433" i="56"/>
  <c r="Z433" i="56"/>
  <c r="AA433" i="56"/>
  <c r="AB433" i="56"/>
  <c r="AC433" i="56"/>
  <c r="AD433" i="56"/>
  <c r="AE433" i="56"/>
  <c r="AF433" i="56"/>
  <c r="AG433" i="56"/>
  <c r="AH433" i="56"/>
  <c r="AJ433" i="56"/>
  <c r="AK433" i="56"/>
  <c r="AL433" i="56"/>
  <c r="AM433" i="56"/>
  <c r="AO433" i="56"/>
  <c r="B741" i="56"/>
  <c r="C741" i="56"/>
  <c r="D741" i="56"/>
  <c r="E741" i="56"/>
  <c r="F741" i="56"/>
  <c r="G741" i="56"/>
  <c r="J741" i="56"/>
  <c r="K741" i="56"/>
  <c r="L741" i="56"/>
  <c r="M741" i="56"/>
  <c r="N741" i="56"/>
  <c r="Q741" i="56"/>
  <c r="R741" i="56"/>
  <c r="S741" i="56"/>
  <c r="U741" i="56"/>
  <c r="V741" i="56"/>
  <c r="W741" i="56"/>
  <c r="X741" i="56"/>
  <c r="Y741" i="56"/>
  <c r="Z741" i="56"/>
  <c r="AA741" i="56"/>
  <c r="AB741" i="56"/>
  <c r="AC741" i="56"/>
  <c r="AD741" i="56"/>
  <c r="AE741" i="56"/>
  <c r="AF741" i="56"/>
  <c r="AG741" i="56"/>
  <c r="AH741" i="56"/>
  <c r="AI741" i="56"/>
  <c r="AK741" i="56"/>
  <c r="AL741" i="56"/>
  <c r="AM741" i="56"/>
  <c r="AN741" i="56"/>
  <c r="AO741" i="56"/>
  <c r="AQ741" i="56"/>
  <c r="AR741" i="56"/>
  <c r="AS741" i="56"/>
  <c r="AT741" i="56"/>
  <c r="AU741" i="56"/>
  <c r="AV741" i="56"/>
  <c r="AW741" i="56"/>
  <c r="AX741" i="56"/>
  <c r="AY741" i="56"/>
  <c r="AZ741" i="56"/>
  <c r="BA741" i="56"/>
  <c r="BB741" i="56"/>
  <c r="BC741" i="56"/>
  <c r="BD741" i="56"/>
  <c r="BE741" i="56"/>
  <c r="BG741" i="56"/>
  <c r="N100" i="67"/>
  <c r="B67" i="58"/>
  <c r="D67" i="58"/>
  <c r="E67" i="58"/>
  <c r="F67" i="58"/>
  <c r="G67" i="58"/>
  <c r="H67" i="58"/>
  <c r="I67" i="58"/>
  <c r="J67" i="58"/>
  <c r="K67" i="58"/>
  <c r="L67" i="58"/>
  <c r="M67" i="58"/>
  <c r="N67" i="58"/>
  <c r="P67" i="58"/>
  <c r="Q67" i="58"/>
  <c r="R67" i="58"/>
  <c r="S67" i="58"/>
  <c r="T67" i="58"/>
  <c r="W67" i="58"/>
  <c r="X67" i="58"/>
  <c r="Z67" i="58"/>
  <c r="AB67" i="58"/>
  <c r="AC67" i="58"/>
  <c r="AD67" i="58"/>
  <c r="AF67" i="58"/>
  <c r="AG67" i="58"/>
  <c r="AE40" i="67"/>
  <c r="N99" i="67" l="1"/>
  <c r="AE36" i="67"/>
  <c r="AJ741" i="56" l="1"/>
  <c r="D723" i="66" l="1"/>
  <c r="C68" i="65"/>
  <c r="D68" i="65"/>
  <c r="E68" i="65"/>
  <c r="F68" i="65"/>
  <c r="G68" i="65"/>
  <c r="I68" i="65"/>
  <c r="J68" i="65"/>
  <c r="L68" i="65"/>
  <c r="M68" i="65"/>
  <c r="N68" i="65"/>
  <c r="O68" i="65"/>
  <c r="Q68" i="65"/>
  <c r="R68" i="65"/>
  <c r="U68" i="65"/>
  <c r="V68" i="65"/>
  <c r="W68" i="65"/>
  <c r="X68" i="65"/>
  <c r="Z68" i="65"/>
  <c r="AA68" i="65"/>
  <c r="AB68" i="65"/>
  <c r="AC68" i="65"/>
  <c r="AD68" i="65"/>
  <c r="AE68" i="65"/>
  <c r="B123" i="65"/>
  <c r="C123" i="65"/>
  <c r="D123" i="65"/>
  <c r="E123" i="65"/>
  <c r="F123" i="65"/>
  <c r="G123" i="65"/>
  <c r="H123" i="65"/>
  <c r="I123" i="65"/>
  <c r="J123" i="65"/>
  <c r="L123" i="65"/>
  <c r="M123" i="65"/>
  <c r="N123" i="65"/>
  <c r="O123" i="65"/>
  <c r="Q123" i="65"/>
  <c r="R123" i="65"/>
  <c r="U123" i="65"/>
  <c r="V123" i="65"/>
  <c r="W123" i="65"/>
  <c r="X123" i="65"/>
  <c r="Y123" i="65"/>
  <c r="Z123" i="65"/>
  <c r="AA123" i="65"/>
  <c r="AB123" i="65"/>
  <c r="AC123" i="65"/>
  <c r="AD123" i="65"/>
  <c r="AE123" i="65"/>
  <c r="AF123" i="65"/>
  <c r="I182" i="65"/>
  <c r="J182" i="65"/>
  <c r="L182" i="65"/>
  <c r="M182" i="65"/>
  <c r="N182" i="65"/>
  <c r="O182" i="65"/>
  <c r="Q182" i="65"/>
  <c r="R182" i="65"/>
  <c r="S182" i="65"/>
  <c r="U182" i="65"/>
  <c r="V182" i="65"/>
  <c r="W182" i="65"/>
  <c r="Z182" i="65"/>
  <c r="AA182" i="65"/>
  <c r="AB182" i="65"/>
  <c r="AC182" i="65"/>
  <c r="AD182" i="65"/>
  <c r="AE182" i="65"/>
  <c r="AF182" i="65"/>
  <c r="C182" i="65"/>
  <c r="D182" i="65"/>
  <c r="E182" i="65"/>
  <c r="F182" i="65"/>
  <c r="G182" i="65"/>
  <c r="H182" i="65"/>
  <c r="B182" i="65"/>
  <c r="B243" i="65"/>
  <c r="E243" i="65"/>
  <c r="F243" i="65"/>
  <c r="G243" i="65"/>
  <c r="H243" i="65"/>
  <c r="I243" i="65"/>
  <c r="J243" i="65"/>
  <c r="L243" i="65"/>
  <c r="M243" i="65"/>
  <c r="N243" i="65"/>
  <c r="O243" i="65"/>
  <c r="P243" i="65"/>
  <c r="Q243" i="65"/>
  <c r="R243" i="65"/>
  <c r="T243" i="65"/>
  <c r="U243" i="65"/>
  <c r="V243" i="65"/>
  <c r="W243" i="65"/>
  <c r="Z243" i="65"/>
  <c r="AA243" i="65"/>
  <c r="AB243" i="65"/>
  <c r="AC243" i="65"/>
  <c r="AD243" i="65"/>
  <c r="AE243" i="65"/>
  <c r="AF243" i="65"/>
  <c r="C303" i="65"/>
  <c r="D303" i="65"/>
  <c r="E303" i="65"/>
  <c r="F303" i="65"/>
  <c r="G303" i="65"/>
  <c r="H303" i="65"/>
  <c r="I303" i="65"/>
  <c r="J303" i="65"/>
  <c r="L303" i="65"/>
  <c r="M303" i="65"/>
  <c r="N303" i="65"/>
  <c r="O303" i="65"/>
  <c r="P303" i="65"/>
  <c r="Q303" i="65"/>
  <c r="R303" i="65"/>
  <c r="S303" i="65"/>
  <c r="T303" i="65"/>
  <c r="U303" i="65"/>
  <c r="V303" i="65"/>
  <c r="W303" i="65"/>
  <c r="Y303" i="65"/>
  <c r="Z303" i="65"/>
  <c r="AA303" i="65"/>
  <c r="AB303" i="65"/>
  <c r="AC303" i="65"/>
  <c r="AD303" i="65"/>
  <c r="AF303" i="65"/>
  <c r="D368" i="65"/>
  <c r="E368" i="65"/>
  <c r="F368" i="65"/>
  <c r="G368" i="65"/>
  <c r="H368" i="65"/>
  <c r="J368" i="65"/>
  <c r="L368" i="65"/>
  <c r="M368" i="65"/>
  <c r="N368" i="65"/>
  <c r="O368" i="65"/>
  <c r="Q368" i="65"/>
  <c r="R368" i="65"/>
  <c r="U368" i="65"/>
  <c r="V368" i="65"/>
  <c r="W368" i="65"/>
  <c r="Z368" i="65"/>
  <c r="AB368" i="65"/>
  <c r="AD368" i="65"/>
  <c r="AF368" i="65"/>
  <c r="B428" i="65"/>
  <c r="C428" i="65"/>
  <c r="D428" i="65"/>
  <c r="E428" i="65"/>
  <c r="F428" i="65"/>
  <c r="G428" i="65"/>
  <c r="H428" i="65"/>
  <c r="I428" i="65"/>
  <c r="J428" i="65"/>
  <c r="L428" i="65"/>
  <c r="M428" i="65"/>
  <c r="N428" i="65"/>
  <c r="O428" i="65"/>
  <c r="Q428" i="65"/>
  <c r="R428" i="65"/>
  <c r="T428" i="65"/>
  <c r="U428" i="65"/>
  <c r="V428" i="65"/>
  <c r="W428" i="65"/>
  <c r="Y428" i="65"/>
  <c r="AA428" i="65"/>
  <c r="AB428" i="65"/>
  <c r="AC428" i="65"/>
  <c r="AD428" i="65"/>
  <c r="AE428" i="65"/>
  <c r="M489" i="65"/>
  <c r="N489" i="65"/>
  <c r="O489" i="65"/>
  <c r="Q489" i="65"/>
  <c r="R489" i="65"/>
  <c r="U489" i="65"/>
  <c r="V489" i="65"/>
  <c r="W489" i="65"/>
  <c r="Y489" i="65"/>
  <c r="Z489" i="65"/>
  <c r="AA489" i="65"/>
  <c r="AB489" i="65"/>
  <c r="AC489" i="65"/>
  <c r="AE489" i="65"/>
  <c r="AF489" i="65"/>
  <c r="B550" i="65"/>
  <c r="C550" i="65"/>
  <c r="D550" i="65"/>
  <c r="F550" i="65"/>
  <c r="H550" i="65"/>
  <c r="I550" i="65"/>
  <c r="J550" i="65"/>
  <c r="L550" i="65"/>
  <c r="M550" i="65"/>
  <c r="O550" i="65"/>
  <c r="P550" i="65"/>
  <c r="Q550" i="65"/>
  <c r="R550" i="65"/>
  <c r="U550" i="65"/>
  <c r="V550" i="65"/>
  <c r="W550" i="65"/>
  <c r="X550" i="65"/>
  <c r="Z550" i="65"/>
  <c r="AA550" i="65"/>
  <c r="AB550" i="65"/>
  <c r="AC550" i="65"/>
  <c r="AD550" i="65"/>
  <c r="AE550" i="65"/>
  <c r="AF550" i="65"/>
  <c r="B607" i="65"/>
  <c r="C607" i="65"/>
  <c r="D607" i="65"/>
  <c r="E607" i="65"/>
  <c r="F607" i="65"/>
  <c r="G607" i="65"/>
  <c r="H607" i="65"/>
  <c r="I607" i="65"/>
  <c r="J607" i="65"/>
  <c r="L607" i="65"/>
  <c r="M607" i="65"/>
  <c r="N607" i="65"/>
  <c r="O607" i="65"/>
  <c r="Q607" i="65"/>
  <c r="R607" i="65"/>
  <c r="T607" i="65"/>
  <c r="U607" i="65"/>
  <c r="V607" i="65"/>
  <c r="W607" i="65"/>
  <c r="X607" i="65"/>
  <c r="Z607" i="65"/>
  <c r="AB607" i="65"/>
  <c r="AE607" i="65"/>
  <c r="AF607" i="65"/>
  <c r="B668" i="65"/>
  <c r="C668" i="65"/>
  <c r="D668" i="65"/>
  <c r="E668" i="65"/>
  <c r="F668" i="65"/>
  <c r="G668" i="65"/>
  <c r="H668" i="65"/>
  <c r="I668" i="65"/>
  <c r="J668" i="65"/>
  <c r="L668" i="65"/>
  <c r="M668" i="65"/>
  <c r="N668" i="65"/>
  <c r="O668" i="65"/>
  <c r="P668" i="65"/>
  <c r="Q668" i="65"/>
  <c r="R668" i="65"/>
  <c r="T668" i="65"/>
  <c r="U668" i="65"/>
  <c r="V668" i="65"/>
  <c r="W668" i="65"/>
  <c r="X668" i="65"/>
  <c r="Y668" i="65"/>
  <c r="Z668" i="65"/>
  <c r="AA668" i="65"/>
  <c r="AC668" i="65"/>
  <c r="AD668" i="65"/>
  <c r="AE668" i="65"/>
  <c r="AF668" i="65"/>
  <c r="B729" i="65"/>
  <c r="D729" i="65"/>
  <c r="E729" i="65"/>
  <c r="F729" i="65"/>
  <c r="H729" i="65"/>
  <c r="I729" i="65"/>
  <c r="J729" i="65"/>
  <c r="L729" i="65"/>
  <c r="N729" i="65"/>
  <c r="O729" i="65"/>
  <c r="Q729" i="65"/>
  <c r="R729" i="65"/>
  <c r="T729" i="65"/>
  <c r="U729" i="65"/>
  <c r="V729" i="65"/>
  <c r="W729" i="65"/>
  <c r="X729" i="65"/>
  <c r="Y729" i="65"/>
  <c r="Z729" i="65"/>
  <c r="AA729" i="65"/>
  <c r="AC729" i="65"/>
  <c r="AD729" i="65"/>
  <c r="AF729" i="65"/>
  <c r="AK192" i="57"/>
  <c r="AK193" i="57"/>
  <c r="AK197" i="57"/>
  <c r="AK198" i="57"/>
  <c r="AK203" i="57"/>
  <c r="AK207" i="57"/>
  <c r="AK208" i="57"/>
  <c r="AK210" i="57"/>
  <c r="AK211" i="57"/>
  <c r="AK216" i="57"/>
  <c r="AK219" i="57"/>
  <c r="AK220" i="57"/>
  <c r="AK222" i="57"/>
  <c r="AK130" i="57"/>
  <c r="R11" i="69" s="1"/>
  <c r="AK132" i="57"/>
  <c r="R13" i="69" s="1"/>
  <c r="AK135" i="57"/>
  <c r="R16" i="69" s="1"/>
  <c r="AK137" i="57"/>
  <c r="R18" i="69" s="1"/>
  <c r="AK138" i="57"/>
  <c r="R19" i="69" s="1"/>
  <c r="AK139" i="57"/>
  <c r="R20" i="69" s="1"/>
  <c r="AK142" i="57"/>
  <c r="R23" i="69" s="1"/>
  <c r="AK145" i="57"/>
  <c r="R26" i="69" s="1"/>
  <c r="AK149" i="57"/>
  <c r="R30" i="69" s="1"/>
  <c r="AK153" i="57"/>
  <c r="R34" i="69" s="1"/>
  <c r="AK156" i="57"/>
  <c r="R37" i="69" s="1"/>
  <c r="AK159" i="57"/>
  <c r="R40" i="69" s="1"/>
  <c r="AK168" i="57"/>
  <c r="R49" i="69" s="1"/>
  <c r="AK169" i="57"/>
  <c r="R50" i="69" s="1"/>
  <c r="D735" i="58"/>
  <c r="E735" i="58"/>
  <c r="F735" i="58"/>
  <c r="G735" i="58"/>
  <c r="J735" i="58"/>
  <c r="K735" i="58"/>
  <c r="P735" i="58"/>
  <c r="Q735" i="58"/>
  <c r="S735" i="58"/>
  <c r="T735" i="58"/>
  <c r="V735" i="58"/>
  <c r="W735" i="58"/>
  <c r="X735" i="58"/>
  <c r="AA735" i="58"/>
  <c r="AB735" i="58"/>
  <c r="AC735" i="58"/>
  <c r="AD735" i="58"/>
  <c r="AF735" i="58"/>
  <c r="AG735" i="58"/>
  <c r="B735" i="58"/>
  <c r="D674" i="58"/>
  <c r="E674" i="58"/>
  <c r="F674" i="58"/>
  <c r="G674" i="58"/>
  <c r="H674" i="58"/>
  <c r="I674" i="58"/>
  <c r="J674" i="58"/>
  <c r="P674" i="58"/>
  <c r="Q674" i="58"/>
  <c r="R674" i="58"/>
  <c r="T674" i="58"/>
  <c r="V674" i="58"/>
  <c r="W674" i="58"/>
  <c r="Z674" i="58"/>
  <c r="AB674" i="58"/>
  <c r="AC674" i="58"/>
  <c r="AF674" i="58"/>
  <c r="AG674" i="58"/>
  <c r="AH674" i="58"/>
  <c r="AH67" i="58"/>
  <c r="B121" i="58"/>
  <c r="D121" i="58"/>
  <c r="E121" i="58"/>
  <c r="F121" i="58"/>
  <c r="G121" i="58"/>
  <c r="H121" i="58"/>
  <c r="I121" i="58"/>
  <c r="J121" i="58"/>
  <c r="L121" i="58"/>
  <c r="M121" i="58"/>
  <c r="P121" i="58"/>
  <c r="Q121" i="58"/>
  <c r="R121" i="58"/>
  <c r="T121" i="58"/>
  <c r="V121" i="58"/>
  <c r="W121" i="58"/>
  <c r="Z121" i="58"/>
  <c r="AA121" i="58"/>
  <c r="AB121" i="58"/>
  <c r="AG121" i="58"/>
  <c r="AH121" i="58"/>
  <c r="E184" i="58"/>
  <c r="F184" i="58"/>
  <c r="G184" i="58"/>
  <c r="H184" i="58"/>
  <c r="J184" i="58"/>
  <c r="L184" i="58"/>
  <c r="P184" i="58"/>
  <c r="Q184" i="58"/>
  <c r="R184" i="58"/>
  <c r="S184" i="58"/>
  <c r="T184" i="58"/>
  <c r="V184" i="58"/>
  <c r="W184" i="58"/>
  <c r="X184" i="58"/>
  <c r="Z184" i="58"/>
  <c r="AA184" i="58"/>
  <c r="AB184" i="58"/>
  <c r="AC184" i="58"/>
  <c r="AE184" i="58"/>
  <c r="AF184" i="58"/>
  <c r="AG184" i="58"/>
  <c r="AH184" i="58"/>
  <c r="D245" i="58"/>
  <c r="E245" i="58"/>
  <c r="F245" i="58"/>
  <c r="G245" i="58"/>
  <c r="I245" i="58"/>
  <c r="J245" i="58"/>
  <c r="L245" i="58"/>
  <c r="M245" i="58"/>
  <c r="P245" i="58"/>
  <c r="Q245" i="58"/>
  <c r="R245" i="58"/>
  <c r="S245" i="58"/>
  <c r="T245" i="58"/>
  <c r="V245" i="58"/>
  <c r="W245" i="58"/>
  <c r="X245" i="58"/>
  <c r="AA245" i="58"/>
  <c r="AB245" i="58"/>
  <c r="AD245" i="58"/>
  <c r="AF245" i="58"/>
  <c r="AG245" i="58"/>
  <c r="D305" i="58"/>
  <c r="E305" i="58"/>
  <c r="F305" i="58"/>
  <c r="G305" i="58"/>
  <c r="H305" i="58"/>
  <c r="J305" i="58"/>
  <c r="M305" i="58"/>
  <c r="P305" i="58"/>
  <c r="Q305" i="58"/>
  <c r="R305" i="58"/>
  <c r="T305" i="58"/>
  <c r="X305" i="58"/>
  <c r="Z305" i="58"/>
  <c r="AB305" i="58"/>
  <c r="AC305" i="58"/>
  <c r="AE305" i="58"/>
  <c r="AF305" i="58"/>
  <c r="AG305" i="58"/>
  <c r="B305" i="58"/>
  <c r="B370" i="58"/>
  <c r="D370" i="58"/>
  <c r="E370" i="58"/>
  <c r="F370" i="58"/>
  <c r="G370" i="58"/>
  <c r="H370" i="58"/>
  <c r="J370" i="58"/>
  <c r="L370" i="58"/>
  <c r="P370" i="58"/>
  <c r="Q370" i="58"/>
  <c r="R370" i="58"/>
  <c r="T370" i="58"/>
  <c r="V370" i="58"/>
  <c r="W370" i="58"/>
  <c r="X370" i="58"/>
  <c r="Z370" i="58"/>
  <c r="AB370" i="58"/>
  <c r="AC370" i="58"/>
  <c r="AE370" i="58"/>
  <c r="AF370" i="58"/>
  <c r="AH370" i="58"/>
  <c r="C430" i="58"/>
  <c r="E430" i="58"/>
  <c r="F430" i="58"/>
  <c r="G430" i="58"/>
  <c r="J430" i="58"/>
  <c r="L430" i="58"/>
  <c r="M430" i="58"/>
  <c r="P430" i="58"/>
  <c r="R430" i="58"/>
  <c r="S430" i="58"/>
  <c r="T430" i="58"/>
  <c r="V430" i="58"/>
  <c r="W430" i="58"/>
  <c r="X430" i="58"/>
  <c r="Z430" i="58"/>
  <c r="AB430" i="58"/>
  <c r="AC430" i="58"/>
  <c r="AF430" i="58"/>
  <c r="AG430" i="58"/>
  <c r="AH430" i="58"/>
  <c r="B430" i="58"/>
  <c r="B491" i="58"/>
  <c r="D491" i="58"/>
  <c r="E491" i="58"/>
  <c r="F491" i="58"/>
  <c r="G491" i="58"/>
  <c r="H491" i="58"/>
  <c r="J491" i="58"/>
  <c r="L491" i="58"/>
  <c r="M491" i="58"/>
  <c r="N491" i="58"/>
  <c r="P491" i="58"/>
  <c r="Q491" i="58"/>
  <c r="R491" i="58"/>
  <c r="S491" i="58"/>
  <c r="T491" i="58"/>
  <c r="V491" i="58"/>
  <c r="W491" i="58"/>
  <c r="X491" i="58"/>
  <c r="AB491" i="58"/>
  <c r="AC491" i="58"/>
  <c r="AD491" i="58"/>
  <c r="AG491" i="58"/>
  <c r="B553" i="58"/>
  <c r="D553" i="58"/>
  <c r="E553" i="58"/>
  <c r="F553" i="58"/>
  <c r="G553" i="58"/>
  <c r="J553" i="58"/>
  <c r="L553" i="58"/>
  <c r="M553" i="58"/>
  <c r="N553" i="58"/>
  <c r="P553" i="58"/>
  <c r="Q553" i="58"/>
  <c r="R553" i="58"/>
  <c r="T553" i="58"/>
  <c r="V553" i="58"/>
  <c r="W553" i="58"/>
  <c r="X553" i="58"/>
  <c r="Z553" i="58"/>
  <c r="AB553" i="58"/>
  <c r="AF553" i="58"/>
  <c r="AG553" i="58"/>
  <c r="AH553" i="58"/>
  <c r="B613" i="58"/>
  <c r="D613" i="58"/>
  <c r="E613" i="58"/>
  <c r="F613" i="58"/>
  <c r="G613" i="58"/>
  <c r="H613" i="58"/>
  <c r="J613" i="58"/>
  <c r="K613" i="58"/>
  <c r="L613" i="58"/>
  <c r="M613" i="58"/>
  <c r="Q613" i="58"/>
  <c r="R613" i="58"/>
  <c r="S613" i="58"/>
  <c r="T613" i="58"/>
  <c r="V613" i="58"/>
  <c r="W613" i="58"/>
  <c r="X613" i="58"/>
  <c r="Z613" i="58"/>
  <c r="AB613" i="58"/>
  <c r="AC613" i="58"/>
  <c r="AF613" i="58"/>
  <c r="AG613" i="58"/>
  <c r="V733" i="65" l="1"/>
  <c r="O733" i="65"/>
  <c r="W733" i="65"/>
  <c r="U733" i="65"/>
  <c r="R733" i="65"/>
  <c r="Q733" i="65"/>
  <c r="R723" i="57"/>
  <c r="I723" i="57"/>
  <c r="AB723" i="57"/>
  <c r="AH723" i="57"/>
  <c r="AG723" i="57"/>
  <c r="E739" i="58"/>
  <c r="T739" i="58"/>
  <c r="G739" i="58"/>
  <c r="F739" i="58"/>
  <c r="J739" i="58"/>
  <c r="AB739" i="58"/>
  <c r="AG700" i="65" l="1"/>
  <c r="A700" i="65"/>
  <c r="O36" i="67" l="1"/>
  <c r="C729" i="65" l="1"/>
  <c r="AE35" i="67"/>
  <c r="R735" i="58" l="1"/>
  <c r="R739" i="58" s="1"/>
  <c r="W719" i="57"/>
  <c r="AE33" i="67" l="1"/>
  <c r="L735" i="58"/>
  <c r="M70" i="77" l="1"/>
  <c r="N70" i="77"/>
  <c r="P729" i="65" l="1"/>
  <c r="AE31" i="67"/>
  <c r="V719" i="57" l="1"/>
  <c r="M719" i="57"/>
  <c r="AE29" i="67" l="1"/>
  <c r="T87" i="67"/>
  <c r="T86" i="67"/>
  <c r="T83" i="67"/>
  <c r="AE729" i="65"/>
  <c r="AE28" i="67"/>
  <c r="AE25" i="67"/>
  <c r="AD719" i="57" l="1"/>
  <c r="AB729" i="65" l="1"/>
  <c r="C705" i="62" l="1"/>
  <c r="D705" i="62"/>
  <c r="E705" i="62"/>
  <c r="F705" i="62"/>
  <c r="G705" i="62"/>
  <c r="H705" i="62"/>
  <c r="J705" i="62"/>
  <c r="L705" i="62"/>
  <c r="M705" i="62"/>
  <c r="N705" i="62"/>
  <c r="O705" i="62"/>
  <c r="P705" i="62"/>
  <c r="Q705" i="62"/>
  <c r="S705" i="62"/>
  <c r="T705" i="62"/>
  <c r="U705" i="62"/>
  <c r="W705" i="62"/>
  <c r="X705" i="62"/>
  <c r="Y705" i="62"/>
  <c r="C645" i="62"/>
  <c r="D645" i="62"/>
  <c r="E645" i="62"/>
  <c r="G645" i="62"/>
  <c r="H645" i="62"/>
  <c r="I645" i="62"/>
  <c r="J645" i="62"/>
  <c r="L645" i="62"/>
  <c r="M645" i="62"/>
  <c r="N645" i="62"/>
  <c r="O645" i="62"/>
  <c r="P645" i="62"/>
  <c r="Q645" i="62"/>
  <c r="S645" i="62"/>
  <c r="T645" i="62"/>
  <c r="U645" i="62"/>
  <c r="W645" i="62"/>
  <c r="X645" i="62"/>
  <c r="Y645" i="62"/>
  <c r="B645" i="62"/>
  <c r="B585" i="62"/>
  <c r="C585" i="62"/>
  <c r="D585" i="62"/>
  <c r="E585" i="62"/>
  <c r="F585" i="62"/>
  <c r="G585" i="62"/>
  <c r="H585" i="62"/>
  <c r="J585" i="62"/>
  <c r="L585" i="62"/>
  <c r="M585" i="62"/>
  <c r="N585" i="62"/>
  <c r="O585" i="62"/>
  <c r="P585" i="62"/>
  <c r="Q585" i="62"/>
  <c r="R585" i="62"/>
  <c r="S585" i="62"/>
  <c r="T585" i="62"/>
  <c r="U585" i="62"/>
  <c r="W585" i="62"/>
  <c r="X585" i="62"/>
  <c r="Y585" i="62"/>
  <c r="C526" i="62"/>
  <c r="D526" i="62"/>
  <c r="E526" i="62"/>
  <c r="F526" i="62"/>
  <c r="G526" i="62"/>
  <c r="H526" i="62"/>
  <c r="I526" i="62"/>
  <c r="J526" i="62"/>
  <c r="K526" i="62"/>
  <c r="M526" i="62"/>
  <c r="N526" i="62"/>
  <c r="O526" i="62"/>
  <c r="P526" i="62"/>
  <c r="Q526" i="62"/>
  <c r="R526" i="62"/>
  <c r="S526" i="62"/>
  <c r="T526" i="62"/>
  <c r="U526" i="62"/>
  <c r="W526" i="62"/>
  <c r="X526" i="62"/>
  <c r="Y526" i="62"/>
  <c r="B526" i="62"/>
  <c r="B476" i="62"/>
  <c r="C476" i="62"/>
  <c r="D476" i="62"/>
  <c r="E476" i="62"/>
  <c r="F476" i="62"/>
  <c r="G476" i="62"/>
  <c r="J476" i="62"/>
  <c r="K476" i="62"/>
  <c r="L476" i="62"/>
  <c r="M476" i="62"/>
  <c r="N476" i="62"/>
  <c r="O476" i="62"/>
  <c r="P476" i="62"/>
  <c r="Q476" i="62"/>
  <c r="R476" i="62"/>
  <c r="S476" i="62"/>
  <c r="T476" i="62"/>
  <c r="U476" i="62"/>
  <c r="W476" i="62"/>
  <c r="X476" i="62"/>
  <c r="Y476" i="62"/>
  <c r="C420" i="62"/>
  <c r="D420" i="62"/>
  <c r="E420" i="62"/>
  <c r="F420" i="62"/>
  <c r="G420" i="62"/>
  <c r="H420" i="62"/>
  <c r="J420" i="62"/>
  <c r="K420" i="62"/>
  <c r="L420" i="62"/>
  <c r="M420" i="62"/>
  <c r="O420" i="62"/>
  <c r="P420" i="62"/>
  <c r="Q420" i="62"/>
  <c r="R420" i="62"/>
  <c r="T420" i="62"/>
  <c r="U420" i="62"/>
  <c r="Y420" i="62"/>
  <c r="C361" i="62"/>
  <c r="D361" i="62"/>
  <c r="E361" i="62"/>
  <c r="F361" i="62"/>
  <c r="G361" i="62"/>
  <c r="H361" i="62"/>
  <c r="J361" i="62"/>
  <c r="L361" i="62"/>
  <c r="M361" i="62"/>
  <c r="N361" i="62"/>
  <c r="O361" i="62"/>
  <c r="P361" i="62"/>
  <c r="Q361" i="62"/>
  <c r="R361" i="62"/>
  <c r="S361" i="62"/>
  <c r="T361" i="62"/>
  <c r="U361" i="62"/>
  <c r="W361" i="62"/>
  <c r="X361" i="62"/>
  <c r="Y361" i="62"/>
  <c r="W304" i="62"/>
  <c r="X304" i="62"/>
  <c r="C304" i="62"/>
  <c r="D304" i="62"/>
  <c r="E304" i="62"/>
  <c r="F304" i="62"/>
  <c r="G304" i="62"/>
  <c r="H304" i="62"/>
  <c r="I304" i="62"/>
  <c r="J304" i="62"/>
  <c r="L304" i="62"/>
  <c r="N304" i="62"/>
  <c r="O304" i="62"/>
  <c r="P304" i="62"/>
  <c r="Q304" i="62"/>
  <c r="R304" i="62"/>
  <c r="S304" i="62"/>
  <c r="T304" i="62"/>
  <c r="U304" i="62"/>
  <c r="Y304" i="62"/>
  <c r="C244" i="62"/>
  <c r="D244" i="62"/>
  <c r="E244" i="62"/>
  <c r="F244" i="62"/>
  <c r="G244" i="62"/>
  <c r="H244" i="62"/>
  <c r="I244" i="62"/>
  <c r="J244" i="62"/>
  <c r="K244" i="62"/>
  <c r="M244" i="62"/>
  <c r="O244" i="62"/>
  <c r="P244" i="62"/>
  <c r="Q244" i="62"/>
  <c r="R244" i="62"/>
  <c r="S244" i="62"/>
  <c r="T244" i="62"/>
  <c r="U244" i="62"/>
  <c r="W244" i="62"/>
  <c r="X244" i="62"/>
  <c r="Y244" i="62"/>
  <c r="C184" i="62"/>
  <c r="D184" i="62"/>
  <c r="E184" i="62"/>
  <c r="F184" i="62"/>
  <c r="G184" i="62"/>
  <c r="H184" i="62"/>
  <c r="J184" i="62"/>
  <c r="M184" i="62"/>
  <c r="N184" i="62"/>
  <c r="O184" i="62"/>
  <c r="P184" i="62"/>
  <c r="Q184" i="62"/>
  <c r="R184" i="62"/>
  <c r="S184" i="62"/>
  <c r="T184" i="62"/>
  <c r="U184" i="62"/>
  <c r="W184" i="62"/>
  <c r="Y184" i="62"/>
  <c r="C123" i="62"/>
  <c r="D123" i="62"/>
  <c r="E123" i="62"/>
  <c r="F123" i="62"/>
  <c r="G123" i="62"/>
  <c r="H123" i="62"/>
  <c r="I123" i="62"/>
  <c r="J123" i="62"/>
  <c r="L123" i="62"/>
  <c r="M123" i="62"/>
  <c r="N123" i="62"/>
  <c r="O123" i="62"/>
  <c r="P123" i="62"/>
  <c r="Q123" i="62"/>
  <c r="R123" i="62"/>
  <c r="S123" i="62"/>
  <c r="T123" i="62"/>
  <c r="U123" i="62"/>
  <c r="W123" i="62"/>
  <c r="X123" i="62"/>
  <c r="Y123" i="62"/>
  <c r="C68" i="62"/>
  <c r="D68" i="62"/>
  <c r="E68" i="62"/>
  <c r="F68" i="62"/>
  <c r="G68" i="62"/>
  <c r="H68" i="62"/>
  <c r="J68" i="62"/>
  <c r="L68" i="62"/>
  <c r="M68" i="62"/>
  <c r="O68" i="62"/>
  <c r="P68" i="62"/>
  <c r="Q68" i="62"/>
  <c r="R68" i="62"/>
  <c r="T68" i="62"/>
  <c r="U68" i="62"/>
  <c r="W68" i="62"/>
  <c r="X68" i="62"/>
  <c r="Y68" i="62"/>
  <c r="AB241" i="60"/>
  <c r="Y67" i="60"/>
  <c r="Z691" i="60"/>
  <c r="AN641" i="60"/>
  <c r="AN642" i="60"/>
  <c r="AN643" i="60"/>
  <c r="AN644" i="60"/>
  <c r="AN647" i="60"/>
  <c r="AN649" i="60"/>
  <c r="AN650" i="60"/>
  <c r="AN653" i="60"/>
  <c r="AN654" i="60"/>
  <c r="AN655" i="60"/>
  <c r="AN657" i="60"/>
  <c r="AN658" i="60"/>
  <c r="AN659" i="60"/>
  <c r="AN660" i="60"/>
  <c r="AN661" i="60"/>
  <c r="AN662" i="60"/>
  <c r="AN663" i="60"/>
  <c r="AN664" i="60"/>
  <c r="AN665" i="60"/>
  <c r="AN666" i="60"/>
  <c r="AN667" i="60"/>
  <c r="AN668" i="60"/>
  <c r="AN669" i="60"/>
  <c r="T37" i="67" s="1"/>
  <c r="AN670" i="60"/>
  <c r="T38" i="67" s="1"/>
  <c r="AN671" i="60"/>
  <c r="T39" i="67" s="1"/>
  <c r="AN672" i="60"/>
  <c r="T40" i="67" s="1"/>
  <c r="AN673" i="60"/>
  <c r="T41" i="67" s="1"/>
  <c r="AN674" i="60"/>
  <c r="T42" i="67" s="1"/>
  <c r="AN675" i="60"/>
  <c r="T43" i="67" s="1"/>
  <c r="AN676" i="60"/>
  <c r="T44" i="67" s="1"/>
  <c r="AN677" i="60"/>
  <c r="T45" i="67" s="1"/>
  <c r="AN678" i="60"/>
  <c r="T46" i="67" s="1"/>
  <c r="AN679" i="60"/>
  <c r="T47" i="67" s="1"/>
  <c r="AN680" i="60"/>
  <c r="T48" i="67" s="1"/>
  <c r="AN681" i="60"/>
  <c r="T49" i="67" s="1"/>
  <c r="AN682" i="60"/>
  <c r="AN683" i="60"/>
  <c r="AN684" i="60"/>
  <c r="AN685" i="60"/>
  <c r="AN686" i="60"/>
  <c r="AN687" i="60"/>
  <c r="AN688" i="60"/>
  <c r="AN689" i="60"/>
  <c r="T57" i="67" s="1"/>
  <c r="AN690" i="60"/>
  <c r="AN591" i="60"/>
  <c r="AN592" i="60"/>
  <c r="AN594" i="60"/>
  <c r="AN597" i="60"/>
  <c r="AN599" i="60"/>
  <c r="AN600" i="60"/>
  <c r="AN601" i="60"/>
  <c r="AN603" i="60"/>
  <c r="AN604" i="60"/>
  <c r="AN606" i="60"/>
  <c r="AN607" i="60"/>
  <c r="AN610" i="60"/>
  <c r="AN611" i="60"/>
  <c r="AN614" i="60"/>
  <c r="AN617" i="60"/>
  <c r="AN619" i="60"/>
  <c r="AN621" i="60"/>
  <c r="AN622" i="60"/>
  <c r="AN624" i="60"/>
  <c r="AN627" i="60"/>
  <c r="AN628" i="60"/>
  <c r="AN529" i="60"/>
  <c r="AN531" i="60"/>
  <c r="AN533" i="60"/>
  <c r="AN534" i="60"/>
  <c r="AN535" i="60"/>
  <c r="AN537" i="60"/>
  <c r="AN539" i="60"/>
  <c r="AN540" i="60"/>
  <c r="AN541" i="60"/>
  <c r="AN544" i="60"/>
  <c r="AN546" i="60"/>
  <c r="AN547" i="60"/>
  <c r="AN548" i="60"/>
  <c r="AN549" i="60"/>
  <c r="AN550" i="60"/>
  <c r="AN551" i="60"/>
  <c r="AN552" i="60"/>
  <c r="AN553" i="60"/>
  <c r="AN554" i="60"/>
  <c r="AN555" i="60"/>
  <c r="AN557" i="60"/>
  <c r="AN558" i="60"/>
  <c r="AN560" i="60"/>
  <c r="AN563" i="60"/>
  <c r="AN565" i="60"/>
  <c r="AN567" i="60"/>
  <c r="AN568" i="60"/>
  <c r="AN569" i="60"/>
  <c r="AN570" i="60"/>
  <c r="AN571" i="60"/>
  <c r="AN573" i="60"/>
  <c r="AN575" i="60"/>
  <c r="AN578" i="60"/>
  <c r="AN579" i="60"/>
  <c r="AN482" i="60"/>
  <c r="AN484" i="60"/>
  <c r="AN485" i="60"/>
  <c r="AN487" i="60"/>
  <c r="AN488" i="60"/>
  <c r="AN489" i="60"/>
  <c r="AN490" i="60"/>
  <c r="AN491" i="60"/>
  <c r="AN492" i="60"/>
  <c r="AN496" i="60"/>
  <c r="AN498" i="60"/>
  <c r="AN502" i="60"/>
  <c r="AN503" i="60"/>
  <c r="AN504" i="60"/>
  <c r="AN506" i="60"/>
  <c r="AN508" i="60"/>
  <c r="AN510" i="60"/>
  <c r="AN512" i="60"/>
  <c r="AN514" i="60"/>
  <c r="AN515" i="60"/>
  <c r="AN516" i="60"/>
  <c r="AN517" i="60"/>
  <c r="AN518" i="60"/>
  <c r="AN519" i="60"/>
  <c r="AN520" i="60"/>
  <c r="AN521" i="60"/>
  <c r="AN522" i="60"/>
  <c r="AN523" i="60"/>
  <c r="AN427" i="60"/>
  <c r="AN429" i="60"/>
  <c r="AN434" i="60"/>
  <c r="AN435" i="60"/>
  <c r="AN436" i="60"/>
  <c r="AN440" i="60"/>
  <c r="AN441" i="60"/>
  <c r="AN442" i="60"/>
  <c r="AN443" i="60"/>
  <c r="AN445" i="60"/>
  <c r="AN446" i="60"/>
  <c r="T31" i="74" s="1"/>
  <c r="AN448" i="60"/>
  <c r="T33" i="74" s="1"/>
  <c r="AN451" i="60"/>
  <c r="T36" i="74" s="1"/>
  <c r="AN452" i="60"/>
  <c r="T37" i="74" s="1"/>
  <c r="AN453" i="60"/>
  <c r="T38" i="74" s="1"/>
  <c r="AN454" i="60"/>
  <c r="T39" i="74" s="1"/>
  <c r="AN455" i="60"/>
  <c r="T40" i="74" s="1"/>
  <c r="AN456" i="60"/>
  <c r="T41" i="74" s="1"/>
  <c r="AN458" i="60"/>
  <c r="T43" i="74" s="1"/>
  <c r="AN459" i="60"/>
  <c r="T44" i="74" s="1"/>
  <c r="AN460" i="60"/>
  <c r="T45" i="74" s="1"/>
  <c r="AN364" i="60"/>
  <c r="AN366" i="60"/>
  <c r="AN372" i="60"/>
  <c r="AN374" i="60"/>
  <c r="AN376" i="60"/>
  <c r="AN377" i="60"/>
  <c r="AN378" i="60"/>
  <c r="AN381" i="60"/>
  <c r="AN385" i="60"/>
  <c r="AN389" i="60"/>
  <c r="AN390" i="60"/>
  <c r="AN392" i="60"/>
  <c r="T37" i="73" s="1"/>
  <c r="AN400" i="60"/>
  <c r="T45" i="73" s="1"/>
  <c r="AN401" i="60"/>
  <c r="T46" i="73" s="1"/>
  <c r="AN404" i="60"/>
  <c r="T49" i="73" s="1"/>
  <c r="AN405" i="60"/>
  <c r="T50" i="73" s="1"/>
  <c r="AN312" i="60"/>
  <c r="T14" i="72" s="1"/>
  <c r="AN315" i="60"/>
  <c r="T17" i="72" s="1"/>
  <c r="AN320" i="60"/>
  <c r="T22" i="72" s="1"/>
  <c r="AN322" i="60"/>
  <c r="T24" i="72" s="1"/>
  <c r="AN327" i="60"/>
  <c r="T29" i="72" s="1"/>
  <c r="AN331" i="60"/>
  <c r="T33" i="72" s="1"/>
  <c r="AN333" i="60"/>
  <c r="AN334" i="60"/>
  <c r="AN336" i="60"/>
  <c r="AN340" i="60"/>
  <c r="AN341" i="60"/>
  <c r="AN342" i="60"/>
  <c r="AN343" i="60"/>
  <c r="AN344" i="60"/>
  <c r="AN345" i="60"/>
  <c r="AN348" i="60"/>
  <c r="AN246" i="60"/>
  <c r="AN247" i="60"/>
  <c r="T10" i="71" s="1"/>
  <c r="AN249" i="60"/>
  <c r="AN250" i="60"/>
  <c r="AN251" i="60"/>
  <c r="AN252" i="60"/>
  <c r="AN254" i="60"/>
  <c r="AN256" i="60"/>
  <c r="AN258" i="60"/>
  <c r="AN259" i="60"/>
  <c r="T22" i="71" s="1"/>
  <c r="AN263" i="60"/>
  <c r="T26" i="71" s="1"/>
  <c r="AN264" i="60"/>
  <c r="T27" i="71" s="1"/>
  <c r="AN265" i="60"/>
  <c r="T28" i="71" s="1"/>
  <c r="AN266" i="60"/>
  <c r="AN267" i="60"/>
  <c r="AN268" i="60"/>
  <c r="AN269" i="60"/>
  <c r="AN270" i="60"/>
  <c r="AN271" i="60"/>
  <c r="AN274" i="60"/>
  <c r="AN277" i="60"/>
  <c r="AN279" i="60"/>
  <c r="AN280" i="60"/>
  <c r="AN284" i="60"/>
  <c r="AN286" i="60"/>
  <c r="AN191" i="60"/>
  <c r="AN193" i="60"/>
  <c r="AN197" i="60"/>
  <c r="AN198" i="60"/>
  <c r="AN200" i="60"/>
  <c r="AN202" i="60"/>
  <c r="AN205" i="60"/>
  <c r="AN206" i="60"/>
  <c r="AN207" i="60"/>
  <c r="AN210" i="60"/>
  <c r="AN214" i="60"/>
  <c r="AN219" i="60"/>
  <c r="AN221" i="60"/>
  <c r="AN224" i="60"/>
  <c r="AN226" i="60"/>
  <c r="AN227" i="60"/>
  <c r="AN128" i="60"/>
  <c r="T8" i="69" s="1"/>
  <c r="AN129" i="60"/>
  <c r="T9" i="69" s="1"/>
  <c r="AN130" i="60"/>
  <c r="T10" i="69" s="1"/>
  <c r="AN131" i="60"/>
  <c r="T11" i="69" s="1"/>
  <c r="AN132" i="60"/>
  <c r="T12" i="69" s="1"/>
  <c r="AN135" i="60"/>
  <c r="T15" i="69" s="1"/>
  <c r="AN139" i="60"/>
  <c r="T19" i="69" s="1"/>
  <c r="AN145" i="60"/>
  <c r="T25" i="69" s="1"/>
  <c r="AN146" i="60"/>
  <c r="T26" i="69" s="1"/>
  <c r="AN147" i="60"/>
  <c r="T27" i="69" s="1"/>
  <c r="AN150" i="60"/>
  <c r="T30" i="69" s="1"/>
  <c r="AN152" i="60"/>
  <c r="T32" i="69" s="1"/>
  <c r="AN160" i="60"/>
  <c r="T40" i="69" s="1"/>
  <c r="AN164" i="60"/>
  <c r="T44" i="69" s="1"/>
  <c r="AN169" i="60"/>
  <c r="T48" i="69" s="1"/>
  <c r="AN170" i="60"/>
  <c r="AN75" i="60"/>
  <c r="AN77" i="60"/>
  <c r="AN81" i="60"/>
  <c r="AN82" i="60"/>
  <c r="AN84" i="60"/>
  <c r="AN85" i="60"/>
  <c r="AN102" i="60"/>
  <c r="AN104" i="60"/>
  <c r="AN105" i="60"/>
  <c r="AN107" i="60"/>
  <c r="AN108" i="60"/>
  <c r="AN112" i="60"/>
  <c r="AN115" i="60"/>
  <c r="AN116" i="60"/>
  <c r="AN117" i="60"/>
  <c r="AN8" i="60"/>
  <c r="T10" i="43" s="1"/>
  <c r="AN11" i="60"/>
  <c r="T13" i="43" s="1"/>
  <c r="AN15" i="60"/>
  <c r="T17" i="43" s="1"/>
  <c r="AN16" i="60"/>
  <c r="T18" i="43" s="1"/>
  <c r="AN19" i="60"/>
  <c r="T21" i="43" s="1"/>
  <c r="AN21" i="60"/>
  <c r="T23" i="43" s="1"/>
  <c r="AN23" i="60"/>
  <c r="T25" i="43" s="1"/>
  <c r="AN35" i="60"/>
  <c r="T37" i="43" s="1"/>
  <c r="AN39" i="60"/>
  <c r="T41" i="43" s="1"/>
  <c r="AN41" i="60"/>
  <c r="T43" i="43" s="1"/>
  <c r="AN42" i="60"/>
  <c r="T44" i="43" s="1"/>
  <c r="AN43" i="60"/>
  <c r="T45" i="43" s="1"/>
  <c r="E524" i="60"/>
  <c r="G524" i="60"/>
  <c r="H524" i="60"/>
  <c r="I524" i="60"/>
  <c r="J524" i="60"/>
  <c r="K524" i="60"/>
  <c r="L524" i="60"/>
  <c r="M524" i="60"/>
  <c r="N524" i="60"/>
  <c r="O524" i="60"/>
  <c r="Q524" i="60"/>
  <c r="S524" i="60"/>
  <c r="T524" i="60"/>
  <c r="U524" i="60"/>
  <c r="V524" i="60"/>
  <c r="X524" i="60"/>
  <c r="Y524" i="60"/>
  <c r="AB524" i="60"/>
  <c r="AC524" i="60"/>
  <c r="AD524" i="60"/>
  <c r="AF524" i="60"/>
  <c r="AG524" i="60"/>
  <c r="AH524" i="60"/>
  <c r="AI524" i="60"/>
  <c r="AJ524" i="60"/>
  <c r="AK524" i="60"/>
  <c r="AL524" i="60"/>
  <c r="E584" i="60"/>
  <c r="G584" i="60"/>
  <c r="H584" i="60"/>
  <c r="I584" i="60"/>
  <c r="J584" i="60"/>
  <c r="K584" i="60"/>
  <c r="L584" i="60"/>
  <c r="N584" i="60"/>
  <c r="O584" i="60"/>
  <c r="P584" i="60"/>
  <c r="Q584" i="60"/>
  <c r="R584" i="60"/>
  <c r="S584" i="60"/>
  <c r="T584" i="60"/>
  <c r="U584" i="60"/>
  <c r="V584" i="60"/>
  <c r="W584" i="60"/>
  <c r="X584" i="60"/>
  <c r="Y584" i="60"/>
  <c r="AB584" i="60"/>
  <c r="AC584" i="60"/>
  <c r="AF584" i="60"/>
  <c r="AG584" i="60"/>
  <c r="AH584" i="60"/>
  <c r="AI584" i="60"/>
  <c r="AJ584" i="60"/>
  <c r="AK584" i="60"/>
  <c r="E635" i="60"/>
  <c r="G635" i="60"/>
  <c r="H635" i="60"/>
  <c r="I635" i="60"/>
  <c r="J635" i="60"/>
  <c r="K635" i="60"/>
  <c r="L635" i="60"/>
  <c r="M635" i="60"/>
  <c r="N635" i="60"/>
  <c r="O635" i="60"/>
  <c r="P635" i="60"/>
  <c r="Q635" i="60"/>
  <c r="R635" i="60"/>
  <c r="S635" i="60"/>
  <c r="T635" i="60"/>
  <c r="U635" i="60"/>
  <c r="V635" i="60"/>
  <c r="W635" i="60"/>
  <c r="X635" i="60"/>
  <c r="Y635" i="60"/>
  <c r="AA635" i="60"/>
  <c r="AB635" i="60"/>
  <c r="AC635" i="60"/>
  <c r="AD635" i="60"/>
  <c r="AE635" i="60"/>
  <c r="AF635" i="60"/>
  <c r="AG635" i="60"/>
  <c r="AH635" i="60"/>
  <c r="AI635" i="60"/>
  <c r="AJ635" i="60"/>
  <c r="AK635" i="60"/>
  <c r="AL635" i="60"/>
  <c r="AM635" i="60"/>
  <c r="C691" i="60"/>
  <c r="AM691" i="60"/>
  <c r="E691" i="60"/>
  <c r="G691" i="60"/>
  <c r="H691" i="60"/>
  <c r="I691" i="60"/>
  <c r="J691" i="60"/>
  <c r="K691" i="60"/>
  <c r="L691" i="60"/>
  <c r="M691" i="60"/>
  <c r="N691" i="60"/>
  <c r="O691" i="60"/>
  <c r="P691" i="60"/>
  <c r="Q691" i="60"/>
  <c r="R691" i="60"/>
  <c r="S691" i="60"/>
  <c r="T691" i="60"/>
  <c r="U691" i="60"/>
  <c r="V691" i="60"/>
  <c r="W691" i="60"/>
  <c r="Y691" i="60"/>
  <c r="AA691" i="60"/>
  <c r="AB691" i="60"/>
  <c r="AC691" i="60"/>
  <c r="AD691" i="60"/>
  <c r="AE691" i="60"/>
  <c r="AF691" i="60"/>
  <c r="AG691" i="60"/>
  <c r="AH691" i="60"/>
  <c r="AI691" i="60"/>
  <c r="AJ691" i="60"/>
  <c r="AK691" i="60"/>
  <c r="E475" i="60"/>
  <c r="G475" i="60"/>
  <c r="H475" i="60"/>
  <c r="I475" i="60"/>
  <c r="J475" i="60"/>
  <c r="K475" i="60"/>
  <c r="M475" i="60"/>
  <c r="N475" i="60"/>
  <c r="O475" i="60"/>
  <c r="P475" i="60"/>
  <c r="R475" i="60"/>
  <c r="S475" i="60"/>
  <c r="T475" i="60"/>
  <c r="U475" i="60"/>
  <c r="V475" i="60"/>
  <c r="W475" i="60"/>
  <c r="X475" i="60"/>
  <c r="Y475" i="60"/>
  <c r="AB475" i="60"/>
  <c r="AC475" i="60"/>
  <c r="AD475" i="60"/>
  <c r="AF475" i="60"/>
  <c r="AG475" i="60"/>
  <c r="AH475" i="60"/>
  <c r="AI475" i="60"/>
  <c r="AJ475" i="60"/>
  <c r="AK475" i="60"/>
  <c r="AL475" i="60"/>
  <c r="E420" i="60"/>
  <c r="G420" i="60"/>
  <c r="H420" i="60"/>
  <c r="I420" i="60"/>
  <c r="J420" i="60"/>
  <c r="N420" i="60"/>
  <c r="O420" i="60"/>
  <c r="P420" i="60"/>
  <c r="Q420" i="60"/>
  <c r="R420" i="60"/>
  <c r="S420" i="60"/>
  <c r="T420" i="60"/>
  <c r="U420" i="60"/>
  <c r="V420" i="60"/>
  <c r="X420" i="60"/>
  <c r="Y420" i="60"/>
  <c r="AB420" i="60"/>
  <c r="AC420" i="60"/>
  <c r="AD420" i="60"/>
  <c r="AF420" i="60"/>
  <c r="AH420" i="60"/>
  <c r="AI420" i="60"/>
  <c r="AJ420" i="60"/>
  <c r="AK420" i="60"/>
  <c r="F360" i="60"/>
  <c r="G360" i="60"/>
  <c r="H360" i="60"/>
  <c r="J360" i="60"/>
  <c r="K360" i="60"/>
  <c r="L360" i="60"/>
  <c r="N360" i="60"/>
  <c r="O360" i="60"/>
  <c r="P360" i="60"/>
  <c r="Q360" i="60"/>
  <c r="S360" i="60"/>
  <c r="T360" i="60"/>
  <c r="U360" i="60"/>
  <c r="V360" i="60"/>
  <c r="Y360" i="60"/>
  <c r="AB360" i="60"/>
  <c r="AC360" i="60"/>
  <c r="AD360" i="60"/>
  <c r="AF360" i="60"/>
  <c r="AG360" i="60"/>
  <c r="AH360" i="60"/>
  <c r="AI360" i="60"/>
  <c r="AJ360" i="60"/>
  <c r="E301" i="60"/>
  <c r="G301" i="60"/>
  <c r="H301" i="60"/>
  <c r="J301" i="60"/>
  <c r="K301" i="60"/>
  <c r="L301" i="60"/>
  <c r="M301" i="60"/>
  <c r="N301" i="60"/>
  <c r="O301" i="60"/>
  <c r="P301" i="60"/>
  <c r="Q301" i="60"/>
  <c r="S301" i="60"/>
  <c r="T301" i="60"/>
  <c r="V301" i="60"/>
  <c r="W301" i="60"/>
  <c r="X301" i="60"/>
  <c r="Y301" i="60"/>
  <c r="AA301" i="60"/>
  <c r="AB301" i="60"/>
  <c r="AC301" i="60"/>
  <c r="AD301" i="60"/>
  <c r="AF301" i="60"/>
  <c r="AG301" i="60"/>
  <c r="AH301" i="60"/>
  <c r="AI301" i="60"/>
  <c r="AJ301" i="60"/>
  <c r="AK301" i="60"/>
  <c r="G241" i="60"/>
  <c r="H241" i="60"/>
  <c r="J241" i="60"/>
  <c r="K241" i="60"/>
  <c r="L241" i="60"/>
  <c r="M241" i="60"/>
  <c r="N241" i="60"/>
  <c r="O241" i="60"/>
  <c r="Q241" i="60"/>
  <c r="R241" i="60"/>
  <c r="S241" i="60"/>
  <c r="T241" i="60"/>
  <c r="U241" i="60"/>
  <c r="V241" i="60"/>
  <c r="W241" i="60"/>
  <c r="Y241" i="60"/>
  <c r="AC241" i="60"/>
  <c r="AF241" i="60"/>
  <c r="AG241" i="60"/>
  <c r="AH241" i="60"/>
  <c r="AI241" i="60"/>
  <c r="AJ241" i="60"/>
  <c r="AK241" i="60"/>
  <c r="AL241" i="60"/>
  <c r="E182" i="60"/>
  <c r="G182" i="60"/>
  <c r="H182" i="60"/>
  <c r="I182" i="60"/>
  <c r="J182" i="60"/>
  <c r="L182" i="60"/>
  <c r="N182" i="60"/>
  <c r="O182" i="60"/>
  <c r="P182" i="60"/>
  <c r="Q182" i="60"/>
  <c r="R182" i="60"/>
  <c r="T182" i="60"/>
  <c r="U182" i="60"/>
  <c r="V182" i="60"/>
  <c r="X182" i="60"/>
  <c r="Y182" i="60"/>
  <c r="AB182" i="60"/>
  <c r="AC182" i="60"/>
  <c r="AD182" i="60"/>
  <c r="AF182" i="60"/>
  <c r="AG182" i="60"/>
  <c r="AH182" i="60"/>
  <c r="AI182" i="60"/>
  <c r="AJ182" i="60"/>
  <c r="AK182" i="60"/>
  <c r="AL182" i="60"/>
  <c r="AM182" i="60"/>
  <c r="G121" i="60"/>
  <c r="H121" i="60"/>
  <c r="I121" i="60"/>
  <c r="J121" i="60"/>
  <c r="K121" i="60"/>
  <c r="M121" i="60"/>
  <c r="N121" i="60"/>
  <c r="O121" i="60"/>
  <c r="P121" i="60"/>
  <c r="Q121" i="60"/>
  <c r="R121" i="60"/>
  <c r="S121" i="60"/>
  <c r="T121" i="60"/>
  <c r="U121" i="60"/>
  <c r="V121" i="60"/>
  <c r="W121" i="60"/>
  <c r="X121" i="60"/>
  <c r="Y121" i="60"/>
  <c r="AA121" i="60"/>
  <c r="AB121" i="60"/>
  <c r="AC121" i="60"/>
  <c r="AF121" i="60"/>
  <c r="AG121" i="60"/>
  <c r="AH121" i="60"/>
  <c r="AK121" i="60"/>
  <c r="AL121" i="60"/>
  <c r="E67" i="60"/>
  <c r="G67" i="60"/>
  <c r="H67" i="60"/>
  <c r="J67" i="60"/>
  <c r="K67" i="60"/>
  <c r="L67" i="60"/>
  <c r="N67" i="60"/>
  <c r="O67" i="60"/>
  <c r="P67" i="60"/>
  <c r="Q67" i="60"/>
  <c r="S67" i="60"/>
  <c r="T67" i="60"/>
  <c r="U67" i="60"/>
  <c r="V67" i="60"/>
  <c r="W67" i="60"/>
  <c r="X67" i="60"/>
  <c r="AB67" i="60"/>
  <c r="AF67" i="60"/>
  <c r="AG67" i="60"/>
  <c r="AH67" i="60"/>
  <c r="AI67" i="60"/>
  <c r="AM67" i="60"/>
  <c r="AE24" i="67"/>
  <c r="AN656" i="60"/>
  <c r="G709" i="62" l="1"/>
  <c r="W709" i="62"/>
  <c r="U709" i="62"/>
  <c r="Y709" i="62"/>
  <c r="T709" i="62"/>
  <c r="C709" i="62"/>
  <c r="P709" i="62"/>
  <c r="J709" i="62"/>
  <c r="AB695" i="60"/>
  <c r="J695" i="60"/>
  <c r="G695" i="60"/>
  <c r="O695" i="60"/>
  <c r="AF695" i="60"/>
  <c r="V695" i="60"/>
  <c r="E709" i="62"/>
  <c r="H695" i="60"/>
  <c r="D709" i="62"/>
  <c r="Q709" i="62"/>
  <c r="O709" i="62"/>
  <c r="T695" i="60"/>
  <c r="Y695" i="60"/>
  <c r="AH695" i="60"/>
  <c r="N695" i="60"/>
  <c r="G729" i="65"/>
  <c r="E723" i="66"/>
  <c r="I735" i="58"/>
  <c r="AE22" i="67"/>
  <c r="S719" i="57" l="1"/>
  <c r="P741" i="56"/>
  <c r="AE21" i="67" l="1"/>
  <c r="Y723" i="66" l="1"/>
  <c r="AN652" i="60" l="1"/>
  <c r="AE19" i="67"/>
  <c r="AE719" i="57" l="1"/>
  <c r="T75" i="67"/>
  <c r="T74" i="67"/>
  <c r="H719" i="57"/>
  <c r="AE16" i="67"/>
  <c r="AE18" i="67"/>
  <c r="AE17" i="67"/>
  <c r="B705" i="62" l="1"/>
  <c r="T741" i="56"/>
  <c r="H735" i="58"/>
  <c r="AN651" i="60" l="1"/>
  <c r="T723" i="66" l="1"/>
  <c r="N723" i="66" l="1"/>
  <c r="Z735" i="58"/>
  <c r="K729" i="65" l="1"/>
  <c r="Y735" i="58" l="1"/>
  <c r="S729" i="65"/>
  <c r="M729" i="65"/>
  <c r="M733" i="65" s="1"/>
  <c r="AI719" i="57"/>
  <c r="AN648" i="60"/>
  <c r="AL691" i="60"/>
  <c r="C735" i="58"/>
  <c r="Y719" i="57"/>
  <c r="J74" i="67"/>
  <c r="K74" i="67"/>
  <c r="AE13" i="67"/>
  <c r="AG680" i="65" l="1"/>
  <c r="A680" i="65"/>
  <c r="AG679" i="65"/>
  <c r="A679" i="65"/>
  <c r="AG678" i="65"/>
  <c r="A678" i="65"/>
  <c r="AG677" i="65"/>
  <c r="A677" i="65"/>
  <c r="AI687" i="58"/>
  <c r="AI686" i="58"/>
  <c r="AI685" i="58"/>
  <c r="AI684" i="58"/>
  <c r="AK677" i="57"/>
  <c r="A677" i="57"/>
  <c r="AK676" i="57"/>
  <c r="A676" i="57"/>
  <c r="P719" i="57"/>
  <c r="A675" i="57"/>
  <c r="AK674" i="57"/>
  <c r="A674" i="57"/>
  <c r="A658" i="62"/>
  <c r="Z657" i="62"/>
  <c r="A657" i="62"/>
  <c r="Z656" i="62"/>
  <c r="A656" i="62"/>
  <c r="A655" i="62"/>
  <c r="AO648" i="60"/>
  <c r="A648" i="60"/>
  <c r="AO647" i="60"/>
  <c r="A647" i="60"/>
  <c r="X691" i="60"/>
  <c r="A646" i="60"/>
  <c r="AN645" i="60"/>
  <c r="A645" i="60"/>
  <c r="A649" i="60"/>
  <c r="AO649" i="60"/>
  <c r="W723" i="66"/>
  <c r="B723" i="66"/>
  <c r="A668" i="66"/>
  <c r="A667" i="66"/>
  <c r="A666" i="66"/>
  <c r="A665" i="66"/>
  <c r="P670" i="81"/>
  <c r="A670" i="81"/>
  <c r="P669" i="81"/>
  <c r="A669" i="81"/>
  <c r="A668" i="81"/>
  <c r="P667" i="81"/>
  <c r="A667" i="81"/>
  <c r="Z655" i="62" l="1"/>
  <c r="I705" i="62"/>
  <c r="AN646" i="60"/>
  <c r="AO646" i="60" s="1"/>
  <c r="Z658" i="62"/>
  <c r="R705" i="62"/>
  <c r="AO645" i="60"/>
  <c r="D691" i="60"/>
  <c r="P668" i="81"/>
  <c r="AK675" i="57"/>
  <c r="AE11" i="67"/>
  <c r="AH735" i="58"/>
  <c r="AC723" i="66" l="1"/>
  <c r="N735" i="58" l="1"/>
  <c r="AE735" i="58"/>
  <c r="O741" i="56" l="1"/>
  <c r="AE10" i="67" l="1"/>
  <c r="I741" i="56" l="1"/>
  <c r="M735" i="58"/>
  <c r="K705" i="62"/>
  <c r="AP741" i="56" l="1"/>
  <c r="T719" i="57"/>
  <c r="B719" i="57"/>
  <c r="AE8" i="67"/>
  <c r="J723" i="66"/>
  <c r="U719" i="57" l="1"/>
  <c r="U735" i="58"/>
  <c r="B691" i="60"/>
  <c r="O735" i="58"/>
  <c r="BF741" i="56"/>
  <c r="C719" i="57"/>
  <c r="H741" i="56"/>
  <c r="AD620" i="66"/>
  <c r="AD621" i="66"/>
  <c r="AD623" i="66"/>
  <c r="AD626" i="66"/>
  <c r="AD629" i="66"/>
  <c r="AD631" i="66"/>
  <c r="AD632" i="66"/>
  <c r="AD633" i="66"/>
  <c r="AD634" i="66"/>
  <c r="AD635" i="66"/>
  <c r="AD637" i="66"/>
  <c r="AD640" i="66"/>
  <c r="AD641" i="66"/>
  <c r="W48" i="77" s="1"/>
  <c r="AD643" i="66"/>
  <c r="AD644" i="66"/>
  <c r="W51" i="77" s="1"/>
  <c r="AD645" i="66"/>
  <c r="W52" i="77" s="1"/>
  <c r="AD646" i="66"/>
  <c r="AD647" i="66"/>
  <c r="AD648" i="66"/>
  <c r="AD649" i="66"/>
  <c r="AD650" i="66"/>
  <c r="AD651" i="66"/>
  <c r="AD652" i="66"/>
  <c r="AD653" i="66"/>
  <c r="AD654" i="66"/>
  <c r="AD603" i="66"/>
  <c r="AD606" i="66"/>
  <c r="AD607" i="66"/>
  <c r="AD609" i="66"/>
  <c r="AD613" i="66"/>
  <c r="AD614" i="66"/>
  <c r="AD615" i="66"/>
  <c r="AD617" i="66"/>
  <c r="AE48" i="77"/>
  <c r="F719" i="57"/>
  <c r="W47" i="77" l="1"/>
  <c r="F691" i="60"/>
  <c r="Y655" i="66" l="1"/>
  <c r="AN630" i="60" l="1"/>
  <c r="AD642" i="66"/>
  <c r="W49" i="77" l="1"/>
  <c r="AE46" i="77"/>
  <c r="AN629" i="60"/>
  <c r="AD639" i="66" l="1"/>
  <c r="AE44" i="77" l="1"/>
  <c r="AE41" i="77"/>
  <c r="AN626" i="60" l="1"/>
  <c r="AD674" i="58" l="1"/>
  <c r="AD638" i="66" l="1"/>
  <c r="Q655" i="66"/>
  <c r="AN625" i="60"/>
  <c r="B674" i="58"/>
  <c r="T113" i="77"/>
  <c r="AD636" i="66" l="1"/>
  <c r="AN623" i="60" l="1"/>
  <c r="F645" i="62" l="1"/>
  <c r="F709" i="62" s="1"/>
  <c r="T109" i="77" l="1"/>
  <c r="AE38" i="77"/>
  <c r="AE39" i="77"/>
  <c r="AE36" i="77"/>
  <c r="AN620" i="60" l="1"/>
  <c r="M674" i="58" l="1"/>
  <c r="L674" i="58" l="1"/>
  <c r="AE34" i="77" l="1"/>
  <c r="AD630" i="66" l="1"/>
  <c r="N660" i="61"/>
  <c r="AN618" i="60" l="1"/>
  <c r="AD628" i="66" l="1"/>
  <c r="X674" i="58"/>
  <c r="AN616" i="60" l="1"/>
  <c r="AD627" i="66"/>
  <c r="AN615" i="60"/>
  <c r="AE32" i="77" l="1"/>
  <c r="R645" i="62" l="1"/>
  <c r="R709" i="62" l="1"/>
  <c r="AD625" i="66"/>
  <c r="T100" i="77"/>
  <c r="AE30" i="77"/>
  <c r="AN613" i="60" l="1"/>
  <c r="AE674" i="58" l="1"/>
  <c r="AD665" i="57"/>
  <c r="M655" i="66" l="1"/>
  <c r="AD624" i="66"/>
  <c r="C674" i="58"/>
  <c r="K674" i="58"/>
  <c r="V665" i="57"/>
  <c r="AE29" i="77"/>
  <c r="AN612" i="60" l="1"/>
  <c r="AD622" i="66"/>
  <c r="AE28" i="77"/>
  <c r="K645" i="62" l="1"/>
  <c r="AN609" i="60"/>
  <c r="T96" i="77" l="1"/>
  <c r="AE26" i="77"/>
  <c r="AN608" i="60"/>
  <c r="AE665" i="57" l="1"/>
  <c r="AB655" i="66"/>
  <c r="N674" i="58"/>
  <c r="AD619" i="66" l="1"/>
  <c r="AE24" i="77"/>
  <c r="T665" i="57" l="1"/>
  <c r="C665" i="57"/>
  <c r="AD618" i="66" l="1"/>
  <c r="T655" i="66"/>
  <c r="AN605" i="60"/>
  <c r="AE22" i="77"/>
  <c r="AD616" i="66" l="1"/>
  <c r="C51" i="77"/>
  <c r="C52" i="77"/>
  <c r="C53" i="77"/>
  <c r="C54" i="77"/>
  <c r="C55" i="77"/>
  <c r="C56" i="77"/>
  <c r="C57" i="77"/>
  <c r="C58" i="77"/>
  <c r="C59" i="77"/>
  <c r="C60" i="77"/>
  <c r="C61" i="77"/>
  <c r="C62" i="77"/>
  <c r="C63" i="77"/>
  <c r="C64" i="77"/>
  <c r="C65" i="77"/>
  <c r="C66" i="77"/>
  <c r="C67" i="77"/>
  <c r="C68" i="77"/>
  <c r="C69" i="77"/>
  <c r="AE21" i="77" l="1"/>
  <c r="T91" i="77"/>
  <c r="AN602" i="60" l="1"/>
  <c r="T88" i="77"/>
  <c r="AE18" i="77"/>
  <c r="AD612" i="66" l="1"/>
  <c r="D655" i="66"/>
  <c r="AD611" i="66"/>
  <c r="AE16" i="77"/>
  <c r="AD610" i="66" l="1"/>
  <c r="D635" i="60" l="1"/>
  <c r="AN598" i="60"/>
  <c r="S674" i="58" l="1"/>
  <c r="AE13" i="77"/>
  <c r="J83" i="77"/>
  <c r="K83" i="77"/>
  <c r="J84" i="77"/>
  <c r="K84" i="77"/>
  <c r="J85" i="77"/>
  <c r="K85" i="77"/>
  <c r="J86" i="77"/>
  <c r="K86" i="77"/>
  <c r="J87" i="77"/>
  <c r="K87" i="77"/>
  <c r="J88" i="77"/>
  <c r="K88" i="77"/>
  <c r="J89" i="77"/>
  <c r="K89" i="77"/>
  <c r="J90" i="77"/>
  <c r="K90" i="77"/>
  <c r="J91" i="77"/>
  <c r="K91" i="77"/>
  <c r="J92" i="77"/>
  <c r="K92" i="77"/>
  <c r="J93" i="77"/>
  <c r="K93" i="77"/>
  <c r="J94" i="77"/>
  <c r="K94" i="77"/>
  <c r="AA674" i="58" l="1"/>
  <c r="AD608" i="66"/>
  <c r="Y674" i="58" l="1"/>
  <c r="F635" i="60"/>
  <c r="AN596" i="60" l="1"/>
  <c r="AE11" i="77" l="1"/>
  <c r="AN595" i="60" l="1"/>
  <c r="G665" i="57"/>
  <c r="Z635" i="60" l="1"/>
  <c r="AC655" i="66" l="1"/>
  <c r="B635" i="60" l="1"/>
  <c r="AN593" i="60"/>
  <c r="J655" i="66"/>
  <c r="S668" i="65"/>
  <c r="AE8" i="77"/>
  <c r="K668" i="65"/>
  <c r="B665" i="57"/>
  <c r="AB668" i="65"/>
  <c r="AB733" i="65" s="1"/>
  <c r="L655" i="66"/>
  <c r="U674" i="58"/>
  <c r="K655" i="66"/>
  <c r="AD605" i="66" l="1"/>
  <c r="E655" i="66"/>
  <c r="AD604" i="66"/>
  <c r="F660" i="61"/>
  <c r="O674" i="58" l="1"/>
  <c r="B660" i="61" l="1"/>
  <c r="F665" i="57"/>
  <c r="A602" i="81"/>
  <c r="A603" i="81"/>
  <c r="A604" i="81"/>
  <c r="A605" i="81"/>
  <c r="A606" i="81"/>
  <c r="A607" i="81"/>
  <c r="A608" i="81"/>
  <c r="A609" i="81"/>
  <c r="A610" i="81"/>
  <c r="A611" i="81"/>
  <c r="A612" i="81"/>
  <c r="A613" i="81"/>
  <c r="A614" i="81"/>
  <c r="A615" i="81"/>
  <c r="A616" i="81"/>
  <c r="A617" i="81"/>
  <c r="A618" i="81"/>
  <c r="A619" i="81"/>
  <c r="A620" i="81"/>
  <c r="A621" i="81"/>
  <c r="A622" i="81"/>
  <c r="A623" i="81"/>
  <c r="A624" i="81"/>
  <c r="A625" i="81"/>
  <c r="A626" i="81"/>
  <c r="A627" i="81"/>
  <c r="A628" i="81"/>
  <c r="A629" i="81"/>
  <c r="A630" i="81"/>
  <c r="A631" i="81"/>
  <c r="A632" i="81"/>
  <c r="A633" i="81"/>
  <c r="A634" i="81"/>
  <c r="A635" i="81"/>
  <c r="A636" i="81"/>
  <c r="A637" i="81"/>
  <c r="A638" i="81"/>
  <c r="A639" i="81"/>
  <c r="A640" i="81"/>
  <c r="A641" i="81"/>
  <c r="A642" i="81"/>
  <c r="A643" i="81"/>
  <c r="A644" i="81"/>
  <c r="A645" i="81"/>
  <c r="A646" i="81"/>
  <c r="A647" i="81"/>
  <c r="A602" i="66"/>
  <c r="A603" i="66"/>
  <c r="A604" i="66"/>
  <c r="A605" i="66"/>
  <c r="A606" i="66"/>
  <c r="A607" i="66"/>
  <c r="A608" i="66"/>
  <c r="A609" i="66"/>
  <c r="A610" i="66"/>
  <c r="A611" i="66"/>
  <c r="A612" i="66"/>
  <c r="A613" i="66"/>
  <c r="A614" i="66"/>
  <c r="A615" i="66"/>
  <c r="A616" i="66"/>
  <c r="A617" i="66"/>
  <c r="A618" i="66"/>
  <c r="A619" i="66"/>
  <c r="A620" i="66"/>
  <c r="A621" i="66"/>
  <c r="A622" i="66"/>
  <c r="A623" i="66"/>
  <c r="A624" i="66"/>
  <c r="A625" i="66"/>
  <c r="A626" i="66"/>
  <c r="A627" i="66"/>
  <c r="A628" i="66"/>
  <c r="A629" i="66"/>
  <c r="A630" i="66"/>
  <c r="A631" i="66"/>
  <c r="A632" i="66"/>
  <c r="A633" i="66"/>
  <c r="A634" i="66"/>
  <c r="A635" i="66"/>
  <c r="A636" i="66"/>
  <c r="A637" i="66"/>
  <c r="A638" i="66"/>
  <c r="A639" i="66"/>
  <c r="A640" i="66"/>
  <c r="A641" i="66"/>
  <c r="A642" i="66"/>
  <c r="A643" i="66"/>
  <c r="A644" i="66"/>
  <c r="A645" i="66"/>
  <c r="A646" i="66"/>
  <c r="A647" i="66"/>
  <c r="A648" i="66"/>
  <c r="A649" i="66"/>
  <c r="A650" i="66"/>
  <c r="A651" i="66"/>
  <c r="A652" i="66"/>
  <c r="A653" i="66"/>
  <c r="A608" i="61"/>
  <c r="A609" i="61"/>
  <c r="A610" i="61"/>
  <c r="A611" i="61"/>
  <c r="A612" i="61"/>
  <c r="A613" i="61"/>
  <c r="A614" i="61"/>
  <c r="A615" i="61"/>
  <c r="A616" i="61"/>
  <c r="A617" i="61"/>
  <c r="A618" i="61"/>
  <c r="A619" i="61"/>
  <c r="A620" i="61"/>
  <c r="A621" i="61"/>
  <c r="A622" i="61"/>
  <c r="A623" i="61"/>
  <c r="A624" i="61"/>
  <c r="A625" i="61"/>
  <c r="A626" i="61"/>
  <c r="A627" i="61"/>
  <c r="A628" i="61"/>
  <c r="A629" i="61"/>
  <c r="A630" i="61"/>
  <c r="A631" i="61"/>
  <c r="A632" i="61"/>
  <c r="A633" i="61"/>
  <c r="A634" i="61"/>
  <c r="A635" i="61"/>
  <c r="A636" i="61"/>
  <c r="A637" i="61"/>
  <c r="A638" i="61"/>
  <c r="A639" i="61"/>
  <c r="A640" i="61"/>
  <c r="A641" i="61"/>
  <c r="A642" i="61"/>
  <c r="A643" i="61"/>
  <c r="A644" i="61"/>
  <c r="A645" i="61"/>
  <c r="A646" i="61"/>
  <c r="A647" i="61"/>
  <c r="A648" i="61"/>
  <c r="A649" i="61"/>
  <c r="A650" i="61"/>
  <c r="A651" i="61"/>
  <c r="A652" i="61"/>
  <c r="A653" i="61"/>
  <c r="A654" i="61"/>
  <c r="A655" i="61"/>
  <c r="A656" i="61"/>
  <c r="A657" i="61"/>
  <c r="A590" i="60"/>
  <c r="A591" i="60"/>
  <c r="A592" i="60"/>
  <c r="A593" i="60"/>
  <c r="A594" i="60"/>
  <c r="A595" i="60"/>
  <c r="A596" i="60"/>
  <c r="A597" i="60"/>
  <c r="A598" i="60"/>
  <c r="A599" i="60"/>
  <c r="A600" i="60"/>
  <c r="A601" i="60"/>
  <c r="A602" i="60"/>
  <c r="A603" i="60"/>
  <c r="A604" i="60"/>
  <c r="A605" i="60"/>
  <c r="A606" i="60"/>
  <c r="A607" i="60"/>
  <c r="A608" i="60"/>
  <c r="A609" i="60"/>
  <c r="A610" i="60"/>
  <c r="A611" i="60"/>
  <c r="A612" i="60"/>
  <c r="A613" i="60"/>
  <c r="A614" i="60"/>
  <c r="A615" i="60"/>
  <c r="A616" i="60"/>
  <c r="A617" i="60"/>
  <c r="A618" i="60"/>
  <c r="A619" i="60"/>
  <c r="A620" i="60"/>
  <c r="A621" i="60"/>
  <c r="A622" i="60"/>
  <c r="A623" i="60"/>
  <c r="A624" i="60"/>
  <c r="A625" i="60"/>
  <c r="A626" i="60"/>
  <c r="A627" i="60"/>
  <c r="A628" i="60"/>
  <c r="A629" i="60"/>
  <c r="A630" i="60"/>
  <c r="A591" i="62"/>
  <c r="A592" i="62"/>
  <c r="A593" i="62"/>
  <c r="A594" i="62"/>
  <c r="A595" i="62"/>
  <c r="A596" i="62"/>
  <c r="A597" i="62"/>
  <c r="A598" i="62"/>
  <c r="A599" i="62"/>
  <c r="A600" i="62"/>
  <c r="A601" i="62"/>
  <c r="A602" i="62"/>
  <c r="A603" i="62"/>
  <c r="A604" i="62"/>
  <c r="A605" i="62"/>
  <c r="A606" i="62"/>
  <c r="A607" i="62"/>
  <c r="A608" i="62"/>
  <c r="A609" i="62"/>
  <c r="A610" i="62"/>
  <c r="A611" i="62"/>
  <c r="A612" i="62"/>
  <c r="A613" i="62"/>
  <c r="A614" i="62"/>
  <c r="A615" i="62"/>
  <c r="A616" i="62"/>
  <c r="A617" i="62"/>
  <c r="A618" i="62"/>
  <c r="A619" i="62"/>
  <c r="A620" i="62"/>
  <c r="A621" i="62"/>
  <c r="A622" i="62"/>
  <c r="A623" i="62"/>
  <c r="A624" i="62"/>
  <c r="A625" i="62"/>
  <c r="A626" i="62"/>
  <c r="A627" i="62"/>
  <c r="A628" i="62"/>
  <c r="A629" i="62"/>
  <c r="A630" i="62"/>
  <c r="A631" i="62"/>
  <c r="A632" i="62"/>
  <c r="A633" i="62"/>
  <c r="A634" i="62"/>
  <c r="A635" i="62"/>
  <c r="A636" i="62"/>
  <c r="A637" i="62"/>
  <c r="A638" i="62"/>
  <c r="A639" i="62"/>
  <c r="A640" i="62"/>
  <c r="A641" i="62"/>
  <c r="A642" i="62"/>
  <c r="A643" i="62"/>
  <c r="A612" i="57"/>
  <c r="A613" i="57"/>
  <c r="A614" i="57"/>
  <c r="A615" i="57"/>
  <c r="A616" i="57"/>
  <c r="A617" i="57"/>
  <c r="A618" i="57"/>
  <c r="A619" i="57"/>
  <c r="A620" i="57"/>
  <c r="A621" i="57"/>
  <c r="A622" i="57"/>
  <c r="A623" i="57"/>
  <c r="A624" i="57"/>
  <c r="A625" i="57"/>
  <c r="A626" i="57"/>
  <c r="A627" i="57"/>
  <c r="A628" i="57"/>
  <c r="A629" i="57"/>
  <c r="A630" i="57"/>
  <c r="A631" i="57"/>
  <c r="A632" i="57"/>
  <c r="A633" i="57"/>
  <c r="A634" i="57"/>
  <c r="A635" i="57"/>
  <c r="A636" i="57"/>
  <c r="A637" i="57"/>
  <c r="A638" i="57"/>
  <c r="A639" i="57"/>
  <c r="A640" i="57"/>
  <c r="A641" i="57"/>
  <c r="A642" i="57"/>
  <c r="A643" i="57"/>
  <c r="A644" i="57"/>
  <c r="A645" i="57"/>
  <c r="A646" i="57"/>
  <c r="A647" i="57"/>
  <c r="A648" i="57"/>
  <c r="A649" i="57"/>
  <c r="A650" i="57"/>
  <c r="A651" i="57"/>
  <c r="A652" i="57"/>
  <c r="A619" i="58"/>
  <c r="A620" i="58"/>
  <c r="A621" i="58"/>
  <c r="A622" i="58"/>
  <c r="A623" i="58"/>
  <c r="A624" i="58"/>
  <c r="A625" i="58"/>
  <c r="A626" i="58"/>
  <c r="A627" i="58"/>
  <c r="A628" i="58"/>
  <c r="A629" i="58"/>
  <c r="A630" i="58"/>
  <c r="A631" i="58"/>
  <c r="A632" i="58"/>
  <c r="A633" i="58"/>
  <c r="A634" i="58"/>
  <c r="A635" i="58"/>
  <c r="A636" i="58"/>
  <c r="A637" i="58"/>
  <c r="A638" i="58"/>
  <c r="A639" i="58"/>
  <c r="A640" i="58"/>
  <c r="A641" i="58"/>
  <c r="A642" i="58"/>
  <c r="A643" i="58"/>
  <c r="A644" i="58"/>
  <c r="A645" i="58"/>
  <c r="A646" i="58"/>
  <c r="A647" i="58"/>
  <c r="A648" i="58"/>
  <c r="A649" i="58"/>
  <c r="A650" i="58"/>
  <c r="A651" i="58"/>
  <c r="A652" i="58"/>
  <c r="A653" i="58"/>
  <c r="A654" i="58"/>
  <c r="A655" i="58"/>
  <c r="A656" i="58"/>
  <c r="A657" i="58"/>
  <c r="A658" i="58"/>
  <c r="A659" i="58"/>
  <c r="A660" i="58"/>
  <c r="A661" i="58"/>
  <c r="A662" i="58"/>
  <c r="A663" i="58"/>
  <c r="A664" i="58"/>
  <c r="A665" i="58"/>
  <c r="A666" i="58"/>
  <c r="A667" i="58"/>
  <c r="A668" i="58"/>
  <c r="A669" i="58"/>
  <c r="A670" i="58"/>
  <c r="A612" i="65"/>
  <c r="A613" i="65"/>
  <c r="A614" i="65"/>
  <c r="A615" i="65"/>
  <c r="A616" i="65"/>
  <c r="A617" i="65"/>
  <c r="A618" i="65"/>
  <c r="A619" i="65"/>
  <c r="A620" i="65"/>
  <c r="A621" i="65"/>
  <c r="A622" i="65"/>
  <c r="A623" i="65"/>
  <c r="A624" i="65"/>
  <c r="A625" i="65"/>
  <c r="A626" i="65"/>
  <c r="A627" i="65"/>
  <c r="A628" i="65"/>
  <c r="A629" i="65"/>
  <c r="A630" i="65"/>
  <c r="A631" i="65"/>
  <c r="A632" i="65"/>
  <c r="A633" i="65"/>
  <c r="A634" i="65"/>
  <c r="A635" i="65"/>
  <c r="A636" i="65"/>
  <c r="A637" i="65"/>
  <c r="A638" i="65"/>
  <c r="A639" i="65"/>
  <c r="A640" i="65"/>
  <c r="A641" i="65"/>
  <c r="A642" i="65"/>
  <c r="A643" i="65"/>
  <c r="A644" i="65"/>
  <c r="A645" i="65"/>
  <c r="A646" i="65"/>
  <c r="A647" i="65"/>
  <c r="A648" i="65"/>
  <c r="A649" i="65"/>
  <c r="A650" i="65"/>
  <c r="A651" i="65"/>
  <c r="A652" i="65"/>
  <c r="A653" i="65"/>
  <c r="A654" i="65"/>
  <c r="A655" i="65"/>
  <c r="A656" i="65"/>
  <c r="A657" i="65"/>
  <c r="A658" i="65"/>
  <c r="A659" i="65"/>
  <c r="A660" i="65"/>
  <c r="A661" i="65"/>
  <c r="A662" i="65"/>
  <c r="A622" i="56"/>
  <c r="A623" i="56"/>
  <c r="A624" i="56"/>
  <c r="A625" i="56"/>
  <c r="A626" i="56"/>
  <c r="A627" i="56"/>
  <c r="A628" i="56"/>
  <c r="A629" i="56"/>
  <c r="A630" i="56"/>
  <c r="A631" i="56"/>
  <c r="A632" i="56"/>
  <c r="A633" i="56"/>
  <c r="A634" i="56"/>
  <c r="A635" i="56"/>
  <c r="A636" i="56"/>
  <c r="A637" i="56"/>
  <c r="A638" i="56"/>
  <c r="A639" i="56"/>
  <c r="A640" i="56"/>
  <c r="A641" i="56"/>
  <c r="A642" i="56"/>
  <c r="A643" i="56"/>
  <c r="A644" i="56"/>
  <c r="A645" i="56"/>
  <c r="A646" i="56"/>
  <c r="A647" i="56"/>
  <c r="A648" i="56"/>
  <c r="A649" i="56"/>
  <c r="A650" i="56"/>
  <c r="A651" i="56"/>
  <c r="A652" i="56"/>
  <c r="A653" i="56"/>
  <c r="A654" i="56"/>
  <c r="A655" i="56"/>
  <c r="A656" i="56"/>
  <c r="A657" i="56"/>
  <c r="A658" i="56"/>
  <c r="A659" i="56"/>
  <c r="A660" i="56"/>
  <c r="A661" i="56"/>
  <c r="A662" i="56"/>
  <c r="A663" i="56"/>
  <c r="A664" i="56"/>
  <c r="A665" i="56"/>
  <c r="A666" i="56"/>
  <c r="A667" i="56"/>
  <c r="A668" i="56"/>
  <c r="A669" i="56"/>
  <c r="A670" i="56"/>
  <c r="A671" i="56"/>
  <c r="A672" i="56"/>
  <c r="A673" i="56"/>
  <c r="A674" i="56"/>
  <c r="A675" i="56"/>
  <c r="AA607" i="65"/>
  <c r="AE57" i="76"/>
  <c r="A604" i="65"/>
  <c r="A605" i="65"/>
  <c r="AD602" i="66" l="1"/>
  <c r="B655" i="66"/>
  <c r="C635" i="60"/>
  <c r="AN590" i="60"/>
  <c r="AE55" i="76"/>
  <c r="AD607" i="65" l="1"/>
  <c r="AN577" i="60"/>
  <c r="AN576" i="60" l="1"/>
  <c r="M584" i="60" l="1"/>
  <c r="AE53" i="76"/>
  <c r="AN574" i="60" l="1"/>
  <c r="A604" i="56" l="1"/>
  <c r="A605" i="56"/>
  <c r="A606" i="56"/>
  <c r="A607" i="56"/>
  <c r="A608" i="56"/>
  <c r="A609" i="56"/>
  <c r="A610" i="56"/>
  <c r="A611" i="56"/>
  <c r="A612" i="56"/>
  <c r="A613" i="56"/>
  <c r="A614" i="56"/>
  <c r="A615" i="56"/>
  <c r="AN572" i="60"/>
  <c r="AC596" i="66"/>
  <c r="AE49" i="76"/>
  <c r="H123" i="76" l="1"/>
  <c r="H124" i="76"/>
  <c r="H125" i="76"/>
  <c r="AE47" i="76"/>
  <c r="K596" i="66" l="1"/>
  <c r="P120" i="76" l="1"/>
  <c r="H120" i="76"/>
  <c r="P121" i="76" l="1"/>
  <c r="H121" i="76"/>
  <c r="P122" i="76"/>
  <c r="H122" i="76"/>
  <c r="AC607" i="65" l="1"/>
  <c r="AE45" i="76"/>
  <c r="P119" i="76" l="1"/>
  <c r="H119" i="76"/>
  <c r="P118" i="76" l="1"/>
  <c r="H118" i="76"/>
  <c r="AN566" i="60" l="1"/>
  <c r="AE44" i="76"/>
  <c r="S115" i="67" l="1"/>
  <c r="R115" i="67"/>
  <c r="Q115" i="67"/>
  <c r="P115" i="67"/>
  <c r="K115" i="67"/>
  <c r="J115" i="67"/>
  <c r="I115" i="67"/>
  <c r="H115" i="67"/>
  <c r="S114" i="67"/>
  <c r="R114" i="67"/>
  <c r="Q114" i="67"/>
  <c r="P114" i="67"/>
  <c r="N114" i="67"/>
  <c r="K114" i="67"/>
  <c r="J114" i="67"/>
  <c r="I114" i="67"/>
  <c r="H114" i="67"/>
  <c r="S113" i="67"/>
  <c r="R113" i="67"/>
  <c r="Q113" i="67"/>
  <c r="P113" i="67"/>
  <c r="N113" i="67"/>
  <c r="K113" i="67"/>
  <c r="J113" i="67"/>
  <c r="I113" i="67"/>
  <c r="H113" i="67"/>
  <c r="S112" i="67"/>
  <c r="R112" i="67"/>
  <c r="Q112" i="67"/>
  <c r="P112" i="67"/>
  <c r="N112" i="67"/>
  <c r="K112" i="67"/>
  <c r="J112" i="67"/>
  <c r="I112" i="67"/>
  <c r="H112" i="67"/>
  <c r="S111" i="67"/>
  <c r="R111" i="67"/>
  <c r="Q111" i="67"/>
  <c r="P111" i="67"/>
  <c r="N111" i="67"/>
  <c r="K111" i="67"/>
  <c r="J111" i="67"/>
  <c r="I111" i="67"/>
  <c r="H111" i="67"/>
  <c r="S110" i="67"/>
  <c r="R110" i="67"/>
  <c r="Q110" i="67"/>
  <c r="P110" i="67"/>
  <c r="N110" i="67"/>
  <c r="K110" i="67"/>
  <c r="J110" i="67"/>
  <c r="I110" i="67"/>
  <c r="H110" i="67"/>
  <c r="S109" i="67"/>
  <c r="R109" i="67"/>
  <c r="Q109" i="67"/>
  <c r="P109" i="67"/>
  <c r="K109" i="67"/>
  <c r="J109" i="67"/>
  <c r="I109" i="67"/>
  <c r="H109" i="67"/>
  <c r="S108" i="67"/>
  <c r="R108" i="67"/>
  <c r="Q108" i="67"/>
  <c r="P108" i="67"/>
  <c r="N108" i="67"/>
  <c r="K108" i="67"/>
  <c r="J108" i="67"/>
  <c r="I108" i="67"/>
  <c r="H108" i="67"/>
  <c r="S107" i="67"/>
  <c r="R107" i="67"/>
  <c r="Q107" i="67"/>
  <c r="P107" i="67"/>
  <c r="N107" i="67"/>
  <c r="K107" i="67"/>
  <c r="J107" i="67"/>
  <c r="I107" i="67"/>
  <c r="H107" i="67"/>
  <c r="S106" i="67"/>
  <c r="R106" i="67"/>
  <c r="Q106" i="67"/>
  <c r="P106" i="67"/>
  <c r="K106" i="67"/>
  <c r="J106" i="67"/>
  <c r="I106" i="67"/>
  <c r="H106" i="67"/>
  <c r="S105" i="67"/>
  <c r="R105" i="67"/>
  <c r="Q105" i="67"/>
  <c r="P105" i="67"/>
  <c r="K105" i="67"/>
  <c r="J105" i="67"/>
  <c r="I105" i="67"/>
  <c r="H105" i="67"/>
  <c r="S104" i="67"/>
  <c r="T103" i="67" s="1"/>
  <c r="R104" i="67"/>
  <c r="Q104" i="67"/>
  <c r="P104" i="67"/>
  <c r="K104" i="67"/>
  <c r="J104" i="67"/>
  <c r="I104" i="67"/>
  <c r="H104" i="67"/>
  <c r="Q103" i="67"/>
  <c r="P103" i="67"/>
  <c r="K103" i="67"/>
  <c r="J103" i="67"/>
  <c r="I103" i="67"/>
  <c r="H103" i="67"/>
  <c r="T102" i="67"/>
  <c r="Q102" i="67"/>
  <c r="P102" i="67"/>
  <c r="K102" i="67"/>
  <c r="J102" i="67"/>
  <c r="I102" i="67"/>
  <c r="H102" i="67"/>
  <c r="Q101" i="67"/>
  <c r="P101" i="67"/>
  <c r="K101" i="67"/>
  <c r="J101" i="67"/>
  <c r="I101" i="67"/>
  <c r="H101" i="67"/>
  <c r="T100" i="67"/>
  <c r="Q100" i="67"/>
  <c r="P100" i="67"/>
  <c r="K100" i="67"/>
  <c r="J100" i="67"/>
  <c r="I100" i="67"/>
  <c r="H100" i="67"/>
  <c r="Q99" i="67"/>
  <c r="P99" i="67"/>
  <c r="K99" i="67"/>
  <c r="J99" i="67"/>
  <c r="I99" i="67"/>
  <c r="H99" i="67"/>
  <c r="Q98" i="67"/>
  <c r="P98" i="67"/>
  <c r="N98" i="67"/>
  <c r="K98" i="67"/>
  <c r="J98" i="67"/>
  <c r="I98" i="67"/>
  <c r="H98" i="67"/>
  <c r="Q97" i="67"/>
  <c r="P97" i="67"/>
  <c r="N97" i="67"/>
  <c r="K97" i="67"/>
  <c r="J97" i="67"/>
  <c r="I97" i="67"/>
  <c r="H97" i="67"/>
  <c r="Q96" i="67"/>
  <c r="P96" i="67"/>
  <c r="N96" i="67"/>
  <c r="K96" i="67"/>
  <c r="J96" i="67"/>
  <c r="I96" i="67"/>
  <c r="H96" i="67"/>
  <c r="Q95" i="67"/>
  <c r="P95" i="67"/>
  <c r="N95" i="67"/>
  <c r="K95" i="67"/>
  <c r="J95" i="67"/>
  <c r="I95" i="67"/>
  <c r="H95" i="67"/>
  <c r="Q94" i="67"/>
  <c r="P94" i="67"/>
  <c r="K94" i="67"/>
  <c r="J94" i="67"/>
  <c r="I94" i="67"/>
  <c r="H94" i="67"/>
  <c r="Q93" i="67"/>
  <c r="P93" i="67"/>
  <c r="K93" i="67"/>
  <c r="J93" i="67"/>
  <c r="I93" i="67"/>
  <c r="H93" i="67"/>
  <c r="Q92" i="67"/>
  <c r="P92" i="67"/>
  <c r="K92" i="67"/>
  <c r="J92" i="67"/>
  <c r="I92" i="67"/>
  <c r="H92" i="67"/>
  <c r="T91" i="67"/>
  <c r="Q91" i="67"/>
  <c r="P91" i="67"/>
  <c r="K91" i="67"/>
  <c r="J91" i="67"/>
  <c r="I91" i="67"/>
  <c r="H91" i="67"/>
  <c r="Q90" i="67"/>
  <c r="P90" i="67"/>
  <c r="K90" i="67"/>
  <c r="J90" i="67"/>
  <c r="I90" i="67"/>
  <c r="H90" i="67"/>
  <c r="Q89" i="67"/>
  <c r="P89" i="67"/>
  <c r="K89" i="67"/>
  <c r="J89" i="67"/>
  <c r="I89" i="67"/>
  <c r="H89" i="67"/>
  <c r="Q88" i="67"/>
  <c r="P88" i="67"/>
  <c r="K88" i="67"/>
  <c r="J88" i="67"/>
  <c r="I88" i="67"/>
  <c r="H88" i="67"/>
  <c r="Q87" i="67"/>
  <c r="P87" i="67"/>
  <c r="K87" i="67"/>
  <c r="J87" i="67"/>
  <c r="I87" i="67"/>
  <c r="H87" i="67"/>
  <c r="Q86" i="67"/>
  <c r="P86" i="67"/>
  <c r="K86" i="67"/>
  <c r="J86" i="67"/>
  <c r="I86" i="67"/>
  <c r="H86" i="67"/>
  <c r="Q85" i="67"/>
  <c r="P85" i="67"/>
  <c r="K85" i="67"/>
  <c r="J85" i="67"/>
  <c r="I85" i="67"/>
  <c r="H85" i="67"/>
  <c r="Q84" i="67"/>
  <c r="P84" i="67"/>
  <c r="K84" i="67"/>
  <c r="J84" i="67"/>
  <c r="I84" i="67"/>
  <c r="H84" i="67"/>
  <c r="Q83" i="67"/>
  <c r="P83" i="67"/>
  <c r="K83" i="67"/>
  <c r="J83" i="67"/>
  <c r="I83" i="67"/>
  <c r="H83" i="67"/>
  <c r="Q82" i="67"/>
  <c r="P82" i="67"/>
  <c r="K82" i="67"/>
  <c r="J82" i="67"/>
  <c r="I82" i="67"/>
  <c r="H82" i="67"/>
  <c r="Q81" i="67"/>
  <c r="P81" i="67"/>
  <c r="K81" i="67"/>
  <c r="J81" i="67"/>
  <c r="I81" i="67"/>
  <c r="H81" i="67"/>
  <c r="Q80" i="67"/>
  <c r="P80" i="67"/>
  <c r="K80" i="67"/>
  <c r="J80" i="67"/>
  <c r="I80" i="67"/>
  <c r="H80" i="67"/>
  <c r="T79" i="67"/>
  <c r="Q79" i="67"/>
  <c r="P79" i="67"/>
  <c r="K79" i="67"/>
  <c r="J79" i="67"/>
  <c r="I79" i="67"/>
  <c r="H79" i="67"/>
  <c r="Q78" i="67"/>
  <c r="P78" i="67"/>
  <c r="K78" i="67"/>
  <c r="J78" i="67"/>
  <c r="I78" i="67"/>
  <c r="H78" i="67"/>
  <c r="Q77" i="67"/>
  <c r="P77" i="67"/>
  <c r="K77" i="67"/>
  <c r="J77" i="67"/>
  <c r="I77" i="67"/>
  <c r="H77" i="67"/>
  <c r="T76" i="67"/>
  <c r="Q76" i="67"/>
  <c r="P76" i="67"/>
  <c r="K76" i="67"/>
  <c r="J76" i="67"/>
  <c r="I76" i="67"/>
  <c r="H76" i="67"/>
  <c r="Q75" i="67"/>
  <c r="P75" i="67"/>
  <c r="K75" i="67"/>
  <c r="J75" i="67"/>
  <c r="I75" i="67"/>
  <c r="H75" i="67"/>
  <c r="Q74" i="67"/>
  <c r="P74" i="67"/>
  <c r="I74" i="67"/>
  <c r="H74" i="67"/>
  <c r="Q73" i="67"/>
  <c r="P73" i="67"/>
  <c r="K73" i="67"/>
  <c r="J73" i="67"/>
  <c r="I73" i="67"/>
  <c r="H73" i="67"/>
  <c r="Q72" i="67"/>
  <c r="P72" i="67"/>
  <c r="K72" i="67"/>
  <c r="J72" i="67"/>
  <c r="I72" i="67"/>
  <c r="H72" i="67"/>
  <c r="Q71" i="67"/>
  <c r="P71" i="67"/>
  <c r="K71" i="67"/>
  <c r="J71" i="67"/>
  <c r="I71" i="67"/>
  <c r="H71" i="67"/>
  <c r="Q70" i="67"/>
  <c r="P70" i="67"/>
  <c r="K70" i="67"/>
  <c r="J70" i="67"/>
  <c r="I70" i="67"/>
  <c r="H70" i="67"/>
  <c r="Q69" i="67"/>
  <c r="P69" i="67"/>
  <c r="K69" i="67"/>
  <c r="J69" i="67"/>
  <c r="I69" i="67"/>
  <c r="H69" i="67"/>
  <c r="F69" i="67"/>
  <c r="T68" i="67"/>
  <c r="Q68" i="67"/>
  <c r="P68" i="67"/>
  <c r="K68" i="67"/>
  <c r="J68" i="67"/>
  <c r="I68" i="67"/>
  <c r="H68" i="67"/>
  <c r="T66" i="67"/>
  <c r="Q67" i="67"/>
  <c r="P67" i="67"/>
  <c r="N67" i="67"/>
  <c r="K67" i="67"/>
  <c r="J67" i="67"/>
  <c r="I67" i="67"/>
  <c r="H67" i="67"/>
  <c r="K66" i="67"/>
  <c r="J66" i="67"/>
  <c r="C62" i="67"/>
  <c r="I61" i="67"/>
  <c r="AC58" i="67"/>
  <c r="W18" i="17" s="1"/>
  <c r="AB58" i="67"/>
  <c r="V18" i="17" s="1"/>
  <c r="AA58" i="67"/>
  <c r="U18" i="17" s="1"/>
  <c r="Z58" i="67"/>
  <c r="Y58" i="67"/>
  <c r="S18" i="17" s="1"/>
  <c r="N58" i="67"/>
  <c r="H18" i="17" s="1"/>
  <c r="M58" i="67"/>
  <c r="G18" i="17" s="1"/>
  <c r="L58" i="67"/>
  <c r="F18" i="17" s="1"/>
  <c r="K58" i="67"/>
  <c r="E18" i="17" s="1"/>
  <c r="J58" i="67"/>
  <c r="D18" i="17" s="1"/>
  <c r="I58" i="67"/>
  <c r="H58" i="67"/>
  <c r="B18" i="17" s="1"/>
  <c r="G58" i="67"/>
  <c r="AE57" i="67"/>
  <c r="AE58" i="67" s="1"/>
  <c r="D62" i="67"/>
  <c r="P66" i="67"/>
  <c r="E62" i="67"/>
  <c r="T136" i="77"/>
  <c r="T135" i="77"/>
  <c r="K135" i="77"/>
  <c r="J135" i="77"/>
  <c r="H135" i="77"/>
  <c r="R134" i="77"/>
  <c r="T134" i="77" s="1"/>
  <c r="P134" i="77"/>
  <c r="K134" i="77"/>
  <c r="J134" i="77"/>
  <c r="H134" i="77"/>
  <c r="R133" i="77"/>
  <c r="T133" i="77" s="1"/>
  <c r="P133" i="77"/>
  <c r="K133" i="77"/>
  <c r="J133" i="77"/>
  <c r="H133" i="77"/>
  <c r="R132" i="77"/>
  <c r="T132" i="77" s="1"/>
  <c r="P132" i="77"/>
  <c r="K132" i="77"/>
  <c r="J132" i="77"/>
  <c r="H132" i="77"/>
  <c r="R131" i="77"/>
  <c r="T131" i="77" s="1"/>
  <c r="P131" i="77"/>
  <c r="K131" i="77"/>
  <c r="J131" i="77"/>
  <c r="H131" i="77"/>
  <c r="R130" i="77"/>
  <c r="T130" i="77" s="1"/>
  <c r="P130" i="77"/>
  <c r="K130" i="77"/>
  <c r="J130" i="77"/>
  <c r="H130" i="77"/>
  <c r="R129" i="77"/>
  <c r="T129" i="77" s="1"/>
  <c r="P129" i="77"/>
  <c r="K129" i="77"/>
  <c r="J129" i="77"/>
  <c r="H129" i="77"/>
  <c r="R128" i="77"/>
  <c r="T128" i="77" s="1"/>
  <c r="P128" i="77"/>
  <c r="K128" i="77"/>
  <c r="J128" i="77"/>
  <c r="H128" i="77"/>
  <c r="R127" i="77"/>
  <c r="T127" i="77" s="1"/>
  <c r="K127" i="77"/>
  <c r="J127" i="77"/>
  <c r="R126" i="77"/>
  <c r="T126" i="77" s="1"/>
  <c r="K126" i="77"/>
  <c r="J126" i="77"/>
  <c r="R125" i="77"/>
  <c r="T125" i="77" s="1"/>
  <c r="K125" i="77"/>
  <c r="J125" i="77"/>
  <c r="R124" i="77"/>
  <c r="T124" i="77" s="1"/>
  <c r="K124" i="77"/>
  <c r="J124" i="77"/>
  <c r="S123" i="77"/>
  <c r="R123" i="77"/>
  <c r="Q123" i="77"/>
  <c r="P123" i="77"/>
  <c r="K123" i="77"/>
  <c r="J123" i="77"/>
  <c r="I123" i="77"/>
  <c r="H123" i="77"/>
  <c r="S122" i="77"/>
  <c r="R122" i="77"/>
  <c r="Q122" i="77"/>
  <c r="P122" i="77"/>
  <c r="K122" i="77"/>
  <c r="J122" i="77"/>
  <c r="I122" i="77"/>
  <c r="H122" i="77"/>
  <c r="S121" i="77"/>
  <c r="R121" i="77"/>
  <c r="Q121" i="77"/>
  <c r="P121" i="77"/>
  <c r="K121" i="77"/>
  <c r="J121" i="77"/>
  <c r="I121" i="77"/>
  <c r="H121" i="77"/>
  <c r="S120" i="77"/>
  <c r="R120" i="77"/>
  <c r="Q120" i="77"/>
  <c r="P120" i="77"/>
  <c r="K120" i="77"/>
  <c r="J120" i="77"/>
  <c r="I120" i="77"/>
  <c r="H120" i="77"/>
  <c r="Q119" i="77"/>
  <c r="P119" i="77"/>
  <c r="K119" i="77"/>
  <c r="J119" i="77"/>
  <c r="I119" i="77"/>
  <c r="H119" i="77"/>
  <c r="Q118" i="77"/>
  <c r="P118" i="77"/>
  <c r="K118" i="77"/>
  <c r="J118" i="77"/>
  <c r="I118" i="77"/>
  <c r="H118" i="77"/>
  <c r="T117" i="77"/>
  <c r="Q117" i="77"/>
  <c r="P117" i="77"/>
  <c r="K117" i="77"/>
  <c r="J117" i="77"/>
  <c r="I117" i="77"/>
  <c r="H117" i="77"/>
  <c r="T115" i="77"/>
  <c r="Q116" i="77"/>
  <c r="P116" i="77"/>
  <c r="K116" i="77"/>
  <c r="J116" i="77"/>
  <c r="I116" i="77"/>
  <c r="H116" i="77"/>
  <c r="Q115" i="77"/>
  <c r="P115" i="77"/>
  <c r="K115" i="77"/>
  <c r="J115" i="77"/>
  <c r="I115" i="77"/>
  <c r="H115" i="77"/>
  <c r="Q114" i="77"/>
  <c r="P114" i="77"/>
  <c r="K114" i="77"/>
  <c r="J114" i="77"/>
  <c r="I114" i="77"/>
  <c r="H114" i="77"/>
  <c r="Q113" i="77"/>
  <c r="P113" i="77"/>
  <c r="K113" i="77"/>
  <c r="J113" i="77"/>
  <c r="I113" i="77"/>
  <c r="H113" i="77"/>
  <c r="T110" i="77"/>
  <c r="Q112" i="77"/>
  <c r="P112" i="77"/>
  <c r="K112" i="77"/>
  <c r="J112" i="77"/>
  <c r="I112" i="77"/>
  <c r="H112" i="77"/>
  <c r="Q111" i="77"/>
  <c r="P111" i="77"/>
  <c r="K111" i="77"/>
  <c r="J111" i="77"/>
  <c r="I111" i="77"/>
  <c r="H111" i="77"/>
  <c r="Q110" i="77"/>
  <c r="P110" i="77"/>
  <c r="K110" i="77"/>
  <c r="J110" i="77"/>
  <c r="I110" i="77"/>
  <c r="H110" i="77"/>
  <c r="Q109" i="77"/>
  <c r="P109" i="77"/>
  <c r="K109" i="77"/>
  <c r="J109" i="77"/>
  <c r="I109" i="77"/>
  <c r="H109" i="77"/>
  <c r="T108" i="77"/>
  <c r="Q108" i="77"/>
  <c r="P108" i="77"/>
  <c r="K108" i="77"/>
  <c r="J108" i="77"/>
  <c r="I108" i="77"/>
  <c r="H108" i="77"/>
  <c r="Q107" i="77"/>
  <c r="P107" i="77"/>
  <c r="K107" i="77"/>
  <c r="J107" i="77"/>
  <c r="I107" i="77"/>
  <c r="H107" i="77"/>
  <c r="T106" i="77"/>
  <c r="Q106" i="77"/>
  <c r="P106" i="77"/>
  <c r="K106" i="77"/>
  <c r="J106" i="77"/>
  <c r="I106" i="77"/>
  <c r="H106" i="77"/>
  <c r="Q105" i="77"/>
  <c r="P105" i="77"/>
  <c r="K105" i="77"/>
  <c r="J105" i="77"/>
  <c r="I105" i="77"/>
  <c r="H105" i="77"/>
  <c r="Q104" i="77"/>
  <c r="P104" i="77"/>
  <c r="K104" i="77"/>
  <c r="J104" i="77"/>
  <c r="I104" i="77"/>
  <c r="H104" i="77"/>
  <c r="Q103" i="77"/>
  <c r="P103" i="77"/>
  <c r="K103" i="77"/>
  <c r="J103" i="77"/>
  <c r="I103" i="77"/>
  <c r="H103" i="77"/>
  <c r="Q102" i="77"/>
  <c r="P102" i="77"/>
  <c r="K102" i="77"/>
  <c r="J102" i="77"/>
  <c r="I102" i="77"/>
  <c r="H102" i="77"/>
  <c r="Q101" i="77"/>
  <c r="P101" i="77"/>
  <c r="K101" i="77"/>
  <c r="J101" i="77"/>
  <c r="I101" i="77"/>
  <c r="H101" i="77"/>
  <c r="Q100" i="77"/>
  <c r="P100" i="77"/>
  <c r="K100" i="77"/>
  <c r="J100" i="77"/>
  <c r="I100" i="77"/>
  <c r="H100" i="77"/>
  <c r="T99" i="77"/>
  <c r="Q99" i="77"/>
  <c r="P99" i="77"/>
  <c r="K99" i="77"/>
  <c r="J99" i="77"/>
  <c r="I99" i="77"/>
  <c r="H99" i="77"/>
  <c r="T98" i="77"/>
  <c r="Q98" i="77"/>
  <c r="P98" i="77"/>
  <c r="K98" i="77"/>
  <c r="J98" i="77"/>
  <c r="I98" i="77"/>
  <c r="H98" i="77"/>
  <c r="Q97" i="77"/>
  <c r="P97" i="77"/>
  <c r="K97" i="77"/>
  <c r="J97" i="77"/>
  <c r="I97" i="77"/>
  <c r="H97" i="77"/>
  <c r="Q96" i="77"/>
  <c r="P96" i="77"/>
  <c r="K96" i="77"/>
  <c r="J96" i="77"/>
  <c r="I96" i="77"/>
  <c r="H96" i="77"/>
  <c r="T94" i="77"/>
  <c r="Q95" i="77"/>
  <c r="P95" i="77"/>
  <c r="K95" i="77"/>
  <c r="J95" i="77"/>
  <c r="I95" i="77"/>
  <c r="H95" i="77"/>
  <c r="Q94" i="77"/>
  <c r="P94" i="77"/>
  <c r="I94" i="77"/>
  <c r="H94" i="77"/>
  <c r="T92" i="77"/>
  <c r="Q93" i="77"/>
  <c r="P93" i="77"/>
  <c r="I93" i="77"/>
  <c r="H93" i="77"/>
  <c r="Q92" i="77"/>
  <c r="P92" i="77"/>
  <c r="I92" i="77"/>
  <c r="H92" i="77"/>
  <c r="Q91" i="77"/>
  <c r="P91" i="77"/>
  <c r="I91" i="77"/>
  <c r="H91" i="77"/>
  <c r="Q90" i="77"/>
  <c r="P90" i="77"/>
  <c r="I90" i="77"/>
  <c r="H90" i="77"/>
  <c r="Q89" i="77"/>
  <c r="P89" i="77"/>
  <c r="I89" i="77"/>
  <c r="H89" i="77"/>
  <c r="Q88" i="77"/>
  <c r="P88" i="77"/>
  <c r="I88" i="77"/>
  <c r="H88" i="77"/>
  <c r="Q87" i="77"/>
  <c r="P87" i="77"/>
  <c r="I87" i="77"/>
  <c r="H87" i="77"/>
  <c r="T86" i="77"/>
  <c r="Q86" i="77"/>
  <c r="P86" i="77"/>
  <c r="I86" i="77"/>
  <c r="H86" i="77"/>
  <c r="Q85" i="77"/>
  <c r="P85" i="77"/>
  <c r="I85" i="77"/>
  <c r="H85" i="77"/>
  <c r="Q84" i="77"/>
  <c r="P84" i="77"/>
  <c r="I84" i="77"/>
  <c r="H84" i="77"/>
  <c r="Q83" i="77"/>
  <c r="P83" i="77"/>
  <c r="I83" i="77"/>
  <c r="H83" i="77"/>
  <c r="Q82" i="77"/>
  <c r="P82" i="77"/>
  <c r="K82" i="77"/>
  <c r="J82" i="77"/>
  <c r="I82" i="77"/>
  <c r="H82" i="77"/>
  <c r="Q81" i="77"/>
  <c r="P81" i="77"/>
  <c r="K81" i="77"/>
  <c r="J81" i="77"/>
  <c r="I81" i="77"/>
  <c r="H81" i="77"/>
  <c r="T78" i="77"/>
  <c r="Q80" i="77"/>
  <c r="P80" i="77"/>
  <c r="K80" i="77"/>
  <c r="J80" i="77"/>
  <c r="I80" i="77"/>
  <c r="H80" i="77"/>
  <c r="Q79" i="77"/>
  <c r="P79" i="77"/>
  <c r="N79" i="77"/>
  <c r="K79" i="77"/>
  <c r="J79" i="77"/>
  <c r="I79" i="77"/>
  <c r="H79" i="77"/>
  <c r="N78" i="77"/>
  <c r="K78" i="77"/>
  <c r="J78" i="77"/>
  <c r="I73" i="77"/>
  <c r="AC70" i="77"/>
  <c r="W17" i="17" s="1"/>
  <c r="AB70" i="77"/>
  <c r="AA70" i="77"/>
  <c r="U17" i="17" s="1"/>
  <c r="Z70" i="77"/>
  <c r="Y70" i="77"/>
  <c r="S17" i="17" s="1"/>
  <c r="H17" i="17"/>
  <c r="G17" i="17"/>
  <c r="L70" i="77"/>
  <c r="F17" i="17" s="1"/>
  <c r="K70" i="77"/>
  <c r="E17" i="17" s="1"/>
  <c r="J70" i="77"/>
  <c r="D17" i="17" s="1"/>
  <c r="I70" i="77"/>
  <c r="H70" i="77"/>
  <c r="B17" i="17" s="1"/>
  <c r="G70" i="77"/>
  <c r="AD68" i="77"/>
  <c r="AE67" i="77"/>
  <c r="Q67" i="77"/>
  <c r="O67" i="77"/>
  <c r="I135" i="77"/>
  <c r="AE66" i="77"/>
  <c r="Q66" i="77"/>
  <c r="AD66" i="77" s="1"/>
  <c r="I134" i="77"/>
  <c r="AE65" i="77"/>
  <c r="Q134" i="77"/>
  <c r="AE64" i="77"/>
  <c r="R64" i="77"/>
  <c r="Q133" i="77"/>
  <c r="AE63" i="77"/>
  <c r="Q132" i="77"/>
  <c r="AE62" i="77"/>
  <c r="T62" i="77"/>
  <c r="Q131" i="77"/>
  <c r="AE61" i="77"/>
  <c r="U61" i="77"/>
  <c r="I129" i="77"/>
  <c r="AE60" i="77"/>
  <c r="Q129" i="77"/>
  <c r="I128" i="77"/>
  <c r="AE58" i="77"/>
  <c r="Q127" i="77"/>
  <c r="B58" i="77"/>
  <c r="P127" i="77" s="1"/>
  <c r="A58" i="77"/>
  <c r="Q126" i="77"/>
  <c r="B57" i="77"/>
  <c r="P126" i="77" s="1"/>
  <c r="A57" i="77"/>
  <c r="AE56" i="77"/>
  <c r="Q125" i="77"/>
  <c r="B56" i="77"/>
  <c r="P125" i="77" s="1"/>
  <c r="A56" i="77"/>
  <c r="B55" i="77"/>
  <c r="A55" i="77"/>
  <c r="Q78" i="77"/>
  <c r="Q123" i="75"/>
  <c r="Q122" i="75"/>
  <c r="Q121" i="75"/>
  <c r="Q120" i="75"/>
  <c r="Q113" i="75"/>
  <c r="Q112" i="75"/>
  <c r="Q111" i="75"/>
  <c r="Q110" i="75"/>
  <c r="Q109" i="75"/>
  <c r="K108" i="75"/>
  <c r="J108" i="75"/>
  <c r="H108" i="75"/>
  <c r="S107" i="75"/>
  <c r="R107" i="75"/>
  <c r="P107" i="75"/>
  <c r="N107" i="75"/>
  <c r="K107" i="75"/>
  <c r="J107" i="75"/>
  <c r="H107" i="75"/>
  <c r="P106" i="75"/>
  <c r="K106" i="75"/>
  <c r="J106" i="75"/>
  <c r="H106" i="75"/>
  <c r="Q105" i="75"/>
  <c r="P105" i="75"/>
  <c r="K105" i="75"/>
  <c r="J105" i="75"/>
  <c r="I105" i="75"/>
  <c r="H105" i="75"/>
  <c r="Q104" i="75"/>
  <c r="P104" i="75"/>
  <c r="K104" i="75"/>
  <c r="J104" i="75"/>
  <c r="I104" i="75"/>
  <c r="H104" i="75"/>
  <c r="Q103" i="75"/>
  <c r="P103" i="75"/>
  <c r="K103" i="75"/>
  <c r="J103" i="75"/>
  <c r="K102" i="75"/>
  <c r="J102" i="75"/>
  <c r="K101" i="75"/>
  <c r="J101" i="75"/>
  <c r="K100" i="75"/>
  <c r="J100" i="75"/>
  <c r="Q99" i="75"/>
  <c r="K99" i="75"/>
  <c r="J99" i="75"/>
  <c r="I99" i="75"/>
  <c r="K98" i="75"/>
  <c r="J98" i="75"/>
  <c r="T97" i="75"/>
  <c r="K97" i="75"/>
  <c r="J97" i="75"/>
  <c r="K96" i="75"/>
  <c r="J96" i="75"/>
  <c r="K95" i="75"/>
  <c r="J95" i="75"/>
  <c r="K94" i="75"/>
  <c r="J94" i="75"/>
  <c r="K93" i="75"/>
  <c r="J93" i="75"/>
  <c r="K92" i="75"/>
  <c r="J92" i="75"/>
  <c r="K91" i="75"/>
  <c r="J91" i="75"/>
  <c r="K90" i="75"/>
  <c r="J90" i="75"/>
  <c r="K89" i="75"/>
  <c r="J89" i="75"/>
  <c r="K88" i="75"/>
  <c r="J88" i="75"/>
  <c r="K87" i="75"/>
  <c r="J87" i="75"/>
  <c r="K86" i="75"/>
  <c r="J86" i="75"/>
  <c r="K85" i="75"/>
  <c r="J85" i="75"/>
  <c r="K84" i="75"/>
  <c r="J84" i="75"/>
  <c r="K83" i="75"/>
  <c r="J83" i="75"/>
  <c r="K82" i="75"/>
  <c r="J82" i="75"/>
  <c r="K81" i="75"/>
  <c r="J81" i="75"/>
  <c r="K80" i="75"/>
  <c r="J80" i="75"/>
  <c r="K79" i="75"/>
  <c r="J79" i="75"/>
  <c r="N78" i="75"/>
  <c r="K78" i="75"/>
  <c r="J78" i="75"/>
  <c r="N77" i="75"/>
  <c r="K77" i="75"/>
  <c r="J77" i="75"/>
  <c r="K76" i="75"/>
  <c r="J76" i="75"/>
  <c r="K75" i="75"/>
  <c r="J75" i="75"/>
  <c r="T74" i="75"/>
  <c r="K74" i="75"/>
  <c r="J74" i="75"/>
  <c r="K73" i="75"/>
  <c r="J73" i="75"/>
  <c r="N72" i="75"/>
  <c r="K72" i="75"/>
  <c r="J72" i="75"/>
  <c r="N71" i="75"/>
  <c r="K71" i="75"/>
  <c r="J71" i="75"/>
  <c r="K70" i="75"/>
  <c r="J70" i="75"/>
  <c r="K69" i="75"/>
  <c r="J69" i="75"/>
  <c r="K68" i="75"/>
  <c r="J68" i="75"/>
  <c r="K67" i="75"/>
  <c r="J67" i="75"/>
  <c r="K66" i="75"/>
  <c r="J66" i="75"/>
  <c r="K65" i="75"/>
  <c r="J65" i="75"/>
  <c r="K64" i="75"/>
  <c r="J64" i="75"/>
  <c r="K63" i="75"/>
  <c r="J63" i="75"/>
  <c r="Y55" i="75"/>
  <c r="S15" i="17" s="1"/>
  <c r="N55" i="75"/>
  <c r="M55" i="75"/>
  <c r="G15" i="17" s="1"/>
  <c r="K55" i="75"/>
  <c r="E15" i="17" s="1"/>
  <c r="G55" i="75"/>
  <c r="AD53" i="75"/>
  <c r="AD52" i="75"/>
  <c r="C52" i="75"/>
  <c r="I108" i="75" s="1"/>
  <c r="AD51" i="75"/>
  <c r="S50" i="75"/>
  <c r="I106" i="75"/>
  <c r="AE47" i="75"/>
  <c r="I103" i="75"/>
  <c r="H103" i="75"/>
  <c r="I101" i="75"/>
  <c r="Q100" i="75"/>
  <c r="H100" i="75"/>
  <c r="H99" i="75"/>
  <c r="Q98" i="75"/>
  <c r="P98" i="75"/>
  <c r="AE42" i="75"/>
  <c r="I97" i="75"/>
  <c r="H97" i="75"/>
  <c r="P96" i="75"/>
  <c r="I95" i="75"/>
  <c r="H95" i="75"/>
  <c r="I93" i="75"/>
  <c r="H93" i="75"/>
  <c r="Q92" i="75"/>
  <c r="P92" i="75"/>
  <c r="I91" i="75"/>
  <c r="H91" i="75"/>
  <c r="Q90" i="75"/>
  <c r="P90" i="75"/>
  <c r="W15" i="17"/>
  <c r="I89" i="75"/>
  <c r="H89" i="75"/>
  <c r="Q88" i="75"/>
  <c r="P88" i="75"/>
  <c r="I87" i="75"/>
  <c r="H87" i="75"/>
  <c r="I85" i="75"/>
  <c r="H85" i="75"/>
  <c r="Q84" i="75"/>
  <c r="P84" i="75"/>
  <c r="I83" i="75"/>
  <c r="H83" i="75"/>
  <c r="Q82" i="75"/>
  <c r="P82" i="75"/>
  <c r="I81" i="75"/>
  <c r="H81" i="75"/>
  <c r="Q80" i="75"/>
  <c r="H80" i="75"/>
  <c r="I79" i="75"/>
  <c r="H79" i="75"/>
  <c r="I78" i="75"/>
  <c r="H78" i="75"/>
  <c r="I77" i="75"/>
  <c r="H77" i="75"/>
  <c r="P76" i="75"/>
  <c r="I75" i="75"/>
  <c r="H75" i="75"/>
  <c r="AE19" i="75"/>
  <c r="Q74" i="75"/>
  <c r="N73" i="75"/>
  <c r="I73" i="75"/>
  <c r="H73" i="75"/>
  <c r="Q72" i="75"/>
  <c r="P72" i="75"/>
  <c r="I71" i="75"/>
  <c r="H71" i="75"/>
  <c r="Q70" i="75"/>
  <c r="P70" i="75"/>
  <c r="I69" i="75"/>
  <c r="H69" i="75"/>
  <c r="N68" i="75"/>
  <c r="P68" i="75"/>
  <c r="N67" i="75"/>
  <c r="I67" i="75"/>
  <c r="H67" i="75"/>
  <c r="N66" i="75"/>
  <c r="Q66" i="75"/>
  <c r="P66" i="75"/>
  <c r="Q65" i="75"/>
  <c r="P65" i="75"/>
  <c r="Q64" i="75"/>
  <c r="P64" i="75"/>
  <c r="H63" i="75"/>
  <c r="I127" i="74"/>
  <c r="H127" i="74"/>
  <c r="I126" i="74"/>
  <c r="H126" i="74"/>
  <c r="I125" i="74"/>
  <c r="H125" i="74"/>
  <c r="I124" i="74"/>
  <c r="H124" i="74"/>
  <c r="S123" i="74"/>
  <c r="R123" i="74"/>
  <c r="Q123" i="74"/>
  <c r="P123" i="74"/>
  <c r="N123" i="74"/>
  <c r="K123" i="74"/>
  <c r="J123" i="74"/>
  <c r="I123" i="74"/>
  <c r="H123" i="74"/>
  <c r="S122" i="74"/>
  <c r="R122" i="74"/>
  <c r="Q122" i="74"/>
  <c r="P122" i="74"/>
  <c r="N122" i="74"/>
  <c r="K122" i="74"/>
  <c r="J122" i="74"/>
  <c r="I122" i="74"/>
  <c r="H122" i="74"/>
  <c r="S121" i="74"/>
  <c r="R121" i="74"/>
  <c r="Q121" i="74"/>
  <c r="P121" i="74"/>
  <c r="N121" i="74"/>
  <c r="K121" i="74"/>
  <c r="J121" i="74"/>
  <c r="I121" i="74"/>
  <c r="H121" i="74"/>
  <c r="S120" i="74"/>
  <c r="R120" i="74"/>
  <c r="Q120" i="74"/>
  <c r="P120" i="74"/>
  <c r="N120" i="74"/>
  <c r="K120" i="74"/>
  <c r="J120" i="74"/>
  <c r="I120" i="74"/>
  <c r="H120" i="74"/>
  <c r="S119" i="74"/>
  <c r="R119" i="74"/>
  <c r="Q119" i="74"/>
  <c r="P119" i="74"/>
  <c r="N119" i="74"/>
  <c r="K119" i="74"/>
  <c r="J119" i="74"/>
  <c r="I119" i="74"/>
  <c r="H119" i="74"/>
  <c r="S118" i="74"/>
  <c r="R118" i="74"/>
  <c r="Q118" i="74"/>
  <c r="P118" i="74"/>
  <c r="N118" i="74"/>
  <c r="K118" i="74"/>
  <c r="J118" i="74"/>
  <c r="I118" i="74"/>
  <c r="H118" i="74"/>
  <c r="Q117" i="74"/>
  <c r="P117" i="74"/>
  <c r="N117" i="74"/>
  <c r="K117" i="74"/>
  <c r="J117" i="74"/>
  <c r="I117" i="74"/>
  <c r="H117" i="74"/>
  <c r="Q116" i="74"/>
  <c r="P116" i="74"/>
  <c r="N116" i="74"/>
  <c r="K116" i="74"/>
  <c r="J116" i="74"/>
  <c r="I116" i="74"/>
  <c r="H116" i="74"/>
  <c r="Q115" i="74"/>
  <c r="P115" i="74"/>
  <c r="N115" i="74"/>
  <c r="K115" i="74"/>
  <c r="J115" i="74"/>
  <c r="I115" i="74"/>
  <c r="H115" i="74"/>
  <c r="Q114" i="74"/>
  <c r="P114" i="74"/>
  <c r="N114" i="74"/>
  <c r="K114" i="74"/>
  <c r="J114" i="74"/>
  <c r="I114" i="74"/>
  <c r="H114" i="74"/>
  <c r="Q113" i="74"/>
  <c r="P113" i="74"/>
  <c r="N113" i="74"/>
  <c r="K113" i="74"/>
  <c r="J113" i="74"/>
  <c r="I113" i="74"/>
  <c r="H113" i="74"/>
  <c r="Q112" i="74"/>
  <c r="P112" i="74"/>
  <c r="N112" i="74"/>
  <c r="K112" i="74"/>
  <c r="J112" i="74"/>
  <c r="I112" i="74"/>
  <c r="H112" i="74"/>
  <c r="K111" i="74"/>
  <c r="J111" i="74"/>
  <c r="N110" i="74"/>
  <c r="K110" i="74"/>
  <c r="J110" i="74"/>
  <c r="K109" i="74"/>
  <c r="J109" i="74"/>
  <c r="K108" i="74"/>
  <c r="J108" i="74"/>
  <c r="N107" i="74"/>
  <c r="K107" i="74"/>
  <c r="J107" i="74"/>
  <c r="K106" i="74"/>
  <c r="J106" i="74"/>
  <c r="K105" i="74"/>
  <c r="J105" i="74"/>
  <c r="N104" i="74"/>
  <c r="K104" i="74"/>
  <c r="J104" i="74"/>
  <c r="K103" i="74"/>
  <c r="J103" i="74"/>
  <c r="T102" i="74"/>
  <c r="K102" i="74"/>
  <c r="J102" i="74"/>
  <c r="K101" i="74"/>
  <c r="J101" i="74"/>
  <c r="K100" i="74"/>
  <c r="J100" i="74"/>
  <c r="K98" i="74"/>
  <c r="J98" i="74"/>
  <c r="K97" i="74"/>
  <c r="J97" i="74"/>
  <c r="K96" i="74"/>
  <c r="J96" i="74"/>
  <c r="K95" i="74"/>
  <c r="J95" i="74"/>
  <c r="K94" i="74"/>
  <c r="J94" i="74"/>
  <c r="K93" i="74"/>
  <c r="J93" i="74"/>
  <c r="N92" i="74"/>
  <c r="K92" i="74"/>
  <c r="J92" i="74"/>
  <c r="K91" i="74"/>
  <c r="J91" i="74"/>
  <c r="K90" i="74"/>
  <c r="J90" i="74"/>
  <c r="K89" i="74"/>
  <c r="J89" i="74"/>
  <c r="K88" i="74"/>
  <c r="J88" i="74"/>
  <c r="K87" i="74"/>
  <c r="J87" i="74"/>
  <c r="K86" i="74"/>
  <c r="J86" i="74"/>
  <c r="K85" i="74"/>
  <c r="J85" i="74"/>
  <c r="K84" i="74"/>
  <c r="J84" i="74"/>
  <c r="K83" i="74"/>
  <c r="J83" i="74"/>
  <c r="K82" i="74"/>
  <c r="J82" i="74"/>
  <c r="K81" i="74"/>
  <c r="J81" i="74"/>
  <c r="K80" i="74"/>
  <c r="J80" i="74"/>
  <c r="K79" i="74"/>
  <c r="J79" i="74"/>
  <c r="N78" i="74"/>
  <c r="K78" i="74"/>
  <c r="J78" i="74"/>
  <c r="K77" i="74"/>
  <c r="J77" i="74"/>
  <c r="K76" i="74"/>
  <c r="J76" i="74"/>
  <c r="S75" i="74"/>
  <c r="T75" i="74" s="1"/>
  <c r="K75" i="74"/>
  <c r="J75" i="74"/>
  <c r="G68" i="74"/>
  <c r="X67" i="74"/>
  <c r="AD67" i="74" s="1"/>
  <c r="X66" i="74"/>
  <c r="X65" i="74"/>
  <c r="AE64" i="74"/>
  <c r="AE62" i="74"/>
  <c r="AE60" i="74"/>
  <c r="AE58" i="74"/>
  <c r="AE54" i="74"/>
  <c r="AE52" i="74"/>
  <c r="AE50" i="74"/>
  <c r="AE47" i="74"/>
  <c r="I111" i="74"/>
  <c r="H111" i="74"/>
  <c r="I110" i="74"/>
  <c r="H110" i="74"/>
  <c r="N109" i="74"/>
  <c r="Q109" i="74"/>
  <c r="P109" i="74"/>
  <c r="I108" i="74"/>
  <c r="H108" i="74"/>
  <c r="Q107" i="74"/>
  <c r="P107" i="74"/>
  <c r="I106" i="74"/>
  <c r="P106" i="74"/>
  <c r="Q105" i="74"/>
  <c r="P105" i="74"/>
  <c r="H104" i="74"/>
  <c r="N103" i="74"/>
  <c r="Q102" i="74"/>
  <c r="P102" i="74"/>
  <c r="Q101" i="74"/>
  <c r="P101" i="74"/>
  <c r="AA68" i="74"/>
  <c r="H14" i="17"/>
  <c r="Q100" i="74"/>
  <c r="P100" i="74"/>
  <c r="P99" i="74"/>
  <c r="N98" i="74"/>
  <c r="Q98" i="74"/>
  <c r="H98" i="74"/>
  <c r="N97" i="74"/>
  <c r="N96" i="74"/>
  <c r="Q96" i="74"/>
  <c r="H96" i="74"/>
  <c r="I95" i="74"/>
  <c r="P95" i="74"/>
  <c r="Q94" i="74"/>
  <c r="P94" i="74"/>
  <c r="Q92" i="74"/>
  <c r="P92" i="74"/>
  <c r="N91" i="74"/>
  <c r="I91" i="74"/>
  <c r="P91" i="74"/>
  <c r="I90" i="74"/>
  <c r="H90" i="74"/>
  <c r="I89" i="74"/>
  <c r="H89" i="74"/>
  <c r="Q88" i="74"/>
  <c r="H88" i="74"/>
  <c r="I87" i="74"/>
  <c r="H87" i="74"/>
  <c r="I86" i="74"/>
  <c r="P86" i="74"/>
  <c r="I85" i="74"/>
  <c r="P85" i="74"/>
  <c r="Q84" i="74"/>
  <c r="P84" i="74"/>
  <c r="I83" i="74"/>
  <c r="P83" i="74"/>
  <c r="Q82" i="74"/>
  <c r="P82" i="74"/>
  <c r="I81" i="74"/>
  <c r="Q80" i="74"/>
  <c r="H80" i="74"/>
  <c r="I79" i="74"/>
  <c r="Q78" i="74"/>
  <c r="P78" i="74"/>
  <c r="Q77" i="74"/>
  <c r="P77" i="74"/>
  <c r="Q76" i="74"/>
  <c r="P76" i="74"/>
  <c r="P75" i="74"/>
  <c r="T107" i="73"/>
  <c r="K83" i="73"/>
  <c r="J83" i="73"/>
  <c r="K82" i="73"/>
  <c r="J82" i="73"/>
  <c r="K81" i="73"/>
  <c r="J81" i="73"/>
  <c r="K80" i="73"/>
  <c r="J80" i="73"/>
  <c r="K79" i="73"/>
  <c r="J79" i="73"/>
  <c r="K78" i="73"/>
  <c r="J78" i="73"/>
  <c r="K77" i="73"/>
  <c r="J77" i="73"/>
  <c r="K76" i="73"/>
  <c r="J76" i="73"/>
  <c r="K75" i="73"/>
  <c r="J75" i="73"/>
  <c r="Q74" i="73"/>
  <c r="K74" i="73"/>
  <c r="J74" i="73"/>
  <c r="I74" i="73"/>
  <c r="K73" i="73"/>
  <c r="J73" i="73"/>
  <c r="K72" i="73"/>
  <c r="J72" i="73"/>
  <c r="K71" i="73"/>
  <c r="J71" i="73"/>
  <c r="K70" i="73"/>
  <c r="J70" i="73"/>
  <c r="S69" i="73"/>
  <c r="K69" i="73"/>
  <c r="J69" i="73"/>
  <c r="K64" i="73"/>
  <c r="AC61" i="73"/>
  <c r="W13" i="17" s="1"/>
  <c r="AA61" i="73"/>
  <c r="U13" i="17" s="1"/>
  <c r="Y61" i="73"/>
  <c r="S13" i="17" s="1"/>
  <c r="G61" i="73"/>
  <c r="I110" i="73"/>
  <c r="H110" i="73"/>
  <c r="I109" i="73"/>
  <c r="H109" i="73"/>
  <c r="Q100" i="73"/>
  <c r="H100" i="73"/>
  <c r="I99" i="73"/>
  <c r="H99" i="73"/>
  <c r="Q98" i="73"/>
  <c r="P98" i="73"/>
  <c r="I97" i="73"/>
  <c r="Q96" i="73"/>
  <c r="P96" i="73"/>
  <c r="I95" i="73"/>
  <c r="P95" i="73"/>
  <c r="I94" i="73"/>
  <c r="P94" i="73"/>
  <c r="H93" i="73"/>
  <c r="H92" i="73"/>
  <c r="I91" i="73"/>
  <c r="I90" i="73"/>
  <c r="P90" i="73"/>
  <c r="Q89" i="73"/>
  <c r="P89" i="73"/>
  <c r="Q88" i="73"/>
  <c r="P88" i="73"/>
  <c r="Q87" i="73"/>
  <c r="P87" i="73"/>
  <c r="Q86" i="73"/>
  <c r="P86" i="73"/>
  <c r="P85" i="73"/>
  <c r="Q84" i="73"/>
  <c r="P83" i="73"/>
  <c r="I82" i="73"/>
  <c r="H82" i="73"/>
  <c r="Q81" i="73"/>
  <c r="P81" i="73"/>
  <c r="Q80" i="73"/>
  <c r="P80" i="73"/>
  <c r="Q79" i="73"/>
  <c r="P79" i="73"/>
  <c r="H78" i="73"/>
  <c r="Q77" i="73"/>
  <c r="P77" i="73"/>
  <c r="Q76" i="73"/>
  <c r="H76" i="73"/>
  <c r="Q75" i="73"/>
  <c r="P75" i="73"/>
  <c r="H74" i="73"/>
  <c r="Q73" i="73"/>
  <c r="P73" i="73"/>
  <c r="I72" i="73"/>
  <c r="H72" i="73"/>
  <c r="Q71" i="73"/>
  <c r="P71" i="73"/>
  <c r="I70" i="73"/>
  <c r="H70" i="73"/>
  <c r="K110" i="72"/>
  <c r="J110" i="72"/>
  <c r="K109" i="72"/>
  <c r="J109" i="72"/>
  <c r="S108" i="72"/>
  <c r="N108" i="72"/>
  <c r="K108" i="72"/>
  <c r="J108" i="72"/>
  <c r="R108" i="72" s="1"/>
  <c r="I108" i="72"/>
  <c r="S107" i="72"/>
  <c r="R107" i="72"/>
  <c r="K107" i="72"/>
  <c r="J107" i="72"/>
  <c r="S106" i="72"/>
  <c r="T105" i="72" s="1"/>
  <c r="R106" i="72"/>
  <c r="K106" i="72"/>
  <c r="J106" i="72"/>
  <c r="S105" i="72"/>
  <c r="K105" i="72"/>
  <c r="J105" i="72"/>
  <c r="S104" i="72"/>
  <c r="R104" i="72"/>
  <c r="K104" i="72"/>
  <c r="J104" i="72"/>
  <c r="S103" i="72"/>
  <c r="R103" i="72"/>
  <c r="K103" i="72"/>
  <c r="J103" i="72"/>
  <c r="S102" i="72"/>
  <c r="R102" i="72"/>
  <c r="K102" i="72"/>
  <c r="J102" i="72"/>
  <c r="S101" i="72"/>
  <c r="R101" i="72"/>
  <c r="K101" i="72"/>
  <c r="J101" i="72"/>
  <c r="S100" i="72"/>
  <c r="R100" i="72"/>
  <c r="N100" i="72"/>
  <c r="K100" i="72"/>
  <c r="J100" i="72"/>
  <c r="S99" i="72"/>
  <c r="R99" i="72"/>
  <c r="K99" i="72"/>
  <c r="J99" i="72"/>
  <c r="S98" i="72"/>
  <c r="R98" i="72"/>
  <c r="N98" i="72"/>
  <c r="K98" i="72"/>
  <c r="J98" i="72"/>
  <c r="K97" i="72"/>
  <c r="J97" i="72"/>
  <c r="K96" i="72"/>
  <c r="J96" i="72"/>
  <c r="K95" i="72"/>
  <c r="J95" i="72"/>
  <c r="T93" i="72"/>
  <c r="K94" i="72"/>
  <c r="J94" i="72"/>
  <c r="K93" i="72"/>
  <c r="J93" i="72"/>
  <c r="K92" i="72"/>
  <c r="J92" i="72"/>
  <c r="K91" i="72"/>
  <c r="J91" i="72"/>
  <c r="T90" i="72"/>
  <c r="K90" i="72"/>
  <c r="J90" i="72"/>
  <c r="T88" i="72"/>
  <c r="K89" i="72"/>
  <c r="J89" i="72"/>
  <c r="K88" i="72"/>
  <c r="J88" i="72"/>
  <c r="K87" i="72"/>
  <c r="J87" i="72"/>
  <c r="K86" i="72"/>
  <c r="J86" i="72"/>
  <c r="K85" i="72"/>
  <c r="J85" i="72"/>
  <c r="K84" i="72"/>
  <c r="J84" i="72"/>
  <c r="K83" i="72"/>
  <c r="J83" i="72"/>
  <c r="K82" i="72"/>
  <c r="J82" i="72"/>
  <c r="N81" i="72"/>
  <c r="K81" i="72"/>
  <c r="J81" i="72"/>
  <c r="K80" i="72"/>
  <c r="J80" i="72"/>
  <c r="K79" i="72"/>
  <c r="J79" i="72"/>
  <c r="K78" i="72"/>
  <c r="J78" i="72"/>
  <c r="K77" i="72"/>
  <c r="J77" i="72"/>
  <c r="K76" i="72"/>
  <c r="J76" i="72"/>
  <c r="N75" i="72"/>
  <c r="K75" i="72"/>
  <c r="J75" i="72"/>
  <c r="N74" i="72"/>
  <c r="K74" i="72"/>
  <c r="J74" i="72"/>
  <c r="K73" i="72"/>
  <c r="J73" i="72"/>
  <c r="N72" i="72"/>
  <c r="K72" i="72"/>
  <c r="J72" i="72"/>
  <c r="K71" i="72"/>
  <c r="J71" i="72"/>
  <c r="N70" i="72"/>
  <c r="K70" i="72"/>
  <c r="J70" i="72"/>
  <c r="K69" i="72"/>
  <c r="J69" i="72"/>
  <c r="S68" i="72"/>
  <c r="R68" i="72"/>
  <c r="T68" i="72" s="1"/>
  <c r="N68" i="72"/>
  <c r="K68" i="72"/>
  <c r="J68" i="72"/>
  <c r="S67" i="72"/>
  <c r="K67" i="72"/>
  <c r="J67" i="72"/>
  <c r="S66" i="72"/>
  <c r="T66" i="72" s="1"/>
  <c r="K66" i="72"/>
  <c r="J66" i="72"/>
  <c r="S65" i="72"/>
  <c r="T65" i="72" s="1"/>
  <c r="G64" i="72"/>
  <c r="Y57" i="72"/>
  <c r="S12" i="17" s="1"/>
  <c r="G57" i="72"/>
  <c r="AE56" i="72"/>
  <c r="B56" i="72"/>
  <c r="AE55" i="72"/>
  <c r="B55" i="72"/>
  <c r="AE54" i="72"/>
  <c r="B54" i="72"/>
  <c r="AE53" i="72"/>
  <c r="B53" i="72"/>
  <c r="AE52" i="72"/>
  <c r="B52" i="72"/>
  <c r="AE51" i="72"/>
  <c r="B51" i="72"/>
  <c r="H108" i="72" s="1"/>
  <c r="AE50" i="72"/>
  <c r="C50" i="72"/>
  <c r="B50" i="72"/>
  <c r="Q106" i="72"/>
  <c r="H106" i="72"/>
  <c r="AE48" i="72"/>
  <c r="I105" i="72"/>
  <c r="H105" i="72"/>
  <c r="Q104" i="72"/>
  <c r="P104" i="72"/>
  <c r="I103" i="72"/>
  <c r="H103" i="72"/>
  <c r="AE45" i="72"/>
  <c r="Q102" i="72"/>
  <c r="P102" i="72"/>
  <c r="I101" i="72"/>
  <c r="P101" i="72"/>
  <c r="Q100" i="72"/>
  <c r="P100" i="72"/>
  <c r="I99" i="72"/>
  <c r="H99" i="72"/>
  <c r="AE41" i="72"/>
  <c r="Q98" i="72"/>
  <c r="H98" i="72"/>
  <c r="Q97" i="72"/>
  <c r="H97" i="72"/>
  <c r="AE39" i="72"/>
  <c r="I96" i="72"/>
  <c r="H96" i="72"/>
  <c r="AE38" i="72"/>
  <c r="Q95" i="72"/>
  <c r="P95" i="72"/>
  <c r="N94" i="72"/>
  <c r="Q94" i="72"/>
  <c r="P94" i="72"/>
  <c r="AE36" i="72"/>
  <c r="I92" i="72"/>
  <c r="P92" i="72"/>
  <c r="N91" i="72"/>
  <c r="I91" i="72"/>
  <c r="P91" i="72"/>
  <c r="AE33" i="72"/>
  <c r="Q90" i="72"/>
  <c r="P90" i="72"/>
  <c r="N89" i="72"/>
  <c r="Q89" i="72"/>
  <c r="P89" i="72"/>
  <c r="AE31" i="72"/>
  <c r="I88" i="72"/>
  <c r="H88" i="72"/>
  <c r="I86" i="72"/>
  <c r="P86" i="72"/>
  <c r="N85" i="72"/>
  <c r="I85" i="72"/>
  <c r="P85" i="72"/>
  <c r="I84" i="72"/>
  <c r="H84" i="72"/>
  <c r="Q83" i="72"/>
  <c r="P83" i="72"/>
  <c r="I82" i="72"/>
  <c r="P82" i="72"/>
  <c r="Q80" i="72"/>
  <c r="P80" i="72"/>
  <c r="Q79" i="72"/>
  <c r="P79" i="72"/>
  <c r="I78" i="72"/>
  <c r="P78" i="72"/>
  <c r="Q77" i="72"/>
  <c r="P77" i="72"/>
  <c r="I76" i="72"/>
  <c r="H76" i="72"/>
  <c r="P75" i="72"/>
  <c r="P74" i="72"/>
  <c r="Q73" i="72"/>
  <c r="P73" i="72"/>
  <c r="I72" i="72"/>
  <c r="H72" i="72"/>
  <c r="N71" i="72"/>
  <c r="Q71" i="72"/>
  <c r="H71" i="72"/>
  <c r="I70" i="72"/>
  <c r="H70" i="72"/>
  <c r="Q69" i="72"/>
  <c r="P69" i="72"/>
  <c r="I68" i="72"/>
  <c r="H68" i="72"/>
  <c r="AA57" i="72"/>
  <c r="U12" i="17" s="1"/>
  <c r="Q67" i="72"/>
  <c r="P67" i="72"/>
  <c r="I66" i="72"/>
  <c r="H66" i="72"/>
  <c r="Q65" i="72"/>
  <c r="R126" i="71"/>
  <c r="Q126" i="71"/>
  <c r="P126" i="71"/>
  <c r="I126" i="71"/>
  <c r="H126" i="71"/>
  <c r="R125" i="71"/>
  <c r="P125" i="71"/>
  <c r="K125" i="71"/>
  <c r="L125" i="71" s="1"/>
  <c r="H125" i="71"/>
  <c r="S124" i="71"/>
  <c r="R124" i="71"/>
  <c r="P124" i="71"/>
  <c r="K124" i="71"/>
  <c r="J124" i="71"/>
  <c r="H124" i="71"/>
  <c r="S123" i="71"/>
  <c r="R123" i="71"/>
  <c r="P123" i="71"/>
  <c r="K123" i="71"/>
  <c r="J123" i="71"/>
  <c r="H123" i="71"/>
  <c r="S122" i="71"/>
  <c r="R122" i="71"/>
  <c r="P122" i="71"/>
  <c r="K122" i="71"/>
  <c r="J122" i="71"/>
  <c r="H122" i="71"/>
  <c r="S121" i="71"/>
  <c r="R121" i="71"/>
  <c r="P121" i="71"/>
  <c r="K121" i="71"/>
  <c r="J121" i="71"/>
  <c r="H121" i="71"/>
  <c r="S120" i="71"/>
  <c r="R120" i="71"/>
  <c r="P120" i="71"/>
  <c r="K120" i="71"/>
  <c r="J120" i="71"/>
  <c r="H120" i="71"/>
  <c r="S119" i="71"/>
  <c r="R119" i="71"/>
  <c r="P119" i="71"/>
  <c r="K119" i="71"/>
  <c r="J119" i="71"/>
  <c r="H119" i="71"/>
  <c r="S118" i="71"/>
  <c r="R118" i="71"/>
  <c r="P118" i="71"/>
  <c r="K118" i="71"/>
  <c r="J118" i="71"/>
  <c r="H118" i="71"/>
  <c r="S117" i="71"/>
  <c r="R117" i="71"/>
  <c r="P117" i="71"/>
  <c r="K117" i="71"/>
  <c r="J117" i="71"/>
  <c r="H117" i="71"/>
  <c r="S116" i="71"/>
  <c r="R116" i="71"/>
  <c r="P116" i="71"/>
  <c r="K116" i="71"/>
  <c r="J116" i="71"/>
  <c r="H116" i="71"/>
  <c r="S115" i="71"/>
  <c r="R115" i="71"/>
  <c r="P115" i="71"/>
  <c r="K115" i="71"/>
  <c r="J115" i="71"/>
  <c r="H115" i="71"/>
  <c r="P114" i="71"/>
  <c r="K114" i="71"/>
  <c r="J114" i="71"/>
  <c r="H114" i="71"/>
  <c r="P113" i="71"/>
  <c r="K113" i="71"/>
  <c r="J113" i="71"/>
  <c r="H113" i="71"/>
  <c r="T112" i="71"/>
  <c r="K112" i="71"/>
  <c r="J112" i="71"/>
  <c r="K111" i="71"/>
  <c r="J111" i="71"/>
  <c r="K110" i="71"/>
  <c r="J110" i="71"/>
  <c r="K109" i="71"/>
  <c r="J109" i="71"/>
  <c r="K108" i="71"/>
  <c r="J108" i="71"/>
  <c r="K107" i="71"/>
  <c r="J107" i="71"/>
  <c r="K106" i="71"/>
  <c r="J106" i="71"/>
  <c r="K105" i="71"/>
  <c r="J105" i="71"/>
  <c r="K104" i="71"/>
  <c r="J104" i="71"/>
  <c r="K103" i="71"/>
  <c r="J103" i="71"/>
  <c r="K102" i="71"/>
  <c r="J102" i="71"/>
  <c r="K101" i="71"/>
  <c r="J101" i="71"/>
  <c r="K100" i="71"/>
  <c r="J100" i="71"/>
  <c r="K99" i="71"/>
  <c r="J99" i="71"/>
  <c r="K98" i="71"/>
  <c r="J98" i="71"/>
  <c r="K97" i="71"/>
  <c r="J97" i="71"/>
  <c r="K96" i="71"/>
  <c r="J96" i="71"/>
  <c r="K95" i="71"/>
  <c r="J95" i="71"/>
  <c r="K94" i="71"/>
  <c r="J94" i="71"/>
  <c r="K93" i="71"/>
  <c r="J93" i="71"/>
  <c r="K92" i="71"/>
  <c r="J92" i="71"/>
  <c r="K91" i="71"/>
  <c r="J91" i="71"/>
  <c r="K90" i="71"/>
  <c r="J90" i="71"/>
  <c r="K89" i="71"/>
  <c r="J89" i="71"/>
  <c r="K88" i="71"/>
  <c r="J88" i="71"/>
  <c r="K87" i="71"/>
  <c r="J87" i="71"/>
  <c r="K86" i="71"/>
  <c r="J86" i="71"/>
  <c r="K85" i="71"/>
  <c r="J85" i="71"/>
  <c r="K84" i="71"/>
  <c r="J84" i="71"/>
  <c r="K83" i="71"/>
  <c r="J83" i="71"/>
  <c r="S72" i="71"/>
  <c r="T71" i="71" s="1"/>
  <c r="R72" i="71"/>
  <c r="S71" i="71"/>
  <c r="K71" i="71"/>
  <c r="J71" i="71"/>
  <c r="AC63" i="71"/>
  <c r="W11" i="17" s="1"/>
  <c r="AA63" i="71"/>
  <c r="U11" i="17" s="1"/>
  <c r="Y63" i="71"/>
  <c r="S11" i="17" s="1"/>
  <c r="G63" i="71"/>
  <c r="I125" i="71"/>
  <c r="W61" i="71"/>
  <c r="I124" i="71"/>
  <c r="W60" i="71"/>
  <c r="I123" i="71"/>
  <c r="AE59" i="71"/>
  <c r="W59" i="71"/>
  <c r="I122" i="71"/>
  <c r="AE58" i="71"/>
  <c r="Q121" i="71"/>
  <c r="AE57" i="71"/>
  <c r="Q120" i="71"/>
  <c r="AE56" i="71"/>
  <c r="Q119" i="71"/>
  <c r="AE55" i="71"/>
  <c r="Q118" i="71"/>
  <c r="AE54" i="71"/>
  <c r="Q117" i="71"/>
  <c r="AE53" i="71"/>
  <c r="Q116" i="71"/>
  <c r="AE52" i="71"/>
  <c r="I115" i="71"/>
  <c r="AE51" i="71"/>
  <c r="I114" i="71"/>
  <c r="AE50" i="71"/>
  <c r="I113" i="71"/>
  <c r="AE49" i="71"/>
  <c r="H112" i="71"/>
  <c r="Q111" i="71"/>
  <c r="Q110" i="71"/>
  <c r="P110" i="71"/>
  <c r="Q109" i="71"/>
  <c r="P109" i="71"/>
  <c r="I108" i="71"/>
  <c r="H108" i="71"/>
  <c r="I107" i="71"/>
  <c r="I106" i="71"/>
  <c r="H106" i="71"/>
  <c r="Q105" i="71"/>
  <c r="P105" i="71"/>
  <c r="Q104" i="71"/>
  <c r="P104" i="71"/>
  <c r="P103" i="71"/>
  <c r="I102" i="71"/>
  <c r="P102" i="71"/>
  <c r="I101" i="71"/>
  <c r="H101" i="71"/>
  <c r="I100" i="71"/>
  <c r="H100" i="71"/>
  <c r="I99" i="71"/>
  <c r="H99" i="71"/>
  <c r="Q98" i="71"/>
  <c r="P98" i="71"/>
  <c r="Q97" i="71"/>
  <c r="P97" i="71"/>
  <c r="Q96" i="71"/>
  <c r="P96" i="71"/>
  <c r="I95" i="71"/>
  <c r="H94" i="71"/>
  <c r="I93" i="71"/>
  <c r="H93" i="71"/>
  <c r="I92" i="71"/>
  <c r="H92" i="71"/>
  <c r="Q91" i="71"/>
  <c r="P91" i="71"/>
  <c r="I89" i="71"/>
  <c r="P89" i="71"/>
  <c r="I88" i="71"/>
  <c r="H88" i="71"/>
  <c r="I87" i="71"/>
  <c r="H87" i="71"/>
  <c r="Q86" i="71"/>
  <c r="H86" i="71"/>
  <c r="Q85" i="71"/>
  <c r="P85" i="71"/>
  <c r="Q84" i="71"/>
  <c r="P84" i="71"/>
  <c r="Q83" i="71"/>
  <c r="P83" i="71"/>
  <c r="I82" i="71"/>
  <c r="H82" i="71"/>
  <c r="H81" i="71"/>
  <c r="Q80" i="71"/>
  <c r="H80" i="71"/>
  <c r="Q79" i="71"/>
  <c r="P79" i="71"/>
  <c r="Q78" i="71"/>
  <c r="P78" i="71"/>
  <c r="Q77" i="71"/>
  <c r="P77" i="71"/>
  <c r="H76" i="71"/>
  <c r="Q75" i="71"/>
  <c r="P75" i="71"/>
  <c r="I74" i="71"/>
  <c r="P74" i="71"/>
  <c r="H73" i="71"/>
  <c r="H72" i="71"/>
  <c r="I71" i="71"/>
  <c r="H71" i="71"/>
  <c r="M109" i="70"/>
  <c r="L109" i="70"/>
  <c r="K109" i="70"/>
  <c r="J109" i="70"/>
  <c r="M108" i="70"/>
  <c r="L108" i="70"/>
  <c r="K108" i="70"/>
  <c r="J108" i="70"/>
  <c r="M107" i="70"/>
  <c r="L107" i="70"/>
  <c r="K107" i="70"/>
  <c r="J107" i="70"/>
  <c r="R107" i="70" s="1"/>
  <c r="P106" i="70"/>
  <c r="M106" i="70"/>
  <c r="L106" i="70"/>
  <c r="P105" i="70"/>
  <c r="M105" i="70"/>
  <c r="L105" i="70"/>
  <c r="U104" i="70"/>
  <c r="T104" i="70"/>
  <c r="P104" i="70"/>
  <c r="M104" i="70"/>
  <c r="L104" i="70"/>
  <c r="U103" i="70"/>
  <c r="T103" i="70"/>
  <c r="P103" i="70"/>
  <c r="M103" i="70"/>
  <c r="L103" i="70"/>
  <c r="U102" i="70"/>
  <c r="T102" i="70"/>
  <c r="M102" i="70"/>
  <c r="L102" i="70"/>
  <c r="U101" i="70"/>
  <c r="T101" i="70"/>
  <c r="M101" i="70"/>
  <c r="L101" i="70"/>
  <c r="M100" i="70"/>
  <c r="L100" i="70"/>
  <c r="M99" i="70"/>
  <c r="L99" i="70"/>
  <c r="M98" i="70"/>
  <c r="L98" i="70"/>
  <c r="M97" i="70"/>
  <c r="L97" i="70"/>
  <c r="T96" i="70"/>
  <c r="U95" i="70"/>
  <c r="P95" i="70"/>
  <c r="M95" i="70"/>
  <c r="L95" i="70"/>
  <c r="U94" i="70"/>
  <c r="T94" i="70"/>
  <c r="P94" i="70"/>
  <c r="M94" i="70"/>
  <c r="L94" i="70"/>
  <c r="M93" i="70"/>
  <c r="L93" i="70"/>
  <c r="V91" i="70"/>
  <c r="P92" i="70"/>
  <c r="M92" i="70"/>
  <c r="L92" i="70"/>
  <c r="P91" i="70"/>
  <c r="M91" i="70"/>
  <c r="L91" i="70"/>
  <c r="P90" i="70"/>
  <c r="M90" i="70"/>
  <c r="L90" i="70"/>
  <c r="U89" i="70"/>
  <c r="T89" i="70"/>
  <c r="V89" i="70" s="1"/>
  <c r="M89" i="70"/>
  <c r="L89" i="70"/>
  <c r="U88" i="70"/>
  <c r="V86" i="70" s="1"/>
  <c r="T88" i="70"/>
  <c r="M88" i="70"/>
  <c r="L88" i="70"/>
  <c r="U87" i="70"/>
  <c r="T87" i="70"/>
  <c r="M87" i="70"/>
  <c r="L87" i="70"/>
  <c r="U86" i="70"/>
  <c r="P86" i="70"/>
  <c r="M86" i="70"/>
  <c r="L86" i="70"/>
  <c r="M85" i="70"/>
  <c r="L85" i="70"/>
  <c r="M84" i="70"/>
  <c r="L84" i="70"/>
  <c r="P83" i="70"/>
  <c r="M83" i="70"/>
  <c r="L83" i="70"/>
  <c r="M82" i="70"/>
  <c r="L82" i="70"/>
  <c r="P81" i="70"/>
  <c r="M81" i="70"/>
  <c r="L81" i="70"/>
  <c r="M80" i="70"/>
  <c r="L80" i="70"/>
  <c r="M79" i="70"/>
  <c r="L79" i="70"/>
  <c r="M78" i="70"/>
  <c r="L78" i="70"/>
  <c r="P77" i="70"/>
  <c r="M77" i="70"/>
  <c r="L77" i="70"/>
  <c r="U76" i="70"/>
  <c r="M76" i="70"/>
  <c r="L76" i="70"/>
  <c r="U75" i="70"/>
  <c r="P75" i="70"/>
  <c r="M75" i="70"/>
  <c r="L75" i="70"/>
  <c r="U74" i="70"/>
  <c r="V73" i="70" s="1"/>
  <c r="M74" i="70"/>
  <c r="L74" i="70"/>
  <c r="U73" i="70"/>
  <c r="M73" i="70"/>
  <c r="L73" i="70"/>
  <c r="M72" i="70"/>
  <c r="L72" i="70"/>
  <c r="M71" i="70"/>
  <c r="L71" i="70"/>
  <c r="U70" i="70"/>
  <c r="V69" i="70" s="1"/>
  <c r="M70" i="70"/>
  <c r="L70" i="70"/>
  <c r="U69" i="70"/>
  <c r="M69" i="70"/>
  <c r="L69" i="70"/>
  <c r="U68" i="70"/>
  <c r="V67" i="70" s="1"/>
  <c r="M68" i="70"/>
  <c r="L68" i="70"/>
  <c r="U67" i="70"/>
  <c r="M67" i="70"/>
  <c r="L67" i="70"/>
  <c r="T66" i="70"/>
  <c r="M66" i="70"/>
  <c r="L66" i="70"/>
  <c r="U65" i="70"/>
  <c r="M65" i="70"/>
  <c r="L65" i="70"/>
  <c r="U64" i="70"/>
  <c r="T64" i="70"/>
  <c r="M64" i="70"/>
  <c r="L64" i="70"/>
  <c r="T63" i="70"/>
  <c r="P63" i="70"/>
  <c r="M63" i="70"/>
  <c r="L63" i="70"/>
  <c r="U62" i="70"/>
  <c r="M62" i="70"/>
  <c r="L62" i="70"/>
  <c r="H59" i="70"/>
  <c r="AC54" i="70"/>
  <c r="W10" i="17" s="1"/>
  <c r="AA54" i="70"/>
  <c r="U10" i="17" s="1"/>
  <c r="Y54" i="70"/>
  <c r="S10" i="17" s="1"/>
  <c r="N54" i="70"/>
  <c r="H10" i="17" s="1"/>
  <c r="G54" i="70"/>
  <c r="AE52" i="70"/>
  <c r="C52" i="70"/>
  <c r="K106" i="70" s="1"/>
  <c r="B52" i="70"/>
  <c r="J106" i="70" s="1"/>
  <c r="R106" i="70" s="1"/>
  <c r="AE51" i="70"/>
  <c r="K105" i="70"/>
  <c r="J105" i="70"/>
  <c r="R105" i="70" s="1"/>
  <c r="AE50" i="70"/>
  <c r="K104" i="70"/>
  <c r="S104" i="70" s="1"/>
  <c r="J104" i="70"/>
  <c r="R104" i="70" s="1"/>
  <c r="K103" i="70"/>
  <c r="S103" i="70" s="1"/>
  <c r="J103" i="70"/>
  <c r="R103" i="70" s="1"/>
  <c r="K102" i="70"/>
  <c r="S102" i="70" s="1"/>
  <c r="J102" i="70"/>
  <c r="R102" i="70" s="1"/>
  <c r="P101" i="70"/>
  <c r="K101" i="70"/>
  <c r="S101" i="70" s="1"/>
  <c r="J101" i="70"/>
  <c r="R101" i="70" s="1"/>
  <c r="P100" i="70"/>
  <c r="K100" i="70"/>
  <c r="S100" i="70" s="1"/>
  <c r="J100" i="70"/>
  <c r="R100" i="70" s="1"/>
  <c r="K99" i="70"/>
  <c r="S99" i="70" s="1"/>
  <c r="J99" i="70"/>
  <c r="R99" i="70" s="1"/>
  <c r="K98" i="70"/>
  <c r="S98" i="70" s="1"/>
  <c r="J98" i="70"/>
  <c r="R98" i="70" s="1"/>
  <c r="K97" i="70"/>
  <c r="S97" i="70" s="1"/>
  <c r="J97" i="70"/>
  <c r="R97" i="70" s="1"/>
  <c r="P96" i="70"/>
  <c r="K96" i="70"/>
  <c r="S96" i="70" s="1"/>
  <c r="J96" i="70"/>
  <c r="R96" i="70" s="1"/>
  <c r="K95" i="70"/>
  <c r="S95" i="70" s="1"/>
  <c r="J95" i="70"/>
  <c r="R95" i="70" s="1"/>
  <c r="K94" i="70"/>
  <c r="S94" i="70" s="1"/>
  <c r="J94" i="70"/>
  <c r="R94" i="70" s="1"/>
  <c r="P93" i="70"/>
  <c r="K93" i="70"/>
  <c r="S93" i="70" s="1"/>
  <c r="J93" i="70"/>
  <c r="R93" i="70" s="1"/>
  <c r="K92" i="70"/>
  <c r="S92" i="70" s="1"/>
  <c r="J92" i="70"/>
  <c r="R92" i="70" s="1"/>
  <c r="K91" i="70"/>
  <c r="S91" i="70" s="1"/>
  <c r="J91" i="70"/>
  <c r="R91" i="70" s="1"/>
  <c r="K90" i="70"/>
  <c r="S90" i="70" s="1"/>
  <c r="J90" i="70"/>
  <c r="R90" i="70" s="1"/>
  <c r="K89" i="70"/>
  <c r="S89" i="70" s="1"/>
  <c r="J89" i="70"/>
  <c r="R89" i="70" s="1"/>
  <c r="P88" i="70"/>
  <c r="K88" i="70"/>
  <c r="S88" i="70" s="1"/>
  <c r="J88" i="70"/>
  <c r="R88" i="70" s="1"/>
  <c r="K87" i="70"/>
  <c r="S87" i="70" s="1"/>
  <c r="J87" i="70"/>
  <c r="R87" i="70" s="1"/>
  <c r="K86" i="70"/>
  <c r="S86" i="70" s="1"/>
  <c r="J86" i="70"/>
  <c r="R86" i="70" s="1"/>
  <c r="K85" i="70"/>
  <c r="S85" i="70" s="1"/>
  <c r="J85" i="70"/>
  <c r="R85" i="70" s="1"/>
  <c r="P84" i="70"/>
  <c r="K84" i="70"/>
  <c r="S84" i="70" s="1"/>
  <c r="J84" i="70"/>
  <c r="R84" i="70" s="1"/>
  <c r="K83" i="70"/>
  <c r="S83" i="70" s="1"/>
  <c r="J83" i="70"/>
  <c r="R83" i="70" s="1"/>
  <c r="K82" i="70"/>
  <c r="S82" i="70" s="1"/>
  <c r="J82" i="70"/>
  <c r="R82" i="70" s="1"/>
  <c r="K81" i="70"/>
  <c r="S81" i="70" s="1"/>
  <c r="J81" i="70"/>
  <c r="R81" i="70" s="1"/>
  <c r="P80" i="70"/>
  <c r="K80" i="70"/>
  <c r="S80" i="70" s="1"/>
  <c r="J80" i="70"/>
  <c r="R80" i="70" s="1"/>
  <c r="K79" i="70"/>
  <c r="S79" i="70" s="1"/>
  <c r="J79" i="70"/>
  <c r="R79" i="70" s="1"/>
  <c r="P78" i="70"/>
  <c r="K78" i="70"/>
  <c r="S78" i="70" s="1"/>
  <c r="J78" i="70"/>
  <c r="R78" i="70" s="1"/>
  <c r="K77" i="70"/>
  <c r="S77" i="70" s="1"/>
  <c r="J77" i="70"/>
  <c r="R77" i="70" s="1"/>
  <c r="K76" i="70"/>
  <c r="S76" i="70" s="1"/>
  <c r="J76" i="70"/>
  <c r="R76" i="70" s="1"/>
  <c r="K75" i="70"/>
  <c r="S75" i="70" s="1"/>
  <c r="J75" i="70"/>
  <c r="R75" i="70" s="1"/>
  <c r="P74" i="70"/>
  <c r="K74" i="70"/>
  <c r="S74" i="70" s="1"/>
  <c r="J74" i="70"/>
  <c r="R74" i="70" s="1"/>
  <c r="K73" i="70"/>
  <c r="S73" i="70" s="1"/>
  <c r="J73" i="70"/>
  <c r="R73" i="70" s="1"/>
  <c r="K72" i="70"/>
  <c r="S72" i="70" s="1"/>
  <c r="J72" i="70"/>
  <c r="R72" i="70" s="1"/>
  <c r="K71" i="70"/>
  <c r="S71" i="70" s="1"/>
  <c r="J71" i="70"/>
  <c r="R71" i="70" s="1"/>
  <c r="P70" i="70"/>
  <c r="K70" i="70"/>
  <c r="S70" i="70" s="1"/>
  <c r="J70" i="70"/>
  <c r="R70" i="70" s="1"/>
  <c r="K69" i="70"/>
  <c r="S69" i="70" s="1"/>
  <c r="J69" i="70"/>
  <c r="R69" i="70" s="1"/>
  <c r="K68" i="70"/>
  <c r="S68" i="70" s="1"/>
  <c r="J68" i="70"/>
  <c r="R68" i="70" s="1"/>
  <c r="K67" i="70"/>
  <c r="S67" i="70" s="1"/>
  <c r="J67" i="70"/>
  <c r="R67" i="70" s="1"/>
  <c r="P66" i="70"/>
  <c r="K66" i="70"/>
  <c r="S66" i="70" s="1"/>
  <c r="J66" i="70"/>
  <c r="R66" i="70" s="1"/>
  <c r="K65" i="70"/>
  <c r="S65" i="70" s="1"/>
  <c r="J65" i="70"/>
  <c r="R65" i="70" s="1"/>
  <c r="K64" i="70"/>
  <c r="S64" i="70" s="1"/>
  <c r="J64" i="70"/>
  <c r="R64" i="70" s="1"/>
  <c r="K63" i="70"/>
  <c r="S63" i="70" s="1"/>
  <c r="J63" i="70"/>
  <c r="R63" i="70" s="1"/>
  <c r="J62" i="70"/>
  <c r="R62" i="70" s="1"/>
  <c r="K122" i="69"/>
  <c r="J122" i="69"/>
  <c r="I122" i="69"/>
  <c r="H122" i="69"/>
  <c r="K121" i="69"/>
  <c r="J121" i="69"/>
  <c r="I121" i="69"/>
  <c r="H121" i="69"/>
  <c r="T120" i="69"/>
  <c r="N120" i="69"/>
  <c r="K120" i="69"/>
  <c r="J120" i="69"/>
  <c r="I120" i="69"/>
  <c r="H120" i="69"/>
  <c r="T119" i="69"/>
  <c r="N119" i="69"/>
  <c r="K119" i="69"/>
  <c r="J119" i="69"/>
  <c r="I119" i="69"/>
  <c r="H119" i="69"/>
  <c r="N118" i="69"/>
  <c r="L118" i="69"/>
  <c r="I118" i="69"/>
  <c r="Q118" i="69" s="1"/>
  <c r="H118" i="69"/>
  <c r="P118" i="69" s="1"/>
  <c r="N117" i="69"/>
  <c r="K117" i="69"/>
  <c r="J117" i="69"/>
  <c r="I117" i="69"/>
  <c r="Q117" i="69" s="1"/>
  <c r="H117" i="69"/>
  <c r="P117" i="69" s="1"/>
  <c r="N116" i="69"/>
  <c r="K116" i="69"/>
  <c r="J116" i="69"/>
  <c r="I116" i="69"/>
  <c r="Q116" i="69" s="1"/>
  <c r="H116" i="69"/>
  <c r="P116" i="69" s="1"/>
  <c r="N115" i="69"/>
  <c r="I115" i="69"/>
  <c r="Q115" i="69" s="1"/>
  <c r="H115" i="69"/>
  <c r="P115" i="69" s="1"/>
  <c r="T114" i="69"/>
  <c r="I114" i="69"/>
  <c r="Q114" i="69" s="1"/>
  <c r="H114" i="69"/>
  <c r="P114" i="69" s="1"/>
  <c r="N113" i="69"/>
  <c r="L113" i="69"/>
  <c r="I113" i="69"/>
  <c r="Q113" i="69" s="1"/>
  <c r="H113" i="69"/>
  <c r="P113" i="69" s="1"/>
  <c r="N112" i="69"/>
  <c r="L112" i="69"/>
  <c r="I112" i="69"/>
  <c r="Q112" i="69" s="1"/>
  <c r="H112" i="69"/>
  <c r="P112" i="69" s="1"/>
  <c r="N111" i="69"/>
  <c r="L111" i="69"/>
  <c r="I111" i="69"/>
  <c r="Q111" i="69" s="1"/>
  <c r="H111" i="69"/>
  <c r="P111" i="69" s="1"/>
  <c r="N110" i="69"/>
  <c r="K110" i="69"/>
  <c r="J110" i="69"/>
  <c r="K109" i="69"/>
  <c r="J109" i="69"/>
  <c r="K108" i="69"/>
  <c r="J108" i="69"/>
  <c r="K107" i="69"/>
  <c r="J107" i="69"/>
  <c r="K106" i="69"/>
  <c r="J106" i="69"/>
  <c r="K105" i="69"/>
  <c r="J105" i="69"/>
  <c r="K104" i="69"/>
  <c r="J104" i="69"/>
  <c r="K103" i="69"/>
  <c r="J103" i="69"/>
  <c r="N102" i="69"/>
  <c r="K102" i="69"/>
  <c r="J102" i="69"/>
  <c r="K101" i="69"/>
  <c r="J101" i="69"/>
  <c r="K100" i="69"/>
  <c r="J100" i="69"/>
  <c r="K99" i="69"/>
  <c r="J99" i="69"/>
  <c r="K98" i="69"/>
  <c r="J98" i="69"/>
  <c r="K97" i="69"/>
  <c r="J97" i="69"/>
  <c r="K96" i="69"/>
  <c r="J96" i="69"/>
  <c r="N95" i="69"/>
  <c r="K95" i="69"/>
  <c r="J95" i="69"/>
  <c r="N94" i="69"/>
  <c r="K94" i="69"/>
  <c r="J94" i="69"/>
  <c r="K93" i="69"/>
  <c r="J93" i="69"/>
  <c r="K92" i="69"/>
  <c r="J92" i="69"/>
  <c r="K91" i="69"/>
  <c r="J91" i="69"/>
  <c r="T90" i="69"/>
  <c r="K90" i="69"/>
  <c r="J90" i="69"/>
  <c r="K89" i="69"/>
  <c r="J89" i="69"/>
  <c r="N88" i="69"/>
  <c r="K88" i="69"/>
  <c r="J88" i="69"/>
  <c r="N87" i="69"/>
  <c r="K87" i="69"/>
  <c r="J87" i="69"/>
  <c r="N86" i="69"/>
  <c r="K86" i="69"/>
  <c r="J86" i="69"/>
  <c r="N85" i="69"/>
  <c r="K85" i="69"/>
  <c r="J85" i="69"/>
  <c r="K84" i="69"/>
  <c r="J84" i="69"/>
  <c r="K83" i="69"/>
  <c r="J83" i="69"/>
  <c r="K82" i="69"/>
  <c r="J82" i="69"/>
  <c r="N81" i="69"/>
  <c r="K81" i="69"/>
  <c r="J81" i="69"/>
  <c r="K80" i="69"/>
  <c r="J80" i="69"/>
  <c r="K79" i="69"/>
  <c r="J79" i="69"/>
  <c r="K78" i="69"/>
  <c r="J78" i="69"/>
  <c r="K77" i="69"/>
  <c r="J77" i="69"/>
  <c r="K76" i="69"/>
  <c r="J76" i="69"/>
  <c r="K75" i="69"/>
  <c r="J75" i="69"/>
  <c r="K74" i="69"/>
  <c r="J74" i="69"/>
  <c r="K73" i="69"/>
  <c r="J73" i="69"/>
  <c r="N72" i="69"/>
  <c r="K72" i="69"/>
  <c r="J72" i="69"/>
  <c r="K71" i="69"/>
  <c r="J71" i="69"/>
  <c r="K70" i="69"/>
  <c r="J70" i="69"/>
  <c r="N69" i="69"/>
  <c r="K69" i="69"/>
  <c r="J69" i="69"/>
  <c r="AC62" i="69"/>
  <c r="W9" i="17" s="1"/>
  <c r="AA62" i="69"/>
  <c r="U9" i="17" s="1"/>
  <c r="Y62" i="69"/>
  <c r="S9" i="17" s="1"/>
  <c r="G62" i="69"/>
  <c r="AE58" i="69"/>
  <c r="I110" i="69"/>
  <c r="Q110" i="69" s="1"/>
  <c r="H110" i="69"/>
  <c r="P110" i="69" s="1"/>
  <c r="I109" i="69"/>
  <c r="Q109" i="69" s="1"/>
  <c r="H109" i="69"/>
  <c r="P109" i="69" s="1"/>
  <c r="I108" i="69"/>
  <c r="Q108" i="69" s="1"/>
  <c r="H108" i="69"/>
  <c r="P108" i="69" s="1"/>
  <c r="I107" i="69"/>
  <c r="Q107" i="69" s="1"/>
  <c r="H107" i="69"/>
  <c r="P107" i="69" s="1"/>
  <c r="N106" i="69"/>
  <c r="I106" i="69"/>
  <c r="Q106" i="69" s="1"/>
  <c r="H106" i="69"/>
  <c r="P106" i="69" s="1"/>
  <c r="I105" i="69"/>
  <c r="Q105" i="69" s="1"/>
  <c r="H105" i="69"/>
  <c r="P105" i="69" s="1"/>
  <c r="I104" i="69"/>
  <c r="Q104" i="69" s="1"/>
  <c r="H104" i="69"/>
  <c r="P104" i="69" s="1"/>
  <c r="I103" i="69"/>
  <c r="Q103" i="69" s="1"/>
  <c r="H103" i="69"/>
  <c r="P103" i="69" s="1"/>
  <c r="I102" i="69"/>
  <c r="Q102" i="69" s="1"/>
  <c r="H102" i="69"/>
  <c r="P102" i="69" s="1"/>
  <c r="I101" i="69"/>
  <c r="Q101" i="69" s="1"/>
  <c r="H101" i="69"/>
  <c r="P101" i="69" s="1"/>
  <c r="N100" i="69"/>
  <c r="I100" i="69"/>
  <c r="Q100" i="69" s="1"/>
  <c r="H100" i="69"/>
  <c r="P100" i="69" s="1"/>
  <c r="I99" i="69"/>
  <c r="Q99" i="69" s="1"/>
  <c r="H99" i="69"/>
  <c r="P99" i="69" s="1"/>
  <c r="I98" i="69"/>
  <c r="Q98" i="69" s="1"/>
  <c r="H98" i="69"/>
  <c r="P98" i="69" s="1"/>
  <c r="N97" i="69"/>
  <c r="I97" i="69"/>
  <c r="Q97" i="69" s="1"/>
  <c r="H97" i="69"/>
  <c r="P97" i="69" s="1"/>
  <c r="I96" i="69"/>
  <c r="Q96" i="69" s="1"/>
  <c r="H96" i="69"/>
  <c r="P96" i="69" s="1"/>
  <c r="I95" i="69"/>
  <c r="Q95" i="69" s="1"/>
  <c r="H95" i="69"/>
  <c r="P95" i="69" s="1"/>
  <c r="I94" i="69"/>
  <c r="Q94" i="69" s="1"/>
  <c r="H94" i="69"/>
  <c r="P94" i="69" s="1"/>
  <c r="N93" i="69"/>
  <c r="I93" i="69"/>
  <c r="Q93" i="69" s="1"/>
  <c r="H93" i="69"/>
  <c r="P93" i="69" s="1"/>
  <c r="N92" i="69"/>
  <c r="I92" i="69"/>
  <c r="Q92" i="69" s="1"/>
  <c r="H92" i="69"/>
  <c r="P92" i="69" s="1"/>
  <c r="I91" i="69"/>
  <c r="Q91" i="69" s="1"/>
  <c r="H91" i="69"/>
  <c r="P91" i="69" s="1"/>
  <c r="I90" i="69"/>
  <c r="Q90" i="69" s="1"/>
  <c r="H90" i="69"/>
  <c r="P90" i="69" s="1"/>
  <c r="N89" i="69"/>
  <c r="I89" i="69"/>
  <c r="Q89" i="69" s="1"/>
  <c r="H89" i="69"/>
  <c r="P89" i="69" s="1"/>
  <c r="I88" i="69"/>
  <c r="Q88" i="69" s="1"/>
  <c r="H88" i="69"/>
  <c r="P88" i="69" s="1"/>
  <c r="I87" i="69"/>
  <c r="Q87" i="69" s="1"/>
  <c r="H87" i="69"/>
  <c r="P87" i="69" s="1"/>
  <c r="I86" i="69"/>
  <c r="Q86" i="69" s="1"/>
  <c r="H86" i="69"/>
  <c r="P86" i="69" s="1"/>
  <c r="I85" i="69"/>
  <c r="Q85" i="69" s="1"/>
  <c r="H85" i="69"/>
  <c r="P85" i="69" s="1"/>
  <c r="I84" i="69"/>
  <c r="Q84" i="69" s="1"/>
  <c r="H84" i="69"/>
  <c r="P84" i="69" s="1"/>
  <c r="I83" i="69"/>
  <c r="Q83" i="69" s="1"/>
  <c r="H83" i="69"/>
  <c r="P83" i="69" s="1"/>
  <c r="I82" i="69"/>
  <c r="Q82" i="69" s="1"/>
  <c r="H82" i="69"/>
  <c r="P82" i="69" s="1"/>
  <c r="I81" i="69"/>
  <c r="Q81" i="69" s="1"/>
  <c r="H81" i="69"/>
  <c r="P81" i="69" s="1"/>
  <c r="I80" i="69"/>
  <c r="Q80" i="69" s="1"/>
  <c r="H80" i="69"/>
  <c r="P80" i="69" s="1"/>
  <c r="I79" i="69"/>
  <c r="Q79" i="69" s="1"/>
  <c r="H79" i="69"/>
  <c r="P79" i="69" s="1"/>
  <c r="I78" i="69"/>
  <c r="Q78" i="69" s="1"/>
  <c r="H78" i="69"/>
  <c r="P78" i="69" s="1"/>
  <c r="I77" i="69"/>
  <c r="Q77" i="69" s="1"/>
  <c r="H77" i="69"/>
  <c r="P77" i="69" s="1"/>
  <c r="I76" i="69"/>
  <c r="Q76" i="69" s="1"/>
  <c r="H76" i="69"/>
  <c r="P76" i="69" s="1"/>
  <c r="I75" i="69"/>
  <c r="Q75" i="69" s="1"/>
  <c r="H75" i="69"/>
  <c r="P75" i="69" s="1"/>
  <c r="I74" i="69"/>
  <c r="Q74" i="69" s="1"/>
  <c r="H74" i="69"/>
  <c r="P74" i="69" s="1"/>
  <c r="I73" i="69"/>
  <c r="Q73" i="69" s="1"/>
  <c r="H73" i="69"/>
  <c r="P73" i="69" s="1"/>
  <c r="I72" i="69"/>
  <c r="Q72" i="69" s="1"/>
  <c r="H72" i="69"/>
  <c r="P72" i="69" s="1"/>
  <c r="I71" i="69"/>
  <c r="Q71" i="69" s="1"/>
  <c r="P71" i="69"/>
  <c r="I70" i="69"/>
  <c r="Q70" i="69" s="1"/>
  <c r="H70" i="69"/>
  <c r="P70" i="69" s="1"/>
  <c r="H69" i="69"/>
  <c r="P69" i="69" s="1"/>
  <c r="Q119" i="68"/>
  <c r="P119" i="68"/>
  <c r="L117" i="68"/>
  <c r="K116" i="68"/>
  <c r="J116" i="68"/>
  <c r="K115" i="68"/>
  <c r="J115" i="68"/>
  <c r="T114" i="68"/>
  <c r="K114" i="68"/>
  <c r="J114" i="68"/>
  <c r="K113" i="68"/>
  <c r="J113" i="68"/>
  <c r="K112" i="68"/>
  <c r="J112" i="68"/>
  <c r="K111" i="68"/>
  <c r="J111" i="68"/>
  <c r="T110" i="68"/>
  <c r="K110" i="68"/>
  <c r="J110" i="68"/>
  <c r="K109" i="68"/>
  <c r="J109" i="68"/>
  <c r="T108" i="68"/>
  <c r="K105" i="68"/>
  <c r="J105" i="68"/>
  <c r="K104" i="68"/>
  <c r="J104" i="68"/>
  <c r="K103" i="68"/>
  <c r="J103" i="68"/>
  <c r="K102" i="68"/>
  <c r="J102" i="68"/>
  <c r="K101" i="68"/>
  <c r="J101" i="68"/>
  <c r="K100" i="68"/>
  <c r="J100" i="68"/>
  <c r="K99" i="68"/>
  <c r="J99" i="68"/>
  <c r="K98" i="68"/>
  <c r="J98" i="68"/>
  <c r="K97" i="68"/>
  <c r="J97" i="68"/>
  <c r="K96" i="68"/>
  <c r="J96" i="68"/>
  <c r="K95" i="68"/>
  <c r="J95" i="68"/>
  <c r="K94" i="68"/>
  <c r="J94" i="68"/>
  <c r="K93" i="68"/>
  <c r="J93" i="68"/>
  <c r="K92" i="68"/>
  <c r="J92" i="68"/>
  <c r="K91" i="68"/>
  <c r="J91" i="68"/>
  <c r="K90" i="68"/>
  <c r="J90" i="68"/>
  <c r="K89" i="68"/>
  <c r="J89" i="68"/>
  <c r="K88" i="68"/>
  <c r="J88" i="68"/>
  <c r="K87" i="68"/>
  <c r="J87" i="68"/>
  <c r="K86" i="68"/>
  <c r="J86" i="68"/>
  <c r="K85" i="68"/>
  <c r="J85" i="68"/>
  <c r="K84" i="68"/>
  <c r="J84" i="68"/>
  <c r="K83" i="68"/>
  <c r="J83" i="68"/>
  <c r="K82" i="68"/>
  <c r="J82" i="68"/>
  <c r="K81" i="68"/>
  <c r="J81" i="68"/>
  <c r="K80" i="68"/>
  <c r="J80" i="68"/>
  <c r="K79" i="68"/>
  <c r="J79" i="68"/>
  <c r="K78" i="68"/>
  <c r="J78" i="68"/>
  <c r="K77" i="68"/>
  <c r="J77" i="68"/>
  <c r="K76" i="68"/>
  <c r="J76" i="68"/>
  <c r="K75" i="68"/>
  <c r="J75" i="68"/>
  <c r="K74" i="68"/>
  <c r="J74" i="68"/>
  <c r="K73" i="68"/>
  <c r="J73" i="68"/>
  <c r="K72" i="68"/>
  <c r="J72" i="68"/>
  <c r="K71" i="68"/>
  <c r="J71" i="68"/>
  <c r="K70" i="68"/>
  <c r="J70" i="68"/>
  <c r="K69" i="68"/>
  <c r="J69" i="68"/>
  <c r="K68" i="68"/>
  <c r="J68" i="68"/>
  <c r="AC60" i="68"/>
  <c r="W8" i="17" s="1"/>
  <c r="AA60" i="68"/>
  <c r="U8" i="17" s="1"/>
  <c r="Y60" i="68"/>
  <c r="S8" i="17" s="1"/>
  <c r="G60" i="68"/>
  <c r="AD59" i="68"/>
  <c r="Q118" i="68"/>
  <c r="P118" i="68"/>
  <c r="Q117" i="68"/>
  <c r="P117" i="68"/>
  <c r="H116" i="68"/>
  <c r="I115" i="68"/>
  <c r="H115" i="68"/>
  <c r="AE54" i="68"/>
  <c r="Q114" i="68"/>
  <c r="Q113" i="68"/>
  <c r="P113" i="68"/>
  <c r="Q112" i="68"/>
  <c r="P112" i="68"/>
  <c r="AE51" i="68"/>
  <c r="AE50" i="68"/>
  <c r="I110" i="68"/>
  <c r="P110" i="68"/>
  <c r="H109" i="68"/>
  <c r="AE48" i="68"/>
  <c r="Q108" i="68"/>
  <c r="Q107" i="68"/>
  <c r="P107" i="68"/>
  <c r="P106" i="68"/>
  <c r="Q105" i="68"/>
  <c r="I104" i="68"/>
  <c r="H104" i="68"/>
  <c r="Q102" i="68"/>
  <c r="H102" i="68"/>
  <c r="Q101" i="68"/>
  <c r="P101" i="68"/>
  <c r="I99" i="68"/>
  <c r="I98" i="68"/>
  <c r="H98" i="68"/>
  <c r="I96" i="68"/>
  <c r="Q95" i="68"/>
  <c r="H95" i="68"/>
  <c r="H94" i="68"/>
  <c r="P93" i="68"/>
  <c r="I92" i="68"/>
  <c r="P92" i="68"/>
  <c r="I91" i="68"/>
  <c r="H91" i="68"/>
  <c r="I90" i="68"/>
  <c r="I89" i="68"/>
  <c r="H89" i="68"/>
  <c r="Q88" i="68"/>
  <c r="P88" i="68"/>
  <c r="Q87" i="68"/>
  <c r="P87" i="68"/>
  <c r="Q85" i="68"/>
  <c r="H85" i="68"/>
  <c r="I84" i="68"/>
  <c r="I83" i="68"/>
  <c r="H83" i="68"/>
  <c r="Q82" i="68"/>
  <c r="H82" i="68"/>
  <c r="Q81" i="68"/>
  <c r="H81" i="68"/>
  <c r="Q80" i="68"/>
  <c r="P80" i="68"/>
  <c r="Q79" i="68"/>
  <c r="P79" i="68"/>
  <c r="Q78" i="68"/>
  <c r="H78" i="68"/>
  <c r="I77" i="68"/>
  <c r="H77" i="68"/>
  <c r="I76" i="68"/>
  <c r="H76" i="68"/>
  <c r="Q75" i="68"/>
  <c r="H75" i="68"/>
  <c r="N60" i="68"/>
  <c r="H8" i="17" s="1"/>
  <c r="Q74" i="68"/>
  <c r="H74" i="68"/>
  <c r="Q73" i="68"/>
  <c r="P73" i="68"/>
  <c r="Q72" i="68"/>
  <c r="P72" i="68"/>
  <c r="P71" i="68"/>
  <c r="Q70" i="68"/>
  <c r="Q69" i="68"/>
  <c r="P69" i="68"/>
  <c r="H68" i="68"/>
  <c r="L126" i="43"/>
  <c r="L125" i="43"/>
  <c r="L124" i="43"/>
  <c r="P123" i="43"/>
  <c r="N123" i="43"/>
  <c r="L123" i="43"/>
  <c r="T122" i="43"/>
  <c r="P122" i="43"/>
  <c r="L122" i="43"/>
  <c r="I122" i="43"/>
  <c r="H122" i="43"/>
  <c r="Q121" i="43"/>
  <c r="P121" i="43"/>
  <c r="K121" i="43"/>
  <c r="J121" i="43"/>
  <c r="I121" i="43"/>
  <c r="H121" i="43"/>
  <c r="Q120" i="43"/>
  <c r="P120" i="43"/>
  <c r="K120" i="43"/>
  <c r="J120" i="43"/>
  <c r="I120" i="43"/>
  <c r="H120" i="43"/>
  <c r="Q119" i="43"/>
  <c r="P119" i="43"/>
  <c r="K119" i="43"/>
  <c r="J119" i="43"/>
  <c r="I119" i="43"/>
  <c r="H119" i="43"/>
  <c r="Q118" i="43"/>
  <c r="P118" i="43"/>
  <c r="K118" i="43"/>
  <c r="J118" i="43"/>
  <c r="I118" i="43"/>
  <c r="H118" i="43"/>
  <c r="Q117" i="43"/>
  <c r="P117" i="43"/>
  <c r="K117" i="43"/>
  <c r="J117" i="43"/>
  <c r="I117" i="43"/>
  <c r="H117" i="43"/>
  <c r="Q116" i="43"/>
  <c r="P116" i="43"/>
  <c r="K116" i="43"/>
  <c r="J116" i="43"/>
  <c r="I116" i="43"/>
  <c r="H116" i="43"/>
  <c r="Q115" i="43"/>
  <c r="P115" i="43"/>
  <c r="K115" i="43"/>
  <c r="J115" i="43"/>
  <c r="I115" i="43"/>
  <c r="H115" i="43"/>
  <c r="Q114" i="43"/>
  <c r="P114" i="43"/>
  <c r="K114" i="43"/>
  <c r="J114" i="43"/>
  <c r="I114" i="43"/>
  <c r="H114" i="43"/>
  <c r="Q113" i="43"/>
  <c r="P113" i="43"/>
  <c r="K113" i="43"/>
  <c r="J113" i="43"/>
  <c r="I113" i="43"/>
  <c r="H113" i="43"/>
  <c r="Q112" i="43"/>
  <c r="P112" i="43"/>
  <c r="K112" i="43"/>
  <c r="J112" i="43"/>
  <c r="I112" i="43"/>
  <c r="H112" i="43"/>
  <c r="Q111" i="43"/>
  <c r="P111" i="43"/>
  <c r="K111" i="43"/>
  <c r="J111" i="43"/>
  <c r="I111" i="43"/>
  <c r="H111" i="43"/>
  <c r="Q110" i="43"/>
  <c r="P110" i="43"/>
  <c r="K110" i="43"/>
  <c r="J110" i="43"/>
  <c r="I110" i="43"/>
  <c r="H110" i="43"/>
  <c r="Q109" i="43"/>
  <c r="P109" i="43"/>
  <c r="K109" i="43"/>
  <c r="J109" i="43"/>
  <c r="I109" i="43"/>
  <c r="H109" i="43"/>
  <c r="Q108" i="43"/>
  <c r="P108" i="43"/>
  <c r="K108" i="43"/>
  <c r="J108" i="43"/>
  <c r="I108" i="43"/>
  <c r="H108" i="43"/>
  <c r="Q107" i="43"/>
  <c r="P107" i="43"/>
  <c r="K107" i="43"/>
  <c r="J107" i="43"/>
  <c r="I107" i="43"/>
  <c r="H107" i="43"/>
  <c r="Q106" i="43"/>
  <c r="P106" i="43"/>
  <c r="K106" i="43"/>
  <c r="J106" i="43"/>
  <c r="I106" i="43"/>
  <c r="H106" i="43"/>
  <c r="K105" i="43"/>
  <c r="J105" i="43"/>
  <c r="K104" i="43"/>
  <c r="J104" i="43"/>
  <c r="K103" i="43"/>
  <c r="J103" i="43"/>
  <c r="K102" i="43"/>
  <c r="J102" i="43"/>
  <c r="K101" i="43"/>
  <c r="J101" i="43"/>
  <c r="K100" i="43"/>
  <c r="J100" i="43"/>
  <c r="K99" i="43"/>
  <c r="J99" i="43"/>
  <c r="K98" i="43"/>
  <c r="J98" i="43"/>
  <c r="K97" i="43"/>
  <c r="J97" i="43"/>
  <c r="K96" i="43"/>
  <c r="J96" i="43"/>
  <c r="K95" i="43"/>
  <c r="J95" i="43"/>
  <c r="K94" i="43"/>
  <c r="J94" i="43"/>
  <c r="K93" i="43"/>
  <c r="J93" i="43"/>
  <c r="K92" i="43"/>
  <c r="J92" i="43"/>
  <c r="K91" i="43"/>
  <c r="J91" i="43"/>
  <c r="K90" i="43"/>
  <c r="J90" i="43"/>
  <c r="K89" i="43"/>
  <c r="J89" i="43"/>
  <c r="K88" i="43"/>
  <c r="J88" i="43"/>
  <c r="T86" i="43"/>
  <c r="K87" i="43"/>
  <c r="J87" i="43"/>
  <c r="K86" i="43"/>
  <c r="J86" i="43"/>
  <c r="K85" i="43"/>
  <c r="J85" i="43"/>
  <c r="K84" i="43"/>
  <c r="J84" i="43"/>
  <c r="K83" i="43"/>
  <c r="J83" i="43"/>
  <c r="K82" i="43"/>
  <c r="J82" i="43"/>
  <c r="K81" i="43"/>
  <c r="J81" i="43"/>
  <c r="K80" i="43"/>
  <c r="J80" i="43"/>
  <c r="K79" i="43"/>
  <c r="J79" i="43"/>
  <c r="K78" i="43"/>
  <c r="J78" i="43"/>
  <c r="K77" i="43"/>
  <c r="J77" i="43"/>
  <c r="K76" i="43"/>
  <c r="J76" i="43"/>
  <c r="K75" i="43"/>
  <c r="J75" i="43"/>
  <c r="K74" i="43"/>
  <c r="J74" i="43"/>
  <c r="K73" i="43"/>
  <c r="J73" i="43"/>
  <c r="K72" i="43"/>
  <c r="J72" i="43"/>
  <c r="T71" i="43"/>
  <c r="K71" i="43"/>
  <c r="J71" i="43"/>
  <c r="K70" i="43"/>
  <c r="J70" i="43"/>
  <c r="K69" i="43"/>
  <c r="J69" i="43"/>
  <c r="AC61" i="43"/>
  <c r="W7" i="17" s="1"/>
  <c r="M61" i="43"/>
  <c r="G7" i="17" s="1"/>
  <c r="H61" i="43"/>
  <c r="G61" i="43"/>
  <c r="AE59" i="43"/>
  <c r="AE57" i="43"/>
  <c r="AE55" i="43"/>
  <c r="I104" i="43"/>
  <c r="H103" i="43"/>
  <c r="P102" i="43"/>
  <c r="I100" i="43"/>
  <c r="P100" i="43"/>
  <c r="H99" i="43"/>
  <c r="Q97" i="43"/>
  <c r="P97" i="43"/>
  <c r="Q96" i="43"/>
  <c r="H95" i="43"/>
  <c r="I94" i="43"/>
  <c r="H94" i="43"/>
  <c r="Q92" i="43"/>
  <c r="I91" i="43"/>
  <c r="P91" i="43"/>
  <c r="I89" i="43"/>
  <c r="Q88" i="43"/>
  <c r="H88" i="43"/>
  <c r="Q86" i="43"/>
  <c r="I85" i="43"/>
  <c r="I83" i="43"/>
  <c r="Q82" i="43"/>
  <c r="H82" i="43"/>
  <c r="P81" i="43"/>
  <c r="Q80" i="43"/>
  <c r="I79" i="43"/>
  <c r="P79" i="43"/>
  <c r="P78" i="43"/>
  <c r="Q77" i="43"/>
  <c r="H77" i="43"/>
  <c r="I76" i="43"/>
  <c r="P76" i="43"/>
  <c r="I75" i="43"/>
  <c r="H75" i="43"/>
  <c r="I74" i="43"/>
  <c r="H74" i="43"/>
  <c r="I73" i="43"/>
  <c r="H73" i="43"/>
  <c r="Q72" i="43"/>
  <c r="H72" i="43"/>
  <c r="AE10" i="43"/>
  <c r="I71" i="43"/>
  <c r="H71" i="43"/>
  <c r="Y61" i="43"/>
  <c r="S7" i="17" s="1"/>
  <c r="Q70" i="43"/>
  <c r="P70" i="43"/>
  <c r="H69" i="43"/>
  <c r="P69" i="43" s="1"/>
  <c r="I53" i="41"/>
  <c r="I52" i="41"/>
  <c r="I51" i="41"/>
  <c r="I50" i="41"/>
  <c r="I49" i="41"/>
  <c r="I48" i="41"/>
  <c r="I47" i="41"/>
  <c r="I46" i="41"/>
  <c r="I45" i="41"/>
  <c r="I44" i="41"/>
  <c r="I43" i="41"/>
  <c r="I42" i="41"/>
  <c r="I41" i="41"/>
  <c r="I40" i="41"/>
  <c r="I39" i="41"/>
  <c r="I38" i="41"/>
  <c r="I37" i="41"/>
  <c r="I36" i="41"/>
  <c r="I35" i="41"/>
  <c r="I34" i="41"/>
  <c r="I33" i="41"/>
  <c r="I32" i="41"/>
  <c r="E26" i="55"/>
  <c r="E14" i="55"/>
  <c r="E23" i="55"/>
  <c r="E7" i="55"/>
  <c r="E20" i="55"/>
  <c r="E11" i="55"/>
  <c r="E13" i="55"/>
  <c r="E17" i="55"/>
  <c r="E18" i="55"/>
  <c r="E10" i="55"/>
  <c r="E8" i="55"/>
  <c r="E9" i="55"/>
  <c r="E16" i="55"/>
  <c r="E24" i="55"/>
  <c r="E25" i="55"/>
  <c r="E22" i="55"/>
  <c r="E19" i="55"/>
  <c r="E6" i="55"/>
  <c r="E21" i="55"/>
  <c r="N136" i="76"/>
  <c r="K136" i="76"/>
  <c r="J136" i="76"/>
  <c r="I136" i="76"/>
  <c r="H136" i="76"/>
  <c r="N135" i="76"/>
  <c r="K135" i="76"/>
  <c r="J135" i="76"/>
  <c r="I135" i="76"/>
  <c r="H135" i="76"/>
  <c r="K134" i="76"/>
  <c r="J134" i="76"/>
  <c r="I134" i="76"/>
  <c r="H134" i="76"/>
  <c r="K133" i="76"/>
  <c r="J133" i="76"/>
  <c r="I133" i="76"/>
  <c r="H133" i="76"/>
  <c r="Q132" i="76"/>
  <c r="P132" i="76"/>
  <c r="K132" i="76"/>
  <c r="J132" i="76"/>
  <c r="I132" i="76"/>
  <c r="H132" i="76"/>
  <c r="S131" i="76"/>
  <c r="R131" i="76"/>
  <c r="Q131" i="76"/>
  <c r="P131" i="76"/>
  <c r="K131" i="76"/>
  <c r="J131" i="76"/>
  <c r="I131" i="76"/>
  <c r="H131" i="76"/>
  <c r="S130" i="76"/>
  <c r="R130" i="76"/>
  <c r="Q130" i="76"/>
  <c r="P130" i="76"/>
  <c r="K130" i="76"/>
  <c r="J130" i="76"/>
  <c r="I130" i="76"/>
  <c r="H130" i="76"/>
  <c r="S129" i="76"/>
  <c r="R129" i="76"/>
  <c r="Q129" i="76"/>
  <c r="P129" i="76"/>
  <c r="K129" i="76"/>
  <c r="J129" i="76"/>
  <c r="I129" i="76"/>
  <c r="H129" i="76"/>
  <c r="S128" i="76"/>
  <c r="R128" i="76"/>
  <c r="Q128" i="76"/>
  <c r="P128" i="76"/>
  <c r="K128" i="76"/>
  <c r="J128" i="76"/>
  <c r="I128" i="76"/>
  <c r="H128" i="76"/>
  <c r="S127" i="76"/>
  <c r="R127" i="76"/>
  <c r="Q127" i="76"/>
  <c r="P127" i="76"/>
  <c r="K127" i="76"/>
  <c r="J127" i="76"/>
  <c r="I127" i="76"/>
  <c r="H127" i="76"/>
  <c r="S126" i="76"/>
  <c r="R126" i="76"/>
  <c r="Q126" i="76"/>
  <c r="P126" i="76"/>
  <c r="K126" i="76"/>
  <c r="J126" i="76"/>
  <c r="I126" i="76"/>
  <c r="H126" i="76"/>
  <c r="S125" i="76"/>
  <c r="T124" i="76" s="1"/>
  <c r="R125" i="76"/>
  <c r="Q125" i="76"/>
  <c r="P125" i="76"/>
  <c r="K125" i="76"/>
  <c r="J125" i="76"/>
  <c r="I125" i="76"/>
  <c r="Q124" i="76"/>
  <c r="P124" i="76"/>
  <c r="K124" i="76"/>
  <c r="J124" i="76"/>
  <c r="I124" i="76"/>
  <c r="T121" i="76"/>
  <c r="Q123" i="76"/>
  <c r="P123" i="76"/>
  <c r="K123" i="76"/>
  <c r="J123" i="76"/>
  <c r="I123" i="76"/>
  <c r="Q122" i="76"/>
  <c r="K122" i="76"/>
  <c r="J122" i="76"/>
  <c r="I122" i="76"/>
  <c r="Q121" i="76"/>
  <c r="K121" i="76"/>
  <c r="J121" i="76"/>
  <c r="I121" i="76"/>
  <c r="T118" i="76"/>
  <c r="Q120" i="76"/>
  <c r="K120" i="76"/>
  <c r="J120" i="76"/>
  <c r="I120" i="76"/>
  <c r="Q119" i="76"/>
  <c r="K119" i="76"/>
  <c r="J119" i="76"/>
  <c r="I119" i="76"/>
  <c r="Q118" i="76"/>
  <c r="K118" i="76"/>
  <c r="J118" i="76"/>
  <c r="I118" i="76"/>
  <c r="K117" i="76"/>
  <c r="J117" i="76"/>
  <c r="T116" i="76"/>
  <c r="K116" i="76"/>
  <c r="J116" i="76"/>
  <c r="K115" i="76"/>
  <c r="J115" i="76"/>
  <c r="K114" i="76"/>
  <c r="J114" i="76"/>
  <c r="K113" i="76"/>
  <c r="J113" i="76"/>
  <c r="K112" i="76"/>
  <c r="J112" i="76"/>
  <c r="T110" i="76"/>
  <c r="K111" i="76"/>
  <c r="J111" i="76"/>
  <c r="K110" i="76"/>
  <c r="J110" i="76"/>
  <c r="K109" i="76"/>
  <c r="J109" i="76"/>
  <c r="K108" i="76"/>
  <c r="J108" i="76"/>
  <c r="K107" i="76"/>
  <c r="J107" i="76"/>
  <c r="T106" i="76"/>
  <c r="K106" i="76"/>
  <c r="J106" i="76"/>
  <c r="K105" i="76"/>
  <c r="J105" i="76"/>
  <c r="K104" i="76"/>
  <c r="J104" i="76"/>
  <c r="K103" i="76"/>
  <c r="J103" i="76"/>
  <c r="K102" i="76"/>
  <c r="J102" i="76"/>
  <c r="K101" i="76"/>
  <c r="J101" i="76"/>
  <c r="K100" i="76"/>
  <c r="J100" i="76"/>
  <c r="K99" i="76"/>
  <c r="J99" i="76"/>
  <c r="T98" i="76"/>
  <c r="K98" i="76"/>
  <c r="J98" i="76"/>
  <c r="T96" i="76"/>
  <c r="K97" i="76"/>
  <c r="J97" i="76"/>
  <c r="K96" i="76"/>
  <c r="J96" i="76"/>
  <c r="T94" i="76"/>
  <c r="K95" i="76"/>
  <c r="J95" i="76"/>
  <c r="K94" i="76"/>
  <c r="J94" i="76"/>
  <c r="T92" i="76"/>
  <c r="K93" i="76"/>
  <c r="J93" i="76"/>
  <c r="K92" i="76"/>
  <c r="J92" i="76"/>
  <c r="T90" i="76"/>
  <c r="K91" i="76"/>
  <c r="J91" i="76"/>
  <c r="K90" i="76"/>
  <c r="J90" i="76"/>
  <c r="T88" i="76"/>
  <c r="K89" i="76"/>
  <c r="J89" i="76"/>
  <c r="K88" i="76"/>
  <c r="J88" i="76"/>
  <c r="K87" i="76"/>
  <c r="J87" i="76"/>
  <c r="K86" i="76"/>
  <c r="J86" i="76"/>
  <c r="K85" i="76"/>
  <c r="J85" i="76"/>
  <c r="K84" i="76"/>
  <c r="J84" i="76"/>
  <c r="K83" i="76"/>
  <c r="J83" i="76"/>
  <c r="K82" i="76"/>
  <c r="J82" i="76"/>
  <c r="K81" i="76"/>
  <c r="J81" i="76"/>
  <c r="K80" i="76"/>
  <c r="J80" i="76"/>
  <c r="S79" i="76"/>
  <c r="R79" i="76"/>
  <c r="K79" i="76"/>
  <c r="J79" i="76"/>
  <c r="M74" i="76"/>
  <c r="Y71" i="76"/>
  <c r="S16" i="17" s="1"/>
  <c r="N71" i="76"/>
  <c r="H16" i="17" s="1"/>
  <c r="H71" i="76"/>
  <c r="B16" i="17" s="1"/>
  <c r="G71" i="76"/>
  <c r="AE70" i="76"/>
  <c r="AD70" i="76"/>
  <c r="AE69" i="76"/>
  <c r="AD69" i="76"/>
  <c r="AE68" i="76"/>
  <c r="AD68" i="76"/>
  <c r="AE67" i="76"/>
  <c r="AD67" i="76"/>
  <c r="AE66" i="76"/>
  <c r="AD66" i="76"/>
  <c r="AE65" i="76"/>
  <c r="AD65" i="76"/>
  <c r="AE64" i="76"/>
  <c r="AD64" i="76"/>
  <c r="AE63" i="76"/>
  <c r="AD63" i="76"/>
  <c r="AE62" i="76"/>
  <c r="U62" i="76"/>
  <c r="AE61" i="76"/>
  <c r="Q117" i="76"/>
  <c r="I115" i="76"/>
  <c r="I113" i="76"/>
  <c r="P113" i="76"/>
  <c r="AE41" i="76"/>
  <c r="Q112" i="76"/>
  <c r="P112" i="76"/>
  <c r="Q111" i="76"/>
  <c r="P111" i="76"/>
  <c r="AE39" i="76"/>
  <c r="Q109" i="76"/>
  <c r="H109" i="76"/>
  <c r="I108" i="76"/>
  <c r="P108" i="76"/>
  <c r="I107" i="76"/>
  <c r="H107" i="76"/>
  <c r="AE35" i="76"/>
  <c r="Q106" i="76"/>
  <c r="P106" i="76"/>
  <c r="I105" i="76"/>
  <c r="P105" i="76"/>
  <c r="AE33" i="76"/>
  <c r="Q103" i="76"/>
  <c r="P103" i="76"/>
  <c r="AE31" i="76"/>
  <c r="I102" i="76"/>
  <c r="P102" i="76"/>
  <c r="Q101" i="76"/>
  <c r="H101" i="76"/>
  <c r="P100" i="76"/>
  <c r="AE28" i="76"/>
  <c r="I99" i="76"/>
  <c r="H99" i="76"/>
  <c r="AE27" i="76"/>
  <c r="Q98" i="76"/>
  <c r="P98" i="76"/>
  <c r="Q97" i="76"/>
  <c r="H97" i="76"/>
  <c r="AE25" i="76"/>
  <c r="Q96" i="76"/>
  <c r="P96" i="76"/>
  <c r="Q95" i="76"/>
  <c r="H95" i="76"/>
  <c r="AE23" i="76"/>
  <c r="Q94" i="76"/>
  <c r="P94" i="76"/>
  <c r="AA71" i="76"/>
  <c r="U16" i="17" s="1"/>
  <c r="Q93" i="76"/>
  <c r="H93" i="76"/>
  <c r="AE21" i="76"/>
  <c r="Q92" i="76"/>
  <c r="P92" i="76"/>
  <c r="Q91" i="76"/>
  <c r="H91" i="76"/>
  <c r="AE19" i="76"/>
  <c r="Q90" i="76"/>
  <c r="P90" i="76"/>
  <c r="I89" i="76"/>
  <c r="H89" i="76"/>
  <c r="AE17" i="76"/>
  <c r="Q88" i="76"/>
  <c r="P88" i="76"/>
  <c r="I87" i="76"/>
  <c r="H87" i="76"/>
  <c r="Q86" i="76"/>
  <c r="P86" i="76"/>
  <c r="AE14" i="76"/>
  <c r="I85" i="76"/>
  <c r="H85" i="76"/>
  <c r="Q84" i="76"/>
  <c r="I83" i="76"/>
  <c r="H83" i="76"/>
  <c r="AE11" i="76"/>
  <c r="Q82" i="76"/>
  <c r="P82" i="76"/>
  <c r="AC71" i="76"/>
  <c r="W16" i="17" s="1"/>
  <c r="I81" i="76"/>
  <c r="H81" i="76"/>
  <c r="Q80" i="76"/>
  <c r="P80" i="76"/>
  <c r="I79" i="76"/>
  <c r="H79" i="76"/>
  <c r="F20" i="55"/>
  <c r="F22" i="55"/>
  <c r="F23" i="55"/>
  <c r="F10" i="55"/>
  <c r="F5" i="55"/>
  <c r="F25" i="55"/>
  <c r="F17" i="55"/>
  <c r="F21" i="55"/>
  <c r="F15" i="55"/>
  <c r="F24" i="55"/>
  <c r="F11" i="55"/>
  <c r="F6" i="55"/>
  <c r="F19" i="55"/>
  <c r="F14" i="55"/>
  <c r="F18" i="55"/>
  <c r="F7" i="55"/>
  <c r="F26" i="55"/>
  <c r="F13" i="55"/>
  <c r="F8" i="55"/>
  <c r="F16" i="55"/>
  <c r="F12" i="55"/>
  <c r="F9" i="55"/>
  <c r="N12" i="80"/>
  <c r="M12" i="80"/>
  <c r="L12" i="80"/>
  <c r="K12" i="80"/>
  <c r="J12" i="80"/>
  <c r="I12" i="80"/>
  <c r="H12" i="80"/>
  <c r="G12" i="80"/>
  <c r="F12" i="80"/>
  <c r="E12" i="80"/>
  <c r="D12" i="80"/>
  <c r="C12" i="80"/>
  <c r="M1" i="80"/>
  <c r="V50" i="67"/>
  <c r="V48" i="67"/>
  <c r="V47" i="67"/>
  <c r="V46" i="67"/>
  <c r="V45" i="67"/>
  <c r="V44" i="67"/>
  <c r="V43" i="67"/>
  <c r="V42" i="67"/>
  <c r="V41" i="67"/>
  <c r="V40" i="67"/>
  <c r="V39" i="67"/>
  <c r="V38" i="67"/>
  <c r="V37" i="67"/>
  <c r="V36" i="67"/>
  <c r="V35" i="67"/>
  <c r="V34" i="67"/>
  <c r="V33" i="67"/>
  <c r="V32" i="67"/>
  <c r="V30" i="67"/>
  <c r="V29" i="67"/>
  <c r="V28" i="67"/>
  <c r="V27" i="67"/>
  <c r="V26" i="67"/>
  <c r="V24" i="67"/>
  <c r="V23" i="67"/>
  <c r="V22" i="67"/>
  <c r="V21" i="67"/>
  <c r="V20" i="67"/>
  <c r="V18" i="67"/>
  <c r="V17" i="67"/>
  <c r="V16" i="67"/>
  <c r="V15" i="67"/>
  <c r="V14" i="67"/>
  <c r="V12" i="67"/>
  <c r="V11" i="67"/>
  <c r="V10" i="67"/>
  <c r="V9" i="67"/>
  <c r="V8" i="67"/>
  <c r="AU673" i="79"/>
  <c r="AT673" i="79"/>
  <c r="AS673" i="79"/>
  <c r="AR673" i="79"/>
  <c r="AQ673" i="79"/>
  <c r="AP673" i="79"/>
  <c r="AO673" i="79"/>
  <c r="AN673" i="79"/>
  <c r="AM673" i="79"/>
  <c r="AL673" i="79"/>
  <c r="AK673" i="79"/>
  <c r="AJ673" i="79"/>
  <c r="AI673" i="79"/>
  <c r="AH673" i="79"/>
  <c r="AG673" i="79"/>
  <c r="AF673" i="79"/>
  <c r="AE673" i="79"/>
  <c r="AD673" i="79"/>
  <c r="AC673" i="79"/>
  <c r="AB673" i="79"/>
  <c r="AA673" i="79"/>
  <c r="Z673" i="79"/>
  <c r="Y673" i="79"/>
  <c r="X673" i="79"/>
  <c r="W673" i="79"/>
  <c r="V673" i="79"/>
  <c r="U673" i="79"/>
  <c r="T673" i="79"/>
  <c r="S673" i="79"/>
  <c r="R673" i="79"/>
  <c r="Q673" i="79"/>
  <c r="P673" i="79"/>
  <c r="O673" i="79"/>
  <c r="N673" i="79"/>
  <c r="M673" i="79"/>
  <c r="L673" i="79"/>
  <c r="K673" i="79"/>
  <c r="J673" i="79"/>
  <c r="I673" i="79"/>
  <c r="H673" i="79"/>
  <c r="G673" i="79"/>
  <c r="F673" i="79"/>
  <c r="E673" i="79"/>
  <c r="D673" i="79"/>
  <c r="C673" i="79"/>
  <c r="B673" i="79"/>
  <c r="AV672" i="79"/>
  <c r="AV671" i="79"/>
  <c r="AV670" i="79"/>
  <c r="AV669" i="79"/>
  <c r="V61" i="77" s="1"/>
  <c r="AV668" i="79"/>
  <c r="V60" i="77" s="1"/>
  <c r="AV667" i="79"/>
  <c r="V59" i="77" s="1"/>
  <c r="AV666" i="79"/>
  <c r="V58" i="77" s="1"/>
  <c r="AV665" i="79"/>
  <c r="V57" i="77" s="1"/>
  <c r="AV664" i="79"/>
  <c r="AV663" i="79"/>
  <c r="V55" i="77" s="1"/>
  <c r="AV662" i="79"/>
  <c r="V54" i="77" s="1"/>
  <c r="AV661" i="79"/>
  <c r="V53" i="77" s="1"/>
  <c r="AV660" i="79"/>
  <c r="V51" i="77" s="1"/>
  <c r="AV659" i="79"/>
  <c r="AV658" i="79"/>
  <c r="V49" i="77" s="1"/>
  <c r="AV657" i="79"/>
  <c r="V48" i="77" s="1"/>
  <c r="AV656" i="79"/>
  <c r="V47" i="77" s="1"/>
  <c r="AV655" i="79"/>
  <c r="V46" i="77" s="1"/>
  <c r="AV654" i="79"/>
  <c r="V45" i="77" s="1"/>
  <c r="AV653" i="79"/>
  <c r="V44" i="77" s="1"/>
  <c r="AV652" i="79"/>
  <c r="V43" i="77" s="1"/>
  <c r="AV651" i="79"/>
  <c r="V42" i="77" s="1"/>
  <c r="AV650" i="79"/>
  <c r="V41" i="77" s="1"/>
  <c r="AV649" i="79"/>
  <c r="V40" i="77" s="1"/>
  <c r="AV648" i="79"/>
  <c r="AV647" i="79"/>
  <c r="V38" i="77" s="1"/>
  <c r="AV646" i="79"/>
  <c r="AV645" i="79"/>
  <c r="V36" i="77" s="1"/>
  <c r="AV644" i="79"/>
  <c r="V35" i="77" s="1"/>
  <c r="AV643" i="79"/>
  <c r="V34" i="77" s="1"/>
  <c r="AV642" i="79"/>
  <c r="AV641" i="79"/>
  <c r="V32" i="77" s="1"/>
  <c r="AV640" i="79"/>
  <c r="V31" i="77" s="1"/>
  <c r="AV639" i="79"/>
  <c r="V30" i="77" s="1"/>
  <c r="AV638" i="79"/>
  <c r="V29" i="77" s="1"/>
  <c r="AV637" i="79"/>
  <c r="V28" i="77" s="1"/>
  <c r="AV636" i="79"/>
  <c r="AV635" i="79"/>
  <c r="V26" i="77" s="1"/>
  <c r="AV634" i="79"/>
  <c r="V25" i="77" s="1"/>
  <c r="AV633" i="79"/>
  <c r="V24" i="77" s="1"/>
  <c r="AV632" i="79"/>
  <c r="V23" i="77" s="1"/>
  <c r="AV631" i="79"/>
  <c r="V22" i="77" s="1"/>
  <c r="AV630" i="79"/>
  <c r="AV629" i="79"/>
  <c r="V20" i="77" s="1"/>
  <c r="AV628" i="79"/>
  <c r="AV627" i="79"/>
  <c r="V18" i="77" s="1"/>
  <c r="AV626" i="79"/>
  <c r="V17" i="77" s="1"/>
  <c r="AV625" i="79"/>
  <c r="V16" i="77" s="1"/>
  <c r="AV624" i="79"/>
  <c r="AV623" i="79"/>
  <c r="V14" i="77" s="1"/>
  <c r="AV622" i="79"/>
  <c r="V13" i="77" s="1"/>
  <c r="AV621" i="79"/>
  <c r="V12" i="77" s="1"/>
  <c r="AV620" i="79"/>
  <c r="V11" i="77" s="1"/>
  <c r="AV619" i="79"/>
  <c r="V10" i="77" s="1"/>
  <c r="AV618" i="79"/>
  <c r="AV617" i="79"/>
  <c r="V8" i="77" s="1"/>
  <c r="AU612" i="79"/>
  <c r="AT612" i="79"/>
  <c r="AS612" i="79"/>
  <c r="AR612" i="79"/>
  <c r="AQ612" i="79"/>
  <c r="AP612" i="79"/>
  <c r="AO612" i="79"/>
  <c r="AN612" i="79"/>
  <c r="AM612" i="79"/>
  <c r="AL612" i="79"/>
  <c r="AK612" i="79"/>
  <c r="AI612" i="79"/>
  <c r="AH612" i="79"/>
  <c r="AG612" i="79"/>
  <c r="AF612" i="79"/>
  <c r="AE612" i="79"/>
  <c r="AA612" i="79"/>
  <c r="Y612" i="79"/>
  <c r="W612" i="79"/>
  <c r="V612" i="79"/>
  <c r="T612" i="79"/>
  <c r="Q612" i="79"/>
  <c r="P612" i="79"/>
  <c r="O612" i="79"/>
  <c r="N612" i="79"/>
  <c r="M612" i="79"/>
  <c r="L612" i="79"/>
  <c r="I612" i="79"/>
  <c r="H612" i="79"/>
  <c r="G612" i="79"/>
  <c r="E612" i="79"/>
  <c r="D612" i="79"/>
  <c r="C612" i="79"/>
  <c r="B612" i="79"/>
  <c r="AV611" i="79"/>
  <c r="AV610" i="79"/>
  <c r="V62" i="76" s="1"/>
  <c r="AV609" i="79"/>
  <c r="V61" i="76" s="1"/>
  <c r="AV608" i="79"/>
  <c r="V60" i="76" s="1"/>
  <c r="AV607" i="79"/>
  <c r="AV606" i="79"/>
  <c r="AV605" i="79"/>
  <c r="V57" i="76" s="1"/>
  <c r="AV604" i="79"/>
  <c r="V56" i="76" s="1"/>
  <c r="AV603" i="79"/>
  <c r="V55" i="76" s="1"/>
  <c r="AV602" i="79"/>
  <c r="V54" i="76" s="1"/>
  <c r="AV601" i="79"/>
  <c r="V53" i="76" s="1"/>
  <c r="AV600" i="79"/>
  <c r="AV599" i="79"/>
  <c r="V51" i="76" s="1"/>
  <c r="AV598" i="79"/>
  <c r="AV597" i="79"/>
  <c r="V49" i="76" s="1"/>
  <c r="AV596" i="79"/>
  <c r="V48" i="76" s="1"/>
  <c r="AV595" i="79"/>
  <c r="AV594" i="79"/>
  <c r="AV593" i="79"/>
  <c r="V45" i="76" s="1"/>
  <c r="AV591" i="79"/>
  <c r="V43" i="76" s="1"/>
  <c r="AD612" i="79"/>
  <c r="AV588" i="79"/>
  <c r="V40" i="76" s="1"/>
  <c r="AV586" i="79"/>
  <c r="AV585" i="79"/>
  <c r="AV584" i="79"/>
  <c r="V36" i="76" s="1"/>
  <c r="AV583" i="79"/>
  <c r="V35" i="76" s="1"/>
  <c r="X612" i="79"/>
  <c r="AV579" i="79"/>
  <c r="AV578" i="79"/>
  <c r="V30" i="76" s="1"/>
  <c r="AV577" i="79"/>
  <c r="AV576" i="79"/>
  <c r="V28" i="76" s="1"/>
  <c r="AV574" i="79"/>
  <c r="V26" i="76" s="1"/>
  <c r="AV573" i="79"/>
  <c r="V25" i="76" s="1"/>
  <c r="AV572" i="79"/>
  <c r="AV571" i="79"/>
  <c r="V23" i="76" s="1"/>
  <c r="AV570" i="79"/>
  <c r="V22" i="76" s="1"/>
  <c r="AV569" i="79"/>
  <c r="AV568" i="79"/>
  <c r="V20" i="76" s="1"/>
  <c r="AV567" i="79"/>
  <c r="V19" i="76" s="1"/>
  <c r="AV566" i="79"/>
  <c r="V18" i="76" s="1"/>
  <c r="AV565" i="79"/>
  <c r="V17" i="76" s="1"/>
  <c r="F612" i="79"/>
  <c r="AV563" i="79"/>
  <c r="V15" i="76" s="1"/>
  <c r="AV562" i="79"/>
  <c r="V14" i="76" s="1"/>
  <c r="AV561" i="79"/>
  <c r="V13" i="76" s="1"/>
  <c r="AJ612" i="79"/>
  <c r="AV559" i="79"/>
  <c r="V11" i="76" s="1"/>
  <c r="Z612" i="79"/>
  <c r="U612" i="79"/>
  <c r="AV557" i="79"/>
  <c r="AU552" i="79"/>
  <c r="AT552" i="79"/>
  <c r="AS552" i="79"/>
  <c r="AR552" i="79"/>
  <c r="AQ552" i="79"/>
  <c r="AO552" i="79"/>
  <c r="AN552" i="79"/>
  <c r="AM552" i="79"/>
  <c r="AL552" i="79"/>
  <c r="AK552" i="79"/>
  <c r="AJ552" i="79"/>
  <c r="AH552" i="79"/>
  <c r="AG552" i="79"/>
  <c r="AB552" i="79"/>
  <c r="AA552" i="79"/>
  <c r="Y552" i="79"/>
  <c r="X552" i="79"/>
  <c r="W552" i="79"/>
  <c r="R552" i="79"/>
  <c r="Q552" i="79"/>
  <c r="P552" i="79"/>
  <c r="L552" i="79"/>
  <c r="K552" i="79"/>
  <c r="J552" i="79"/>
  <c r="H552" i="79"/>
  <c r="G552" i="79"/>
  <c r="F552" i="79"/>
  <c r="E552" i="79"/>
  <c r="D552" i="79"/>
  <c r="C552" i="79"/>
  <c r="B552" i="79"/>
  <c r="AV551" i="79"/>
  <c r="AV550" i="79"/>
  <c r="AV549" i="79"/>
  <c r="AV548" i="79"/>
  <c r="AV547" i="79"/>
  <c r="AV546" i="79"/>
  <c r="AV545" i="79"/>
  <c r="AV544" i="79"/>
  <c r="AV543" i="79"/>
  <c r="AV542" i="79"/>
  <c r="AV541" i="79"/>
  <c r="AV540" i="79"/>
  <c r="AV539" i="79"/>
  <c r="AV538" i="79"/>
  <c r="V50" i="75" s="1"/>
  <c r="AV537" i="79"/>
  <c r="AV536" i="79"/>
  <c r="AV535" i="79"/>
  <c r="V49" i="75" s="1"/>
  <c r="AV534" i="79"/>
  <c r="AV533" i="79"/>
  <c r="V47" i="75" s="1"/>
  <c r="AV532" i="79"/>
  <c r="V46" i="75" s="1"/>
  <c r="AV531" i="79"/>
  <c r="V45" i="75" s="1"/>
  <c r="AV530" i="79"/>
  <c r="AV529" i="79"/>
  <c r="V43" i="75" s="1"/>
  <c r="AV528" i="79"/>
  <c r="AP552" i="79"/>
  <c r="Z552" i="79"/>
  <c r="AV525" i="79"/>
  <c r="AV523" i="79"/>
  <c r="V37" i="75" s="1"/>
  <c r="AV521" i="79"/>
  <c r="V35" i="75" s="1"/>
  <c r="AE552" i="79"/>
  <c r="AV519" i="79"/>
  <c r="AV518" i="79"/>
  <c r="V32" i="75" s="1"/>
  <c r="AV517" i="79"/>
  <c r="V31" i="75" s="1"/>
  <c r="AV516" i="79"/>
  <c r="V30" i="75" s="1"/>
  <c r="AV512" i="79"/>
  <c r="AV511" i="79"/>
  <c r="V25" i="75" s="1"/>
  <c r="T552" i="79"/>
  <c r="AV509" i="79"/>
  <c r="V23" i="75" s="1"/>
  <c r="AV508" i="79"/>
  <c r="V22" i="75" s="1"/>
  <c r="AV507" i="79"/>
  <c r="V21" i="75" s="1"/>
  <c r="O552" i="79"/>
  <c r="M552" i="79"/>
  <c r="AV504" i="79"/>
  <c r="AV502" i="79"/>
  <c r="V16" i="75" s="1"/>
  <c r="AI552" i="79"/>
  <c r="AV499" i="79"/>
  <c r="AV498" i="79"/>
  <c r="V12" i="75" s="1"/>
  <c r="AV497" i="79"/>
  <c r="AV494" i="79"/>
  <c r="AU489" i="79"/>
  <c r="AT489" i="79"/>
  <c r="AS489" i="79"/>
  <c r="AR489" i="79"/>
  <c r="AQ489" i="79"/>
  <c r="AP489" i="79"/>
  <c r="AO489" i="79"/>
  <c r="AM489" i="79"/>
  <c r="AL489" i="79"/>
  <c r="AK489" i="79"/>
  <c r="AJ489" i="79"/>
  <c r="AI489" i="79"/>
  <c r="AH489" i="79"/>
  <c r="AE489" i="79"/>
  <c r="AB489" i="79"/>
  <c r="AA489" i="79"/>
  <c r="Z489" i="79"/>
  <c r="X489" i="79"/>
  <c r="W489" i="79"/>
  <c r="V489" i="79"/>
  <c r="T489" i="79"/>
  <c r="Q489" i="79"/>
  <c r="P489" i="79"/>
  <c r="O489" i="79"/>
  <c r="N489" i="79"/>
  <c r="M489" i="79"/>
  <c r="L489" i="79"/>
  <c r="K489" i="79"/>
  <c r="J489" i="79"/>
  <c r="I489" i="79"/>
  <c r="H489" i="79"/>
  <c r="G489" i="79"/>
  <c r="F489" i="79"/>
  <c r="D489" i="79"/>
  <c r="C489" i="79"/>
  <c r="B489" i="79"/>
  <c r="AV488" i="79"/>
  <c r="AV487" i="79"/>
  <c r="AV486" i="79"/>
  <c r="AV485" i="79"/>
  <c r="AV484" i="79"/>
  <c r="AV483" i="79"/>
  <c r="AV482" i="79"/>
  <c r="AV481" i="79"/>
  <c r="AV480" i="79"/>
  <c r="AV479" i="79"/>
  <c r="V55" i="74" s="1"/>
  <c r="AV478" i="79"/>
  <c r="V54" i="74" s="1"/>
  <c r="AV477" i="79"/>
  <c r="V53" i="74" s="1"/>
  <c r="AV476" i="79"/>
  <c r="V52" i="74" s="1"/>
  <c r="AV475" i="79"/>
  <c r="V51" i="74" s="1"/>
  <c r="AV474" i="79"/>
  <c r="V50" i="74" s="1"/>
  <c r="AV473" i="79"/>
  <c r="V49" i="74" s="1"/>
  <c r="AV472" i="79"/>
  <c r="V48" i="74" s="1"/>
  <c r="AV471" i="79"/>
  <c r="V47" i="74" s="1"/>
  <c r="AV470" i="79"/>
  <c r="V46" i="74" s="1"/>
  <c r="AV468" i="79"/>
  <c r="V44" i="74" s="1"/>
  <c r="AV467" i="79"/>
  <c r="V43" i="74" s="1"/>
  <c r="AV466" i="79"/>
  <c r="V42" i="74" s="1"/>
  <c r="AV465" i="79"/>
  <c r="V41" i="74" s="1"/>
  <c r="V40" i="74"/>
  <c r="V39" i="74"/>
  <c r="AV462" i="79"/>
  <c r="V38" i="74" s="1"/>
  <c r="AV461" i="79"/>
  <c r="V37" i="74" s="1"/>
  <c r="AV459" i="79"/>
  <c r="V35" i="74" s="1"/>
  <c r="AV458" i="79"/>
  <c r="V34" i="74" s="1"/>
  <c r="AV457" i="79"/>
  <c r="V33" i="74" s="1"/>
  <c r="AN489" i="79"/>
  <c r="AV455" i="79"/>
  <c r="V31" i="74" s="1"/>
  <c r="AV454" i="79"/>
  <c r="E489" i="79"/>
  <c r="AV452" i="79"/>
  <c r="AV451" i="79"/>
  <c r="V26" i="74" s="1"/>
  <c r="AV450" i="79"/>
  <c r="V25" i="74" s="1"/>
  <c r="AV449" i="79"/>
  <c r="V24" i="74" s="1"/>
  <c r="AV448" i="79"/>
  <c r="V23" i="74" s="1"/>
  <c r="AV447" i="79"/>
  <c r="AV446" i="79"/>
  <c r="V21" i="74" s="1"/>
  <c r="AV445" i="79"/>
  <c r="V20" i="74" s="1"/>
  <c r="AV444" i="79"/>
  <c r="AV443" i="79"/>
  <c r="V18" i="74" s="1"/>
  <c r="AV442" i="79"/>
  <c r="AV441" i="79"/>
  <c r="V16" i="74" s="1"/>
  <c r="AV440" i="79"/>
  <c r="V15" i="74" s="1"/>
  <c r="AV439" i="79"/>
  <c r="V14" i="74" s="1"/>
  <c r="Y489" i="79"/>
  <c r="AV436" i="79"/>
  <c r="AF489" i="79"/>
  <c r="AG489" i="79"/>
  <c r="AU429" i="79"/>
  <c r="AT429" i="79"/>
  <c r="AS429" i="79"/>
  <c r="AR429" i="79"/>
  <c r="AQ429" i="79"/>
  <c r="AP429" i="79"/>
  <c r="AM429" i="79"/>
  <c r="AL429" i="79"/>
  <c r="AK429" i="79"/>
  <c r="AJ429" i="79"/>
  <c r="AG429" i="79"/>
  <c r="AF429" i="79"/>
  <c r="AE429" i="79"/>
  <c r="AB429" i="79"/>
  <c r="AA429" i="79"/>
  <c r="Z429" i="79"/>
  <c r="Y429" i="79"/>
  <c r="T429" i="79"/>
  <c r="Q429" i="79"/>
  <c r="P429" i="79"/>
  <c r="N429" i="79"/>
  <c r="M429" i="79"/>
  <c r="L429" i="79"/>
  <c r="K429" i="79"/>
  <c r="I429" i="79"/>
  <c r="H429" i="79"/>
  <c r="E429" i="79"/>
  <c r="D429" i="79"/>
  <c r="C429" i="79"/>
  <c r="B429" i="79"/>
  <c r="AV428" i="79"/>
  <c r="AV427" i="79"/>
  <c r="AV426" i="79"/>
  <c r="AV425" i="79"/>
  <c r="AV424" i="79"/>
  <c r="V60" i="73" s="1"/>
  <c r="AV423" i="79"/>
  <c r="V59" i="73" s="1"/>
  <c r="AV422" i="79"/>
  <c r="V58" i="73" s="1"/>
  <c r="AV421" i="79"/>
  <c r="V57" i="73" s="1"/>
  <c r="AV420" i="79"/>
  <c r="V56" i="73" s="1"/>
  <c r="AV419" i="79"/>
  <c r="V55" i="73" s="1"/>
  <c r="AV418" i="79"/>
  <c r="V54" i="73" s="1"/>
  <c r="AV417" i="79"/>
  <c r="V53" i="73" s="1"/>
  <c r="AV416" i="79"/>
  <c r="V52" i="73" s="1"/>
  <c r="AV415" i="79"/>
  <c r="V51" i="73" s="1"/>
  <c r="AV414" i="79"/>
  <c r="V50" i="73" s="1"/>
  <c r="AV413" i="79"/>
  <c r="V49" i="73" s="1"/>
  <c r="AV412" i="79"/>
  <c r="V48" i="73" s="1"/>
  <c r="AV411" i="79"/>
  <c r="V47" i="73" s="1"/>
  <c r="AV405" i="79"/>
  <c r="V41" i="73" s="1"/>
  <c r="AV402" i="79"/>
  <c r="V38" i="73" s="1"/>
  <c r="AV401" i="79"/>
  <c r="V37" i="73" s="1"/>
  <c r="AV400" i="79"/>
  <c r="V36" i="73" s="1"/>
  <c r="AN429" i="79"/>
  <c r="AV397" i="79"/>
  <c r="V33" i="73" s="1"/>
  <c r="V429" i="79"/>
  <c r="AV395" i="79"/>
  <c r="V31" i="73" s="1"/>
  <c r="V30" i="73"/>
  <c r="AI429" i="79"/>
  <c r="AV390" i="79"/>
  <c r="V26" i="73" s="1"/>
  <c r="AV385" i="79"/>
  <c r="V21" i="73" s="1"/>
  <c r="AV381" i="79"/>
  <c r="V17" i="73" s="1"/>
  <c r="AV379" i="79"/>
  <c r="AV378" i="79"/>
  <c r="V14" i="73" s="1"/>
  <c r="AV377" i="79"/>
  <c r="V13" i="73" s="1"/>
  <c r="AV376" i="79"/>
  <c r="V12" i="73" s="1"/>
  <c r="AV375" i="79"/>
  <c r="V11" i="73" s="1"/>
  <c r="AV374" i="79"/>
  <c r="AV373" i="79"/>
  <c r="V9" i="73" s="1"/>
  <c r="AU368" i="79"/>
  <c r="AS368" i="79"/>
  <c r="AR368" i="79"/>
  <c r="AQ368" i="79"/>
  <c r="AP368" i="79"/>
  <c r="AN368" i="79"/>
  <c r="AM368" i="79"/>
  <c r="AL368" i="79"/>
  <c r="AK368" i="79"/>
  <c r="AJ368" i="79"/>
  <c r="AI368" i="79"/>
  <c r="AF368" i="79"/>
  <c r="AB368" i="79"/>
  <c r="AA368" i="79"/>
  <c r="Y368" i="79"/>
  <c r="X368" i="79"/>
  <c r="W368" i="79"/>
  <c r="V368" i="79"/>
  <c r="Q368" i="79"/>
  <c r="P368" i="79"/>
  <c r="O368" i="79"/>
  <c r="N368" i="79"/>
  <c r="L368" i="79"/>
  <c r="K368" i="79"/>
  <c r="I368" i="79"/>
  <c r="H368" i="79"/>
  <c r="G368" i="79"/>
  <c r="D368" i="79"/>
  <c r="C368" i="79"/>
  <c r="AV367" i="79"/>
  <c r="AV366" i="79"/>
  <c r="AV365" i="79"/>
  <c r="AV364" i="79"/>
  <c r="AV363" i="79"/>
  <c r="AV362" i="79"/>
  <c r="AV361" i="79"/>
  <c r="AV360" i="79"/>
  <c r="AV359" i="79"/>
  <c r="AV358" i="79"/>
  <c r="AV357" i="79"/>
  <c r="V56" i="72" s="1"/>
  <c r="AV356" i="79"/>
  <c r="V55" i="72" s="1"/>
  <c r="AV355" i="79"/>
  <c r="V54" i="72" s="1"/>
  <c r="AV354" i="79"/>
  <c r="V53" i="72" s="1"/>
  <c r="AV353" i="79"/>
  <c r="V52" i="72" s="1"/>
  <c r="AV352" i="79"/>
  <c r="V51" i="72" s="1"/>
  <c r="AV351" i="79"/>
  <c r="V50" i="72" s="1"/>
  <c r="AV350" i="79"/>
  <c r="V49" i="72" s="1"/>
  <c r="AV349" i="79"/>
  <c r="AV348" i="79"/>
  <c r="V47" i="72" s="1"/>
  <c r="AV347" i="79"/>
  <c r="V46" i="72" s="1"/>
  <c r="Z368" i="79"/>
  <c r="AV345" i="79"/>
  <c r="V44" i="72" s="1"/>
  <c r="AV344" i="79"/>
  <c r="T368" i="79"/>
  <c r="F368" i="79"/>
  <c r="AV342" i="79"/>
  <c r="V41" i="72" s="1"/>
  <c r="AG368" i="79"/>
  <c r="AV340" i="79"/>
  <c r="V39" i="72" s="1"/>
  <c r="AV337" i="79"/>
  <c r="V36" i="72" s="1"/>
  <c r="AV336" i="79"/>
  <c r="V35" i="72" s="1"/>
  <c r="AV335" i="79"/>
  <c r="AV334" i="79"/>
  <c r="V34" i="72" s="1"/>
  <c r="AV333" i="79"/>
  <c r="V33" i="72" s="1"/>
  <c r="AV332" i="79"/>
  <c r="V32" i="72" s="1"/>
  <c r="AO368" i="79"/>
  <c r="AV329" i="79"/>
  <c r="V29" i="72" s="1"/>
  <c r="AV328" i="79"/>
  <c r="V28" i="72" s="1"/>
  <c r="AV327" i="79"/>
  <c r="V27" i="72" s="1"/>
  <c r="AV321" i="79"/>
  <c r="AV318" i="79"/>
  <c r="V18" i="72" s="1"/>
  <c r="AV317" i="79"/>
  <c r="V17" i="72" s="1"/>
  <c r="AV314" i="79"/>
  <c r="V14" i="72" s="1"/>
  <c r="AV313" i="79"/>
  <c r="V13" i="72" s="1"/>
  <c r="AV312" i="79"/>
  <c r="V12" i="72" s="1"/>
  <c r="AV311" i="79"/>
  <c r="AV309" i="79"/>
  <c r="V9" i="72" s="1"/>
  <c r="AU303" i="79"/>
  <c r="AT303" i="79"/>
  <c r="AS303" i="79"/>
  <c r="AR303" i="79"/>
  <c r="AP303" i="79"/>
  <c r="AO303" i="79"/>
  <c r="AN303" i="79"/>
  <c r="AM303" i="79"/>
  <c r="AL303" i="79"/>
  <c r="AK303" i="79"/>
  <c r="AJ303" i="79"/>
  <c r="AG303" i="79"/>
  <c r="AF303" i="79"/>
  <c r="AE303" i="79"/>
  <c r="AB303" i="79"/>
  <c r="AA303" i="79"/>
  <c r="Y303" i="79"/>
  <c r="X303" i="79"/>
  <c r="U303" i="79"/>
  <c r="T303" i="79"/>
  <c r="Q303" i="79"/>
  <c r="P303" i="79"/>
  <c r="O303" i="79"/>
  <c r="M303" i="79"/>
  <c r="L303" i="79"/>
  <c r="K303" i="79"/>
  <c r="J303" i="79"/>
  <c r="E303" i="79"/>
  <c r="D303" i="79"/>
  <c r="C303" i="79"/>
  <c r="AV302" i="79"/>
  <c r="AV301" i="79"/>
  <c r="V61" i="71" s="1"/>
  <c r="AV300" i="79"/>
  <c r="V60" i="71" s="1"/>
  <c r="AV299" i="79"/>
  <c r="V59" i="71" s="1"/>
  <c r="AV298" i="79"/>
  <c r="AV297" i="79"/>
  <c r="AV296" i="79"/>
  <c r="V56" i="71" s="1"/>
  <c r="AV295" i="79"/>
  <c r="V55" i="71" s="1"/>
  <c r="AV294" i="79"/>
  <c r="V54" i="71" s="1"/>
  <c r="AV293" i="79"/>
  <c r="V53" i="71" s="1"/>
  <c r="AV292" i="79"/>
  <c r="AV291" i="79"/>
  <c r="V51" i="71" s="1"/>
  <c r="AV290" i="79"/>
  <c r="V50" i="71" s="1"/>
  <c r="AV288" i="79"/>
  <c r="V48" i="71" s="1"/>
  <c r="AV287" i="79"/>
  <c r="V47" i="71" s="1"/>
  <c r="AV286" i="79"/>
  <c r="V46" i="71" s="1"/>
  <c r="AV285" i="79"/>
  <c r="V45" i="71" s="1"/>
  <c r="I303" i="79"/>
  <c r="AV283" i="79"/>
  <c r="AV282" i="79"/>
  <c r="V42" i="71" s="1"/>
  <c r="W303" i="79"/>
  <c r="AV280" i="79"/>
  <c r="V40" i="71" s="1"/>
  <c r="AV278" i="79"/>
  <c r="V38" i="71" s="1"/>
  <c r="R303" i="79"/>
  <c r="AV276" i="79"/>
  <c r="V36" i="71" s="1"/>
  <c r="AV275" i="79"/>
  <c r="V35" i="71" s="1"/>
  <c r="AV274" i="79"/>
  <c r="V34" i="71" s="1"/>
  <c r="AQ303" i="79"/>
  <c r="G303" i="79"/>
  <c r="AV272" i="79"/>
  <c r="V32" i="71" s="1"/>
  <c r="AV271" i="79"/>
  <c r="V31" i="71" s="1"/>
  <c r="AV270" i="79"/>
  <c r="V30" i="71" s="1"/>
  <c r="AV269" i="79"/>
  <c r="V29" i="71" s="1"/>
  <c r="AV267" i="79"/>
  <c r="V27" i="71" s="1"/>
  <c r="B303" i="79"/>
  <c r="V23" i="71"/>
  <c r="AV261" i="79"/>
  <c r="V21" i="71" s="1"/>
  <c r="AV259" i="79"/>
  <c r="V19" i="71" s="1"/>
  <c r="AV257" i="79"/>
  <c r="V17" i="71" s="1"/>
  <c r="AH303" i="79"/>
  <c r="AV255" i="79"/>
  <c r="V15" i="71" s="1"/>
  <c r="AV254" i="79"/>
  <c r="V14" i="71" s="1"/>
  <c r="AV253" i="79"/>
  <c r="V13" i="71" s="1"/>
  <c r="AV252" i="79"/>
  <c r="AV251" i="79"/>
  <c r="V11" i="71" s="1"/>
  <c r="AV250" i="79"/>
  <c r="V10" i="71" s="1"/>
  <c r="AV249" i="79"/>
  <c r="AV248" i="79"/>
  <c r="V8" i="71" s="1"/>
  <c r="AU243" i="79"/>
  <c r="AT243" i="79"/>
  <c r="AS243" i="79"/>
  <c r="AR243" i="79"/>
  <c r="AQ243" i="79"/>
  <c r="AP243" i="79"/>
  <c r="AO243" i="79"/>
  <c r="AN243" i="79"/>
  <c r="AM243" i="79"/>
  <c r="AL243" i="79"/>
  <c r="AK243" i="79"/>
  <c r="AJ243" i="79"/>
  <c r="AF243" i="79"/>
  <c r="AC243" i="79"/>
  <c r="AB243" i="79"/>
  <c r="Y243" i="79"/>
  <c r="X243" i="79"/>
  <c r="T243" i="79"/>
  <c r="Q243" i="79"/>
  <c r="P243" i="79"/>
  <c r="O243" i="79"/>
  <c r="M243" i="79"/>
  <c r="L243" i="79"/>
  <c r="K243" i="79"/>
  <c r="J243" i="79"/>
  <c r="I243" i="79"/>
  <c r="G243" i="79"/>
  <c r="F243" i="79"/>
  <c r="E243" i="79"/>
  <c r="D243" i="79"/>
  <c r="C243" i="79"/>
  <c r="B243" i="79"/>
  <c r="AV242" i="79"/>
  <c r="AV241" i="79"/>
  <c r="AV240" i="79"/>
  <c r="AV239" i="79"/>
  <c r="AV238" i="79"/>
  <c r="AV237" i="79"/>
  <c r="AV236" i="79"/>
  <c r="AV235" i="79"/>
  <c r="AV234" i="79"/>
  <c r="AV233" i="79"/>
  <c r="AV232" i="79"/>
  <c r="V53" i="70" s="1"/>
  <c r="AV231" i="79"/>
  <c r="V52" i="70" s="1"/>
  <c r="AV230" i="79"/>
  <c r="V51" i="70" s="1"/>
  <c r="AV229" i="79"/>
  <c r="V50" i="70" s="1"/>
  <c r="AV228" i="79"/>
  <c r="V49" i="70" s="1"/>
  <c r="AV224" i="79"/>
  <c r="V45" i="70" s="1"/>
  <c r="AH243" i="79"/>
  <c r="AA243" i="79"/>
  <c r="N243" i="79"/>
  <c r="AV221" i="79"/>
  <c r="V42" i="70" s="1"/>
  <c r="AV220" i="79"/>
  <c r="V41" i="70" s="1"/>
  <c r="AV218" i="79"/>
  <c r="V39" i="70" s="1"/>
  <c r="AV217" i="79"/>
  <c r="V38" i="70" s="1"/>
  <c r="AV216" i="79"/>
  <c r="AV215" i="79"/>
  <c r="V36" i="70" s="1"/>
  <c r="AV214" i="79"/>
  <c r="AV212" i="79"/>
  <c r="AV211" i="79"/>
  <c r="V32" i="70" s="1"/>
  <c r="AV209" i="79"/>
  <c r="AV208" i="79"/>
  <c r="V29" i="70" s="1"/>
  <c r="AI243" i="79"/>
  <c r="AV206" i="79"/>
  <c r="V27" i="70" s="1"/>
  <c r="AV205" i="79"/>
  <c r="V26" i="70" s="1"/>
  <c r="AV204" i="79"/>
  <c r="V25" i="70" s="1"/>
  <c r="AV203" i="79"/>
  <c r="V24" i="70" s="1"/>
  <c r="AV202" i="79"/>
  <c r="V23" i="70" s="1"/>
  <c r="AV201" i="79"/>
  <c r="V22" i="70" s="1"/>
  <c r="AV200" i="79"/>
  <c r="V21" i="70" s="1"/>
  <c r="AV199" i="79"/>
  <c r="V20" i="70" s="1"/>
  <c r="AV198" i="79"/>
  <c r="V19" i="70" s="1"/>
  <c r="AV196" i="79"/>
  <c r="V17" i="70" s="1"/>
  <c r="U243" i="79"/>
  <c r="AV193" i="79"/>
  <c r="V14" i="70" s="1"/>
  <c r="AV192" i="79"/>
  <c r="V13" i="70" s="1"/>
  <c r="AV191" i="79"/>
  <c r="V12" i="70" s="1"/>
  <c r="AV189" i="79"/>
  <c r="V10" i="70" s="1"/>
  <c r="AV188" i="79"/>
  <c r="V9" i="70" s="1"/>
  <c r="AT181" i="79"/>
  <c r="AS181" i="79"/>
  <c r="AR181" i="79"/>
  <c r="AQ181" i="79"/>
  <c r="AP181" i="79"/>
  <c r="AO181" i="79"/>
  <c r="AN181" i="79"/>
  <c r="AM181" i="79"/>
  <c r="AL181" i="79"/>
  <c r="AK181" i="79"/>
  <c r="AH181" i="79"/>
  <c r="AG181" i="79"/>
  <c r="AC181" i="79"/>
  <c r="AB181" i="79"/>
  <c r="AA181" i="79"/>
  <c r="Z181" i="79"/>
  <c r="X181" i="79"/>
  <c r="T181" i="79"/>
  <c r="Q181" i="79"/>
  <c r="N181" i="79"/>
  <c r="M181" i="79"/>
  <c r="L181" i="79"/>
  <c r="K181" i="79"/>
  <c r="J181" i="79"/>
  <c r="I181" i="79"/>
  <c r="H181" i="79"/>
  <c r="G181" i="79"/>
  <c r="F181" i="79"/>
  <c r="E181" i="79"/>
  <c r="C181" i="79"/>
  <c r="B181" i="79"/>
  <c r="AV180" i="79"/>
  <c r="AV179" i="79"/>
  <c r="AV178" i="79"/>
  <c r="V61" i="69" s="1"/>
  <c r="AV177" i="79"/>
  <c r="V60" i="69" s="1"/>
  <c r="AV176" i="79"/>
  <c r="AV175" i="79"/>
  <c r="V59" i="69" s="1"/>
  <c r="AV174" i="79"/>
  <c r="V58" i="69" s="1"/>
  <c r="AV173" i="79"/>
  <c r="V57" i="69" s="1"/>
  <c r="AV172" i="79"/>
  <c r="V56" i="69" s="1"/>
  <c r="AV171" i="79"/>
  <c r="V55" i="69" s="1"/>
  <c r="AV170" i="79"/>
  <c r="V54" i="69" s="1"/>
  <c r="AV169" i="79"/>
  <c r="V53" i="69" s="1"/>
  <c r="AV168" i="79"/>
  <c r="V52" i="69" s="1"/>
  <c r="AV167" i="79"/>
  <c r="V51" i="69" s="1"/>
  <c r="AV166" i="79"/>
  <c r="V50" i="69" s="1"/>
  <c r="W181" i="79"/>
  <c r="AU181" i="79"/>
  <c r="AJ181" i="79"/>
  <c r="AV160" i="79"/>
  <c r="V44" i="69" s="1"/>
  <c r="AV158" i="79"/>
  <c r="V42" i="69" s="1"/>
  <c r="AV157" i="79"/>
  <c r="V41" i="69" s="1"/>
  <c r="AV155" i="79"/>
  <c r="V39" i="69" s="1"/>
  <c r="AV154" i="79"/>
  <c r="V38" i="69" s="1"/>
  <c r="AV153" i="79"/>
  <c r="V37" i="69" s="1"/>
  <c r="Y181" i="79"/>
  <c r="AV150" i="79"/>
  <c r="V34" i="69" s="1"/>
  <c r="AV148" i="79"/>
  <c r="V32" i="69" s="1"/>
  <c r="AV147" i="79"/>
  <c r="V31" i="69" s="1"/>
  <c r="O181" i="79"/>
  <c r="AV144" i="79"/>
  <c r="V28" i="69" s="1"/>
  <c r="AV143" i="79"/>
  <c r="V27" i="69" s="1"/>
  <c r="AV142" i="79"/>
  <c r="V26" i="69" s="1"/>
  <c r="AV141" i="79"/>
  <c r="V25" i="69" s="1"/>
  <c r="AV140" i="79"/>
  <c r="V24" i="69" s="1"/>
  <c r="AI181" i="79"/>
  <c r="AV138" i="79"/>
  <c r="V22" i="69" s="1"/>
  <c r="AV136" i="79"/>
  <c r="V20" i="69" s="1"/>
  <c r="AV135" i="79"/>
  <c r="V19" i="69" s="1"/>
  <c r="AV132" i="79"/>
  <c r="V16" i="69" s="1"/>
  <c r="AV131" i="79"/>
  <c r="V15" i="69" s="1"/>
  <c r="AV129" i="79"/>
  <c r="V13" i="69" s="1"/>
  <c r="AV128" i="79"/>
  <c r="V12" i="69" s="1"/>
  <c r="AV127" i="79"/>
  <c r="V11" i="69" s="1"/>
  <c r="AV126" i="79"/>
  <c r="V10" i="69" s="1"/>
  <c r="AV124" i="79"/>
  <c r="V8" i="69" s="1"/>
  <c r="AU118" i="79"/>
  <c r="AS118" i="79"/>
  <c r="AR118" i="79"/>
  <c r="AQ118" i="79"/>
  <c r="AO118" i="79"/>
  <c r="AN118" i="79"/>
  <c r="AM118" i="79"/>
  <c r="AL118" i="79"/>
  <c r="AK118" i="79"/>
  <c r="AI118" i="79"/>
  <c r="AH118" i="79"/>
  <c r="AG118" i="79"/>
  <c r="AC118" i="79"/>
  <c r="AB118" i="79"/>
  <c r="AA118" i="79"/>
  <c r="Y118" i="79"/>
  <c r="X118" i="79"/>
  <c r="V118" i="79"/>
  <c r="T118" i="79"/>
  <c r="Q118" i="79"/>
  <c r="P118" i="79"/>
  <c r="O118" i="79"/>
  <c r="N118" i="79"/>
  <c r="L118" i="79"/>
  <c r="J118" i="79"/>
  <c r="I118" i="79"/>
  <c r="F118" i="79"/>
  <c r="E118" i="79"/>
  <c r="C118" i="79"/>
  <c r="AV117" i="79"/>
  <c r="AV116" i="79"/>
  <c r="AV115" i="79"/>
  <c r="V56" i="68" s="1"/>
  <c r="AV114" i="79"/>
  <c r="V55" i="68" s="1"/>
  <c r="AV113" i="79"/>
  <c r="V54" i="68" s="1"/>
  <c r="AV111" i="79"/>
  <c r="V52" i="68" s="1"/>
  <c r="AV110" i="79"/>
  <c r="V51" i="68" s="1"/>
  <c r="AP118" i="79"/>
  <c r="AV107" i="79"/>
  <c r="V48" i="68" s="1"/>
  <c r="AV103" i="79"/>
  <c r="AV102" i="79"/>
  <c r="V43" i="68" s="1"/>
  <c r="AV101" i="79"/>
  <c r="AV100" i="79"/>
  <c r="V41" i="68" s="1"/>
  <c r="AV99" i="79"/>
  <c r="V40" i="68" s="1"/>
  <c r="AV98" i="79"/>
  <c r="V39" i="68" s="1"/>
  <c r="AV97" i="79"/>
  <c r="V38" i="68" s="1"/>
  <c r="AV96" i="79"/>
  <c r="V37" i="68" s="1"/>
  <c r="AV93" i="79"/>
  <c r="V34" i="68" s="1"/>
  <c r="AJ118" i="79"/>
  <c r="AV91" i="79"/>
  <c r="V32" i="68" s="1"/>
  <c r="AV90" i="79"/>
  <c r="V31" i="68" s="1"/>
  <c r="AV89" i="79"/>
  <c r="V30" i="68" s="1"/>
  <c r="AV88" i="79"/>
  <c r="V29" i="68" s="1"/>
  <c r="AV87" i="79"/>
  <c r="V28" i="68" s="1"/>
  <c r="AV85" i="79"/>
  <c r="V26" i="68" s="1"/>
  <c r="AV83" i="79"/>
  <c r="V24" i="68" s="1"/>
  <c r="H118" i="79"/>
  <c r="AV81" i="79"/>
  <c r="V22" i="68" s="1"/>
  <c r="AV80" i="79"/>
  <c r="V21" i="68" s="1"/>
  <c r="AV79" i="79"/>
  <c r="V20" i="68" s="1"/>
  <c r="W118" i="79"/>
  <c r="AV77" i="79"/>
  <c r="AV76" i="79"/>
  <c r="V17" i="68" s="1"/>
  <c r="AV75" i="79"/>
  <c r="AV74" i="79"/>
  <c r="AV73" i="79"/>
  <c r="G118" i="79"/>
  <c r="AV70" i="79"/>
  <c r="AV68" i="79"/>
  <c r="V9" i="68" s="1"/>
  <c r="AU63" i="79"/>
  <c r="AT63" i="79"/>
  <c r="AS63" i="79"/>
  <c r="AR63" i="79"/>
  <c r="AQ63" i="79"/>
  <c r="AP63" i="79"/>
  <c r="AO63" i="79"/>
  <c r="AN63" i="79"/>
  <c r="AM63" i="79"/>
  <c r="AL63" i="79"/>
  <c r="AK63" i="79"/>
  <c r="AJ63" i="79"/>
  <c r="AH63" i="79"/>
  <c r="AG63" i="79"/>
  <c r="AE63" i="79"/>
  <c r="AB63" i="79"/>
  <c r="AA63" i="79"/>
  <c r="Y63" i="79"/>
  <c r="X63" i="79"/>
  <c r="U63" i="79"/>
  <c r="T63" i="79"/>
  <c r="P63" i="79"/>
  <c r="O63" i="79"/>
  <c r="L63" i="79"/>
  <c r="K63" i="79"/>
  <c r="J63" i="79"/>
  <c r="H63" i="79"/>
  <c r="G63" i="79"/>
  <c r="F63" i="79"/>
  <c r="D63" i="79"/>
  <c r="C63" i="79"/>
  <c r="B63" i="79"/>
  <c r="AV62" i="79"/>
  <c r="AV61" i="79"/>
  <c r="AV60" i="79"/>
  <c r="AV59" i="79"/>
  <c r="AV58" i="79"/>
  <c r="AV57" i="79"/>
  <c r="AV56" i="79"/>
  <c r="AV55" i="79"/>
  <c r="AV54" i="79"/>
  <c r="V56" i="43" s="1"/>
  <c r="AV53" i="79"/>
  <c r="V55" i="43" s="1"/>
  <c r="AV52" i="79"/>
  <c r="V54" i="43" s="1"/>
  <c r="AV51" i="79"/>
  <c r="V53" i="43" s="1"/>
  <c r="AV50" i="79"/>
  <c r="V52" i="43" s="1"/>
  <c r="AV49" i="79"/>
  <c r="V51" i="43" s="1"/>
  <c r="AV48" i="79"/>
  <c r="V50" i="43" s="1"/>
  <c r="AV47" i="79"/>
  <c r="V49" i="43" s="1"/>
  <c r="AV46" i="79"/>
  <c r="V48" i="43" s="1"/>
  <c r="AV45" i="79"/>
  <c r="V47" i="43" s="1"/>
  <c r="AV44" i="79"/>
  <c r="V46" i="43" s="1"/>
  <c r="AV43" i="79"/>
  <c r="V45" i="43" s="1"/>
  <c r="AV42" i="79"/>
  <c r="V44" i="43" s="1"/>
  <c r="AV41" i="79"/>
  <c r="V43" i="43" s="1"/>
  <c r="AV40" i="79"/>
  <c r="V42" i="43" s="1"/>
  <c r="AV39" i="79"/>
  <c r="V41" i="43" s="1"/>
  <c r="AV36" i="79"/>
  <c r="V38" i="43" s="1"/>
  <c r="AV35" i="79"/>
  <c r="V37" i="43" s="1"/>
  <c r="W63" i="79"/>
  <c r="AV33" i="79"/>
  <c r="V35" i="43" s="1"/>
  <c r="AV32" i="79"/>
  <c r="V34" i="43" s="1"/>
  <c r="AV31" i="79"/>
  <c r="V33" i="43" s="1"/>
  <c r="AV30" i="79"/>
  <c r="V32" i="43" s="1"/>
  <c r="AV29" i="79"/>
  <c r="V31" i="43" s="1"/>
  <c r="AV28" i="79"/>
  <c r="V30" i="43" s="1"/>
  <c r="AV26" i="79"/>
  <c r="V28" i="43" s="1"/>
  <c r="AV25" i="79"/>
  <c r="V27" i="43" s="1"/>
  <c r="AV24" i="79"/>
  <c r="V26" i="43" s="1"/>
  <c r="AV21" i="79"/>
  <c r="V23" i="43" s="1"/>
  <c r="AV20" i="79"/>
  <c r="V22" i="43" s="1"/>
  <c r="AV19" i="79"/>
  <c r="V21" i="43" s="1"/>
  <c r="V63" i="79"/>
  <c r="AV17" i="79"/>
  <c r="V19" i="43" s="1"/>
  <c r="AF63" i="79"/>
  <c r="M63" i="79"/>
  <c r="AV14" i="79"/>
  <c r="V16" i="43" s="1"/>
  <c r="I63" i="79"/>
  <c r="Q63" i="79"/>
  <c r="AV11" i="79"/>
  <c r="V13" i="43" s="1"/>
  <c r="AV10" i="79"/>
  <c r="V12" i="43" s="1"/>
  <c r="AV9" i="79"/>
  <c r="V11" i="43" s="1"/>
  <c r="AV8" i="79"/>
  <c r="V10" i="43" s="1"/>
  <c r="AV7" i="79"/>
  <c r="V9" i="43" s="1"/>
  <c r="E63" i="79"/>
  <c r="O717" i="81"/>
  <c r="N717" i="81"/>
  <c r="M717" i="81"/>
  <c r="L717" i="81"/>
  <c r="K717" i="81"/>
  <c r="J717" i="81"/>
  <c r="I717" i="81"/>
  <c r="H717" i="81"/>
  <c r="G717" i="81"/>
  <c r="F717" i="81"/>
  <c r="E717" i="81"/>
  <c r="D717" i="81"/>
  <c r="C717" i="81"/>
  <c r="B717" i="81"/>
  <c r="P716" i="81"/>
  <c r="P715" i="81"/>
  <c r="P714" i="81"/>
  <c r="P713" i="81"/>
  <c r="P712" i="81"/>
  <c r="A712" i="81"/>
  <c r="P711" i="81"/>
  <c r="A711" i="81"/>
  <c r="P710" i="81"/>
  <c r="A710" i="81"/>
  <c r="P709" i="81"/>
  <c r="A709" i="81"/>
  <c r="P708" i="81"/>
  <c r="A708" i="81"/>
  <c r="P707" i="81"/>
  <c r="A707" i="81"/>
  <c r="P706" i="81"/>
  <c r="A706" i="81"/>
  <c r="P705" i="81"/>
  <c r="A705" i="81"/>
  <c r="P704" i="81"/>
  <c r="A704" i="81"/>
  <c r="P703" i="81"/>
  <c r="A703" i="81"/>
  <c r="P702" i="81"/>
  <c r="A702" i="81"/>
  <c r="P701" i="81"/>
  <c r="A701" i="81"/>
  <c r="P700" i="81"/>
  <c r="A700" i="81"/>
  <c r="P699" i="81"/>
  <c r="A699" i="81"/>
  <c r="P698" i="81"/>
  <c r="A698" i="81"/>
  <c r="P697" i="81"/>
  <c r="A697" i="81"/>
  <c r="P696" i="81"/>
  <c r="A696" i="81"/>
  <c r="P695" i="81"/>
  <c r="A695" i="81"/>
  <c r="P694" i="81"/>
  <c r="A694" i="81"/>
  <c r="P693" i="81"/>
  <c r="X39" i="67" s="1"/>
  <c r="A693" i="81"/>
  <c r="P692" i="81"/>
  <c r="A692" i="81"/>
  <c r="P691" i="81"/>
  <c r="X37" i="67" s="1"/>
  <c r="A691" i="81"/>
  <c r="P690" i="81"/>
  <c r="A690" i="81"/>
  <c r="P689" i="81"/>
  <c r="X35" i="67" s="1"/>
  <c r="A689" i="81"/>
  <c r="P688" i="81"/>
  <c r="X34" i="67" s="1"/>
  <c r="A688" i="81"/>
  <c r="P687" i="81"/>
  <c r="A687" i="81"/>
  <c r="P686" i="81"/>
  <c r="A686" i="81"/>
  <c r="P685" i="81"/>
  <c r="X31" i="67" s="1"/>
  <c r="A685" i="81"/>
  <c r="P684" i="81"/>
  <c r="X30" i="67" s="1"/>
  <c r="A684" i="81"/>
  <c r="P683" i="81"/>
  <c r="A683" i="81"/>
  <c r="P682" i="81"/>
  <c r="A682" i="81"/>
  <c r="P681" i="81"/>
  <c r="X27" i="67" s="1"/>
  <c r="A681" i="81"/>
  <c r="P680" i="81"/>
  <c r="X26" i="67" s="1"/>
  <c r="A680" i="81"/>
  <c r="P679" i="81"/>
  <c r="A679" i="81"/>
  <c r="P678" i="81"/>
  <c r="A678" i="81"/>
  <c r="P677" i="81"/>
  <c r="X23" i="67" s="1"/>
  <c r="A677" i="81"/>
  <c r="P676" i="81"/>
  <c r="X22" i="67" s="1"/>
  <c r="A676" i="81"/>
  <c r="P675" i="81"/>
  <c r="A675" i="81"/>
  <c r="P674" i="81"/>
  <c r="A674" i="81"/>
  <c r="P673" i="81"/>
  <c r="A673" i="81"/>
  <c r="P672" i="81"/>
  <c r="X18" i="67" s="1"/>
  <c r="A672" i="81"/>
  <c r="P671" i="81"/>
  <c r="A671" i="81"/>
  <c r="X15" i="67"/>
  <c r="X14" i="67"/>
  <c r="P666" i="81"/>
  <c r="A666" i="81"/>
  <c r="P665" i="81"/>
  <c r="X11" i="67" s="1"/>
  <c r="A665" i="81"/>
  <c r="P664" i="81"/>
  <c r="X10" i="67" s="1"/>
  <c r="A664" i="81"/>
  <c r="P663" i="81"/>
  <c r="A663" i="81"/>
  <c r="P662" i="81"/>
  <c r="A662" i="81"/>
  <c r="O657" i="81"/>
  <c r="N657" i="81"/>
  <c r="M657" i="81"/>
  <c r="L657" i="81"/>
  <c r="K657" i="81"/>
  <c r="J657" i="81"/>
  <c r="I657" i="81"/>
  <c r="H657" i="81"/>
  <c r="G657" i="81"/>
  <c r="F657" i="81"/>
  <c r="E657" i="81"/>
  <c r="D657" i="81"/>
  <c r="C657" i="81"/>
  <c r="B657" i="81"/>
  <c r="P656" i="81"/>
  <c r="X63" i="77" s="1"/>
  <c r="P655" i="81"/>
  <c r="X62" i="77" s="1"/>
  <c r="P654" i="81"/>
  <c r="X61" i="77" s="1"/>
  <c r="P653" i="81"/>
  <c r="X60" i="77" s="1"/>
  <c r="P652" i="81"/>
  <c r="X59" i="77" s="1"/>
  <c r="P651" i="81"/>
  <c r="X58" i="77" s="1"/>
  <c r="P650" i="81"/>
  <c r="X57" i="77" s="1"/>
  <c r="P649" i="81"/>
  <c r="X56" i="77" s="1"/>
  <c r="P648" i="81"/>
  <c r="X55" i="77" s="1"/>
  <c r="P647" i="81"/>
  <c r="X54" i="77" s="1"/>
  <c r="P646" i="81"/>
  <c r="X53" i="77" s="1"/>
  <c r="P645" i="81"/>
  <c r="X52" i="77" s="1"/>
  <c r="P644" i="81"/>
  <c r="X51" i="77" s="1"/>
  <c r="P643" i="81"/>
  <c r="P642" i="81"/>
  <c r="X49" i="77" s="1"/>
  <c r="P641" i="81"/>
  <c r="X48" i="77" s="1"/>
  <c r="P640" i="81"/>
  <c r="X47" i="77" s="1"/>
  <c r="P639" i="81"/>
  <c r="X46" i="77" s="1"/>
  <c r="P638" i="81"/>
  <c r="X45" i="77" s="1"/>
  <c r="P637" i="81"/>
  <c r="X44" i="77" s="1"/>
  <c r="P636" i="81"/>
  <c r="X43" i="77" s="1"/>
  <c r="P635" i="81"/>
  <c r="X42" i="77" s="1"/>
  <c r="P634" i="81"/>
  <c r="X41" i="77" s="1"/>
  <c r="P633" i="81"/>
  <c r="X40" i="77" s="1"/>
  <c r="P632" i="81"/>
  <c r="X39" i="77" s="1"/>
  <c r="P631" i="81"/>
  <c r="P630" i="81"/>
  <c r="X37" i="77" s="1"/>
  <c r="P629" i="81"/>
  <c r="X36" i="77" s="1"/>
  <c r="P628" i="81"/>
  <c r="X35" i="77" s="1"/>
  <c r="P627" i="81"/>
  <c r="P626" i="81"/>
  <c r="X33" i="77" s="1"/>
  <c r="P625" i="81"/>
  <c r="X32" i="77" s="1"/>
  <c r="P624" i="81"/>
  <c r="X31" i="77" s="1"/>
  <c r="P623" i="81"/>
  <c r="P622" i="81"/>
  <c r="P621" i="81"/>
  <c r="X28" i="77" s="1"/>
  <c r="P620" i="81"/>
  <c r="X27" i="77" s="1"/>
  <c r="P619" i="81"/>
  <c r="P618" i="81"/>
  <c r="X25" i="77" s="1"/>
  <c r="P617" i="81"/>
  <c r="X24" i="77" s="1"/>
  <c r="P616" i="81"/>
  <c r="X23" i="77" s="1"/>
  <c r="P615" i="81"/>
  <c r="P614" i="81"/>
  <c r="X21" i="77" s="1"/>
  <c r="P613" i="81"/>
  <c r="X20" i="77" s="1"/>
  <c r="P612" i="81"/>
  <c r="X19" i="77" s="1"/>
  <c r="P611" i="81"/>
  <c r="P610" i="81"/>
  <c r="X17" i="77" s="1"/>
  <c r="P609" i="81"/>
  <c r="X16" i="77" s="1"/>
  <c r="P608" i="81"/>
  <c r="X15" i="77" s="1"/>
  <c r="P607" i="81"/>
  <c r="P606" i="81"/>
  <c r="X13" i="77" s="1"/>
  <c r="P605" i="81"/>
  <c r="X12" i="77" s="1"/>
  <c r="P604" i="81"/>
  <c r="X11" i="77" s="1"/>
  <c r="P603" i="81"/>
  <c r="P602" i="81"/>
  <c r="X9" i="77" s="1"/>
  <c r="P601" i="81"/>
  <c r="X8" i="77" s="1"/>
  <c r="A601" i="81"/>
  <c r="N596" i="81"/>
  <c r="M596" i="81"/>
  <c r="L596" i="81"/>
  <c r="K596" i="81"/>
  <c r="J596" i="81"/>
  <c r="I596" i="81"/>
  <c r="H596" i="81"/>
  <c r="G596" i="81"/>
  <c r="F596" i="81"/>
  <c r="E596" i="81"/>
  <c r="D596" i="81"/>
  <c r="C596" i="81"/>
  <c r="B596" i="81"/>
  <c r="P595" i="81"/>
  <c r="A595" i="81"/>
  <c r="P594" i="81"/>
  <c r="X62" i="76" s="1"/>
  <c r="A594" i="81"/>
  <c r="P593" i="81"/>
  <c r="X61" i="76" s="1"/>
  <c r="A593" i="81"/>
  <c r="P592" i="81"/>
  <c r="X60" i="76" s="1"/>
  <c r="A592" i="81"/>
  <c r="P591" i="81"/>
  <c r="X59" i="76" s="1"/>
  <c r="A591" i="81"/>
  <c r="P590" i="81"/>
  <c r="X58" i="76" s="1"/>
  <c r="A590" i="81"/>
  <c r="P589" i="81"/>
  <c r="X57" i="76" s="1"/>
  <c r="A589" i="81"/>
  <c r="P588" i="81"/>
  <c r="X56" i="76" s="1"/>
  <c r="A588" i="81"/>
  <c r="P587" i="81"/>
  <c r="X55" i="76" s="1"/>
  <c r="A587" i="81"/>
  <c r="P586" i="81"/>
  <c r="X54" i="76" s="1"/>
  <c r="A586" i="81"/>
  <c r="P585" i="81"/>
  <c r="X53" i="76" s="1"/>
  <c r="A585" i="81"/>
  <c r="P584" i="81"/>
  <c r="X52" i="76" s="1"/>
  <c r="A584" i="81"/>
  <c r="P583" i="81"/>
  <c r="X51" i="76" s="1"/>
  <c r="A583" i="81"/>
  <c r="P582" i="81"/>
  <c r="X50" i="76" s="1"/>
  <c r="A582" i="81"/>
  <c r="P581" i="81"/>
  <c r="X49" i="76" s="1"/>
  <c r="A581" i="81"/>
  <c r="P580" i="81"/>
  <c r="X48" i="76" s="1"/>
  <c r="A580" i="81"/>
  <c r="P579" i="81"/>
  <c r="X47" i="76" s="1"/>
  <c r="A579" i="81"/>
  <c r="P578" i="81"/>
  <c r="X46" i="76" s="1"/>
  <c r="A578" i="81"/>
  <c r="P577" i="81"/>
  <c r="X45" i="76" s="1"/>
  <c r="A577" i="81"/>
  <c r="P576" i="81"/>
  <c r="X44" i="76" s="1"/>
  <c r="A576" i="81"/>
  <c r="P575" i="81"/>
  <c r="X43" i="76" s="1"/>
  <c r="A575" i="81"/>
  <c r="P574" i="81"/>
  <c r="X42" i="76" s="1"/>
  <c r="A574" i="81"/>
  <c r="P573" i="81"/>
  <c r="X41" i="76" s="1"/>
  <c r="A573" i="81"/>
  <c r="P572" i="81"/>
  <c r="X40" i="76" s="1"/>
  <c r="A572" i="81"/>
  <c r="P571" i="81"/>
  <c r="X39" i="76" s="1"/>
  <c r="A571" i="81"/>
  <c r="P570" i="81"/>
  <c r="X38" i="76" s="1"/>
  <c r="A570" i="81"/>
  <c r="P569" i="81"/>
  <c r="X37" i="76" s="1"/>
  <c r="A569" i="81"/>
  <c r="P568" i="81"/>
  <c r="X36" i="76" s="1"/>
  <c r="A568" i="81"/>
  <c r="P567" i="81"/>
  <c r="A567" i="81"/>
  <c r="P566" i="81"/>
  <c r="A566" i="81"/>
  <c r="P565" i="81"/>
  <c r="X33" i="76" s="1"/>
  <c r="A565" i="81"/>
  <c r="P564" i="81"/>
  <c r="X32" i="76" s="1"/>
  <c r="A564" i="81"/>
  <c r="P563" i="81"/>
  <c r="X31" i="76" s="1"/>
  <c r="A563" i="81"/>
  <c r="P562" i="81"/>
  <c r="X30" i="76" s="1"/>
  <c r="A562" i="81"/>
  <c r="P561" i="81"/>
  <c r="X29" i="76" s="1"/>
  <c r="A561" i="81"/>
  <c r="P560" i="81"/>
  <c r="X28" i="76" s="1"/>
  <c r="A560" i="81"/>
  <c r="P559" i="81"/>
  <c r="X27" i="76" s="1"/>
  <c r="A559" i="81"/>
  <c r="P558" i="81"/>
  <c r="X26" i="76" s="1"/>
  <c r="A558" i="81"/>
  <c r="P557" i="81"/>
  <c r="X25" i="76" s="1"/>
  <c r="A557" i="81"/>
  <c r="P556" i="81"/>
  <c r="X24" i="76" s="1"/>
  <c r="A556" i="81"/>
  <c r="P555" i="81"/>
  <c r="X23" i="76" s="1"/>
  <c r="A555" i="81"/>
  <c r="P554" i="81"/>
  <c r="X22" i="76" s="1"/>
  <c r="A554" i="81"/>
  <c r="P553" i="81"/>
  <c r="X21" i="76" s="1"/>
  <c r="A553" i="81"/>
  <c r="P552" i="81"/>
  <c r="X20" i="76" s="1"/>
  <c r="A552" i="81"/>
  <c r="P551" i="81"/>
  <c r="X19" i="76" s="1"/>
  <c r="A551" i="81"/>
  <c r="P550" i="81"/>
  <c r="X18" i="76" s="1"/>
  <c r="A550" i="81"/>
  <c r="P549" i="81"/>
  <c r="X17" i="76" s="1"/>
  <c r="A549" i="81"/>
  <c r="P548" i="81"/>
  <c r="X16" i="76" s="1"/>
  <c r="A548" i="81"/>
  <c r="P547" i="81"/>
  <c r="X15" i="76" s="1"/>
  <c r="A547" i="81"/>
  <c r="P546" i="81"/>
  <c r="X14" i="76" s="1"/>
  <c r="A546" i="81"/>
  <c r="P545" i="81"/>
  <c r="X13" i="76" s="1"/>
  <c r="A545" i="81"/>
  <c r="P544" i="81"/>
  <c r="X12" i="76" s="1"/>
  <c r="A544" i="81"/>
  <c r="P543" i="81"/>
  <c r="X11" i="76" s="1"/>
  <c r="A543" i="81"/>
  <c r="P542" i="81"/>
  <c r="X10" i="76" s="1"/>
  <c r="A542" i="81"/>
  <c r="P541" i="81"/>
  <c r="X9" i="76" s="1"/>
  <c r="A541" i="81"/>
  <c r="O596" i="81"/>
  <c r="A540" i="81"/>
  <c r="N536" i="81"/>
  <c r="M536" i="81"/>
  <c r="L536" i="81"/>
  <c r="K536" i="81"/>
  <c r="J536" i="81"/>
  <c r="I536" i="81"/>
  <c r="H536" i="81"/>
  <c r="G536" i="81"/>
  <c r="F536" i="81"/>
  <c r="E536" i="81"/>
  <c r="D536" i="81"/>
  <c r="C536" i="81"/>
  <c r="B536" i="81"/>
  <c r="P535" i="81"/>
  <c r="P534" i="81"/>
  <c r="P533" i="81"/>
  <c r="P532" i="81"/>
  <c r="P531" i="81"/>
  <c r="P530" i="81"/>
  <c r="P529" i="81"/>
  <c r="P528" i="81"/>
  <c r="P527" i="81"/>
  <c r="P526" i="81"/>
  <c r="P525" i="81"/>
  <c r="P524" i="81"/>
  <c r="P523" i="81"/>
  <c r="P522" i="81"/>
  <c r="P521" i="81"/>
  <c r="P520" i="81"/>
  <c r="X49" i="75" s="1"/>
  <c r="P519" i="81"/>
  <c r="X48" i="75" s="1"/>
  <c r="P518" i="81"/>
  <c r="X47" i="75" s="1"/>
  <c r="A518" i="81"/>
  <c r="P517" i="81"/>
  <c r="X46" i="75" s="1"/>
  <c r="A517" i="81"/>
  <c r="P516" i="81"/>
  <c r="X45" i="75" s="1"/>
  <c r="A516" i="81"/>
  <c r="P515" i="81"/>
  <c r="X44" i="75" s="1"/>
  <c r="A515" i="81"/>
  <c r="P514" i="81"/>
  <c r="A514" i="81"/>
  <c r="P513" i="81"/>
  <c r="A513" i="81"/>
  <c r="P512" i="81"/>
  <c r="X41" i="75" s="1"/>
  <c r="A512" i="81"/>
  <c r="P511" i="81"/>
  <c r="X40" i="75" s="1"/>
  <c r="A511" i="81"/>
  <c r="P510" i="81"/>
  <c r="A510" i="81"/>
  <c r="P509" i="81"/>
  <c r="X38" i="75" s="1"/>
  <c r="A509" i="81"/>
  <c r="P508" i="81"/>
  <c r="X37" i="75" s="1"/>
  <c r="A508" i="81"/>
  <c r="P507" i="81"/>
  <c r="X36" i="75" s="1"/>
  <c r="A507" i="81"/>
  <c r="P506" i="81"/>
  <c r="X35" i="75" s="1"/>
  <c r="A506" i="81"/>
  <c r="P505" i="81"/>
  <c r="X34" i="75" s="1"/>
  <c r="A505" i="81"/>
  <c r="P504" i="81"/>
  <c r="X33" i="75" s="1"/>
  <c r="A504" i="81"/>
  <c r="P503" i="81"/>
  <c r="X32" i="75" s="1"/>
  <c r="A503" i="81"/>
  <c r="P502" i="81"/>
  <c r="X31" i="75" s="1"/>
  <c r="A502" i="81"/>
  <c r="P501" i="81"/>
  <c r="X30" i="75" s="1"/>
  <c r="A501" i="81"/>
  <c r="P500" i="81"/>
  <c r="X29" i="75" s="1"/>
  <c r="A500" i="81"/>
  <c r="P499" i="81"/>
  <c r="X28" i="75" s="1"/>
  <c r="A499" i="81"/>
  <c r="P498" i="81"/>
  <c r="X27" i="75" s="1"/>
  <c r="A498" i="81"/>
  <c r="P497" i="81"/>
  <c r="X26" i="75" s="1"/>
  <c r="A497" i="81"/>
  <c r="P496" i="81"/>
  <c r="X25" i="75" s="1"/>
  <c r="A496" i="81"/>
  <c r="P495" i="81"/>
  <c r="X24" i="75" s="1"/>
  <c r="A495" i="81"/>
  <c r="P494" i="81"/>
  <c r="A494" i="81"/>
  <c r="P493" i="81"/>
  <c r="X22" i="75" s="1"/>
  <c r="A493" i="81"/>
  <c r="P492" i="81"/>
  <c r="X21" i="75" s="1"/>
  <c r="A492" i="81"/>
  <c r="P491" i="81"/>
  <c r="X20" i="75" s="1"/>
  <c r="A491" i="81"/>
  <c r="P490" i="81"/>
  <c r="X19" i="75" s="1"/>
  <c r="A490" i="81"/>
  <c r="P489" i="81"/>
  <c r="X18" i="75" s="1"/>
  <c r="A489" i="81"/>
  <c r="P488" i="81"/>
  <c r="X17" i="75" s="1"/>
  <c r="A488" i="81"/>
  <c r="P487" i="81"/>
  <c r="X16" i="75" s="1"/>
  <c r="A487" i="81"/>
  <c r="P486" i="81"/>
  <c r="X15" i="75" s="1"/>
  <c r="A486" i="81"/>
  <c r="P485" i="81"/>
  <c r="X14" i="75" s="1"/>
  <c r="A485" i="81"/>
  <c r="P484" i="81"/>
  <c r="X13" i="75" s="1"/>
  <c r="A484" i="81"/>
  <c r="P483" i="81"/>
  <c r="X12" i="75" s="1"/>
  <c r="A483" i="81"/>
  <c r="P482" i="81"/>
  <c r="A482" i="81"/>
  <c r="P481" i="81"/>
  <c r="X10" i="75" s="1"/>
  <c r="A481" i="81"/>
  <c r="P480" i="81"/>
  <c r="X9" i="75" s="1"/>
  <c r="A480" i="81"/>
  <c r="P479" i="81"/>
  <c r="X8" i="75" s="1"/>
  <c r="A479" i="81"/>
  <c r="N474" i="81"/>
  <c r="L474" i="81"/>
  <c r="J474" i="81"/>
  <c r="I474" i="81"/>
  <c r="H474" i="81"/>
  <c r="G474" i="81"/>
  <c r="F474" i="81"/>
  <c r="E474" i="81"/>
  <c r="D474" i="81"/>
  <c r="C474" i="81"/>
  <c r="B474" i="81"/>
  <c r="P473" i="81"/>
  <c r="X62" i="74" s="1"/>
  <c r="P472" i="81"/>
  <c r="X61" i="74" s="1"/>
  <c r="P471" i="81"/>
  <c r="X60" i="74" s="1"/>
  <c r="P470" i="81"/>
  <c r="X59" i="74" s="1"/>
  <c r="P469" i="81"/>
  <c r="X58" i="74" s="1"/>
  <c r="AD58" i="74" s="1"/>
  <c r="P468" i="81"/>
  <c r="X57" i="74" s="1"/>
  <c r="AD57" i="74" s="1"/>
  <c r="P467" i="81"/>
  <c r="X56" i="74" s="1"/>
  <c r="AD56" i="74" s="1"/>
  <c r="P466" i="81"/>
  <c r="P465" i="81"/>
  <c r="X55" i="74" s="1"/>
  <c r="P464" i="81"/>
  <c r="X54" i="74" s="1"/>
  <c r="P463" i="81"/>
  <c r="X53" i="74" s="1"/>
  <c r="P462" i="81"/>
  <c r="X52" i="74" s="1"/>
  <c r="P461" i="81"/>
  <c r="X51" i="74" s="1"/>
  <c r="P460" i="81"/>
  <c r="X50" i="74" s="1"/>
  <c r="P459" i="81"/>
  <c r="X49" i="74" s="1"/>
  <c r="P458" i="81"/>
  <c r="X48" i="74" s="1"/>
  <c r="P457" i="81"/>
  <c r="X47" i="74" s="1"/>
  <c r="P456" i="81"/>
  <c r="X46" i="74" s="1"/>
  <c r="P455" i="81"/>
  <c r="X45" i="74" s="1"/>
  <c r="M474" i="81"/>
  <c r="A454" i="81"/>
  <c r="P453" i="81"/>
  <c r="X43" i="74" s="1"/>
  <c r="A453" i="81"/>
  <c r="P452" i="81"/>
  <c r="X42" i="74" s="1"/>
  <c r="A452" i="81"/>
  <c r="P451" i="81"/>
  <c r="X41" i="74" s="1"/>
  <c r="A451" i="81"/>
  <c r="P450" i="81"/>
  <c r="X40" i="74" s="1"/>
  <c r="A450" i="81"/>
  <c r="P449" i="81"/>
  <c r="X39" i="74" s="1"/>
  <c r="A449" i="81"/>
  <c r="P448" i="81"/>
  <c r="X38" i="74" s="1"/>
  <c r="A448" i="81"/>
  <c r="P447" i="81"/>
  <c r="X37" i="74" s="1"/>
  <c r="A447" i="81"/>
  <c r="P446" i="81"/>
  <c r="X36" i="74" s="1"/>
  <c r="A446" i="81"/>
  <c r="P445" i="81"/>
  <c r="X35" i="74" s="1"/>
  <c r="A445" i="81"/>
  <c r="P444" i="81"/>
  <c r="X34" i="74" s="1"/>
  <c r="A444" i="81"/>
  <c r="P443" i="81"/>
  <c r="X33" i="74" s="1"/>
  <c r="A443" i="81"/>
  <c r="P442" i="81"/>
  <c r="X32" i="74" s="1"/>
  <c r="A442" i="81"/>
  <c r="P441" i="81"/>
  <c r="A441" i="81"/>
  <c r="A440" i="81"/>
  <c r="A439" i="81"/>
  <c r="P438" i="81"/>
  <c r="X27" i="74" s="1"/>
  <c r="A438" i="81"/>
  <c r="P437" i="81"/>
  <c r="X26" i="74" s="1"/>
  <c r="A437" i="81"/>
  <c r="P436" i="81"/>
  <c r="X25" i="74" s="1"/>
  <c r="A436" i="81"/>
  <c r="P435" i="81"/>
  <c r="X24" i="74" s="1"/>
  <c r="A435" i="81"/>
  <c r="P434" i="81"/>
  <c r="X23" i="74" s="1"/>
  <c r="A434" i="81"/>
  <c r="P433" i="81"/>
  <c r="X22" i="74" s="1"/>
  <c r="A433" i="81"/>
  <c r="P432" i="81"/>
  <c r="X21" i="74" s="1"/>
  <c r="A432" i="81"/>
  <c r="P431" i="81"/>
  <c r="X20" i="74" s="1"/>
  <c r="A431" i="81"/>
  <c r="P430" i="81"/>
  <c r="X19" i="74" s="1"/>
  <c r="A430" i="81"/>
  <c r="P429" i="81"/>
  <c r="X18" i="74" s="1"/>
  <c r="A429" i="81"/>
  <c r="P428" i="81"/>
  <c r="X17" i="74" s="1"/>
  <c r="A428" i="81"/>
  <c r="P427" i="81"/>
  <c r="X16" i="74" s="1"/>
  <c r="A427" i="81"/>
  <c r="P426" i="81"/>
  <c r="X15" i="74" s="1"/>
  <c r="A426" i="81"/>
  <c r="P425" i="81"/>
  <c r="X14" i="74" s="1"/>
  <c r="A425" i="81"/>
  <c r="P424" i="81"/>
  <c r="X13" i="74" s="1"/>
  <c r="A424" i="81"/>
  <c r="P423" i="81"/>
  <c r="X12" i="74" s="1"/>
  <c r="A423" i="81"/>
  <c r="P422" i="81"/>
  <c r="X11" i="74" s="1"/>
  <c r="A422" i="81"/>
  <c r="P421" i="81"/>
  <c r="X10" i="74" s="1"/>
  <c r="A421" i="81"/>
  <c r="P420" i="81"/>
  <c r="X9" i="74" s="1"/>
  <c r="A420" i="81"/>
  <c r="P419" i="81"/>
  <c r="X8" i="74" s="1"/>
  <c r="A419" i="81"/>
  <c r="N415" i="81"/>
  <c r="M415" i="81"/>
  <c r="L415" i="81"/>
  <c r="K415" i="81"/>
  <c r="J415" i="81"/>
  <c r="I415" i="81"/>
  <c r="H415" i="81"/>
  <c r="G415" i="81"/>
  <c r="F415" i="81"/>
  <c r="E415" i="81"/>
  <c r="D415" i="81"/>
  <c r="C415" i="81"/>
  <c r="B415" i="81"/>
  <c r="P414" i="81"/>
  <c r="P413" i="81"/>
  <c r="P412" i="81"/>
  <c r="P411" i="81"/>
  <c r="P410" i="81"/>
  <c r="P409" i="81"/>
  <c r="P408" i="81"/>
  <c r="P407" i="81"/>
  <c r="X60" i="73" s="1"/>
  <c r="P406" i="81"/>
  <c r="X59" i="73" s="1"/>
  <c r="P405" i="81"/>
  <c r="X58" i="73" s="1"/>
  <c r="P404" i="81"/>
  <c r="X57" i="73" s="1"/>
  <c r="P403" i="81"/>
  <c r="X56" i="73" s="1"/>
  <c r="P402" i="81"/>
  <c r="X55" i="73" s="1"/>
  <c r="P401" i="81"/>
  <c r="X54" i="73" s="1"/>
  <c r="P400" i="81"/>
  <c r="X53" i="73" s="1"/>
  <c r="P399" i="81"/>
  <c r="X52" i="73" s="1"/>
  <c r="P398" i="81"/>
  <c r="X51" i="73" s="1"/>
  <c r="P397" i="81"/>
  <c r="X50" i="73" s="1"/>
  <c r="P396" i="81"/>
  <c r="X49" i="73" s="1"/>
  <c r="P395" i="81"/>
  <c r="X48" i="73" s="1"/>
  <c r="P394" i="81"/>
  <c r="X47" i="73" s="1"/>
  <c r="P393" i="81"/>
  <c r="X46" i="73" s="1"/>
  <c r="P392" i="81"/>
  <c r="X45" i="73" s="1"/>
  <c r="P391" i="81"/>
  <c r="X44" i="73" s="1"/>
  <c r="P390" i="81"/>
  <c r="X43" i="73" s="1"/>
  <c r="P389" i="81"/>
  <c r="X42" i="73" s="1"/>
  <c r="P388" i="81"/>
  <c r="X41" i="73" s="1"/>
  <c r="P387" i="81"/>
  <c r="X40" i="73" s="1"/>
  <c r="P382" i="81"/>
  <c r="X35" i="73" s="1"/>
  <c r="P381" i="81"/>
  <c r="X34" i="73" s="1"/>
  <c r="P380" i="81"/>
  <c r="X33" i="73" s="1"/>
  <c r="P379" i="81"/>
  <c r="X32" i="73" s="1"/>
  <c r="P378" i="81"/>
  <c r="X31" i="73" s="1"/>
  <c r="P377" i="81"/>
  <c r="X30" i="73" s="1"/>
  <c r="P376" i="81"/>
  <c r="X29" i="73" s="1"/>
  <c r="P375" i="81"/>
  <c r="X28" i="73" s="1"/>
  <c r="P374" i="81"/>
  <c r="X27" i="73" s="1"/>
  <c r="P373" i="81"/>
  <c r="X26" i="73" s="1"/>
  <c r="P372" i="81"/>
  <c r="X25" i="73" s="1"/>
  <c r="P371" i="81"/>
  <c r="X24" i="73" s="1"/>
  <c r="P370" i="81"/>
  <c r="X23" i="73" s="1"/>
  <c r="P369" i="81"/>
  <c r="X22" i="73" s="1"/>
  <c r="P368" i="81"/>
  <c r="X21" i="73" s="1"/>
  <c r="P367" i="81"/>
  <c r="P366" i="81"/>
  <c r="X20" i="73" s="1"/>
  <c r="P365" i="81"/>
  <c r="X19" i="73" s="1"/>
  <c r="P364" i="81"/>
  <c r="X18" i="73" s="1"/>
  <c r="P363" i="81"/>
  <c r="X17" i="73" s="1"/>
  <c r="A363" i="81"/>
  <c r="P362" i="81"/>
  <c r="A362" i="81"/>
  <c r="P361" i="81"/>
  <c r="A361" i="81"/>
  <c r="P360" i="81"/>
  <c r="A360" i="81"/>
  <c r="P359" i="81"/>
  <c r="A359" i="81"/>
  <c r="P358" i="81"/>
  <c r="A358" i="81"/>
  <c r="P357" i="81"/>
  <c r="A357" i="81"/>
  <c r="P356" i="81"/>
  <c r="A356" i="81"/>
  <c r="P355" i="81"/>
  <c r="A355" i="81"/>
  <c r="N350" i="81"/>
  <c r="L350" i="81"/>
  <c r="K350" i="81"/>
  <c r="J350" i="81"/>
  <c r="I350" i="81"/>
  <c r="H350" i="81"/>
  <c r="G350" i="81"/>
  <c r="F350" i="81"/>
  <c r="E350" i="81"/>
  <c r="D350" i="81"/>
  <c r="B350" i="81"/>
  <c r="P349" i="81"/>
  <c r="P348" i="81"/>
  <c r="P347" i="81"/>
  <c r="P346" i="81"/>
  <c r="P345" i="81"/>
  <c r="P344" i="81"/>
  <c r="P343" i="81"/>
  <c r="P342" i="81"/>
  <c r="P341" i="81"/>
  <c r="A341" i="81"/>
  <c r="P340" i="81"/>
  <c r="A340" i="81"/>
  <c r="P339" i="81"/>
  <c r="A339" i="81"/>
  <c r="P338" i="81"/>
  <c r="A338" i="81"/>
  <c r="P337" i="81"/>
  <c r="A337" i="81"/>
  <c r="P336" i="81"/>
  <c r="A336" i="81"/>
  <c r="P335" i="81"/>
  <c r="A335" i="81"/>
  <c r="P334" i="81"/>
  <c r="X45" i="72" s="1"/>
  <c r="A334" i="81"/>
  <c r="P333" i="81"/>
  <c r="X44" i="72" s="1"/>
  <c r="A333" i="81"/>
  <c r="P332" i="81"/>
  <c r="X43" i="72" s="1"/>
  <c r="A332" i="81"/>
  <c r="P331" i="81"/>
  <c r="X42" i="72" s="1"/>
  <c r="A331" i="81"/>
  <c r="P330" i="81"/>
  <c r="A330" i="81"/>
  <c r="P329" i="81"/>
  <c r="X40" i="72" s="1"/>
  <c r="A329" i="81"/>
  <c r="P328" i="81"/>
  <c r="X39" i="72" s="1"/>
  <c r="A328" i="81"/>
  <c r="P327" i="81"/>
  <c r="X38" i="72" s="1"/>
  <c r="A327" i="81"/>
  <c r="P326" i="81"/>
  <c r="A326" i="81"/>
  <c r="P325" i="81"/>
  <c r="X36" i="72" s="1"/>
  <c r="A325" i="81"/>
  <c r="P324" i="81"/>
  <c r="X35" i="72" s="1"/>
  <c r="A324" i="81"/>
  <c r="P323" i="81"/>
  <c r="X34" i="72" s="1"/>
  <c r="A323" i="81"/>
  <c r="P322" i="81"/>
  <c r="A322" i="81"/>
  <c r="P321" i="81"/>
  <c r="X32" i="72" s="1"/>
  <c r="A321" i="81"/>
  <c r="P320" i="81"/>
  <c r="X31" i="72" s="1"/>
  <c r="A320" i="81"/>
  <c r="P319" i="81"/>
  <c r="X30" i="72" s="1"/>
  <c r="A319" i="81"/>
  <c r="P318" i="81"/>
  <c r="A318" i="81"/>
  <c r="P317" i="81"/>
  <c r="X28" i="72" s="1"/>
  <c r="A317" i="81"/>
  <c r="P316" i="81"/>
  <c r="X27" i="72" s="1"/>
  <c r="A316" i="81"/>
  <c r="P315" i="81"/>
  <c r="X26" i="72" s="1"/>
  <c r="A315" i="81"/>
  <c r="P314" i="81"/>
  <c r="A314" i="81"/>
  <c r="P313" i="81"/>
  <c r="A313" i="81"/>
  <c r="P312" i="81"/>
  <c r="X23" i="72" s="1"/>
  <c r="A312" i="81"/>
  <c r="A310" i="81"/>
  <c r="P309" i="81"/>
  <c r="X21" i="72" s="1"/>
  <c r="A309" i="81"/>
  <c r="P308" i="81"/>
  <c r="X20" i="72" s="1"/>
  <c r="A308" i="81"/>
  <c r="A307" i="81"/>
  <c r="P306" i="81"/>
  <c r="X18" i="72" s="1"/>
  <c r="A306" i="81"/>
  <c r="P305" i="81"/>
  <c r="X17" i="72" s="1"/>
  <c r="A305" i="81"/>
  <c r="P304" i="81"/>
  <c r="X16" i="72" s="1"/>
  <c r="A304" i="81"/>
  <c r="P303" i="81"/>
  <c r="X15" i="72" s="1"/>
  <c r="A303" i="81"/>
  <c r="P302" i="81"/>
  <c r="X14" i="72" s="1"/>
  <c r="A302" i="81"/>
  <c r="P301" i="81"/>
  <c r="A301" i="81"/>
  <c r="P300" i="81"/>
  <c r="A300" i="81"/>
  <c r="P299" i="81"/>
  <c r="A299" i="81"/>
  <c r="P298" i="81"/>
  <c r="A298" i="81"/>
  <c r="P297" i="81"/>
  <c r="A297" i="81"/>
  <c r="N291" i="81"/>
  <c r="M291" i="81"/>
  <c r="L291" i="81"/>
  <c r="J291" i="81"/>
  <c r="H291" i="81"/>
  <c r="F291" i="81"/>
  <c r="E291" i="81"/>
  <c r="D291" i="81"/>
  <c r="C291" i="81"/>
  <c r="B291" i="81"/>
  <c r="P290" i="81"/>
  <c r="P289" i="81"/>
  <c r="P288" i="81"/>
  <c r="P287" i="81"/>
  <c r="P286" i="81"/>
  <c r="P285" i="81"/>
  <c r="A285" i="81"/>
  <c r="P284" i="81"/>
  <c r="A284" i="81"/>
  <c r="P283" i="81"/>
  <c r="A283" i="81"/>
  <c r="P282" i="81"/>
  <c r="A282" i="81"/>
  <c r="P281" i="81"/>
  <c r="A281" i="81"/>
  <c r="P280" i="81"/>
  <c r="A280" i="81"/>
  <c r="P279" i="81"/>
  <c r="A279" i="81"/>
  <c r="P278" i="81"/>
  <c r="A278" i="81"/>
  <c r="P277" i="81"/>
  <c r="A277" i="81"/>
  <c r="P276" i="81"/>
  <c r="A275" i="81"/>
  <c r="P274" i="81"/>
  <c r="A274" i="81"/>
  <c r="P273" i="81"/>
  <c r="A273" i="81"/>
  <c r="P272" i="81"/>
  <c r="A272" i="81"/>
  <c r="P271" i="81"/>
  <c r="A271" i="81"/>
  <c r="P270" i="81"/>
  <c r="A270" i="81"/>
  <c r="P269" i="81"/>
  <c r="X41" i="71" s="1"/>
  <c r="A269" i="81"/>
  <c r="P268" i="81"/>
  <c r="X40" i="71" s="1"/>
  <c r="A268" i="81"/>
  <c r="P267" i="81"/>
  <c r="X39" i="71" s="1"/>
  <c r="A267" i="81"/>
  <c r="P266" i="81"/>
  <c r="X38" i="71" s="1"/>
  <c r="A266" i="81"/>
  <c r="P265" i="81"/>
  <c r="X37" i="71" s="1"/>
  <c r="A265" i="81"/>
  <c r="A264" i="81"/>
  <c r="P263" i="81"/>
  <c r="X35" i="71" s="1"/>
  <c r="A263" i="81"/>
  <c r="P262" i="81"/>
  <c r="X34" i="71" s="1"/>
  <c r="A262" i="81"/>
  <c r="P261" i="81"/>
  <c r="X33" i="71" s="1"/>
  <c r="A261" i="81"/>
  <c r="P260" i="81"/>
  <c r="X32" i="71" s="1"/>
  <c r="A260" i="81"/>
  <c r="P259" i="81"/>
  <c r="X31" i="71" s="1"/>
  <c r="A259" i="81"/>
  <c r="P258" i="81"/>
  <c r="X30" i="71" s="1"/>
  <c r="A258" i="81"/>
  <c r="P257" i="81"/>
  <c r="X29" i="71" s="1"/>
  <c r="A257" i="81"/>
  <c r="P256" i="81"/>
  <c r="X28" i="71" s="1"/>
  <c r="A256" i="81"/>
  <c r="P255" i="81"/>
  <c r="X27" i="71" s="1"/>
  <c r="A255" i="81"/>
  <c r="P254" i="81"/>
  <c r="X26" i="71" s="1"/>
  <c r="A254" i="81"/>
  <c r="P253" i="81"/>
  <c r="X25" i="71" s="1"/>
  <c r="A253" i="81"/>
  <c r="P252" i="81"/>
  <c r="X24" i="71" s="1"/>
  <c r="A252" i="81"/>
  <c r="P251" i="81"/>
  <c r="X23" i="71" s="1"/>
  <c r="A251" i="81"/>
  <c r="P250" i="81"/>
  <c r="X22" i="71" s="1"/>
  <c r="A250" i="81"/>
  <c r="P249" i="81"/>
  <c r="X21" i="71" s="1"/>
  <c r="A249" i="81"/>
  <c r="P248" i="81"/>
  <c r="X20" i="71" s="1"/>
  <c r="A248" i="81"/>
  <c r="P247" i="81"/>
  <c r="X19" i="71" s="1"/>
  <c r="A247" i="81"/>
  <c r="P246" i="81"/>
  <c r="X18" i="71" s="1"/>
  <c r="A246" i="81"/>
  <c r="P245" i="81"/>
  <c r="X17" i="71" s="1"/>
  <c r="A245" i="81"/>
  <c r="P244" i="81"/>
  <c r="X16" i="71" s="1"/>
  <c r="A244" i="81"/>
  <c r="P243" i="81"/>
  <c r="X15" i="71" s="1"/>
  <c r="A243" i="81"/>
  <c r="P242" i="81"/>
  <c r="X14" i="71" s="1"/>
  <c r="A242" i="81"/>
  <c r="I291" i="81"/>
  <c r="A241" i="81"/>
  <c r="P240" i="81"/>
  <c r="X12" i="71" s="1"/>
  <c r="A240" i="81"/>
  <c r="P239" i="81"/>
  <c r="X11" i="71" s="1"/>
  <c r="A239" i="81"/>
  <c r="P238" i="81"/>
  <c r="X10" i="71" s="1"/>
  <c r="A238" i="81"/>
  <c r="P237" i="81"/>
  <c r="X9" i="71" s="1"/>
  <c r="A237" i="81"/>
  <c r="P236" i="81"/>
  <c r="X8" i="71" s="1"/>
  <c r="A236" i="81"/>
  <c r="N231" i="81"/>
  <c r="M231" i="81"/>
  <c r="L231" i="81"/>
  <c r="J231" i="81"/>
  <c r="H231" i="81"/>
  <c r="G231" i="81"/>
  <c r="F231" i="81"/>
  <c r="D231" i="81"/>
  <c r="C231" i="81"/>
  <c r="B231" i="81"/>
  <c r="P230" i="81"/>
  <c r="P229" i="81"/>
  <c r="P228" i="81"/>
  <c r="P227" i="81"/>
  <c r="P226" i="81"/>
  <c r="P225" i="81"/>
  <c r="P224" i="81"/>
  <c r="P223" i="81"/>
  <c r="P222" i="81"/>
  <c r="P221" i="81"/>
  <c r="P220" i="81"/>
  <c r="X53" i="70" s="1"/>
  <c r="P219" i="81"/>
  <c r="X52" i="70" s="1"/>
  <c r="P218" i="81"/>
  <c r="X51" i="70" s="1"/>
  <c r="A218" i="81"/>
  <c r="P217" i="81"/>
  <c r="X50" i="70" s="1"/>
  <c r="A217" i="81"/>
  <c r="P216" i="81"/>
  <c r="X49" i="70" s="1"/>
  <c r="A216" i="81"/>
  <c r="P215" i="81"/>
  <c r="X48" i="70" s="1"/>
  <c r="A215" i="81"/>
  <c r="P214" i="81"/>
  <c r="X47" i="70" s="1"/>
  <c r="A214" i="81"/>
  <c r="P213" i="81"/>
  <c r="X46" i="70" s="1"/>
  <c r="A213" i="81"/>
  <c r="P212" i="81"/>
  <c r="X45" i="70" s="1"/>
  <c r="A212" i="81"/>
  <c r="P211" i="81"/>
  <c r="X44" i="70" s="1"/>
  <c r="A211" i="81"/>
  <c r="P210" i="81"/>
  <c r="X43" i="70" s="1"/>
  <c r="A210" i="81"/>
  <c r="P209" i="81"/>
  <c r="X42" i="70" s="1"/>
  <c r="A209" i="81"/>
  <c r="P208" i="81"/>
  <c r="X41" i="70" s="1"/>
  <c r="A208" i="81"/>
  <c r="P207" i="81"/>
  <c r="X40" i="70" s="1"/>
  <c r="A207" i="81"/>
  <c r="P206" i="81"/>
  <c r="X39" i="70" s="1"/>
  <c r="A206" i="81"/>
  <c r="P205" i="81"/>
  <c r="X38" i="70" s="1"/>
  <c r="A205" i="81"/>
  <c r="P204" i="81"/>
  <c r="X37" i="70" s="1"/>
  <c r="A204" i="81"/>
  <c r="P203" i="81"/>
  <c r="X36" i="70" s="1"/>
  <c r="A203" i="81"/>
  <c r="P202" i="81"/>
  <c r="X35" i="70" s="1"/>
  <c r="A202" i="81"/>
  <c r="P201" i="81"/>
  <c r="X34" i="70" s="1"/>
  <c r="A201" i="81"/>
  <c r="P200" i="81"/>
  <c r="X33" i="70" s="1"/>
  <c r="A200" i="81"/>
  <c r="P199" i="81"/>
  <c r="X32" i="70" s="1"/>
  <c r="A199" i="81"/>
  <c r="P198" i="81"/>
  <c r="X31" i="70" s="1"/>
  <c r="A198" i="81"/>
  <c r="P197" i="81"/>
  <c r="X30" i="70" s="1"/>
  <c r="A197" i="81"/>
  <c r="P196" i="81"/>
  <c r="X29" i="70" s="1"/>
  <c r="A196" i="81"/>
  <c r="P195" i="81"/>
  <c r="X28" i="70" s="1"/>
  <c r="A195" i="81"/>
  <c r="P194" i="81"/>
  <c r="X27" i="70" s="1"/>
  <c r="A194" i="81"/>
  <c r="P193" i="81"/>
  <c r="X26" i="70" s="1"/>
  <c r="A193" i="81"/>
  <c r="P192" i="81"/>
  <c r="X25" i="70" s="1"/>
  <c r="A192" i="81"/>
  <c r="P191" i="81"/>
  <c r="X24" i="70" s="1"/>
  <c r="A191" i="81"/>
  <c r="P190" i="81"/>
  <c r="X23" i="70" s="1"/>
  <c r="A190" i="81"/>
  <c r="P189" i="81"/>
  <c r="X22" i="70" s="1"/>
  <c r="A189" i="81"/>
  <c r="P188" i="81"/>
  <c r="X21" i="70" s="1"/>
  <c r="A188" i="81"/>
  <c r="P187" i="81"/>
  <c r="X20" i="70" s="1"/>
  <c r="A187" i="81"/>
  <c r="P186" i="81"/>
  <c r="X19" i="70" s="1"/>
  <c r="A186" i="81"/>
  <c r="P185" i="81"/>
  <c r="X18" i="70" s="1"/>
  <c r="A185" i="81"/>
  <c r="P184" i="81"/>
  <c r="X17" i="70" s="1"/>
  <c r="A184" i="81"/>
  <c r="P183" i="81"/>
  <c r="X16" i="70" s="1"/>
  <c r="A183" i="81"/>
  <c r="P182" i="81"/>
  <c r="X15" i="70" s="1"/>
  <c r="A182" i="81"/>
  <c r="P181" i="81"/>
  <c r="X14" i="70" s="1"/>
  <c r="A181" i="81"/>
  <c r="E231" i="81"/>
  <c r="A180" i="81"/>
  <c r="P179" i="81"/>
  <c r="A179" i="81"/>
  <c r="O231" i="81"/>
  <c r="A178" i="81"/>
  <c r="P177" i="81"/>
  <c r="X10" i="70" s="1"/>
  <c r="A177" i="81"/>
  <c r="P176" i="81"/>
  <c r="X9" i="70" s="1"/>
  <c r="A176" i="81"/>
  <c r="P175" i="81"/>
  <c r="A175" i="81"/>
  <c r="O169" i="81"/>
  <c r="N169" i="81"/>
  <c r="M169" i="81"/>
  <c r="L169" i="81"/>
  <c r="K169" i="81"/>
  <c r="J169" i="81"/>
  <c r="I169" i="81"/>
  <c r="H169" i="81"/>
  <c r="G169" i="81"/>
  <c r="F169" i="81"/>
  <c r="E169" i="81"/>
  <c r="D169" i="81"/>
  <c r="C169" i="81"/>
  <c r="B169" i="81"/>
  <c r="P168" i="81"/>
  <c r="P167" i="81"/>
  <c r="P166" i="81"/>
  <c r="A166" i="81"/>
  <c r="P165" i="81"/>
  <c r="A165" i="81"/>
  <c r="P164" i="81"/>
  <c r="X59" i="69" s="1"/>
  <c r="A164" i="81"/>
  <c r="P163" i="81"/>
  <c r="X58" i="69" s="1"/>
  <c r="A163" i="81"/>
  <c r="P162" i="81"/>
  <c r="X57" i="69" s="1"/>
  <c r="A162" i="81"/>
  <c r="P161" i="81"/>
  <c r="X56" i="69" s="1"/>
  <c r="A161" i="81"/>
  <c r="P160" i="81"/>
  <c r="X55" i="69" s="1"/>
  <c r="P159" i="81"/>
  <c r="X54" i="69" s="1"/>
  <c r="P158" i="81"/>
  <c r="X53" i="69" s="1"/>
  <c r="P157" i="81"/>
  <c r="X52" i="69" s="1"/>
  <c r="P156" i="81"/>
  <c r="X51" i="69" s="1"/>
  <c r="P155" i="81"/>
  <c r="X50" i="69" s="1"/>
  <c r="P154" i="81"/>
  <c r="X49" i="69" s="1"/>
  <c r="P153" i="81"/>
  <c r="X48" i="69" s="1"/>
  <c r="P152" i="81"/>
  <c r="X47" i="69" s="1"/>
  <c r="P151" i="81"/>
  <c r="X46" i="69" s="1"/>
  <c r="P150" i="81"/>
  <c r="X45" i="69" s="1"/>
  <c r="P149" i="81"/>
  <c r="X44" i="69" s="1"/>
  <c r="P148" i="81"/>
  <c r="X43" i="69" s="1"/>
  <c r="P147" i="81"/>
  <c r="X42" i="69" s="1"/>
  <c r="P146" i="81"/>
  <c r="X41" i="69" s="1"/>
  <c r="P145" i="81"/>
  <c r="X40" i="69" s="1"/>
  <c r="P144" i="81"/>
  <c r="X39" i="69" s="1"/>
  <c r="P143" i="81"/>
  <c r="X38" i="69" s="1"/>
  <c r="P142" i="81"/>
  <c r="X37" i="69" s="1"/>
  <c r="P141" i="81"/>
  <c r="X36" i="69" s="1"/>
  <c r="P140" i="81"/>
  <c r="X35" i="69" s="1"/>
  <c r="P139" i="81"/>
  <c r="X34" i="69" s="1"/>
  <c r="P138" i="81"/>
  <c r="X33" i="69" s="1"/>
  <c r="P137" i="81"/>
  <c r="X32" i="69" s="1"/>
  <c r="P136" i="81"/>
  <c r="X31" i="69" s="1"/>
  <c r="P135" i="81"/>
  <c r="X30" i="69" s="1"/>
  <c r="P134" i="81"/>
  <c r="X29" i="69" s="1"/>
  <c r="P133" i="81"/>
  <c r="X28" i="69" s="1"/>
  <c r="A133" i="81"/>
  <c r="P132" i="81"/>
  <c r="X27" i="69" s="1"/>
  <c r="A132" i="81"/>
  <c r="P131" i="81"/>
  <c r="X26" i="69" s="1"/>
  <c r="A131" i="81"/>
  <c r="P130" i="81"/>
  <c r="X25" i="69" s="1"/>
  <c r="A130" i="81"/>
  <c r="P129" i="81"/>
  <c r="X24" i="69" s="1"/>
  <c r="A129" i="81"/>
  <c r="P128" i="81"/>
  <c r="X23" i="69" s="1"/>
  <c r="A128" i="81"/>
  <c r="P127" i="81"/>
  <c r="X22" i="69" s="1"/>
  <c r="A127" i="81"/>
  <c r="P126" i="81"/>
  <c r="X21" i="69" s="1"/>
  <c r="A126" i="81"/>
  <c r="P125" i="81"/>
  <c r="X20" i="69" s="1"/>
  <c r="A125" i="81"/>
  <c r="P124" i="81"/>
  <c r="X19" i="69" s="1"/>
  <c r="A124" i="81"/>
  <c r="P123" i="81"/>
  <c r="X18" i="69" s="1"/>
  <c r="A123" i="81"/>
  <c r="P122" i="81"/>
  <c r="X17" i="69" s="1"/>
  <c r="A122" i="81"/>
  <c r="P121" i="81"/>
  <c r="X16" i="69" s="1"/>
  <c r="A121" i="81"/>
  <c r="P120" i="81"/>
  <c r="X15" i="69" s="1"/>
  <c r="A120" i="81"/>
  <c r="P119" i="81"/>
  <c r="X14" i="69" s="1"/>
  <c r="A119" i="81"/>
  <c r="P118" i="81"/>
  <c r="X13" i="69" s="1"/>
  <c r="A118" i="81"/>
  <c r="P117" i="81"/>
  <c r="X12" i="69" s="1"/>
  <c r="A117" i="81"/>
  <c r="P116" i="81"/>
  <c r="X11" i="69" s="1"/>
  <c r="P115" i="81"/>
  <c r="X10" i="69" s="1"/>
  <c r="P114" i="81"/>
  <c r="X9" i="69" s="1"/>
  <c r="P113" i="81"/>
  <c r="X8" i="69" s="1"/>
  <c r="N107" i="81"/>
  <c r="L107" i="81"/>
  <c r="K107" i="81"/>
  <c r="H107" i="81"/>
  <c r="G107" i="81"/>
  <c r="F107" i="81"/>
  <c r="E107" i="81"/>
  <c r="D107" i="81"/>
  <c r="C107" i="81"/>
  <c r="B107" i="81"/>
  <c r="P106" i="81"/>
  <c r="P105" i="81"/>
  <c r="P104" i="81"/>
  <c r="P103" i="81"/>
  <c r="A103" i="81"/>
  <c r="P102" i="81"/>
  <c r="A102" i="81"/>
  <c r="P101" i="81"/>
  <c r="X53" i="68" s="1"/>
  <c r="A101" i="81"/>
  <c r="P100" i="81"/>
  <c r="X52" i="68" s="1"/>
  <c r="A100" i="81"/>
  <c r="P99" i="81"/>
  <c r="X51" i="68" s="1"/>
  <c r="A99" i="81"/>
  <c r="P98" i="81"/>
  <c r="X50" i="68" s="1"/>
  <c r="A98" i="81"/>
  <c r="P97" i="81"/>
  <c r="X49" i="68" s="1"/>
  <c r="A97" i="81"/>
  <c r="P96" i="81"/>
  <c r="X48" i="68" s="1"/>
  <c r="A96" i="81"/>
  <c r="P95" i="81"/>
  <c r="X47" i="68" s="1"/>
  <c r="A95" i="81"/>
  <c r="P94" i="81"/>
  <c r="X46" i="68" s="1"/>
  <c r="A94" i="81"/>
  <c r="P93" i="81"/>
  <c r="X45" i="68" s="1"/>
  <c r="A93" i="81"/>
  <c r="P92" i="81"/>
  <c r="X44" i="68" s="1"/>
  <c r="A92" i="81"/>
  <c r="P91" i="81"/>
  <c r="X43" i="68" s="1"/>
  <c r="A91" i="81"/>
  <c r="P90" i="81"/>
  <c r="X42" i="68" s="1"/>
  <c r="A90" i="81"/>
  <c r="P89" i="81"/>
  <c r="X41" i="68" s="1"/>
  <c r="A89" i="81"/>
  <c r="P88" i="81"/>
  <c r="X40" i="68" s="1"/>
  <c r="A88" i="81"/>
  <c r="P87" i="81"/>
  <c r="X39" i="68" s="1"/>
  <c r="A87" i="81"/>
  <c r="P86" i="81"/>
  <c r="X38" i="68" s="1"/>
  <c r="A86" i="81"/>
  <c r="P85" i="81"/>
  <c r="X37" i="68" s="1"/>
  <c r="A85" i="81"/>
  <c r="P84" i="81"/>
  <c r="X36" i="68" s="1"/>
  <c r="A84" i="81"/>
  <c r="P83" i="81"/>
  <c r="X35" i="68" s="1"/>
  <c r="A83" i="81"/>
  <c r="P82" i="81"/>
  <c r="X34" i="68" s="1"/>
  <c r="A82" i="81"/>
  <c r="P81" i="81"/>
  <c r="X33" i="68" s="1"/>
  <c r="A81" i="81"/>
  <c r="O107" i="81"/>
  <c r="A80" i="81"/>
  <c r="P79" i="81"/>
  <c r="X31" i="68" s="1"/>
  <c r="A79" i="81"/>
  <c r="P78" i="81"/>
  <c r="X30" i="68" s="1"/>
  <c r="A78" i="81"/>
  <c r="P77" i="81"/>
  <c r="A77" i="81"/>
  <c r="P76" i="81"/>
  <c r="X28" i="68" s="1"/>
  <c r="A76" i="81"/>
  <c r="P75" i="81"/>
  <c r="X27" i="68" s="1"/>
  <c r="A75" i="81"/>
  <c r="P74" i="81"/>
  <c r="X26" i="68" s="1"/>
  <c r="A74" i="81"/>
  <c r="P73" i="81"/>
  <c r="A73" i="81"/>
  <c r="P72" i="81"/>
  <c r="X24" i="68" s="1"/>
  <c r="A72" i="81"/>
  <c r="P71" i="81"/>
  <c r="X23" i="68" s="1"/>
  <c r="A71" i="81"/>
  <c r="P70" i="81"/>
  <c r="X22" i="68" s="1"/>
  <c r="A70" i="81"/>
  <c r="P69" i="81"/>
  <c r="A69" i="81"/>
  <c r="P68" i="81"/>
  <c r="X20" i="68" s="1"/>
  <c r="A68" i="81"/>
  <c r="P67" i="81"/>
  <c r="X19" i="68" s="1"/>
  <c r="A67" i="81"/>
  <c r="P66" i="81"/>
  <c r="X18" i="68" s="1"/>
  <c r="A66" i="81"/>
  <c r="P65" i="81"/>
  <c r="A65" i="81"/>
  <c r="M107" i="81"/>
  <c r="J107" i="81"/>
  <c r="I107" i="81"/>
  <c r="A64" i="81"/>
  <c r="P63" i="81"/>
  <c r="X15" i="68" s="1"/>
  <c r="A63" i="81"/>
  <c r="P62" i="81"/>
  <c r="A62" i="81"/>
  <c r="P61" i="81"/>
  <c r="X13" i="68" s="1"/>
  <c r="A61" i="81"/>
  <c r="P60" i="81"/>
  <c r="X12" i="68" s="1"/>
  <c r="A60" i="81"/>
  <c r="P59" i="81"/>
  <c r="X11" i="68" s="1"/>
  <c r="A59" i="81"/>
  <c r="P58" i="81"/>
  <c r="A58" i="81"/>
  <c r="P57" i="81"/>
  <c r="X9" i="68" s="1"/>
  <c r="A57" i="81"/>
  <c r="P56" i="81"/>
  <c r="X8" i="68" s="1"/>
  <c r="A56" i="81"/>
  <c r="N52" i="81"/>
  <c r="M52" i="81"/>
  <c r="L52" i="81"/>
  <c r="K52" i="81"/>
  <c r="J52" i="81"/>
  <c r="I52" i="81"/>
  <c r="G52" i="81"/>
  <c r="F52" i="81"/>
  <c r="E52" i="81"/>
  <c r="D52" i="81"/>
  <c r="C52" i="81"/>
  <c r="B52" i="81"/>
  <c r="P50" i="81"/>
  <c r="A50" i="81"/>
  <c r="P49" i="81"/>
  <c r="A49" i="81"/>
  <c r="P48" i="81"/>
  <c r="A48" i="81"/>
  <c r="P47" i="81"/>
  <c r="A47" i="81"/>
  <c r="P46" i="81"/>
  <c r="A46" i="81"/>
  <c r="P45" i="81"/>
  <c r="A45" i="81"/>
  <c r="P44" i="81"/>
  <c r="A44" i="81"/>
  <c r="P43" i="81"/>
  <c r="A43" i="81"/>
  <c r="P42" i="81"/>
  <c r="A42" i="81"/>
  <c r="P41" i="81"/>
  <c r="A41" i="81"/>
  <c r="P40" i="81"/>
  <c r="A40" i="81"/>
  <c r="P39" i="81"/>
  <c r="A39" i="81"/>
  <c r="P38" i="81"/>
  <c r="A38" i="81"/>
  <c r="P37" i="81"/>
  <c r="A37" i="81"/>
  <c r="H52" i="81"/>
  <c r="A36" i="81"/>
  <c r="O52" i="81"/>
  <c r="A35" i="81"/>
  <c r="P34" i="81"/>
  <c r="A34" i="81"/>
  <c r="P33" i="81"/>
  <c r="A33" i="81"/>
  <c r="P32" i="81"/>
  <c r="A32" i="81"/>
  <c r="P31" i="81"/>
  <c r="A31" i="81"/>
  <c r="P30" i="81"/>
  <c r="A30" i="81"/>
  <c r="P29" i="81"/>
  <c r="A29" i="81"/>
  <c r="P28" i="81"/>
  <c r="A28" i="81"/>
  <c r="P27" i="81"/>
  <c r="A27" i="81"/>
  <c r="P26" i="81"/>
  <c r="A26" i="81"/>
  <c r="P25" i="81"/>
  <c r="A25" i="81"/>
  <c r="P24" i="81"/>
  <c r="A24" i="81"/>
  <c r="P23" i="81"/>
  <c r="A23" i="81"/>
  <c r="P22" i="81"/>
  <c r="A22" i="81"/>
  <c r="P21" i="81"/>
  <c r="A21" i="81"/>
  <c r="P20" i="81"/>
  <c r="A20" i="81"/>
  <c r="P19" i="81"/>
  <c r="A19" i="81"/>
  <c r="P18" i="81"/>
  <c r="A18" i="81"/>
  <c r="P17" i="81"/>
  <c r="A17" i="81"/>
  <c r="P16" i="81"/>
  <c r="A16" i="81"/>
  <c r="P15" i="81"/>
  <c r="A15" i="81"/>
  <c r="P14" i="81"/>
  <c r="A14" i="81"/>
  <c r="P13" i="81"/>
  <c r="A13" i="81"/>
  <c r="P12" i="81"/>
  <c r="A12" i="81"/>
  <c r="P11" i="81"/>
  <c r="A11" i="81"/>
  <c r="P10" i="81"/>
  <c r="A10" i="81"/>
  <c r="P9" i="81"/>
  <c r="A9" i="81"/>
  <c r="P8" i="81"/>
  <c r="A8" i="81"/>
  <c r="P7" i="81"/>
  <c r="A7" i="81"/>
  <c r="P6" i="81"/>
  <c r="X8" i="43" s="1"/>
  <c r="A6" i="81"/>
  <c r="AD722" i="66"/>
  <c r="AD721" i="66"/>
  <c r="AD720" i="66"/>
  <c r="AD719" i="66"/>
  <c r="AD718" i="66"/>
  <c r="AD717" i="66"/>
  <c r="AD716" i="66"/>
  <c r="AD715" i="66"/>
  <c r="AD714" i="66"/>
  <c r="A714" i="66"/>
  <c r="AD713" i="66"/>
  <c r="A713" i="66"/>
  <c r="AD712" i="66"/>
  <c r="A712" i="66"/>
  <c r="AD711" i="66"/>
  <c r="A711" i="66"/>
  <c r="AD710" i="66"/>
  <c r="A710" i="66"/>
  <c r="AD709" i="66"/>
  <c r="A709" i="66"/>
  <c r="AD708" i="66"/>
  <c r="A708" i="66"/>
  <c r="AD707" i="66"/>
  <c r="A707" i="66"/>
  <c r="AD706" i="66"/>
  <c r="A706" i="66"/>
  <c r="AD705" i="66"/>
  <c r="A705" i="66"/>
  <c r="AD704" i="66"/>
  <c r="A704" i="66"/>
  <c r="AD703" i="66"/>
  <c r="A703" i="66"/>
  <c r="AD702" i="66"/>
  <c r="W50" i="67" s="1"/>
  <c r="A702" i="66"/>
  <c r="AD701" i="66"/>
  <c r="W49" i="67" s="1"/>
  <c r="A701" i="66"/>
  <c r="AD700" i="66"/>
  <c r="W48" i="67" s="1"/>
  <c r="A700" i="66"/>
  <c r="AD699" i="66"/>
  <c r="W47" i="67" s="1"/>
  <c r="A699" i="66"/>
  <c r="AD698" i="66"/>
  <c r="W46" i="67" s="1"/>
  <c r="A698" i="66"/>
  <c r="AD697" i="66"/>
  <c r="W45" i="67" s="1"/>
  <c r="A697" i="66"/>
  <c r="AD696" i="66"/>
  <c r="W44" i="67" s="1"/>
  <c r="A696" i="66"/>
  <c r="AD695" i="66"/>
  <c r="W43" i="67" s="1"/>
  <c r="A695" i="66"/>
  <c r="AD694" i="66"/>
  <c r="W42" i="67" s="1"/>
  <c r="A694" i="66"/>
  <c r="AD693" i="66"/>
  <c r="W41" i="67" s="1"/>
  <c r="A693" i="66"/>
  <c r="AD692" i="66"/>
  <c r="W40" i="67" s="1"/>
  <c r="A692" i="66"/>
  <c r="AD691" i="66"/>
  <c r="W39" i="67" s="1"/>
  <c r="A691" i="66"/>
  <c r="AD690" i="66"/>
  <c r="W38" i="67" s="1"/>
  <c r="A690" i="66"/>
  <c r="AD689" i="66"/>
  <c r="W37" i="67" s="1"/>
  <c r="A689" i="66"/>
  <c r="AD688" i="66"/>
  <c r="W36" i="67" s="1"/>
  <c r="A688" i="66"/>
  <c r="AD687" i="66"/>
  <c r="W35" i="67" s="1"/>
  <c r="A687" i="66"/>
  <c r="AD686" i="66"/>
  <c r="W34" i="67" s="1"/>
  <c r="A686" i="66"/>
  <c r="AD685" i="66"/>
  <c r="W33" i="67" s="1"/>
  <c r="A685" i="66"/>
  <c r="AD684" i="66"/>
  <c r="W32" i="67" s="1"/>
  <c r="A684" i="66"/>
  <c r="AD683" i="66"/>
  <c r="W31" i="67" s="1"/>
  <c r="A683" i="66"/>
  <c r="AD682" i="66"/>
  <c r="W30" i="67" s="1"/>
  <c r="A682" i="66"/>
  <c r="AD681" i="66"/>
  <c r="W29" i="67" s="1"/>
  <c r="A681" i="66"/>
  <c r="AD680" i="66"/>
  <c r="W28" i="67" s="1"/>
  <c r="A680" i="66"/>
  <c r="AD679" i="66"/>
  <c r="W27" i="67" s="1"/>
  <c r="A679" i="66"/>
  <c r="AD678" i="66"/>
  <c r="W26" i="67" s="1"/>
  <c r="A678" i="66"/>
  <c r="AD677" i="66"/>
  <c r="W25" i="67" s="1"/>
  <c r="A677" i="66"/>
  <c r="AD676" i="66"/>
  <c r="W24" i="67" s="1"/>
  <c r="A676" i="66"/>
  <c r="AD675" i="66"/>
  <c r="W23" i="67" s="1"/>
  <c r="A675" i="66"/>
  <c r="AD674" i="66"/>
  <c r="W22" i="67" s="1"/>
  <c r="A674" i="66"/>
  <c r="AD673" i="66"/>
  <c r="A673" i="66"/>
  <c r="AD672" i="66"/>
  <c r="W20" i="67" s="1"/>
  <c r="A672" i="66"/>
  <c r="AD671" i="66"/>
  <c r="W19" i="67" s="1"/>
  <c r="A671" i="66"/>
  <c r="AD670" i="66"/>
  <c r="W18" i="67" s="1"/>
  <c r="A670" i="66"/>
  <c r="AD669" i="66"/>
  <c r="W17" i="67" s="1"/>
  <c r="A669" i="66"/>
  <c r="W16" i="67"/>
  <c r="W15" i="67"/>
  <c r="W14" i="67"/>
  <c r="W13" i="67"/>
  <c r="W12" i="67"/>
  <c r="A664" i="66"/>
  <c r="W11" i="67"/>
  <c r="A663" i="66"/>
  <c r="W10" i="67"/>
  <c r="A662" i="66"/>
  <c r="AD661" i="66"/>
  <c r="W9" i="67" s="1"/>
  <c r="A661" i="66"/>
  <c r="AD660" i="66"/>
  <c r="W8" i="67" s="1"/>
  <c r="A660" i="66"/>
  <c r="W60" i="77"/>
  <c r="W59" i="77"/>
  <c r="W58" i="77"/>
  <c r="W56" i="77"/>
  <c r="W55" i="77"/>
  <c r="W54" i="77"/>
  <c r="W46" i="77"/>
  <c r="W45" i="77"/>
  <c r="W44" i="77"/>
  <c r="W43" i="77"/>
  <c r="W42" i="77"/>
  <c r="W41" i="77"/>
  <c r="W40" i="77"/>
  <c r="W39" i="77"/>
  <c r="W38" i="77"/>
  <c r="W37" i="77"/>
  <c r="W35" i="77"/>
  <c r="W34" i="77"/>
  <c r="W33" i="77"/>
  <c r="W31" i="77"/>
  <c r="W30" i="77"/>
  <c r="W29" i="77"/>
  <c r="W27" i="77"/>
  <c r="W26" i="77"/>
  <c r="W25" i="77"/>
  <c r="W24" i="77"/>
  <c r="W23" i="77"/>
  <c r="W22" i="77"/>
  <c r="W21" i="77"/>
  <c r="W20" i="77"/>
  <c r="W19" i="77"/>
  <c r="W18" i="77"/>
  <c r="W17" i="77"/>
  <c r="W16" i="77"/>
  <c r="W15" i="77"/>
  <c r="W14" i="77"/>
  <c r="W13" i="77"/>
  <c r="W12" i="77"/>
  <c r="W10" i="77"/>
  <c r="W9" i="77"/>
  <c r="AD601" i="66"/>
  <c r="A601" i="66"/>
  <c r="AD595" i="66"/>
  <c r="AD594" i="66"/>
  <c r="AD593" i="66"/>
  <c r="W62" i="76" s="1"/>
  <c r="A593" i="66"/>
  <c r="AD592" i="66"/>
  <c r="A592" i="66"/>
  <c r="AD591" i="66"/>
  <c r="A591" i="66"/>
  <c r="AD590" i="66"/>
  <c r="W59" i="76" s="1"/>
  <c r="A590" i="66"/>
  <c r="AD589" i="66"/>
  <c r="W58" i="76" s="1"/>
  <c r="A589" i="66"/>
  <c r="AD588" i="66"/>
  <c r="A588" i="66"/>
  <c r="AD587" i="66"/>
  <c r="A587" i="66"/>
  <c r="AD586" i="66"/>
  <c r="W55" i="76" s="1"/>
  <c r="A586" i="66"/>
  <c r="AD585" i="66"/>
  <c r="W54" i="76" s="1"/>
  <c r="A585" i="66"/>
  <c r="AD584" i="66"/>
  <c r="A584" i="66"/>
  <c r="AD583" i="66"/>
  <c r="A583" i="66"/>
  <c r="AD582" i="66"/>
  <c r="W51" i="76" s="1"/>
  <c r="A582" i="66"/>
  <c r="AD581" i="66"/>
  <c r="W50" i="76" s="1"/>
  <c r="A581" i="66"/>
  <c r="AD580" i="66"/>
  <c r="A580" i="66"/>
  <c r="AD579" i="66"/>
  <c r="A579" i="66"/>
  <c r="AD578" i="66"/>
  <c r="W47" i="76" s="1"/>
  <c r="A578" i="66"/>
  <c r="AD577" i="66"/>
  <c r="W46" i="76" s="1"/>
  <c r="A577" i="66"/>
  <c r="AD576" i="66"/>
  <c r="A576" i="66"/>
  <c r="AD575" i="66"/>
  <c r="A575" i="66"/>
  <c r="AD574" i="66"/>
  <c r="W43" i="76" s="1"/>
  <c r="A574" i="66"/>
  <c r="AD573" i="66"/>
  <c r="W42" i="76" s="1"/>
  <c r="A573" i="66"/>
  <c r="A572" i="66"/>
  <c r="AD571" i="66"/>
  <c r="W40" i="76" s="1"/>
  <c r="A571" i="66"/>
  <c r="M596" i="66"/>
  <c r="A570" i="66"/>
  <c r="AD569" i="66"/>
  <c r="W38" i="76" s="1"/>
  <c r="A569" i="66"/>
  <c r="AD568" i="66"/>
  <c r="W37" i="76" s="1"/>
  <c r="A568" i="66"/>
  <c r="A567" i="66"/>
  <c r="AD566" i="66"/>
  <c r="A566" i="66"/>
  <c r="A565" i="66"/>
  <c r="AD564" i="66"/>
  <c r="W33" i="76" s="1"/>
  <c r="A564" i="66"/>
  <c r="AD563" i="66"/>
  <c r="W32" i="76" s="1"/>
  <c r="A563" i="66"/>
  <c r="AD562" i="66"/>
  <c r="W31" i="76" s="1"/>
  <c r="A562" i="66"/>
  <c r="T596" i="66"/>
  <c r="A561" i="66"/>
  <c r="AD560" i="66"/>
  <c r="W29" i="76" s="1"/>
  <c r="A560" i="66"/>
  <c r="AD559" i="66"/>
  <c r="W28" i="76" s="1"/>
  <c r="A559" i="66"/>
  <c r="AD558" i="66"/>
  <c r="W27" i="76" s="1"/>
  <c r="A558" i="66"/>
  <c r="AD557" i="66"/>
  <c r="A557" i="66"/>
  <c r="AD556" i="66"/>
  <c r="W25" i="76" s="1"/>
  <c r="A556" i="66"/>
  <c r="AD555" i="66"/>
  <c r="W24" i="76" s="1"/>
  <c r="A555" i="66"/>
  <c r="AD554" i="66"/>
  <c r="W23" i="76" s="1"/>
  <c r="A554" i="66"/>
  <c r="AD553" i="66"/>
  <c r="W22" i="76" s="1"/>
  <c r="A553" i="66"/>
  <c r="AD552" i="66"/>
  <c r="W21" i="76" s="1"/>
  <c r="A552" i="66"/>
  <c r="AD551" i="66"/>
  <c r="W20" i="76" s="1"/>
  <c r="A551" i="66"/>
  <c r="AD550" i="66"/>
  <c r="W19" i="76" s="1"/>
  <c r="A550" i="66"/>
  <c r="AD549" i="66"/>
  <c r="W18" i="76" s="1"/>
  <c r="A549" i="66"/>
  <c r="AD548" i="66"/>
  <c r="W17" i="76" s="1"/>
  <c r="A548" i="66"/>
  <c r="AD547" i="66"/>
  <c r="W16" i="76" s="1"/>
  <c r="A547" i="66"/>
  <c r="AD546" i="66"/>
  <c r="W15" i="76" s="1"/>
  <c r="A546" i="66"/>
  <c r="AD545" i="66"/>
  <c r="A545" i="66"/>
  <c r="AD544" i="66"/>
  <c r="A544" i="66"/>
  <c r="AD543" i="66"/>
  <c r="W12" i="76" s="1"/>
  <c r="A543" i="66"/>
  <c r="AD542" i="66"/>
  <c r="W11" i="76" s="1"/>
  <c r="A542" i="66"/>
  <c r="A541" i="66"/>
  <c r="AD540" i="66"/>
  <c r="W9" i="76" s="1"/>
  <c r="A540" i="66"/>
  <c r="AD539" i="66"/>
  <c r="A539" i="66"/>
  <c r="AD533" i="66"/>
  <c r="AD532" i="66"/>
  <c r="AD531" i="66"/>
  <c r="AD530" i="66"/>
  <c r="A530" i="66"/>
  <c r="AD529" i="66"/>
  <c r="A529" i="66"/>
  <c r="AD528" i="66"/>
  <c r="A528" i="66"/>
  <c r="AD527" i="66"/>
  <c r="A527" i="66"/>
  <c r="AD526" i="66"/>
  <c r="A526" i="66"/>
  <c r="AD525" i="66"/>
  <c r="A525" i="66"/>
  <c r="AD524" i="66"/>
  <c r="A524" i="66"/>
  <c r="AD523" i="66"/>
  <c r="W47" i="75" s="1"/>
  <c r="A523" i="66"/>
  <c r="AD522" i="66"/>
  <c r="W46" i="75" s="1"/>
  <c r="A522" i="66"/>
  <c r="AD521" i="66"/>
  <c r="A521" i="66"/>
  <c r="AD520" i="66"/>
  <c r="A520" i="66"/>
  <c r="AD519" i="66"/>
  <c r="W43" i="75" s="1"/>
  <c r="A519" i="66"/>
  <c r="AD518" i="66"/>
  <c r="W42" i="75" s="1"/>
  <c r="A518" i="66"/>
  <c r="AD517" i="66"/>
  <c r="W41" i="75" s="1"/>
  <c r="A517" i="66"/>
  <c r="AB534" i="66"/>
  <c r="L534" i="66"/>
  <c r="A516" i="66"/>
  <c r="A515" i="66"/>
  <c r="AD514" i="66"/>
  <c r="W38" i="75" s="1"/>
  <c r="A514" i="66"/>
  <c r="AD513" i="66"/>
  <c r="W37" i="75" s="1"/>
  <c r="A513" i="66"/>
  <c r="AD512" i="66"/>
  <c r="W36" i="75" s="1"/>
  <c r="A512" i="66"/>
  <c r="AD511" i="66"/>
  <c r="W35" i="75" s="1"/>
  <c r="A511" i="66"/>
  <c r="AD510" i="66"/>
  <c r="W34" i="75" s="1"/>
  <c r="A510" i="66"/>
  <c r="AD509" i="66"/>
  <c r="W33" i="75" s="1"/>
  <c r="A509" i="66"/>
  <c r="AD508" i="66"/>
  <c r="W32" i="75" s="1"/>
  <c r="A508" i="66"/>
  <c r="AD507" i="66"/>
  <c r="W31" i="75" s="1"/>
  <c r="A507" i="66"/>
  <c r="AC534" i="66"/>
  <c r="A506" i="66"/>
  <c r="AD505" i="66"/>
  <c r="A505" i="66"/>
  <c r="AD504" i="66"/>
  <c r="A504" i="66"/>
  <c r="AD503" i="66"/>
  <c r="W27" i="75" s="1"/>
  <c r="A503" i="66"/>
  <c r="AD502" i="66"/>
  <c r="W26" i="75" s="1"/>
  <c r="A502" i="66"/>
  <c r="AD501" i="66"/>
  <c r="A501" i="66"/>
  <c r="AD500" i="66"/>
  <c r="W24" i="75" s="1"/>
  <c r="A500" i="66"/>
  <c r="AD499" i="66"/>
  <c r="W23" i="75" s="1"/>
  <c r="A499" i="66"/>
  <c r="AD498" i="66"/>
  <c r="W22" i="75" s="1"/>
  <c r="A498" i="66"/>
  <c r="AD497" i="66"/>
  <c r="A497" i="66"/>
  <c r="AD496" i="66"/>
  <c r="W20" i="75" s="1"/>
  <c r="A496" i="66"/>
  <c r="AD495" i="66"/>
  <c r="W19" i="75" s="1"/>
  <c r="A495" i="66"/>
  <c r="AD494" i="66"/>
  <c r="W18" i="75" s="1"/>
  <c r="A494" i="66"/>
  <c r="AD493" i="66"/>
  <c r="A493" i="66"/>
  <c r="AD492" i="66"/>
  <c r="W16" i="75" s="1"/>
  <c r="A492" i="66"/>
  <c r="AD491" i="66"/>
  <c r="W15" i="75" s="1"/>
  <c r="A491" i="66"/>
  <c r="Q534" i="66"/>
  <c r="A490" i="66"/>
  <c r="A489" i="66"/>
  <c r="AD488" i="66"/>
  <c r="W12" i="75" s="1"/>
  <c r="A488" i="66"/>
  <c r="A487" i="66"/>
  <c r="AD486" i="66"/>
  <c r="W10" i="75" s="1"/>
  <c r="A486" i="66"/>
  <c r="AD485" i="66"/>
  <c r="W9" i="75" s="1"/>
  <c r="A485" i="66"/>
  <c r="AD484" i="66"/>
  <c r="A484" i="66"/>
  <c r="AD478" i="66"/>
  <c r="AD477" i="66"/>
  <c r="AD476" i="66"/>
  <c r="AD475" i="66"/>
  <c r="AD474" i="66"/>
  <c r="AD473" i="66"/>
  <c r="W55" i="74" s="1"/>
  <c r="AD472" i="66"/>
  <c r="W54" i="74" s="1"/>
  <c r="AD471" i="66"/>
  <c r="W53" i="74" s="1"/>
  <c r="AD470" i="66"/>
  <c r="W52" i="74" s="1"/>
  <c r="AD469" i="66"/>
  <c r="W51" i="74" s="1"/>
  <c r="AD468" i="66"/>
  <c r="W50" i="74" s="1"/>
  <c r="AD467" i="66"/>
  <c r="W49" i="74" s="1"/>
  <c r="AD466" i="66"/>
  <c r="W48" i="74" s="1"/>
  <c r="AD465" i="66"/>
  <c r="W47" i="74" s="1"/>
  <c r="AD464" i="66"/>
  <c r="W46" i="74" s="1"/>
  <c r="AD463" i="66"/>
  <c r="W45" i="74" s="1"/>
  <c r="AD462" i="66"/>
  <c r="W44" i="74" s="1"/>
  <c r="A462" i="66"/>
  <c r="A461" i="66"/>
  <c r="N479" i="66"/>
  <c r="A460" i="66"/>
  <c r="A459" i="66"/>
  <c r="A458" i="66"/>
  <c r="A457" i="66"/>
  <c r="A456" i="66"/>
  <c r="A455" i="66"/>
  <c r="A454" i="66"/>
  <c r="A453" i="66"/>
  <c r="A452" i="66"/>
  <c r="A451" i="66"/>
  <c r="V479" i="66"/>
  <c r="A450" i="66"/>
  <c r="A449" i="66"/>
  <c r="A448" i="66"/>
  <c r="A447" i="66"/>
  <c r="A446" i="66"/>
  <c r="W26" i="74"/>
  <c r="A445" i="66"/>
  <c r="W25" i="74"/>
  <c r="A444" i="66"/>
  <c r="W24" i="74"/>
  <c r="A443" i="66"/>
  <c r="W23" i="74"/>
  <c r="A442" i="66"/>
  <c r="W22" i="74"/>
  <c r="A441" i="66"/>
  <c r="W21" i="74"/>
  <c r="A440" i="66"/>
  <c r="K479" i="66"/>
  <c r="A438" i="66"/>
  <c r="A437" i="66"/>
  <c r="A436" i="66"/>
  <c r="A435" i="66"/>
  <c r="W15" i="74"/>
  <c r="A434" i="66"/>
  <c r="A433" i="66"/>
  <c r="W13" i="74"/>
  <c r="A432" i="66"/>
  <c r="A431" i="66"/>
  <c r="W11" i="74"/>
  <c r="A430" i="66"/>
  <c r="A429" i="66"/>
  <c r="AD428" i="66"/>
  <c r="W9" i="74" s="1"/>
  <c r="A428" i="66"/>
  <c r="AD427" i="66"/>
  <c r="A427" i="66"/>
  <c r="AD422" i="66"/>
  <c r="AD421" i="66"/>
  <c r="AD420" i="66"/>
  <c r="AD419" i="66"/>
  <c r="W60" i="73" s="1"/>
  <c r="AD418" i="66"/>
  <c r="W59" i="73" s="1"/>
  <c r="AD417" i="66"/>
  <c r="W58" i="73" s="1"/>
  <c r="AD416" i="66"/>
  <c r="W57" i="73" s="1"/>
  <c r="AD415" i="66"/>
  <c r="W56" i="73" s="1"/>
  <c r="AD414" i="66"/>
  <c r="W55" i="73" s="1"/>
  <c r="AD413" i="66"/>
  <c r="W54" i="73" s="1"/>
  <c r="AD412" i="66"/>
  <c r="W53" i="73" s="1"/>
  <c r="AD411" i="66"/>
  <c r="W52" i="73" s="1"/>
  <c r="AD410" i="66"/>
  <c r="W51" i="73" s="1"/>
  <c r="AD409" i="66"/>
  <c r="W50" i="73" s="1"/>
  <c r="AD406" i="66"/>
  <c r="W47" i="73" s="1"/>
  <c r="AD405" i="66"/>
  <c r="W46" i="73" s="1"/>
  <c r="AD404" i="66"/>
  <c r="AD403" i="66"/>
  <c r="W44" i="73" s="1"/>
  <c r="AD401" i="66"/>
  <c r="W42" i="73" s="1"/>
  <c r="AD400" i="66"/>
  <c r="W40" i="73" s="1"/>
  <c r="AD398" i="66"/>
  <c r="W38" i="73" s="1"/>
  <c r="AD397" i="66"/>
  <c r="W37" i="73" s="1"/>
  <c r="AD396" i="66"/>
  <c r="W36" i="73" s="1"/>
  <c r="AD395" i="66"/>
  <c r="W35" i="73" s="1"/>
  <c r="D423" i="66"/>
  <c r="AD393" i="66"/>
  <c r="W33" i="73" s="1"/>
  <c r="AD392" i="66"/>
  <c r="W32" i="73" s="1"/>
  <c r="AD391" i="66"/>
  <c r="AD390" i="66"/>
  <c r="W30" i="73" s="1"/>
  <c r="AD389" i="66"/>
  <c r="W29" i="73" s="1"/>
  <c r="AD387" i="66"/>
  <c r="AD386" i="66"/>
  <c r="W26" i="73" s="1"/>
  <c r="T423" i="66"/>
  <c r="AD384" i="66"/>
  <c r="W24" i="73" s="1"/>
  <c r="AD383" i="66"/>
  <c r="W23" i="73" s="1"/>
  <c r="AD382" i="66"/>
  <c r="W22" i="73" s="1"/>
  <c r="AD381" i="66"/>
  <c r="W21" i="73" s="1"/>
  <c r="AD380" i="66"/>
  <c r="W20" i="73" s="1"/>
  <c r="I423" i="66"/>
  <c r="AD377" i="66"/>
  <c r="W17" i="73" s="1"/>
  <c r="AD376" i="66"/>
  <c r="W16" i="73" s="1"/>
  <c r="AD375" i="66"/>
  <c r="W15" i="73" s="1"/>
  <c r="AD373" i="66"/>
  <c r="W13" i="73" s="1"/>
  <c r="A372" i="66"/>
  <c r="AD371" i="66"/>
  <c r="W11" i="73" s="1"/>
  <c r="A371" i="66"/>
  <c r="AD370" i="66"/>
  <c r="W10" i="73" s="1"/>
  <c r="A370" i="66"/>
  <c r="AD369" i="66"/>
  <c r="W9" i="73" s="1"/>
  <c r="A369" i="66"/>
  <c r="AD368" i="66"/>
  <c r="A368" i="66"/>
  <c r="AD364" i="66"/>
  <c r="AD363" i="66"/>
  <c r="AD362" i="66"/>
  <c r="AD361" i="66"/>
  <c r="AD360" i="66"/>
  <c r="AD359" i="66"/>
  <c r="AD358" i="66"/>
  <c r="AD357" i="66"/>
  <c r="AD356" i="66"/>
  <c r="AD355" i="66"/>
  <c r="W55" i="72" s="1"/>
  <c r="AD354" i="66"/>
  <c r="W54" i="72" s="1"/>
  <c r="AD353" i="66"/>
  <c r="W53" i="72" s="1"/>
  <c r="AD352" i="66"/>
  <c r="W52" i="72" s="1"/>
  <c r="A352" i="66"/>
  <c r="AD351" i="66"/>
  <c r="W51" i="72" s="1"/>
  <c r="A351" i="66"/>
  <c r="AD350" i="66"/>
  <c r="W50" i="72" s="1"/>
  <c r="A350" i="66"/>
  <c r="AD349" i="66"/>
  <c r="W49" i="72" s="1"/>
  <c r="A349" i="66"/>
  <c r="AD348" i="66"/>
  <c r="W48" i="72" s="1"/>
  <c r="A348" i="66"/>
  <c r="AD347" i="66"/>
  <c r="W47" i="72" s="1"/>
  <c r="A347" i="66"/>
  <c r="AD346" i="66"/>
  <c r="W46" i="72" s="1"/>
  <c r="A346" i="66"/>
  <c r="AD345" i="66"/>
  <c r="W45" i="72" s="1"/>
  <c r="A345" i="66"/>
  <c r="AD344" i="66"/>
  <c r="W44" i="72" s="1"/>
  <c r="A344" i="66"/>
  <c r="AD343" i="66"/>
  <c r="W43" i="72" s="1"/>
  <c r="A343" i="66"/>
  <c r="AD342" i="66"/>
  <c r="W42" i="72" s="1"/>
  <c r="A342" i="66"/>
  <c r="AD341" i="66"/>
  <c r="W41" i="72" s="1"/>
  <c r="A341" i="66"/>
  <c r="Y365" i="66"/>
  <c r="V365" i="66"/>
  <c r="A340" i="66"/>
  <c r="AD339" i="66"/>
  <c r="W39" i="72" s="1"/>
  <c r="A339" i="66"/>
  <c r="E365" i="66"/>
  <c r="A338" i="66"/>
  <c r="AD337" i="66"/>
  <c r="W37" i="72" s="1"/>
  <c r="A337" i="66"/>
  <c r="AD336" i="66"/>
  <c r="A336" i="66"/>
  <c r="AD335" i="66"/>
  <c r="W35" i="72" s="1"/>
  <c r="A335" i="66"/>
  <c r="AD334" i="66"/>
  <c r="A334" i="66"/>
  <c r="AD333" i="66"/>
  <c r="W34" i="72" s="1"/>
  <c r="A333" i="66"/>
  <c r="AD332" i="66"/>
  <c r="W33" i="72" s="1"/>
  <c r="A332" i="66"/>
  <c r="A331" i="66"/>
  <c r="AD330" i="66"/>
  <c r="W31" i="72" s="1"/>
  <c r="A330" i="66"/>
  <c r="AD329" i="66"/>
  <c r="W30" i="72" s="1"/>
  <c r="A329" i="66"/>
  <c r="AD328" i="66"/>
  <c r="W29" i="72" s="1"/>
  <c r="A328" i="66"/>
  <c r="A327" i="66"/>
  <c r="AD326" i="66"/>
  <c r="W27" i="72" s="1"/>
  <c r="A326" i="66"/>
  <c r="AD325" i="66"/>
  <c r="W26" i="72" s="1"/>
  <c r="A325" i="66"/>
  <c r="AD324" i="66"/>
  <c r="W25" i="72" s="1"/>
  <c r="A324" i="66"/>
  <c r="AD323" i="66"/>
  <c r="W24" i="72" s="1"/>
  <c r="A323" i="66"/>
  <c r="AD321" i="66"/>
  <c r="W22" i="72" s="1"/>
  <c r="A321" i="66"/>
  <c r="AD320" i="66"/>
  <c r="A320" i="66"/>
  <c r="H365" i="66"/>
  <c r="B365" i="66"/>
  <c r="A319" i="66"/>
  <c r="AD318" i="66"/>
  <c r="W19" i="72" s="1"/>
  <c r="A318" i="66"/>
  <c r="AD317" i="66"/>
  <c r="A317" i="66"/>
  <c r="M365" i="66"/>
  <c r="A316" i="66"/>
  <c r="AD315" i="66"/>
  <c r="W16" i="72" s="1"/>
  <c r="A315" i="66"/>
  <c r="AD314" i="66"/>
  <c r="W15" i="72" s="1"/>
  <c r="A314" i="66"/>
  <c r="AD313" i="66"/>
  <c r="W14" i="72" s="1"/>
  <c r="A313" i="66"/>
  <c r="AD312" i="66"/>
  <c r="W13" i="72" s="1"/>
  <c r="A312" i="66"/>
  <c r="AD311" i="66"/>
  <c r="W12" i="72" s="1"/>
  <c r="A311" i="66"/>
  <c r="AD310" i="66"/>
  <c r="W11" i="72" s="1"/>
  <c r="A310" i="66"/>
  <c r="AD309" i="66"/>
  <c r="W10" i="72" s="1"/>
  <c r="A309" i="66"/>
  <c r="AD308" i="66"/>
  <c r="W9" i="72" s="1"/>
  <c r="A308" i="66"/>
  <c r="A300" i="66"/>
  <c r="A299" i="66"/>
  <c r="AD298" i="66"/>
  <c r="W58" i="71" s="1"/>
  <c r="A298" i="66"/>
  <c r="AD297" i="66"/>
  <c r="W57" i="71" s="1"/>
  <c r="A297" i="66"/>
  <c r="AD296" i="66"/>
  <c r="W56" i="71" s="1"/>
  <c r="A296" i="66"/>
  <c r="AD295" i="66"/>
  <c r="W55" i="71" s="1"/>
  <c r="A295" i="66"/>
  <c r="AD294" i="66"/>
  <c r="W54" i="71" s="1"/>
  <c r="A294" i="66"/>
  <c r="AD293" i="66"/>
  <c r="W53" i="71" s="1"/>
  <c r="A293" i="66"/>
  <c r="AD292" i="66"/>
  <c r="W52" i="71" s="1"/>
  <c r="A292" i="66"/>
  <c r="AD291" i="66"/>
  <c r="W51" i="71" s="1"/>
  <c r="A291" i="66"/>
  <c r="AD290" i="66"/>
  <c r="W50" i="71" s="1"/>
  <c r="A290" i="66"/>
  <c r="AD289" i="66"/>
  <c r="W49" i="71" s="1"/>
  <c r="A289" i="66"/>
  <c r="AD288" i="66"/>
  <c r="W48" i="71" s="1"/>
  <c r="A288" i="66"/>
  <c r="AD287" i="66"/>
  <c r="W47" i="71" s="1"/>
  <c r="A287" i="66"/>
  <c r="AD286" i="66"/>
  <c r="W46" i="71" s="1"/>
  <c r="A286" i="66"/>
  <c r="AD285" i="66"/>
  <c r="W45" i="71" s="1"/>
  <c r="A285" i="66"/>
  <c r="AD284" i="66"/>
  <c r="W44" i="71" s="1"/>
  <c r="A284" i="66"/>
  <c r="AD283" i="66"/>
  <c r="W43" i="71" s="1"/>
  <c r="A283" i="66"/>
  <c r="AD282" i="66"/>
  <c r="W42" i="71" s="1"/>
  <c r="A282" i="66"/>
  <c r="AD281" i="66"/>
  <c r="W41" i="71" s="1"/>
  <c r="A281" i="66"/>
  <c r="AD280" i="66"/>
  <c r="W40" i="71" s="1"/>
  <c r="A280" i="66"/>
  <c r="K302" i="66"/>
  <c r="A279" i="66"/>
  <c r="AD278" i="66"/>
  <c r="W38" i="71" s="1"/>
  <c r="A278" i="66"/>
  <c r="AD277" i="66"/>
  <c r="A277" i="66"/>
  <c r="A276" i="66"/>
  <c r="AD275" i="66"/>
  <c r="W35" i="71" s="1"/>
  <c r="A275" i="66"/>
  <c r="AD274" i="66"/>
  <c r="W34" i="71" s="1"/>
  <c r="A274" i="66"/>
  <c r="AD273" i="66"/>
  <c r="W33" i="71" s="1"/>
  <c r="A273" i="66"/>
  <c r="AD272" i="66"/>
  <c r="W32" i="71" s="1"/>
  <c r="A272" i="66"/>
  <c r="AD271" i="66"/>
  <c r="W31" i="71" s="1"/>
  <c r="A271" i="66"/>
  <c r="AD270" i="66"/>
  <c r="W30" i="71" s="1"/>
  <c r="A270" i="66"/>
  <c r="AD269" i="66"/>
  <c r="W29" i="71" s="1"/>
  <c r="A269" i="66"/>
  <c r="AD268" i="66"/>
  <c r="W28" i="71" s="1"/>
  <c r="A268" i="66"/>
  <c r="AD267" i="66"/>
  <c r="W27" i="71" s="1"/>
  <c r="A267" i="66"/>
  <c r="AD266" i="66"/>
  <c r="W26" i="71" s="1"/>
  <c r="A266" i="66"/>
  <c r="N302" i="66"/>
  <c r="A265" i="66"/>
  <c r="AD264" i="66"/>
  <c r="W24" i="71" s="1"/>
  <c r="A264" i="66"/>
  <c r="AD263" i="66"/>
  <c r="W23" i="71" s="1"/>
  <c r="A263" i="66"/>
  <c r="AD262" i="66"/>
  <c r="W22" i="71" s="1"/>
  <c r="A262" i="66"/>
  <c r="A261" i="66"/>
  <c r="AD260" i="66"/>
  <c r="W20" i="71" s="1"/>
  <c r="A260" i="66"/>
  <c r="AD259" i="66"/>
  <c r="W19" i="71" s="1"/>
  <c r="A259" i="66"/>
  <c r="AD258" i="66"/>
  <c r="A258" i="66"/>
  <c r="AD257" i="66"/>
  <c r="W17" i="71" s="1"/>
  <c r="A257" i="66"/>
  <c r="AD256" i="66"/>
  <c r="W16" i="71" s="1"/>
  <c r="A256" i="66"/>
  <c r="AD255" i="66"/>
  <c r="W15" i="71" s="1"/>
  <c r="A255" i="66"/>
  <c r="AD254" i="66"/>
  <c r="A254" i="66"/>
  <c r="AD253" i="66"/>
  <c r="W13" i="71" s="1"/>
  <c r="A253" i="66"/>
  <c r="AD252" i="66"/>
  <c r="W12" i="71" s="1"/>
  <c r="A252" i="66"/>
  <c r="AD251" i="66"/>
  <c r="W11" i="71" s="1"/>
  <c r="A251" i="66"/>
  <c r="AD250" i="66"/>
  <c r="A250" i="66"/>
  <c r="AD249" i="66"/>
  <c r="W9" i="71" s="1"/>
  <c r="A249" i="66"/>
  <c r="AD248" i="66"/>
  <c r="A248" i="66"/>
  <c r="AD241" i="66"/>
  <c r="AD240" i="66"/>
  <c r="AD239" i="66"/>
  <c r="AD238" i="66"/>
  <c r="A238" i="66"/>
  <c r="AD237" i="66"/>
  <c r="A237" i="66"/>
  <c r="AD236" i="66"/>
  <c r="A236" i="66"/>
  <c r="AD235" i="66"/>
  <c r="A235" i="66"/>
  <c r="AD234" i="66"/>
  <c r="A234" i="66"/>
  <c r="AD233" i="66"/>
  <c r="A233" i="66"/>
  <c r="AD232" i="66"/>
  <c r="W53" i="70" s="1"/>
  <c r="A232" i="66"/>
  <c r="AD231" i="66"/>
  <c r="W52" i="70" s="1"/>
  <c r="A231" i="66"/>
  <c r="AD230" i="66"/>
  <c r="W51" i="70" s="1"/>
  <c r="A230" i="66"/>
  <c r="AD229" i="66"/>
  <c r="W50" i="70" s="1"/>
  <c r="A229" i="66"/>
  <c r="AD228" i="66"/>
  <c r="W49" i="70" s="1"/>
  <c r="A228" i="66"/>
  <c r="AD227" i="66"/>
  <c r="W48" i="70" s="1"/>
  <c r="A227" i="66"/>
  <c r="AD226" i="66"/>
  <c r="W47" i="70" s="1"/>
  <c r="A226" i="66"/>
  <c r="AD225" i="66"/>
  <c r="W46" i="70" s="1"/>
  <c r="A225" i="66"/>
  <c r="AD224" i="66"/>
  <c r="W45" i="70" s="1"/>
  <c r="A224" i="66"/>
  <c r="AD223" i="66"/>
  <c r="A223" i="66"/>
  <c r="AD222" i="66"/>
  <c r="A222" i="66"/>
  <c r="AD221" i="66"/>
  <c r="W42" i="70" s="1"/>
  <c r="A221" i="66"/>
  <c r="AD220" i="66"/>
  <c r="W41" i="70" s="1"/>
  <c r="A220" i="66"/>
  <c r="AD219" i="66"/>
  <c r="W40" i="70" s="1"/>
  <c r="A219" i="66"/>
  <c r="AD218" i="66"/>
  <c r="W39" i="70" s="1"/>
  <c r="A218" i="66"/>
  <c r="AD217" i="66"/>
  <c r="W38" i="70" s="1"/>
  <c r="A217" i="66"/>
  <c r="A216" i="66"/>
  <c r="AD215" i="66"/>
  <c r="W36" i="70" s="1"/>
  <c r="A215" i="66"/>
  <c r="AD214" i="66"/>
  <c r="W35" i="70" s="1"/>
  <c r="A214" i="66"/>
  <c r="A213" i="66"/>
  <c r="AD212" i="66"/>
  <c r="W33" i="70" s="1"/>
  <c r="A212" i="66"/>
  <c r="AD211" i="66"/>
  <c r="W32" i="70" s="1"/>
  <c r="A211" i="66"/>
  <c r="A210" i="66"/>
  <c r="AD209" i="66"/>
  <c r="W30" i="70" s="1"/>
  <c r="A209" i="66"/>
  <c r="AD208" i="66"/>
  <c r="W29" i="70" s="1"/>
  <c r="A208" i="66"/>
  <c r="AD207" i="66"/>
  <c r="W28" i="70" s="1"/>
  <c r="A207" i="66"/>
  <c r="AD206" i="66"/>
  <c r="W27" i="70" s="1"/>
  <c r="A206" i="66"/>
  <c r="AD205" i="66"/>
  <c r="A205" i="66"/>
  <c r="N242" i="66"/>
  <c r="A204" i="66"/>
  <c r="AD203" i="66"/>
  <c r="W24" i="70" s="1"/>
  <c r="A203" i="66"/>
  <c r="AD202" i="66"/>
  <c r="W23" i="70" s="1"/>
  <c r="A202" i="66"/>
  <c r="AD201" i="66"/>
  <c r="W22" i="70" s="1"/>
  <c r="A201" i="66"/>
  <c r="AD200" i="66"/>
  <c r="W21" i="70" s="1"/>
  <c r="A200" i="66"/>
  <c r="AD199" i="66"/>
  <c r="W20" i="70" s="1"/>
  <c r="A199" i="66"/>
  <c r="AD198" i="66"/>
  <c r="W19" i="70" s="1"/>
  <c r="A198" i="66"/>
  <c r="AD197" i="66"/>
  <c r="W18" i="70" s="1"/>
  <c r="A197" i="66"/>
  <c r="A196" i="66"/>
  <c r="AD195" i="66"/>
  <c r="W16" i="70" s="1"/>
  <c r="A195" i="66"/>
  <c r="A194" i="66"/>
  <c r="AC242" i="66"/>
  <c r="A193" i="66"/>
  <c r="AD192" i="66"/>
  <c r="W13" i="70" s="1"/>
  <c r="A192" i="66"/>
  <c r="A191" i="66"/>
  <c r="AD190" i="66"/>
  <c r="W11" i="70" s="1"/>
  <c r="A190" i="66"/>
  <c r="AD189" i="66"/>
  <c r="W10" i="70" s="1"/>
  <c r="A189" i="66"/>
  <c r="A188" i="66"/>
  <c r="J242" i="66"/>
  <c r="A187" i="66"/>
  <c r="AD181" i="66"/>
  <c r="W61" i="69" s="1"/>
  <c r="AD180" i="66"/>
  <c r="AD179" i="66"/>
  <c r="W58" i="69" s="1"/>
  <c r="AD178" i="66"/>
  <c r="W57" i="69" s="1"/>
  <c r="AD177" i="66"/>
  <c r="W56" i="69" s="1"/>
  <c r="AD176" i="66"/>
  <c r="W55" i="69" s="1"/>
  <c r="AD175" i="66"/>
  <c r="W54" i="69" s="1"/>
  <c r="AD174" i="66"/>
  <c r="W53" i="69" s="1"/>
  <c r="AD173" i="66"/>
  <c r="W52" i="69" s="1"/>
  <c r="AD172" i="66"/>
  <c r="W51" i="69" s="1"/>
  <c r="AD171" i="66"/>
  <c r="W50" i="69" s="1"/>
  <c r="AD170" i="66"/>
  <c r="W49" i="69" s="1"/>
  <c r="AD169" i="66"/>
  <c r="W48" i="69" s="1"/>
  <c r="AD168" i="66"/>
  <c r="W47" i="69" s="1"/>
  <c r="AD167" i="66"/>
  <c r="W46" i="69" s="1"/>
  <c r="AD166" i="66"/>
  <c r="W45" i="69" s="1"/>
  <c r="AD165" i="66"/>
  <c r="W44" i="69" s="1"/>
  <c r="V182" i="66"/>
  <c r="M182" i="66"/>
  <c r="AD161" i="66"/>
  <c r="W40" i="69" s="1"/>
  <c r="AD160" i="66"/>
  <c r="W39" i="69" s="1"/>
  <c r="AD159" i="66"/>
  <c r="W38" i="69" s="1"/>
  <c r="AD157" i="66"/>
  <c r="W36" i="69" s="1"/>
  <c r="AD156" i="66"/>
  <c r="W35" i="69" s="1"/>
  <c r="AD155" i="66"/>
  <c r="W34" i="69" s="1"/>
  <c r="AD153" i="66"/>
  <c r="W32" i="69" s="1"/>
  <c r="AD152" i="66"/>
  <c r="W31" i="69" s="1"/>
  <c r="AD151" i="66"/>
  <c r="W30" i="69" s="1"/>
  <c r="AD150" i="66"/>
  <c r="W29" i="69" s="1"/>
  <c r="AD149" i="66"/>
  <c r="W28" i="69" s="1"/>
  <c r="AD148" i="66"/>
  <c r="W27" i="69" s="1"/>
  <c r="AD147" i="66"/>
  <c r="W26" i="69" s="1"/>
  <c r="AD146" i="66"/>
  <c r="W25" i="69" s="1"/>
  <c r="AD145" i="66"/>
  <c r="W24" i="69" s="1"/>
  <c r="D182" i="66"/>
  <c r="AD143" i="66"/>
  <c r="W22" i="69" s="1"/>
  <c r="AD142" i="66"/>
  <c r="W21" i="69" s="1"/>
  <c r="AD140" i="66"/>
  <c r="W19" i="69" s="1"/>
  <c r="AD139" i="66"/>
  <c r="W18" i="69" s="1"/>
  <c r="AD138" i="66"/>
  <c r="W17" i="69" s="1"/>
  <c r="AD136" i="66"/>
  <c r="W15" i="69" s="1"/>
  <c r="AD134" i="66"/>
  <c r="W13" i="69" s="1"/>
  <c r="AD133" i="66"/>
  <c r="W12" i="69" s="1"/>
  <c r="AD132" i="66"/>
  <c r="W11" i="69" s="1"/>
  <c r="AD131" i="66"/>
  <c r="W10" i="69" s="1"/>
  <c r="AD130" i="66"/>
  <c r="W9" i="69" s="1"/>
  <c r="AD129" i="66"/>
  <c r="W8" i="69" s="1"/>
  <c r="AD119" i="66"/>
  <c r="W56" i="68" s="1"/>
  <c r="A119" i="66"/>
  <c r="AD118" i="66"/>
  <c r="A118" i="66"/>
  <c r="Y120" i="66"/>
  <c r="A117" i="66"/>
  <c r="AD116" i="66"/>
  <c r="W53" i="68" s="1"/>
  <c r="A116" i="66"/>
  <c r="AD115" i="66"/>
  <c r="W52" i="68" s="1"/>
  <c r="A115" i="66"/>
  <c r="A114" i="66"/>
  <c r="AD113" i="66"/>
  <c r="W50" i="68" s="1"/>
  <c r="A113" i="66"/>
  <c r="AD112" i="66"/>
  <c r="W49" i="68" s="1"/>
  <c r="A112" i="66"/>
  <c r="AD111" i="66"/>
  <c r="A111" i="66"/>
  <c r="AD110" i="66"/>
  <c r="W47" i="68" s="1"/>
  <c r="A110" i="66"/>
  <c r="AD109" i="66"/>
  <c r="W46" i="68" s="1"/>
  <c r="A109" i="66"/>
  <c r="AD108" i="66"/>
  <c r="W45" i="68" s="1"/>
  <c r="A108" i="66"/>
  <c r="AD107" i="66"/>
  <c r="W44" i="68" s="1"/>
  <c r="A107" i="66"/>
  <c r="AD106" i="66"/>
  <c r="W43" i="68" s="1"/>
  <c r="A106" i="66"/>
  <c r="AD105" i="66"/>
  <c r="W42" i="68" s="1"/>
  <c r="A105" i="66"/>
  <c r="AD104" i="66"/>
  <c r="W41" i="68" s="1"/>
  <c r="A104" i="66"/>
  <c r="AD103" i="66"/>
  <c r="W40" i="68" s="1"/>
  <c r="A103" i="66"/>
  <c r="AD102" i="66"/>
  <c r="W39" i="68" s="1"/>
  <c r="A102" i="66"/>
  <c r="AD101" i="66"/>
  <c r="W38" i="68" s="1"/>
  <c r="A101" i="66"/>
  <c r="AD100" i="66"/>
  <c r="W37" i="68" s="1"/>
  <c r="A100" i="66"/>
  <c r="AD99" i="66"/>
  <c r="W36" i="68" s="1"/>
  <c r="A99" i="66"/>
  <c r="AD98" i="66"/>
  <c r="W35" i="68" s="1"/>
  <c r="A98" i="66"/>
  <c r="T120" i="66"/>
  <c r="A97" i="66"/>
  <c r="AD96" i="66"/>
  <c r="W33" i="68" s="1"/>
  <c r="A96" i="66"/>
  <c r="AD95" i="66"/>
  <c r="A95" i="66"/>
  <c r="AD94" i="66"/>
  <c r="W31" i="68" s="1"/>
  <c r="A94" i="66"/>
  <c r="AD93" i="66"/>
  <c r="A93" i="66"/>
  <c r="AD92" i="66"/>
  <c r="W29" i="68" s="1"/>
  <c r="A92" i="66"/>
  <c r="AD91" i="66"/>
  <c r="W28" i="68" s="1"/>
  <c r="A91" i="66"/>
  <c r="AD90" i="66"/>
  <c r="W27" i="68" s="1"/>
  <c r="A90" i="66"/>
  <c r="AD89" i="66"/>
  <c r="A89" i="66"/>
  <c r="AD88" i="66"/>
  <c r="W25" i="68" s="1"/>
  <c r="A88" i="66"/>
  <c r="AD87" i="66"/>
  <c r="A87" i="66"/>
  <c r="A86" i="66"/>
  <c r="AD85" i="66"/>
  <c r="W22" i="68" s="1"/>
  <c r="A85" i="66"/>
  <c r="AD84" i="66"/>
  <c r="W21" i="68" s="1"/>
  <c r="A84" i="66"/>
  <c r="A83" i="66"/>
  <c r="AD82" i="66"/>
  <c r="W19" i="68" s="1"/>
  <c r="A82" i="66"/>
  <c r="AD81" i="66"/>
  <c r="W18" i="68" s="1"/>
  <c r="A81" i="66"/>
  <c r="AD80" i="66"/>
  <c r="W17" i="68" s="1"/>
  <c r="A80" i="66"/>
  <c r="AD79" i="66"/>
  <c r="W16" i="68" s="1"/>
  <c r="A79" i="66"/>
  <c r="AD78" i="66"/>
  <c r="W15" i="68" s="1"/>
  <c r="A78" i="66"/>
  <c r="AD77" i="66"/>
  <c r="W14" i="68" s="1"/>
  <c r="A77" i="66"/>
  <c r="AD76" i="66"/>
  <c r="W13" i="68" s="1"/>
  <c r="A76" i="66"/>
  <c r="AD75" i="66"/>
  <c r="W12" i="68" s="1"/>
  <c r="A75" i="66"/>
  <c r="AD74" i="66"/>
  <c r="W11" i="68" s="1"/>
  <c r="A74" i="66"/>
  <c r="M120" i="66"/>
  <c r="A73" i="66"/>
  <c r="AD72" i="66"/>
  <c r="W9" i="68" s="1"/>
  <c r="A72" i="66"/>
  <c r="A71" i="66"/>
  <c r="AD64" i="66"/>
  <c r="AD63" i="66"/>
  <c r="AD62" i="66"/>
  <c r="AD61" i="66"/>
  <c r="AD60" i="66"/>
  <c r="A60" i="66"/>
  <c r="AD59" i="66"/>
  <c r="A59" i="66"/>
  <c r="AD58" i="66"/>
  <c r="W59" i="43" s="1"/>
  <c r="A58" i="66"/>
  <c r="AD57" i="66"/>
  <c r="W58" i="43" s="1"/>
  <c r="A57" i="66"/>
  <c r="AD56" i="66"/>
  <c r="W57" i="43" s="1"/>
  <c r="A56" i="66"/>
  <c r="AD55" i="66"/>
  <c r="W56" i="43" s="1"/>
  <c r="A55" i="66"/>
  <c r="AD54" i="66"/>
  <c r="W55" i="43" s="1"/>
  <c r="A54" i="66"/>
  <c r="AD53" i="66"/>
  <c r="W54" i="43" s="1"/>
  <c r="A53" i="66"/>
  <c r="AD52" i="66"/>
  <c r="W53" i="43" s="1"/>
  <c r="A52" i="66"/>
  <c r="AD51" i="66"/>
  <c r="W52" i="43" s="1"/>
  <c r="A51" i="66"/>
  <c r="AD50" i="66"/>
  <c r="W51" i="43" s="1"/>
  <c r="A50" i="66"/>
  <c r="AD49" i="66"/>
  <c r="W50" i="43" s="1"/>
  <c r="A49" i="66"/>
  <c r="AD48" i="66"/>
  <c r="W49" i="43" s="1"/>
  <c r="A48" i="66"/>
  <c r="AD47" i="66"/>
  <c r="W48" i="43" s="1"/>
  <c r="A47" i="66"/>
  <c r="AD46" i="66"/>
  <c r="W47" i="43" s="1"/>
  <c r="A46" i="66"/>
  <c r="AD45" i="66"/>
  <c r="W46" i="43" s="1"/>
  <c r="A45" i="66"/>
  <c r="AD44" i="66"/>
  <c r="W45" i="43" s="1"/>
  <c r="A44" i="66"/>
  <c r="AD43" i="66"/>
  <c r="W44" i="43" s="1"/>
  <c r="A43" i="66"/>
  <c r="AD42" i="66"/>
  <c r="W43" i="43" s="1"/>
  <c r="A42" i="66"/>
  <c r="AD41" i="66"/>
  <c r="W42" i="43" s="1"/>
  <c r="A41" i="66"/>
  <c r="A40" i="66"/>
  <c r="AD39" i="66"/>
  <c r="W40" i="43" s="1"/>
  <c r="A39" i="66"/>
  <c r="AD38" i="66"/>
  <c r="W39" i="43" s="1"/>
  <c r="A38" i="66"/>
  <c r="AD37" i="66"/>
  <c r="W38" i="43" s="1"/>
  <c r="A37" i="66"/>
  <c r="AD36" i="66"/>
  <c r="W37" i="43" s="1"/>
  <c r="A36" i="66"/>
  <c r="AD35" i="66"/>
  <c r="W36" i="43" s="1"/>
  <c r="A35" i="66"/>
  <c r="AD34" i="66"/>
  <c r="W35" i="43" s="1"/>
  <c r="A34" i="66"/>
  <c r="AD33" i="66"/>
  <c r="W34" i="43" s="1"/>
  <c r="A33" i="66"/>
  <c r="AD32" i="66"/>
  <c r="W33" i="43" s="1"/>
  <c r="A32" i="66"/>
  <c r="AD31" i="66"/>
  <c r="W32" i="43" s="1"/>
  <c r="A31" i="66"/>
  <c r="AD30" i="66"/>
  <c r="W31" i="43" s="1"/>
  <c r="A30" i="66"/>
  <c r="AD29" i="66"/>
  <c r="W30" i="43" s="1"/>
  <c r="A29" i="66"/>
  <c r="W65" i="66"/>
  <c r="D65" i="66"/>
  <c r="A28" i="66"/>
  <c r="AD27" i="66"/>
  <c r="W28" i="43" s="1"/>
  <c r="A27" i="66"/>
  <c r="AD26" i="66"/>
  <c r="W27" i="43" s="1"/>
  <c r="A26" i="66"/>
  <c r="AD25" i="66"/>
  <c r="W26" i="43" s="1"/>
  <c r="A25" i="66"/>
  <c r="AD24" i="66"/>
  <c r="W25" i="43" s="1"/>
  <c r="A24" i="66"/>
  <c r="AD23" i="66"/>
  <c r="W24" i="43" s="1"/>
  <c r="A23" i="66"/>
  <c r="AD22" i="66"/>
  <c r="W23" i="43" s="1"/>
  <c r="A22" i="66"/>
  <c r="AD21" i="66"/>
  <c r="W22" i="43" s="1"/>
  <c r="A21" i="66"/>
  <c r="AD20" i="66"/>
  <c r="W21" i="43" s="1"/>
  <c r="A20" i="66"/>
  <c r="AD19" i="66"/>
  <c r="W20" i="43" s="1"/>
  <c r="A19" i="66"/>
  <c r="AD18" i="66"/>
  <c r="W19" i="43" s="1"/>
  <c r="A18" i="66"/>
  <c r="A17" i="66"/>
  <c r="AD16" i="66"/>
  <c r="W17" i="43" s="1"/>
  <c r="A16" i="66"/>
  <c r="AD15" i="66"/>
  <c r="W16" i="43" s="1"/>
  <c r="A15" i="66"/>
  <c r="AD14" i="66"/>
  <c r="W15" i="43" s="1"/>
  <c r="A14" i="66"/>
  <c r="AD13" i="66"/>
  <c r="W14" i="43" s="1"/>
  <c r="A13" i="66"/>
  <c r="AD12" i="66"/>
  <c r="W13" i="43" s="1"/>
  <c r="A12" i="66"/>
  <c r="AD11" i="66"/>
  <c r="W12" i="43" s="1"/>
  <c r="A11" i="66"/>
  <c r="AD10" i="66"/>
  <c r="W11" i="43" s="1"/>
  <c r="A10" i="66"/>
  <c r="AD9" i="66"/>
  <c r="W10" i="43" s="1"/>
  <c r="A9" i="66"/>
  <c r="A8" i="66"/>
  <c r="AD7" i="66"/>
  <c r="A7" i="66"/>
  <c r="O717" i="61"/>
  <c r="O716" i="61"/>
  <c r="O715" i="61"/>
  <c r="A715" i="61"/>
  <c r="O714" i="61"/>
  <c r="A714" i="61"/>
  <c r="O713" i="61"/>
  <c r="A713" i="61"/>
  <c r="O712" i="61"/>
  <c r="A712" i="61"/>
  <c r="O711" i="61"/>
  <c r="A711" i="61"/>
  <c r="O710" i="61"/>
  <c r="A710" i="61"/>
  <c r="O709" i="61"/>
  <c r="A709" i="61"/>
  <c r="O708" i="61"/>
  <c r="A708" i="61"/>
  <c r="O707" i="61"/>
  <c r="A707" i="61"/>
  <c r="O706" i="61"/>
  <c r="A706" i="61"/>
  <c r="O705" i="61"/>
  <c r="A705" i="61"/>
  <c r="O704" i="61"/>
  <c r="A704" i="61"/>
  <c r="O703" i="61"/>
  <c r="A703" i="61"/>
  <c r="O702" i="61"/>
  <c r="A702" i="61"/>
  <c r="O701" i="61"/>
  <c r="A701" i="61"/>
  <c r="O700" i="61"/>
  <c r="A700" i="61"/>
  <c r="O699" i="61"/>
  <c r="A699" i="61"/>
  <c r="O698" i="61"/>
  <c r="U41" i="67" s="1"/>
  <c r="A698" i="61"/>
  <c r="O697" i="61"/>
  <c r="U40" i="67" s="1"/>
  <c r="A697" i="61"/>
  <c r="O696" i="61"/>
  <c r="A696" i="61"/>
  <c r="O695" i="61"/>
  <c r="U38" i="67" s="1"/>
  <c r="A695" i="61"/>
  <c r="O694" i="61"/>
  <c r="U37" i="67" s="1"/>
  <c r="A694" i="61"/>
  <c r="O693" i="61"/>
  <c r="U36" i="67" s="1"/>
  <c r="A693" i="61"/>
  <c r="O692" i="61"/>
  <c r="A692" i="61"/>
  <c r="O691" i="61"/>
  <c r="U34" i="67" s="1"/>
  <c r="A691" i="61"/>
  <c r="O690" i="61"/>
  <c r="U33" i="67" s="1"/>
  <c r="A690" i="61"/>
  <c r="O689" i="61"/>
  <c r="U32" i="67" s="1"/>
  <c r="A689" i="61"/>
  <c r="O688" i="61"/>
  <c r="A688" i="61"/>
  <c r="O687" i="61"/>
  <c r="U30" i="67" s="1"/>
  <c r="A687" i="61"/>
  <c r="O686" i="61"/>
  <c r="A686" i="61"/>
  <c r="O685" i="61"/>
  <c r="U28" i="67" s="1"/>
  <c r="A685" i="61"/>
  <c r="O684" i="61"/>
  <c r="A684" i="61"/>
  <c r="O683" i="61"/>
  <c r="U26" i="67" s="1"/>
  <c r="A683" i="61"/>
  <c r="O682" i="61"/>
  <c r="U25" i="67" s="1"/>
  <c r="A682" i="61"/>
  <c r="O681" i="61"/>
  <c r="U24" i="67" s="1"/>
  <c r="A681" i="61"/>
  <c r="O680" i="61"/>
  <c r="A680" i="61"/>
  <c r="O679" i="61"/>
  <c r="U22" i="67" s="1"/>
  <c r="A679" i="61"/>
  <c r="O678" i="61"/>
  <c r="U21" i="67" s="1"/>
  <c r="A678" i="61"/>
  <c r="O677" i="61"/>
  <c r="U20" i="67" s="1"/>
  <c r="A677" i="61"/>
  <c r="O676" i="61"/>
  <c r="A676" i="61"/>
  <c r="O675" i="61"/>
  <c r="U18" i="67" s="1"/>
  <c r="A675" i="61"/>
  <c r="O674" i="61"/>
  <c r="U17" i="67" s="1"/>
  <c r="A674" i="61"/>
  <c r="O673" i="61"/>
  <c r="U16" i="67" s="1"/>
  <c r="A673" i="61"/>
  <c r="O672" i="61"/>
  <c r="A672" i="61"/>
  <c r="O671" i="61"/>
  <c r="U14" i="67" s="1"/>
  <c r="A671" i="61"/>
  <c r="O670" i="61"/>
  <c r="A670" i="61"/>
  <c r="O669" i="61"/>
  <c r="U12" i="67" s="1"/>
  <c r="A669" i="61"/>
  <c r="O668" i="61"/>
  <c r="A668" i="61"/>
  <c r="O667" i="61"/>
  <c r="U10" i="67" s="1"/>
  <c r="A667" i="61"/>
  <c r="O666" i="61"/>
  <c r="A666" i="61"/>
  <c r="O665" i="61"/>
  <c r="A665" i="61"/>
  <c r="O658" i="61"/>
  <c r="U60" i="77" s="1"/>
  <c r="O657" i="61"/>
  <c r="O656" i="61"/>
  <c r="U58" i="77" s="1"/>
  <c r="O655" i="61"/>
  <c r="U57" i="77" s="1"/>
  <c r="O654" i="61"/>
  <c r="U56" i="77" s="1"/>
  <c r="O653" i="61"/>
  <c r="O652" i="61"/>
  <c r="U54" i="77" s="1"/>
  <c r="O651" i="61"/>
  <c r="U53" i="77" s="1"/>
  <c r="O650" i="61"/>
  <c r="U52" i="77" s="1"/>
  <c r="O649" i="61"/>
  <c r="O648" i="61"/>
  <c r="O647" i="61"/>
  <c r="U48" i="77" s="1"/>
  <c r="O646" i="61"/>
  <c r="U47" i="77" s="1"/>
  <c r="O645" i="61"/>
  <c r="U46" i="77" s="1"/>
  <c r="O644" i="61"/>
  <c r="U45" i="77" s="1"/>
  <c r="O643" i="61"/>
  <c r="U44" i="77" s="1"/>
  <c r="O642" i="61"/>
  <c r="U43" i="77" s="1"/>
  <c r="O641" i="61"/>
  <c r="U42" i="77" s="1"/>
  <c r="O640" i="61"/>
  <c r="U41" i="77" s="1"/>
  <c r="O639" i="61"/>
  <c r="U40" i="77" s="1"/>
  <c r="O638" i="61"/>
  <c r="U39" i="77" s="1"/>
  <c r="O637" i="61"/>
  <c r="O636" i="61"/>
  <c r="U37" i="77" s="1"/>
  <c r="O635" i="61"/>
  <c r="U36" i="77" s="1"/>
  <c r="O634" i="61"/>
  <c r="U35" i="77" s="1"/>
  <c r="O633" i="61"/>
  <c r="O632" i="61"/>
  <c r="U33" i="77" s="1"/>
  <c r="O631" i="61"/>
  <c r="U32" i="77" s="1"/>
  <c r="O630" i="61"/>
  <c r="U31" i="77" s="1"/>
  <c r="O629" i="61"/>
  <c r="O628" i="61"/>
  <c r="U29" i="77" s="1"/>
  <c r="O627" i="61"/>
  <c r="U28" i="77" s="1"/>
  <c r="O626" i="61"/>
  <c r="U27" i="77" s="1"/>
  <c r="O625" i="61"/>
  <c r="O624" i="61"/>
  <c r="U25" i="77" s="1"/>
  <c r="O623" i="61"/>
  <c r="U24" i="77" s="1"/>
  <c r="O622" i="61"/>
  <c r="U23" i="77" s="1"/>
  <c r="O621" i="61"/>
  <c r="O620" i="61"/>
  <c r="U21" i="77" s="1"/>
  <c r="O619" i="61"/>
  <c r="U20" i="77" s="1"/>
  <c r="O618" i="61"/>
  <c r="U19" i="77" s="1"/>
  <c r="O617" i="61"/>
  <c r="O616" i="61"/>
  <c r="U17" i="77" s="1"/>
  <c r="O615" i="61"/>
  <c r="U16" i="77" s="1"/>
  <c r="O614" i="61"/>
  <c r="U15" i="77" s="1"/>
  <c r="O613" i="61"/>
  <c r="O612" i="61"/>
  <c r="U13" i="77" s="1"/>
  <c r="O611" i="61"/>
  <c r="U12" i="77" s="1"/>
  <c r="O610" i="61"/>
  <c r="U11" i="77" s="1"/>
  <c r="O609" i="61"/>
  <c r="O608" i="61"/>
  <c r="U9" i="77" s="1"/>
  <c r="O607" i="61"/>
  <c r="A607" i="61"/>
  <c r="O601" i="61"/>
  <c r="O600" i="61"/>
  <c r="A600" i="61"/>
  <c r="O599" i="61"/>
  <c r="U61" i="76" s="1"/>
  <c r="A599" i="61"/>
  <c r="O598" i="61"/>
  <c r="U60" i="76" s="1"/>
  <c r="A598" i="61"/>
  <c r="O597" i="61"/>
  <c r="U59" i="76" s="1"/>
  <c r="A597" i="61"/>
  <c r="O596" i="61"/>
  <c r="U58" i="76" s="1"/>
  <c r="A596" i="61"/>
  <c r="O595" i="61"/>
  <c r="U57" i="76" s="1"/>
  <c r="A595" i="61"/>
  <c r="O594" i="61"/>
  <c r="U56" i="76" s="1"/>
  <c r="A594" i="61"/>
  <c r="O593" i="61"/>
  <c r="U55" i="76" s="1"/>
  <c r="A593" i="61"/>
  <c r="O592" i="61"/>
  <c r="U54" i="76" s="1"/>
  <c r="A592" i="61"/>
  <c r="O591" i="61"/>
  <c r="U53" i="76" s="1"/>
  <c r="A591" i="61"/>
  <c r="O590" i="61"/>
  <c r="U52" i="76" s="1"/>
  <c r="O589" i="61"/>
  <c r="U51" i="76" s="1"/>
  <c r="A589" i="61"/>
  <c r="O588" i="61"/>
  <c r="U50" i="76" s="1"/>
  <c r="A588" i="61"/>
  <c r="O587" i="61"/>
  <c r="U49" i="76" s="1"/>
  <c r="A587" i="61"/>
  <c r="O586" i="61"/>
  <c r="A586" i="61"/>
  <c r="O585" i="61"/>
  <c r="U47" i="76" s="1"/>
  <c r="A585" i="61"/>
  <c r="O584" i="61"/>
  <c r="U46" i="76" s="1"/>
  <c r="A584" i="61"/>
  <c r="O583" i="61"/>
  <c r="U45" i="76" s="1"/>
  <c r="A583" i="61"/>
  <c r="O582" i="61"/>
  <c r="A582" i="61"/>
  <c r="O581" i="61"/>
  <c r="U43" i="76" s="1"/>
  <c r="A581" i="61"/>
  <c r="D602" i="61"/>
  <c r="A580" i="61"/>
  <c r="O579" i="61"/>
  <c r="U41" i="76" s="1"/>
  <c r="A579" i="61"/>
  <c r="O578" i="61"/>
  <c r="U40" i="76" s="1"/>
  <c r="A578" i="61"/>
  <c r="O577" i="61"/>
  <c r="A577" i="61"/>
  <c r="O576" i="61"/>
  <c r="U38" i="76" s="1"/>
  <c r="A576" i="61"/>
  <c r="O575" i="61"/>
  <c r="U37" i="76" s="1"/>
  <c r="A575" i="61"/>
  <c r="O574" i="61"/>
  <c r="U36" i="76" s="1"/>
  <c r="A574" i="61"/>
  <c r="O573" i="61"/>
  <c r="A573" i="61"/>
  <c r="O572" i="61"/>
  <c r="U34" i="76" s="1"/>
  <c r="A572" i="61"/>
  <c r="O571" i="61"/>
  <c r="A571" i="61"/>
  <c r="O570" i="61"/>
  <c r="U32" i="76" s="1"/>
  <c r="A570" i="61"/>
  <c r="O569" i="61"/>
  <c r="U31" i="76" s="1"/>
  <c r="A569" i="61"/>
  <c r="O568" i="61"/>
  <c r="U30" i="76" s="1"/>
  <c r="A568" i="61"/>
  <c r="O567" i="61"/>
  <c r="A567" i="61"/>
  <c r="O566" i="61"/>
  <c r="U28" i="76" s="1"/>
  <c r="A566" i="61"/>
  <c r="O565" i="61"/>
  <c r="U27" i="76" s="1"/>
  <c r="A565" i="61"/>
  <c r="O564" i="61"/>
  <c r="U26" i="76" s="1"/>
  <c r="A564" i="61"/>
  <c r="O563" i="61"/>
  <c r="A563" i="61"/>
  <c r="O562" i="61"/>
  <c r="U24" i="76" s="1"/>
  <c r="A562" i="61"/>
  <c r="O561" i="61"/>
  <c r="U23" i="76" s="1"/>
  <c r="A561" i="61"/>
  <c r="O560" i="61"/>
  <c r="U22" i="76" s="1"/>
  <c r="A560" i="61"/>
  <c r="O559" i="61"/>
  <c r="A559" i="61"/>
  <c r="O558" i="61"/>
  <c r="U20" i="76" s="1"/>
  <c r="A558" i="61"/>
  <c r="O557" i="61"/>
  <c r="U19" i="76" s="1"/>
  <c r="A557" i="61"/>
  <c r="O556" i="61"/>
  <c r="U18" i="76" s="1"/>
  <c r="A556" i="61"/>
  <c r="A555" i="61"/>
  <c r="O554" i="61"/>
  <c r="U16" i="76" s="1"/>
  <c r="A554" i="61"/>
  <c r="O553" i="61"/>
  <c r="U15" i="76" s="1"/>
  <c r="A553" i="61"/>
  <c r="O552" i="61"/>
  <c r="U14" i="76" s="1"/>
  <c r="A552" i="61"/>
  <c r="O551" i="61"/>
  <c r="U13" i="76" s="1"/>
  <c r="A551" i="61"/>
  <c r="O550" i="61"/>
  <c r="A550" i="61"/>
  <c r="O549" i="61"/>
  <c r="U11" i="76" s="1"/>
  <c r="A549" i="61"/>
  <c r="A548" i="61"/>
  <c r="O547" i="61"/>
  <c r="U9" i="76" s="1"/>
  <c r="A547" i="61"/>
  <c r="O546" i="61"/>
  <c r="A546" i="61"/>
  <c r="O541" i="61"/>
  <c r="O540" i="61"/>
  <c r="A540" i="61"/>
  <c r="O539" i="61"/>
  <c r="A539" i="61"/>
  <c r="O538" i="61"/>
  <c r="A538" i="61"/>
  <c r="O537" i="61"/>
  <c r="A537" i="61"/>
  <c r="O536" i="61"/>
  <c r="A536" i="61"/>
  <c r="O535" i="61"/>
  <c r="A535" i="61"/>
  <c r="O534" i="61"/>
  <c r="A534" i="61"/>
  <c r="O533" i="61"/>
  <c r="A533" i="61"/>
  <c r="O532" i="61"/>
  <c r="A532" i="61"/>
  <c r="O531" i="61"/>
  <c r="A531" i="61"/>
  <c r="O530" i="61"/>
  <c r="A530" i="61"/>
  <c r="O529" i="61"/>
  <c r="U49" i="75" s="1"/>
  <c r="A529" i="61"/>
  <c r="O528" i="61"/>
  <c r="U48" i="75" s="1"/>
  <c r="A528" i="61"/>
  <c r="O527" i="61"/>
  <c r="A527" i="61"/>
  <c r="O526" i="61"/>
  <c r="U46" i="75" s="1"/>
  <c r="A526" i="61"/>
  <c r="O525" i="61"/>
  <c r="U45" i="75" s="1"/>
  <c r="A525" i="61"/>
  <c r="O524" i="61"/>
  <c r="U44" i="75" s="1"/>
  <c r="A524" i="61"/>
  <c r="O523" i="61"/>
  <c r="A523" i="61"/>
  <c r="O522" i="61"/>
  <c r="U42" i="75" s="1"/>
  <c r="A522" i="61"/>
  <c r="O521" i="61"/>
  <c r="A521" i="61"/>
  <c r="O520" i="61"/>
  <c r="U40" i="75" s="1"/>
  <c r="A520" i="61"/>
  <c r="O519" i="61"/>
  <c r="U39" i="75" s="1"/>
  <c r="A519" i="61"/>
  <c r="O518" i="61"/>
  <c r="A518" i="61"/>
  <c r="O517" i="61"/>
  <c r="U37" i="75" s="1"/>
  <c r="A517" i="61"/>
  <c r="O516" i="61"/>
  <c r="A516" i="61"/>
  <c r="O515" i="61"/>
  <c r="U35" i="75" s="1"/>
  <c r="A515" i="61"/>
  <c r="O514" i="61"/>
  <c r="U34" i="75" s="1"/>
  <c r="A514" i="61"/>
  <c r="O513" i="61"/>
  <c r="U33" i="75" s="1"/>
  <c r="A513" i="61"/>
  <c r="O512" i="61"/>
  <c r="A512" i="61"/>
  <c r="O511" i="61"/>
  <c r="U31" i="75" s="1"/>
  <c r="A511" i="61"/>
  <c r="O510" i="61"/>
  <c r="U30" i="75" s="1"/>
  <c r="A510" i="61"/>
  <c r="O509" i="61"/>
  <c r="U29" i="75" s="1"/>
  <c r="A509" i="61"/>
  <c r="O508" i="61"/>
  <c r="A508" i="61"/>
  <c r="A507" i="61"/>
  <c r="O506" i="61"/>
  <c r="U26" i="75" s="1"/>
  <c r="A506" i="61"/>
  <c r="O505" i="61"/>
  <c r="U25" i="75" s="1"/>
  <c r="A505" i="61"/>
  <c r="O504" i="61"/>
  <c r="U24" i="75" s="1"/>
  <c r="A504" i="61"/>
  <c r="O503" i="61"/>
  <c r="U23" i="75" s="1"/>
  <c r="A503" i="61"/>
  <c r="O502" i="61"/>
  <c r="U22" i="75" s="1"/>
  <c r="A502" i="61"/>
  <c r="O501" i="61"/>
  <c r="U21" i="75" s="1"/>
  <c r="A501" i="61"/>
  <c r="O500" i="61"/>
  <c r="U20" i="75" s="1"/>
  <c r="A500" i="61"/>
  <c r="A499" i="61"/>
  <c r="O498" i="61"/>
  <c r="U18" i="75" s="1"/>
  <c r="A498" i="61"/>
  <c r="O497" i="61"/>
  <c r="A497" i="61"/>
  <c r="O496" i="61"/>
  <c r="U16" i="75" s="1"/>
  <c r="A496" i="61"/>
  <c r="O495" i="61"/>
  <c r="U15" i="75" s="1"/>
  <c r="A495" i="61"/>
  <c r="O494" i="61"/>
  <c r="U14" i="75" s="1"/>
  <c r="A494" i="61"/>
  <c r="O493" i="61"/>
  <c r="A493" i="61"/>
  <c r="O492" i="61"/>
  <c r="U12" i="75" s="1"/>
  <c r="A492" i="61"/>
  <c r="O491" i="61"/>
  <c r="U11" i="75" s="1"/>
  <c r="A491" i="61"/>
  <c r="O490" i="61"/>
  <c r="U10" i="75" s="1"/>
  <c r="A490" i="61"/>
  <c r="O489" i="61"/>
  <c r="A489" i="61"/>
  <c r="O488" i="61"/>
  <c r="A488" i="61"/>
  <c r="O482" i="61"/>
  <c r="O481" i="61"/>
  <c r="O480" i="61"/>
  <c r="O479" i="61"/>
  <c r="O478" i="61"/>
  <c r="O477" i="61"/>
  <c r="O476" i="61"/>
  <c r="O475" i="61"/>
  <c r="U55" i="74" s="1"/>
  <c r="O474" i="61"/>
  <c r="U54" i="74" s="1"/>
  <c r="O473" i="61"/>
  <c r="U53" i="74" s="1"/>
  <c r="O472" i="61"/>
  <c r="U52" i="74" s="1"/>
  <c r="O471" i="61"/>
  <c r="U51" i="74" s="1"/>
  <c r="O470" i="61"/>
  <c r="U50" i="74" s="1"/>
  <c r="O469" i="61"/>
  <c r="U49" i="74" s="1"/>
  <c r="O468" i="61"/>
  <c r="U48" i="74" s="1"/>
  <c r="O467" i="61"/>
  <c r="U47" i="74" s="1"/>
  <c r="O466" i="61"/>
  <c r="U46" i="74" s="1"/>
  <c r="O465" i="61"/>
  <c r="U45" i="74" s="1"/>
  <c r="A465" i="61"/>
  <c r="O464" i="61"/>
  <c r="U44" i="74" s="1"/>
  <c r="A464" i="61"/>
  <c r="C483" i="61"/>
  <c r="A463" i="61"/>
  <c r="O462" i="61"/>
  <c r="U42" i="74" s="1"/>
  <c r="A462" i="61"/>
  <c r="O461" i="61"/>
  <c r="U41" i="74" s="1"/>
  <c r="A461" i="61"/>
  <c r="O460" i="61"/>
  <c r="U40" i="74" s="1"/>
  <c r="A460" i="61"/>
  <c r="O459" i="61"/>
  <c r="U39" i="74" s="1"/>
  <c r="A459" i="61"/>
  <c r="O458" i="61"/>
  <c r="U38" i="74" s="1"/>
  <c r="A458" i="61"/>
  <c r="O457" i="61"/>
  <c r="U37" i="74" s="1"/>
  <c r="A457" i="61"/>
  <c r="O456" i="61"/>
  <c r="U36" i="74" s="1"/>
  <c r="A456" i="61"/>
  <c r="O455" i="61"/>
  <c r="U35" i="74" s="1"/>
  <c r="A455" i="61"/>
  <c r="O454" i="61"/>
  <c r="U34" i="74" s="1"/>
  <c r="A454" i="61"/>
  <c r="O453" i="61"/>
  <c r="U33" i="74" s="1"/>
  <c r="A453" i="61"/>
  <c r="O452" i="61"/>
  <c r="U32" i="74" s="1"/>
  <c r="A452" i="61"/>
  <c r="O451" i="61"/>
  <c r="U31" i="74" s="1"/>
  <c r="A451" i="61"/>
  <c r="O450" i="61"/>
  <c r="U29" i="74" s="1"/>
  <c r="A450" i="61"/>
  <c r="O449" i="61"/>
  <c r="U28" i="74" s="1"/>
  <c r="A449" i="61"/>
  <c r="O448" i="61"/>
  <c r="U27" i="74" s="1"/>
  <c r="A448" i="61"/>
  <c r="O447" i="61"/>
  <c r="U26" i="74" s="1"/>
  <c r="A447" i="61"/>
  <c r="O446" i="61"/>
  <c r="U25" i="74" s="1"/>
  <c r="A446" i="61"/>
  <c r="O445" i="61"/>
  <c r="U24" i="74" s="1"/>
  <c r="A445" i="61"/>
  <c r="O444" i="61"/>
  <c r="U23" i="74" s="1"/>
  <c r="A444" i="61"/>
  <c r="O443" i="61"/>
  <c r="U22" i="74" s="1"/>
  <c r="A443" i="61"/>
  <c r="O442" i="61"/>
  <c r="U21" i="74" s="1"/>
  <c r="A442" i="61"/>
  <c r="O441" i="61"/>
  <c r="U20" i="74" s="1"/>
  <c r="A441" i="61"/>
  <c r="O440" i="61"/>
  <c r="U19" i="74" s="1"/>
  <c r="A440" i="61"/>
  <c r="O439" i="61"/>
  <c r="U18" i="74" s="1"/>
  <c r="A439" i="61"/>
  <c r="O438" i="61"/>
  <c r="U17" i="74" s="1"/>
  <c r="A438" i="61"/>
  <c r="O437" i="61"/>
  <c r="A437" i="61"/>
  <c r="O436" i="61"/>
  <c r="U15" i="74" s="1"/>
  <c r="A436" i="61"/>
  <c r="O435" i="61"/>
  <c r="A435" i="61"/>
  <c r="O434" i="61"/>
  <c r="U13" i="74" s="1"/>
  <c r="A434" i="61"/>
  <c r="O433" i="61"/>
  <c r="U12" i="74" s="1"/>
  <c r="A433" i="61"/>
  <c r="O432" i="61"/>
  <c r="U11" i="74" s="1"/>
  <c r="A432" i="61"/>
  <c r="O431" i="61"/>
  <c r="U10" i="74" s="1"/>
  <c r="A431" i="61"/>
  <c r="D483" i="61"/>
  <c r="A430" i="61"/>
  <c r="A429" i="61"/>
  <c r="O424" i="61"/>
  <c r="O423" i="61"/>
  <c r="O422" i="61"/>
  <c r="O421" i="61"/>
  <c r="O420" i="61"/>
  <c r="U60" i="73" s="1"/>
  <c r="O419" i="61"/>
  <c r="U59" i="73" s="1"/>
  <c r="O418" i="61"/>
  <c r="U58" i="73" s="1"/>
  <c r="O417" i="61"/>
  <c r="U57" i="73" s="1"/>
  <c r="O416" i="61"/>
  <c r="U56" i="73" s="1"/>
  <c r="O415" i="61"/>
  <c r="U55" i="73" s="1"/>
  <c r="O414" i="61"/>
  <c r="U54" i="73" s="1"/>
  <c r="O413" i="61"/>
  <c r="U53" i="73" s="1"/>
  <c r="O412" i="61"/>
  <c r="U52" i="73" s="1"/>
  <c r="O411" i="61"/>
  <c r="U51" i="73" s="1"/>
  <c r="O410" i="61"/>
  <c r="U50" i="73" s="1"/>
  <c r="O409" i="61"/>
  <c r="U49" i="73" s="1"/>
  <c r="O408" i="61"/>
  <c r="U48" i="73" s="1"/>
  <c r="O407" i="61"/>
  <c r="U47" i="73" s="1"/>
  <c r="O406" i="61"/>
  <c r="U46" i="73" s="1"/>
  <c r="O405" i="61"/>
  <c r="O404" i="61"/>
  <c r="U44" i="73" s="1"/>
  <c r="O403" i="61"/>
  <c r="U43" i="73" s="1"/>
  <c r="O402" i="61"/>
  <c r="U42" i="73" s="1"/>
  <c r="O401" i="61"/>
  <c r="U40" i="73" s="1"/>
  <c r="O400" i="61"/>
  <c r="O399" i="61"/>
  <c r="O398" i="61"/>
  <c r="O397" i="61"/>
  <c r="U36" i="73" s="1"/>
  <c r="O396" i="61"/>
  <c r="U35" i="73" s="1"/>
  <c r="O395" i="61"/>
  <c r="U34" i="73" s="1"/>
  <c r="O394" i="61"/>
  <c r="U33" i="73" s="1"/>
  <c r="O393" i="61"/>
  <c r="O392" i="61"/>
  <c r="U31" i="73" s="1"/>
  <c r="O391" i="61"/>
  <c r="U30" i="73" s="1"/>
  <c r="O390" i="61"/>
  <c r="U29" i="73" s="1"/>
  <c r="O389" i="61"/>
  <c r="O388" i="61"/>
  <c r="O387" i="61"/>
  <c r="U26" i="73" s="1"/>
  <c r="O386" i="61"/>
  <c r="U25" i="73" s="1"/>
  <c r="C425" i="61"/>
  <c r="O384" i="61"/>
  <c r="U23" i="73" s="1"/>
  <c r="O383" i="61"/>
  <c r="U22" i="73" s="1"/>
  <c r="O382" i="61"/>
  <c r="U21" i="73" s="1"/>
  <c r="O381" i="61"/>
  <c r="U20" i="73" s="1"/>
  <c r="F425" i="61"/>
  <c r="O379" i="61"/>
  <c r="U18" i="73" s="1"/>
  <c r="O378" i="61"/>
  <c r="U17" i="73" s="1"/>
  <c r="O377" i="61"/>
  <c r="U16" i="73" s="1"/>
  <c r="O376" i="61"/>
  <c r="U15" i="73" s="1"/>
  <c r="O375" i="61"/>
  <c r="U14" i="73" s="1"/>
  <c r="A375" i="61"/>
  <c r="O374" i="61"/>
  <c r="A374" i="61"/>
  <c r="O373" i="61"/>
  <c r="U12" i="73" s="1"/>
  <c r="A373" i="61"/>
  <c r="O372" i="61"/>
  <c r="A372" i="61"/>
  <c r="O371" i="61"/>
  <c r="A371" i="61"/>
  <c r="O370" i="61"/>
  <c r="U9" i="73" s="1"/>
  <c r="A370" i="61"/>
  <c r="D425" i="61"/>
  <c r="A369" i="61"/>
  <c r="O365" i="61"/>
  <c r="O364" i="61"/>
  <c r="O363" i="61"/>
  <c r="O362" i="61"/>
  <c r="O361" i="61"/>
  <c r="O360" i="61"/>
  <c r="O359" i="61"/>
  <c r="O358" i="61"/>
  <c r="O357" i="61"/>
  <c r="O356" i="61"/>
  <c r="O355" i="61"/>
  <c r="U55" i="72" s="1"/>
  <c r="O354" i="61"/>
  <c r="U54" i="72" s="1"/>
  <c r="O353" i="61"/>
  <c r="U53" i="72" s="1"/>
  <c r="O352" i="61"/>
  <c r="U52" i="72" s="1"/>
  <c r="A352" i="61"/>
  <c r="O351" i="61"/>
  <c r="U51" i="72" s="1"/>
  <c r="A351" i="61"/>
  <c r="O350" i="61"/>
  <c r="U50" i="72" s="1"/>
  <c r="A350" i="61"/>
  <c r="O349" i="61"/>
  <c r="A349" i="61"/>
  <c r="O348" i="61"/>
  <c r="U48" i="72" s="1"/>
  <c r="A348" i="61"/>
  <c r="O347" i="61"/>
  <c r="U47" i="72" s="1"/>
  <c r="A347" i="61"/>
  <c r="O346" i="61"/>
  <c r="U46" i="72" s="1"/>
  <c r="A346" i="61"/>
  <c r="O345" i="61"/>
  <c r="A345" i="61"/>
  <c r="O344" i="61"/>
  <c r="U44" i="72" s="1"/>
  <c r="A344" i="61"/>
  <c r="O343" i="61"/>
  <c r="U43" i="72" s="1"/>
  <c r="A343" i="61"/>
  <c r="O342" i="61"/>
  <c r="U42" i="72" s="1"/>
  <c r="A342" i="61"/>
  <c r="O341" i="61"/>
  <c r="A341" i="61"/>
  <c r="O340" i="61"/>
  <c r="U40" i="72" s="1"/>
  <c r="A340" i="61"/>
  <c r="O339" i="61"/>
  <c r="A339" i="61"/>
  <c r="O338" i="61"/>
  <c r="U38" i="72" s="1"/>
  <c r="A338" i="61"/>
  <c r="O337" i="61"/>
  <c r="U37" i="72" s="1"/>
  <c r="A337" i="61"/>
  <c r="O336" i="61"/>
  <c r="U36" i="72" s="1"/>
  <c r="A336" i="61"/>
  <c r="O335" i="61"/>
  <c r="A335" i="61"/>
  <c r="O334" i="61"/>
  <c r="A334" i="61"/>
  <c r="O333" i="61"/>
  <c r="U34" i="72" s="1"/>
  <c r="A333" i="61"/>
  <c r="O332" i="61"/>
  <c r="U33" i="72" s="1"/>
  <c r="A332" i="61"/>
  <c r="O331" i="61"/>
  <c r="U32" i="72" s="1"/>
  <c r="A331" i="61"/>
  <c r="O330" i="61"/>
  <c r="U31" i="72" s="1"/>
  <c r="A330" i="61"/>
  <c r="O329" i="61"/>
  <c r="U30" i="72" s="1"/>
  <c r="A329" i="61"/>
  <c r="O328" i="61"/>
  <c r="U29" i="72" s="1"/>
  <c r="A328" i="61"/>
  <c r="O327" i="61"/>
  <c r="U28" i="72" s="1"/>
  <c r="A327" i="61"/>
  <c r="O326" i="61"/>
  <c r="U27" i="72" s="1"/>
  <c r="A326" i="61"/>
  <c r="O325" i="61"/>
  <c r="U26" i="72" s="1"/>
  <c r="A325" i="61"/>
  <c r="O324" i="61"/>
  <c r="U25" i="72" s="1"/>
  <c r="A324" i="61"/>
  <c r="O323" i="61"/>
  <c r="U24" i="72" s="1"/>
  <c r="A323" i="61"/>
  <c r="O321" i="61"/>
  <c r="U22" i="72" s="1"/>
  <c r="A321" i="61"/>
  <c r="O320" i="61"/>
  <c r="U21" i="72" s="1"/>
  <c r="A320" i="61"/>
  <c r="O319" i="61"/>
  <c r="A319" i="61"/>
  <c r="O318" i="61"/>
  <c r="U19" i="72" s="1"/>
  <c r="A318" i="61"/>
  <c r="O317" i="61"/>
  <c r="A317" i="61"/>
  <c r="O316" i="61"/>
  <c r="U17" i="72" s="1"/>
  <c r="A316" i="61"/>
  <c r="O315" i="61"/>
  <c r="U16" i="72" s="1"/>
  <c r="A315" i="61"/>
  <c r="O314" i="61"/>
  <c r="U15" i="72" s="1"/>
  <c r="A314" i="61"/>
  <c r="O313" i="61"/>
  <c r="A313" i="61"/>
  <c r="O312" i="61"/>
  <c r="U13" i="72" s="1"/>
  <c r="A312" i="61"/>
  <c r="O311" i="61"/>
  <c r="U12" i="72" s="1"/>
  <c r="A311" i="61"/>
  <c r="O310" i="61"/>
  <c r="U11" i="72" s="1"/>
  <c r="A310" i="61"/>
  <c r="O309" i="61"/>
  <c r="U10" i="72" s="1"/>
  <c r="A309" i="61"/>
  <c r="A308" i="61"/>
  <c r="O302" i="61"/>
  <c r="O301" i="61"/>
  <c r="U61" i="71" s="1"/>
  <c r="O300" i="61"/>
  <c r="U60" i="71" s="1"/>
  <c r="A300" i="61"/>
  <c r="O299" i="61"/>
  <c r="U59" i="71" s="1"/>
  <c r="A299" i="61"/>
  <c r="O298" i="61"/>
  <c r="U58" i="71" s="1"/>
  <c r="A298" i="61"/>
  <c r="O297" i="61"/>
  <c r="U57" i="71" s="1"/>
  <c r="A297" i="61"/>
  <c r="O296" i="61"/>
  <c r="U56" i="71" s="1"/>
  <c r="A296" i="61"/>
  <c r="O295" i="61"/>
  <c r="U55" i="71" s="1"/>
  <c r="A295" i="61"/>
  <c r="O294" i="61"/>
  <c r="U54" i="71" s="1"/>
  <c r="A294" i="61"/>
  <c r="O293" i="61"/>
  <c r="U53" i="71" s="1"/>
  <c r="A293" i="61"/>
  <c r="O292" i="61"/>
  <c r="U52" i="71" s="1"/>
  <c r="A292" i="61"/>
  <c r="O291" i="61"/>
  <c r="U51" i="71" s="1"/>
  <c r="A291" i="61"/>
  <c r="O290" i="61"/>
  <c r="U50" i="71" s="1"/>
  <c r="A290" i="61"/>
  <c r="O289" i="61"/>
  <c r="U49" i="71" s="1"/>
  <c r="A289" i="61"/>
  <c r="O288" i="61"/>
  <c r="U48" i="71" s="1"/>
  <c r="A288" i="61"/>
  <c r="O287" i="61"/>
  <c r="A287" i="61"/>
  <c r="O286" i="61"/>
  <c r="U46" i="71" s="1"/>
  <c r="A286" i="61"/>
  <c r="O285" i="61"/>
  <c r="U45" i="71" s="1"/>
  <c r="A285" i="61"/>
  <c r="O284" i="61"/>
  <c r="U44" i="71" s="1"/>
  <c r="A284" i="61"/>
  <c r="O283" i="61"/>
  <c r="A283" i="61"/>
  <c r="O282" i="61"/>
  <c r="U42" i="71" s="1"/>
  <c r="A282" i="61"/>
  <c r="O281" i="61"/>
  <c r="U41" i="71" s="1"/>
  <c r="A281" i="61"/>
  <c r="O280" i="61"/>
  <c r="U40" i="71" s="1"/>
  <c r="A280" i="61"/>
  <c r="O279" i="61"/>
  <c r="A279" i="61"/>
  <c r="O278" i="61"/>
  <c r="U38" i="71" s="1"/>
  <c r="A278" i="61"/>
  <c r="O277" i="61"/>
  <c r="U37" i="71" s="1"/>
  <c r="A277" i="61"/>
  <c r="N303" i="61"/>
  <c r="A276" i="61"/>
  <c r="O275" i="61"/>
  <c r="U35" i="71" s="1"/>
  <c r="A275" i="61"/>
  <c r="O274" i="61"/>
  <c r="U34" i="71" s="1"/>
  <c r="A274" i="61"/>
  <c r="O273" i="61"/>
  <c r="U33" i="71" s="1"/>
  <c r="A273" i="61"/>
  <c r="O272" i="61"/>
  <c r="U32" i="71" s="1"/>
  <c r="A272" i="61"/>
  <c r="O271" i="61"/>
  <c r="U31" i="71" s="1"/>
  <c r="A271" i="61"/>
  <c r="O270" i="61"/>
  <c r="U30" i="71" s="1"/>
  <c r="A270" i="61"/>
  <c r="O269" i="61"/>
  <c r="U29" i="71" s="1"/>
  <c r="A269" i="61"/>
  <c r="O268" i="61"/>
  <c r="U28" i="71" s="1"/>
  <c r="A268" i="61"/>
  <c r="O267" i="61"/>
  <c r="U27" i="71" s="1"/>
  <c r="A267" i="61"/>
  <c r="O266" i="61"/>
  <c r="U26" i="71" s="1"/>
  <c r="A266" i="61"/>
  <c r="O265" i="61"/>
  <c r="U25" i="71" s="1"/>
  <c r="A265" i="61"/>
  <c r="O264" i="61"/>
  <c r="A264" i="61"/>
  <c r="G303" i="61"/>
  <c r="A263" i="61"/>
  <c r="O262" i="61"/>
  <c r="U22" i="71" s="1"/>
  <c r="A262" i="61"/>
  <c r="O261" i="61"/>
  <c r="U21" i="71" s="1"/>
  <c r="A261" i="61"/>
  <c r="O260" i="61"/>
  <c r="U20" i="71" s="1"/>
  <c r="A260" i="61"/>
  <c r="O259" i="61"/>
  <c r="U19" i="71" s="1"/>
  <c r="O258" i="61"/>
  <c r="U18" i="71" s="1"/>
  <c r="O257" i="61"/>
  <c r="U17" i="71" s="1"/>
  <c r="C303" i="61"/>
  <c r="O255" i="61"/>
  <c r="U15" i="71" s="1"/>
  <c r="O254" i="61"/>
  <c r="U14" i="71" s="1"/>
  <c r="O253" i="61"/>
  <c r="U13" i="71" s="1"/>
  <c r="O251" i="61"/>
  <c r="U11" i="71" s="1"/>
  <c r="O250" i="61"/>
  <c r="O249" i="61"/>
  <c r="U9" i="71" s="1"/>
  <c r="A248" i="61"/>
  <c r="O242" i="61"/>
  <c r="O241" i="61"/>
  <c r="A241" i="61"/>
  <c r="O240" i="61"/>
  <c r="A240" i="61"/>
  <c r="O239" i="61"/>
  <c r="A239" i="61"/>
  <c r="O238" i="61"/>
  <c r="A238" i="61"/>
  <c r="O237" i="61"/>
  <c r="A237" i="61"/>
  <c r="O236" i="61"/>
  <c r="A236" i="61"/>
  <c r="O235" i="61"/>
  <c r="A235" i="61"/>
  <c r="O234" i="61"/>
  <c r="A234" i="61"/>
  <c r="O233" i="61"/>
  <c r="A233" i="61"/>
  <c r="O232" i="61"/>
  <c r="U53" i="70" s="1"/>
  <c r="A232" i="61"/>
  <c r="O231" i="61"/>
  <c r="U52" i="70" s="1"/>
  <c r="A231" i="61"/>
  <c r="O230" i="61"/>
  <c r="A230" i="61"/>
  <c r="O229" i="61"/>
  <c r="U50" i="70" s="1"/>
  <c r="A229" i="61"/>
  <c r="F243" i="61"/>
  <c r="A228" i="61"/>
  <c r="O227" i="61"/>
  <c r="A227" i="61"/>
  <c r="O226" i="61"/>
  <c r="U47" i="70" s="1"/>
  <c r="A226" i="61"/>
  <c r="O225" i="61"/>
  <c r="U46" i="70" s="1"/>
  <c r="A225" i="61"/>
  <c r="O224" i="61"/>
  <c r="U45" i="70" s="1"/>
  <c r="A224" i="61"/>
  <c r="O223" i="61"/>
  <c r="U44" i="70" s="1"/>
  <c r="A223" i="61"/>
  <c r="O222" i="61"/>
  <c r="U43" i="70" s="1"/>
  <c r="A222" i="61"/>
  <c r="O221" i="61"/>
  <c r="U42" i="70" s="1"/>
  <c r="A221" i="61"/>
  <c r="O220" i="61"/>
  <c r="U41" i="70" s="1"/>
  <c r="A220" i="61"/>
  <c r="O219" i="61"/>
  <c r="A219" i="61"/>
  <c r="O218" i="61"/>
  <c r="U39" i="70" s="1"/>
  <c r="A218" i="61"/>
  <c r="O217" i="61"/>
  <c r="U38" i="70" s="1"/>
  <c r="A217" i="61"/>
  <c r="O216" i="61"/>
  <c r="U37" i="70" s="1"/>
  <c r="A216" i="61"/>
  <c r="O215" i="61"/>
  <c r="A215" i="61"/>
  <c r="O214" i="61"/>
  <c r="U35" i="70" s="1"/>
  <c r="A214" i="61"/>
  <c r="O213" i="61"/>
  <c r="U34" i="70" s="1"/>
  <c r="A213" i="61"/>
  <c r="O212" i="61"/>
  <c r="U33" i="70" s="1"/>
  <c r="A212" i="61"/>
  <c r="O211" i="61"/>
  <c r="U32" i="70" s="1"/>
  <c r="A211" i="61"/>
  <c r="O210" i="61"/>
  <c r="U31" i="70" s="1"/>
  <c r="A210" i="61"/>
  <c r="O209" i="61"/>
  <c r="U30" i="70" s="1"/>
  <c r="A209" i="61"/>
  <c r="O208" i="61"/>
  <c r="U29" i="70" s="1"/>
  <c r="A208" i="61"/>
  <c r="O207" i="61"/>
  <c r="U28" i="70" s="1"/>
  <c r="A207" i="61"/>
  <c r="O206" i="61"/>
  <c r="U27" i="70" s="1"/>
  <c r="A206" i="61"/>
  <c r="O205" i="61"/>
  <c r="U26" i="70" s="1"/>
  <c r="A205" i="61"/>
  <c r="A204" i="61"/>
  <c r="O203" i="61"/>
  <c r="U24" i="70" s="1"/>
  <c r="A203" i="61"/>
  <c r="O202" i="61"/>
  <c r="U23" i="70" s="1"/>
  <c r="A202" i="61"/>
  <c r="O201" i="61"/>
  <c r="U22" i="70" s="1"/>
  <c r="A201" i="61"/>
  <c r="O200" i="61"/>
  <c r="A200" i="61"/>
  <c r="O199" i="61"/>
  <c r="U20" i="70" s="1"/>
  <c r="A199" i="61"/>
  <c r="O198" i="61"/>
  <c r="U19" i="70" s="1"/>
  <c r="A198" i="61"/>
  <c r="O197" i="61"/>
  <c r="U18" i="70" s="1"/>
  <c r="A197" i="61"/>
  <c r="D243" i="61"/>
  <c r="A196" i="61"/>
  <c r="O195" i="61"/>
  <c r="U16" i="70" s="1"/>
  <c r="A195" i="61"/>
  <c r="O194" i="61"/>
  <c r="U15" i="70" s="1"/>
  <c r="A194" i="61"/>
  <c r="O193" i="61"/>
  <c r="U14" i="70" s="1"/>
  <c r="A193" i="61"/>
  <c r="B243" i="61"/>
  <c r="A192" i="61"/>
  <c r="O191" i="61"/>
  <c r="U12" i="70" s="1"/>
  <c r="A191" i="61"/>
  <c r="O190" i="61"/>
  <c r="U11" i="70" s="1"/>
  <c r="A190" i="61"/>
  <c r="O189" i="61"/>
  <c r="U10" i="70" s="1"/>
  <c r="A189" i="61"/>
  <c r="A188" i="61"/>
  <c r="O187" i="61"/>
  <c r="A187" i="61"/>
  <c r="O182" i="61"/>
  <c r="O181" i="61"/>
  <c r="U61" i="69" s="1"/>
  <c r="O180" i="61"/>
  <c r="U60" i="69" s="1"/>
  <c r="O179" i="61"/>
  <c r="U59" i="69" s="1"/>
  <c r="O178" i="61"/>
  <c r="U58" i="69" s="1"/>
  <c r="O177" i="61"/>
  <c r="U57" i="69" s="1"/>
  <c r="O176" i="61"/>
  <c r="U56" i="69" s="1"/>
  <c r="O175" i="61"/>
  <c r="U55" i="69" s="1"/>
  <c r="O174" i="61"/>
  <c r="O173" i="61"/>
  <c r="O172" i="61"/>
  <c r="U51" i="69" s="1"/>
  <c r="O171" i="61"/>
  <c r="U50" i="69" s="1"/>
  <c r="O170" i="61"/>
  <c r="U49" i="69" s="1"/>
  <c r="O169" i="61"/>
  <c r="U48" i="69" s="1"/>
  <c r="E183" i="61"/>
  <c r="O167" i="61"/>
  <c r="U46" i="69" s="1"/>
  <c r="O166" i="61"/>
  <c r="U45" i="69" s="1"/>
  <c r="O164" i="61"/>
  <c r="U43" i="69" s="1"/>
  <c r="O163" i="61"/>
  <c r="U42" i="69" s="1"/>
  <c r="O162" i="61"/>
  <c r="U41" i="69" s="1"/>
  <c r="O160" i="61"/>
  <c r="U39" i="69" s="1"/>
  <c r="O159" i="61"/>
  <c r="U38" i="69" s="1"/>
  <c r="O158" i="61"/>
  <c r="U37" i="69" s="1"/>
  <c r="O157" i="61"/>
  <c r="U36" i="69" s="1"/>
  <c r="O156" i="61"/>
  <c r="U35" i="69" s="1"/>
  <c r="O155" i="61"/>
  <c r="U34" i="69" s="1"/>
  <c r="O154" i="61"/>
  <c r="U33" i="69" s="1"/>
  <c r="O153" i="61"/>
  <c r="U32" i="69" s="1"/>
  <c r="O152" i="61"/>
  <c r="U31" i="69" s="1"/>
  <c r="O151" i="61"/>
  <c r="U30" i="69" s="1"/>
  <c r="O150" i="61"/>
  <c r="U29" i="69" s="1"/>
  <c r="O149" i="61"/>
  <c r="U28" i="69" s="1"/>
  <c r="O148" i="61"/>
  <c r="U27" i="69" s="1"/>
  <c r="O147" i="61"/>
  <c r="U26" i="69" s="1"/>
  <c r="O146" i="61"/>
  <c r="U25" i="69" s="1"/>
  <c r="O145" i="61"/>
  <c r="U24" i="69" s="1"/>
  <c r="O144" i="61"/>
  <c r="U23" i="69" s="1"/>
  <c r="O143" i="61"/>
  <c r="U22" i="69" s="1"/>
  <c r="O142" i="61"/>
  <c r="U21" i="69" s="1"/>
  <c r="O141" i="61"/>
  <c r="U20" i="69" s="1"/>
  <c r="O140" i="61"/>
  <c r="U19" i="69" s="1"/>
  <c r="O139" i="61"/>
  <c r="U18" i="69" s="1"/>
  <c r="O138" i="61"/>
  <c r="U17" i="69" s="1"/>
  <c r="O137" i="61"/>
  <c r="U16" i="69" s="1"/>
  <c r="O136" i="61"/>
  <c r="U15" i="69" s="1"/>
  <c r="O134" i="61"/>
  <c r="U13" i="69" s="1"/>
  <c r="O132" i="61"/>
  <c r="U11" i="69" s="1"/>
  <c r="O131" i="61"/>
  <c r="U10" i="69" s="1"/>
  <c r="O130" i="61"/>
  <c r="U9" i="69" s="1"/>
  <c r="O129" i="61"/>
  <c r="U8" i="69" s="1"/>
  <c r="O120" i="61"/>
  <c r="A120" i="61"/>
  <c r="O119" i="61"/>
  <c r="U56" i="68" s="1"/>
  <c r="A119" i="61"/>
  <c r="O118" i="61"/>
  <c r="U55" i="68" s="1"/>
  <c r="A118" i="61"/>
  <c r="O117" i="61"/>
  <c r="U54" i="68" s="1"/>
  <c r="A117" i="61"/>
  <c r="O116" i="61"/>
  <c r="U53" i="68" s="1"/>
  <c r="A116" i="61"/>
  <c r="O115" i="61"/>
  <c r="U52" i="68" s="1"/>
  <c r="A115" i="61"/>
  <c r="O114" i="61"/>
  <c r="A114" i="61"/>
  <c r="O113" i="61"/>
  <c r="U50" i="68" s="1"/>
  <c r="A113" i="61"/>
  <c r="O112" i="61"/>
  <c r="U49" i="68" s="1"/>
  <c r="A112" i="61"/>
  <c r="O111" i="61"/>
  <c r="U48" i="68" s="1"/>
  <c r="A111" i="61"/>
  <c r="A110" i="61"/>
  <c r="A109" i="61"/>
  <c r="O108" i="61"/>
  <c r="U45" i="68" s="1"/>
  <c r="A108" i="61"/>
  <c r="O107" i="61"/>
  <c r="U44" i="68" s="1"/>
  <c r="A107" i="61"/>
  <c r="O106" i="61"/>
  <c r="U43" i="68" s="1"/>
  <c r="A106" i="61"/>
  <c r="O105" i="61"/>
  <c r="U42" i="68" s="1"/>
  <c r="A105" i="61"/>
  <c r="O104" i="61"/>
  <c r="U41" i="68" s="1"/>
  <c r="A104" i="61"/>
  <c r="O103" i="61"/>
  <c r="U40" i="68" s="1"/>
  <c r="A103" i="61"/>
  <c r="O102" i="61"/>
  <c r="U39" i="68" s="1"/>
  <c r="A102" i="61"/>
  <c r="O101" i="61"/>
  <c r="U38" i="68" s="1"/>
  <c r="A101" i="61"/>
  <c r="O100" i="61"/>
  <c r="U37" i="68" s="1"/>
  <c r="A100" i="61"/>
  <c r="O99" i="61"/>
  <c r="U36" i="68" s="1"/>
  <c r="A99" i="61"/>
  <c r="O98" i="61"/>
  <c r="U35" i="68" s="1"/>
  <c r="A98" i="61"/>
  <c r="O97" i="61"/>
  <c r="A97" i="61"/>
  <c r="O96" i="61"/>
  <c r="U33" i="68" s="1"/>
  <c r="A96" i="61"/>
  <c r="O95" i="61"/>
  <c r="U32" i="68" s="1"/>
  <c r="A95" i="61"/>
  <c r="O94" i="61"/>
  <c r="U31" i="68" s="1"/>
  <c r="A94" i="61"/>
  <c r="O93" i="61"/>
  <c r="A93" i="61"/>
  <c r="O92" i="61"/>
  <c r="U29" i="68" s="1"/>
  <c r="A92" i="61"/>
  <c r="O91" i="61"/>
  <c r="U28" i="68" s="1"/>
  <c r="A91" i="61"/>
  <c r="O90" i="61"/>
  <c r="U27" i="68" s="1"/>
  <c r="A90" i="61"/>
  <c r="O89" i="61"/>
  <c r="A89" i="61"/>
  <c r="O88" i="61"/>
  <c r="U25" i="68" s="1"/>
  <c r="A88" i="61"/>
  <c r="O87" i="61"/>
  <c r="U24" i="68" s="1"/>
  <c r="A87" i="61"/>
  <c r="O86" i="61"/>
  <c r="U23" i="68" s="1"/>
  <c r="A86" i="61"/>
  <c r="O85" i="61"/>
  <c r="A85" i="61"/>
  <c r="O84" i="61"/>
  <c r="A84" i="61"/>
  <c r="O83" i="61"/>
  <c r="A83" i="61"/>
  <c r="O82" i="61"/>
  <c r="A82" i="61"/>
  <c r="O81" i="61"/>
  <c r="U18" i="68" s="1"/>
  <c r="A81" i="61"/>
  <c r="O80" i="61"/>
  <c r="U17" i="68" s="1"/>
  <c r="A80" i="61"/>
  <c r="O79" i="61"/>
  <c r="U16" i="68" s="1"/>
  <c r="A79" i="61"/>
  <c r="O78" i="61"/>
  <c r="U15" i="68" s="1"/>
  <c r="A78" i="61"/>
  <c r="O77" i="61"/>
  <c r="A77" i="61"/>
  <c r="O76" i="61"/>
  <c r="U13" i="68" s="1"/>
  <c r="A76" i="61"/>
  <c r="O75" i="61"/>
  <c r="U12" i="68" s="1"/>
  <c r="A75" i="61"/>
  <c r="O74" i="61"/>
  <c r="A74" i="61"/>
  <c r="A73" i="61"/>
  <c r="A72" i="61"/>
  <c r="A71" i="61"/>
  <c r="A68" i="61"/>
  <c r="O66" i="61"/>
  <c r="O65" i="61"/>
  <c r="O64" i="61"/>
  <c r="O63" i="61"/>
  <c r="O62" i="61"/>
  <c r="O61" i="61"/>
  <c r="O60" i="61"/>
  <c r="A60" i="61"/>
  <c r="O59" i="61"/>
  <c r="A59" i="61"/>
  <c r="O58" i="61"/>
  <c r="A58" i="61"/>
  <c r="O57" i="61"/>
  <c r="A57" i="61"/>
  <c r="O56" i="61"/>
  <c r="A56" i="61"/>
  <c r="O55" i="61"/>
  <c r="A55" i="61"/>
  <c r="O54" i="61"/>
  <c r="U57" i="43" s="1"/>
  <c r="A54" i="61"/>
  <c r="O53" i="61"/>
  <c r="U56" i="43" s="1"/>
  <c r="A53" i="61"/>
  <c r="O52" i="61"/>
  <c r="U55" i="43" s="1"/>
  <c r="A52" i="61"/>
  <c r="O51" i="61"/>
  <c r="U54" i="43" s="1"/>
  <c r="A51" i="61"/>
  <c r="O50" i="61"/>
  <c r="U53" i="43" s="1"/>
  <c r="A50" i="61"/>
  <c r="O49" i="61"/>
  <c r="U52" i="43" s="1"/>
  <c r="A49" i="61"/>
  <c r="O48" i="61"/>
  <c r="U51" i="43" s="1"/>
  <c r="A48" i="61"/>
  <c r="O47" i="61"/>
  <c r="U50" i="43" s="1"/>
  <c r="A47" i="61"/>
  <c r="O46" i="61"/>
  <c r="U49" i="43" s="1"/>
  <c r="A46" i="61"/>
  <c r="O45" i="61"/>
  <c r="U48" i="43" s="1"/>
  <c r="A45" i="61"/>
  <c r="O44" i="61"/>
  <c r="U47" i="43" s="1"/>
  <c r="A44" i="61"/>
  <c r="O43" i="61"/>
  <c r="U46" i="43" s="1"/>
  <c r="A43" i="61"/>
  <c r="O42" i="61"/>
  <c r="U45" i="43" s="1"/>
  <c r="A42" i="61"/>
  <c r="O41" i="61"/>
  <c r="U44" i="43" s="1"/>
  <c r="A41" i="61"/>
  <c r="O40" i="61"/>
  <c r="U43" i="43" s="1"/>
  <c r="A40" i="61"/>
  <c r="A39" i="61"/>
  <c r="O38" i="61"/>
  <c r="U41" i="43" s="1"/>
  <c r="A38" i="61"/>
  <c r="O37" i="61"/>
  <c r="U40" i="43" s="1"/>
  <c r="A37" i="61"/>
  <c r="C67" i="61"/>
  <c r="A36" i="61"/>
  <c r="O35" i="61"/>
  <c r="U38" i="43" s="1"/>
  <c r="A35" i="61"/>
  <c r="O34" i="61"/>
  <c r="U37" i="43" s="1"/>
  <c r="A34" i="61"/>
  <c r="O33" i="61"/>
  <c r="U36" i="43" s="1"/>
  <c r="A33" i="61"/>
  <c r="O32" i="61"/>
  <c r="U35" i="43" s="1"/>
  <c r="A32" i="61"/>
  <c r="O31" i="61"/>
  <c r="U34" i="43" s="1"/>
  <c r="A31" i="61"/>
  <c r="O30" i="61"/>
  <c r="U33" i="43" s="1"/>
  <c r="A30" i="61"/>
  <c r="O29" i="61"/>
  <c r="U32" i="43" s="1"/>
  <c r="A29" i="61"/>
  <c r="O28" i="61"/>
  <c r="U31" i="43" s="1"/>
  <c r="A28" i="61"/>
  <c r="O27" i="61"/>
  <c r="U30" i="43" s="1"/>
  <c r="A27" i="61"/>
  <c r="O26" i="61"/>
  <c r="U29" i="43" s="1"/>
  <c r="A26" i="61"/>
  <c r="O25" i="61"/>
  <c r="U28" i="43" s="1"/>
  <c r="A25" i="61"/>
  <c r="O24" i="61"/>
  <c r="U27" i="43" s="1"/>
  <c r="A24" i="61"/>
  <c r="O23" i="61"/>
  <c r="U26" i="43" s="1"/>
  <c r="A23" i="61"/>
  <c r="O22" i="61"/>
  <c r="U25" i="43" s="1"/>
  <c r="A22" i="61"/>
  <c r="O21" i="61"/>
  <c r="U24" i="43" s="1"/>
  <c r="A21" i="61"/>
  <c r="O20" i="61"/>
  <c r="U23" i="43" s="1"/>
  <c r="A20" i="61"/>
  <c r="O19" i="61"/>
  <c r="U22" i="43" s="1"/>
  <c r="A19" i="61"/>
  <c r="O18" i="61"/>
  <c r="U21" i="43" s="1"/>
  <c r="A18" i="61"/>
  <c r="O17" i="61"/>
  <c r="U20" i="43" s="1"/>
  <c r="A17" i="61"/>
  <c r="O16" i="61"/>
  <c r="U19" i="43" s="1"/>
  <c r="A16" i="61"/>
  <c r="O15" i="61"/>
  <c r="U18" i="43" s="1"/>
  <c r="A15" i="61"/>
  <c r="O14" i="61"/>
  <c r="U17" i="43" s="1"/>
  <c r="A14" i="61"/>
  <c r="O13" i="61"/>
  <c r="U16" i="43" s="1"/>
  <c r="A13" i="61"/>
  <c r="O12" i="61"/>
  <c r="U15" i="43" s="1"/>
  <c r="A12" i="61"/>
  <c r="O11" i="61"/>
  <c r="U14" i="43" s="1"/>
  <c r="A11" i="61"/>
  <c r="O10" i="61"/>
  <c r="U13" i="43" s="1"/>
  <c r="A10" i="61"/>
  <c r="A9" i="61"/>
  <c r="A8" i="61"/>
  <c r="O7" i="61"/>
  <c r="U10" i="43" s="1"/>
  <c r="A7" i="61"/>
  <c r="O6" i="61"/>
  <c r="U9" i="43" s="1"/>
  <c r="A6" i="61"/>
  <c r="A5" i="61"/>
  <c r="AO690" i="60"/>
  <c r="AO689" i="60"/>
  <c r="A689" i="60"/>
  <c r="AO688" i="60"/>
  <c r="A688" i="60"/>
  <c r="AO687" i="60"/>
  <c r="A687" i="60"/>
  <c r="AO686" i="60"/>
  <c r="A686" i="60"/>
  <c r="AO685" i="60"/>
  <c r="A685" i="60"/>
  <c r="AO684" i="60"/>
  <c r="A684" i="60"/>
  <c r="AO683" i="60"/>
  <c r="A683" i="60"/>
  <c r="AO682" i="60"/>
  <c r="A682" i="60"/>
  <c r="AO681" i="60"/>
  <c r="A681" i="60"/>
  <c r="AO680" i="60"/>
  <c r="A680" i="60"/>
  <c r="AO679" i="60"/>
  <c r="A679" i="60"/>
  <c r="AO678" i="60"/>
  <c r="A678" i="60"/>
  <c r="AO677" i="60"/>
  <c r="A677" i="60"/>
  <c r="AO676" i="60"/>
  <c r="A676" i="60"/>
  <c r="AO675" i="60"/>
  <c r="A675" i="60"/>
  <c r="AO674" i="60"/>
  <c r="A674" i="60"/>
  <c r="A673" i="60"/>
  <c r="A672" i="60"/>
  <c r="A671" i="60"/>
  <c r="A670" i="60"/>
  <c r="A669" i="60"/>
  <c r="T36" i="67"/>
  <c r="A668" i="60"/>
  <c r="T35" i="67"/>
  <c r="A667" i="60"/>
  <c r="T34" i="67"/>
  <c r="A666" i="60"/>
  <c r="T33" i="67"/>
  <c r="A665" i="60"/>
  <c r="T32" i="67"/>
  <c r="A664" i="60"/>
  <c r="T31" i="67"/>
  <c r="A663" i="60"/>
  <c r="T30" i="67"/>
  <c r="A662" i="60"/>
  <c r="T29" i="67"/>
  <c r="A661" i="60"/>
  <c r="T28" i="67"/>
  <c r="A660" i="60"/>
  <c r="T27" i="67"/>
  <c r="A659" i="60"/>
  <c r="T26" i="67"/>
  <c r="A658" i="60"/>
  <c r="T25" i="67"/>
  <c r="A657" i="60"/>
  <c r="T24" i="67"/>
  <c r="A656" i="60"/>
  <c r="T23" i="67"/>
  <c r="A655" i="60"/>
  <c r="T22" i="67"/>
  <c r="A654" i="60"/>
  <c r="T21" i="67"/>
  <c r="A653" i="60"/>
  <c r="T20" i="67"/>
  <c r="A652" i="60"/>
  <c r="A651" i="60"/>
  <c r="T18" i="67"/>
  <c r="A650" i="60"/>
  <c r="T17" i="67"/>
  <c r="T16" i="67"/>
  <c r="T15" i="67"/>
  <c r="T14" i="67"/>
  <c r="T13" i="67"/>
  <c r="T12" i="67"/>
  <c r="A644" i="60"/>
  <c r="T11" i="67"/>
  <c r="A643" i="60"/>
  <c r="T10" i="67"/>
  <c r="A642" i="60"/>
  <c r="T9" i="67"/>
  <c r="A641" i="60"/>
  <c r="AN640" i="60"/>
  <c r="AN691" i="60" s="1"/>
  <c r="A640" i="60"/>
  <c r="T59" i="77"/>
  <c r="T58" i="77"/>
  <c r="T57" i="77"/>
  <c r="T55" i="77"/>
  <c r="T54" i="77"/>
  <c r="T53" i="77"/>
  <c r="T51" i="77"/>
  <c r="T49" i="77"/>
  <c r="T48" i="77"/>
  <c r="T47" i="77"/>
  <c r="T46" i="77"/>
  <c r="T45" i="77"/>
  <c r="T44" i="77"/>
  <c r="T43" i="77"/>
  <c r="T42" i="77"/>
  <c r="T41" i="77"/>
  <c r="T40" i="77"/>
  <c r="T38" i="77"/>
  <c r="T37" i="77"/>
  <c r="T36" i="77"/>
  <c r="T34" i="77"/>
  <c r="T33" i="77"/>
  <c r="T32" i="77"/>
  <c r="T31" i="77"/>
  <c r="T30" i="77"/>
  <c r="T29" i="77"/>
  <c r="T28" i="77"/>
  <c r="T27" i="77"/>
  <c r="T26" i="77"/>
  <c r="T25" i="77"/>
  <c r="T24" i="77"/>
  <c r="T23" i="77"/>
  <c r="T22" i="77"/>
  <c r="T21" i="77"/>
  <c r="T20" i="77"/>
  <c r="T19" i="77"/>
  <c r="T18" i="77"/>
  <c r="T17" i="77"/>
  <c r="T16" i="77"/>
  <c r="T15" i="77"/>
  <c r="T14" i="77"/>
  <c r="T13" i="77"/>
  <c r="T12" i="77"/>
  <c r="T11" i="77"/>
  <c r="T10" i="77"/>
  <c r="T9" i="77"/>
  <c r="AN589" i="60"/>
  <c r="A589" i="60"/>
  <c r="AN583" i="60"/>
  <c r="AN582" i="60"/>
  <c r="T62" i="76" s="1"/>
  <c r="AN581" i="60"/>
  <c r="T60" i="76"/>
  <c r="T59" i="76"/>
  <c r="A579" i="60"/>
  <c r="T58" i="76"/>
  <c r="A578" i="60"/>
  <c r="T57" i="76"/>
  <c r="A577" i="60"/>
  <c r="T56" i="76"/>
  <c r="A576" i="60"/>
  <c r="T55" i="76"/>
  <c r="A575" i="60"/>
  <c r="T54" i="76"/>
  <c r="A574" i="60"/>
  <c r="T53" i="76"/>
  <c r="A573" i="60"/>
  <c r="T52" i="76"/>
  <c r="A572" i="60"/>
  <c r="T51" i="76"/>
  <c r="A571" i="60"/>
  <c r="T50" i="76"/>
  <c r="A570" i="60"/>
  <c r="T49" i="76"/>
  <c r="A569" i="60"/>
  <c r="T48" i="76"/>
  <c r="A568" i="60"/>
  <c r="T47" i="76"/>
  <c r="A567" i="60"/>
  <c r="T46" i="76"/>
  <c r="A566" i="60"/>
  <c r="T45" i="76"/>
  <c r="A565" i="60"/>
  <c r="AM584" i="60"/>
  <c r="A564" i="60"/>
  <c r="T43" i="76"/>
  <c r="A563" i="60"/>
  <c r="A562" i="60"/>
  <c r="A561" i="60"/>
  <c r="T40" i="76"/>
  <c r="A560" i="60"/>
  <c r="A559" i="60"/>
  <c r="T38" i="76"/>
  <c r="A558" i="60"/>
  <c r="T37" i="76"/>
  <c r="A557" i="60"/>
  <c r="A556" i="60"/>
  <c r="T35" i="76"/>
  <c r="A555" i="60"/>
  <c r="T34" i="76"/>
  <c r="A554" i="60"/>
  <c r="T33" i="76"/>
  <c r="A553" i="60"/>
  <c r="T32" i="76"/>
  <c r="A552" i="60"/>
  <c r="T31" i="76"/>
  <c r="A551" i="60"/>
  <c r="T30" i="76"/>
  <c r="A550" i="60"/>
  <c r="T29" i="76"/>
  <c r="A549" i="60"/>
  <c r="T28" i="76"/>
  <c r="A548" i="60"/>
  <c r="T27" i="76"/>
  <c r="A547" i="60"/>
  <c r="T26" i="76"/>
  <c r="A546" i="60"/>
  <c r="A545" i="60"/>
  <c r="T24" i="76"/>
  <c r="A544" i="60"/>
  <c r="A543" i="60"/>
  <c r="A542" i="60"/>
  <c r="T21" i="76"/>
  <c r="A541" i="60"/>
  <c r="T20" i="76"/>
  <c r="A540" i="60"/>
  <c r="T19" i="76"/>
  <c r="A539" i="60"/>
  <c r="A538" i="60"/>
  <c r="T17" i="76"/>
  <c r="A537" i="60"/>
  <c r="A536" i="60"/>
  <c r="T15" i="76"/>
  <c r="A535" i="60"/>
  <c r="T14" i="76"/>
  <c r="A534" i="60"/>
  <c r="T13" i="76"/>
  <c r="A533" i="60"/>
  <c r="A532" i="60"/>
  <c r="T11" i="76"/>
  <c r="A531" i="60"/>
  <c r="AA584" i="60"/>
  <c r="A530" i="60"/>
  <c r="T9" i="76"/>
  <c r="A529" i="60"/>
  <c r="AN528" i="60"/>
  <c r="A528" i="60"/>
  <c r="T50" i="75"/>
  <c r="T49" i="75"/>
  <c r="T48" i="75"/>
  <c r="T47" i="75"/>
  <c r="T46" i="75"/>
  <c r="A517" i="60"/>
  <c r="T45" i="75"/>
  <c r="A516" i="60"/>
  <c r="T44" i="75"/>
  <c r="A515" i="60"/>
  <c r="T43" i="75"/>
  <c r="A514" i="60"/>
  <c r="A513" i="60"/>
  <c r="A512" i="60"/>
  <c r="AN511" i="60"/>
  <c r="A511" i="60"/>
  <c r="T39" i="75"/>
  <c r="A510" i="60"/>
  <c r="A509" i="60"/>
  <c r="T37" i="75"/>
  <c r="A508" i="60"/>
  <c r="AN507" i="60"/>
  <c r="A507" i="60"/>
  <c r="T35" i="75"/>
  <c r="A506" i="60"/>
  <c r="A505" i="60"/>
  <c r="T33" i="75"/>
  <c r="A504" i="60"/>
  <c r="T32" i="75"/>
  <c r="A503" i="60"/>
  <c r="A502" i="60"/>
  <c r="D524" i="60"/>
  <c r="A501" i="60"/>
  <c r="AM524" i="60"/>
  <c r="A500" i="60"/>
  <c r="A499" i="60"/>
  <c r="T27" i="75"/>
  <c r="A498" i="60"/>
  <c r="A497" i="60"/>
  <c r="A496" i="60"/>
  <c r="A495" i="60"/>
  <c r="A494" i="60"/>
  <c r="A493" i="60"/>
  <c r="T21" i="75"/>
  <c r="A492" i="60"/>
  <c r="T20" i="75"/>
  <c r="A491" i="60"/>
  <c r="T19" i="75"/>
  <c r="A490" i="60"/>
  <c r="T18" i="75"/>
  <c r="A489" i="60"/>
  <c r="T17" i="75"/>
  <c r="A488" i="60"/>
  <c r="T16" i="75"/>
  <c r="A487" i="60"/>
  <c r="AN486" i="60"/>
  <c r="A486" i="60"/>
  <c r="T14" i="75"/>
  <c r="A485" i="60"/>
  <c r="T13" i="75"/>
  <c r="A484" i="60"/>
  <c r="A483" i="60"/>
  <c r="A482" i="60"/>
  <c r="A481" i="60"/>
  <c r="A480" i="60"/>
  <c r="AN479" i="60"/>
  <c r="T8" i="75" s="1"/>
  <c r="A479" i="60"/>
  <c r="A460" i="60"/>
  <c r="A459" i="60"/>
  <c r="A458" i="60"/>
  <c r="A457" i="60"/>
  <c r="A456" i="60"/>
  <c r="A455" i="60"/>
  <c r="A454" i="60"/>
  <c r="A453" i="60"/>
  <c r="A452" i="60"/>
  <c r="A451" i="60"/>
  <c r="AN450" i="60"/>
  <c r="T35" i="74" s="1"/>
  <c r="A450" i="60"/>
  <c r="Q475" i="60"/>
  <c r="Q695" i="60" s="1"/>
  <c r="A449" i="60"/>
  <c r="A448" i="60"/>
  <c r="AN447" i="60"/>
  <c r="T32" i="74" s="1"/>
  <c r="A447" i="60"/>
  <c r="A446" i="60"/>
  <c r="T29" i="74"/>
  <c r="A445" i="60"/>
  <c r="AN444" i="60"/>
  <c r="A444" i="60"/>
  <c r="T27" i="74"/>
  <c r="A443" i="60"/>
  <c r="T26" i="74"/>
  <c r="A442" i="60"/>
  <c r="T25" i="74"/>
  <c r="A441" i="60"/>
  <c r="T24" i="74"/>
  <c r="A440" i="60"/>
  <c r="A439" i="60"/>
  <c r="A438" i="60"/>
  <c r="A437" i="60"/>
  <c r="T20" i="74"/>
  <c r="A436" i="60"/>
  <c r="T19" i="74"/>
  <c r="A435" i="60"/>
  <c r="T18" i="74"/>
  <c r="A434" i="60"/>
  <c r="A433" i="60"/>
  <c r="A432" i="60"/>
  <c r="A431" i="60"/>
  <c r="A430" i="60"/>
  <c r="A429" i="60"/>
  <c r="AN428" i="60"/>
  <c r="A428" i="60"/>
  <c r="T11" i="74"/>
  <c r="A427" i="60"/>
  <c r="A426" i="60"/>
  <c r="L475" i="60"/>
  <c r="A425" i="60"/>
  <c r="AM475" i="60"/>
  <c r="A424" i="60"/>
  <c r="AG420" i="60"/>
  <c r="AG695" i="60" s="1"/>
  <c r="AN399" i="60"/>
  <c r="T44" i="73" s="1"/>
  <c r="AN397" i="60"/>
  <c r="T42" i="73" s="1"/>
  <c r="AN396" i="60"/>
  <c r="T41" i="73" s="1"/>
  <c r="AN394" i="60"/>
  <c r="T39" i="73" s="1"/>
  <c r="AN391" i="60"/>
  <c r="T34" i="73"/>
  <c r="M420" i="60"/>
  <c r="L420" i="60"/>
  <c r="T26" i="73"/>
  <c r="AN380" i="60"/>
  <c r="T23" i="73"/>
  <c r="T22" i="73"/>
  <c r="T21" i="73"/>
  <c r="T19" i="73"/>
  <c r="AL420" i="60"/>
  <c r="W420" i="60"/>
  <c r="T17" i="73"/>
  <c r="A372" i="60"/>
  <c r="AN371" i="60"/>
  <c r="A371" i="60"/>
  <c r="AN370" i="60"/>
  <c r="A370" i="60"/>
  <c r="AN369" i="60"/>
  <c r="A369" i="60"/>
  <c r="A368" i="60"/>
  <c r="A367" i="60"/>
  <c r="T11" i="73"/>
  <c r="A366" i="60"/>
  <c r="A365" i="60"/>
  <c r="T9" i="73"/>
  <c r="A364" i="60"/>
  <c r="AN363" i="60"/>
  <c r="T8" i="73" s="1"/>
  <c r="A363" i="60"/>
  <c r="T56" i="72"/>
  <c r="T55" i="72"/>
  <c r="T54" i="72"/>
  <c r="T51" i="72"/>
  <c r="T50" i="72"/>
  <c r="A348" i="60"/>
  <c r="AN347" i="60"/>
  <c r="A347" i="60"/>
  <c r="AN346" i="60"/>
  <c r="A346" i="60"/>
  <c r="T46" i="72"/>
  <c r="A345" i="60"/>
  <c r="T45" i="72"/>
  <c r="A344" i="60"/>
  <c r="T44" i="72"/>
  <c r="A343" i="60"/>
  <c r="T43" i="72"/>
  <c r="A342" i="60"/>
  <c r="T42" i="72"/>
  <c r="A341" i="60"/>
  <c r="T41" i="72"/>
  <c r="A340" i="60"/>
  <c r="E360" i="60"/>
  <c r="A339" i="60"/>
  <c r="AN338" i="60"/>
  <c r="A338" i="60"/>
  <c r="AN337" i="60"/>
  <c r="A337" i="60"/>
  <c r="T37" i="72"/>
  <c r="A336" i="60"/>
  <c r="A335" i="60"/>
  <c r="A334" i="60"/>
  <c r="A333" i="60"/>
  <c r="AN332" i="60"/>
  <c r="T34" i="72" s="1"/>
  <c r="A332" i="60"/>
  <c r="A331" i="60"/>
  <c r="A330" i="60"/>
  <c r="AL360" i="60"/>
  <c r="A329" i="60"/>
  <c r="A328" i="60"/>
  <c r="A327" i="60"/>
  <c r="AN326" i="60"/>
  <c r="T28" i="72" s="1"/>
  <c r="A326" i="60"/>
  <c r="AN325" i="60"/>
  <c r="T27" i="72" s="1"/>
  <c r="A325" i="60"/>
  <c r="A324" i="60"/>
  <c r="A323" i="60"/>
  <c r="A322" i="60"/>
  <c r="A320" i="60"/>
  <c r="A319" i="60"/>
  <c r="W360" i="60"/>
  <c r="A318" i="60"/>
  <c r="AN317" i="60"/>
  <c r="T19" i="72" s="1"/>
  <c r="A317" i="60"/>
  <c r="AE360" i="60"/>
  <c r="M360" i="60"/>
  <c r="A316" i="60"/>
  <c r="A315" i="60"/>
  <c r="AN314" i="60"/>
  <c r="T16" i="72" s="1"/>
  <c r="A314" i="60"/>
  <c r="A313" i="60"/>
  <c r="A312" i="60"/>
  <c r="AN311" i="60"/>
  <c r="T13" i="72" s="1"/>
  <c r="A311" i="60"/>
  <c r="AN310" i="60"/>
  <c r="T12" i="72" s="1"/>
  <c r="A310" i="60"/>
  <c r="A309" i="60"/>
  <c r="AN308" i="60"/>
  <c r="T10" i="72" s="1"/>
  <c r="A308" i="60"/>
  <c r="AN307" i="60"/>
  <c r="T9" i="72" s="1"/>
  <c r="A307" i="60"/>
  <c r="AK360" i="60"/>
  <c r="T61" i="71"/>
  <c r="T60" i="71"/>
  <c r="T59" i="71"/>
  <c r="T58" i="71"/>
  <c r="T57" i="71"/>
  <c r="T56" i="71"/>
  <c r="T55" i="71"/>
  <c r="T54" i="71"/>
  <c r="T53" i="71"/>
  <c r="T52" i="71"/>
  <c r="T51" i="71"/>
  <c r="T50" i="71"/>
  <c r="T49" i="71"/>
  <c r="A286" i="60"/>
  <c r="AN285" i="60"/>
  <c r="A285" i="60"/>
  <c r="A284" i="60"/>
  <c r="AN283" i="60"/>
  <c r="A283" i="60"/>
  <c r="A282" i="60"/>
  <c r="AN281" i="60"/>
  <c r="A281" i="60"/>
  <c r="T43" i="71"/>
  <c r="A280" i="60"/>
  <c r="T42" i="71"/>
  <c r="A279" i="60"/>
  <c r="A278" i="60"/>
  <c r="A277" i="60"/>
  <c r="A276" i="60"/>
  <c r="AN275" i="60"/>
  <c r="A275" i="60"/>
  <c r="T37" i="71"/>
  <c r="A274" i="60"/>
  <c r="A273" i="60"/>
  <c r="AN272" i="60"/>
  <c r="A272" i="60"/>
  <c r="T34" i="71"/>
  <c r="A271" i="60"/>
  <c r="A270" i="60"/>
  <c r="T32" i="71"/>
  <c r="A269" i="60"/>
  <c r="T31" i="71"/>
  <c r="A268" i="60"/>
  <c r="T30" i="71"/>
  <c r="A267" i="60"/>
  <c r="T29" i="71"/>
  <c r="A266" i="60"/>
  <c r="A265" i="60"/>
  <c r="A264" i="60"/>
  <c r="A263" i="60"/>
  <c r="AN262" i="60"/>
  <c r="T25" i="71" s="1"/>
  <c r="A262" i="60"/>
  <c r="A261" i="60"/>
  <c r="AN260" i="60"/>
  <c r="T23" i="71" s="1"/>
  <c r="A260" i="60"/>
  <c r="A259" i="60"/>
  <c r="T21" i="71"/>
  <c r="A258" i="60"/>
  <c r="AL301" i="60"/>
  <c r="A257" i="60"/>
  <c r="T19" i="71"/>
  <c r="A256" i="60"/>
  <c r="AE301" i="60"/>
  <c r="A255" i="60"/>
  <c r="T17" i="71"/>
  <c r="A254" i="60"/>
  <c r="D301" i="60"/>
  <c r="A253" i="60"/>
  <c r="T15" i="71"/>
  <c r="T14" i="71"/>
  <c r="A251" i="60"/>
  <c r="T13" i="71"/>
  <c r="A250" i="60"/>
  <c r="T12" i="71"/>
  <c r="A249" i="60"/>
  <c r="A248" i="60"/>
  <c r="A247" i="60"/>
  <c r="T9" i="71"/>
  <c r="A246" i="60"/>
  <c r="AN245" i="60"/>
  <c r="A245" i="60"/>
  <c r="A242" i="60"/>
  <c r="T53" i="70"/>
  <c r="T52" i="70"/>
  <c r="T51" i="70"/>
  <c r="T50" i="70"/>
  <c r="T49" i="70"/>
  <c r="A227" i="60"/>
  <c r="T48" i="70"/>
  <c r="A226" i="60"/>
  <c r="AN225" i="60"/>
  <c r="A225" i="60"/>
  <c r="T46" i="70"/>
  <c r="A224" i="60"/>
  <c r="A223" i="60"/>
  <c r="X241" i="60"/>
  <c r="A222" i="60"/>
  <c r="T43" i="70"/>
  <c r="A221" i="60"/>
  <c r="AA241" i="60"/>
  <c r="A220" i="60"/>
  <c r="T41" i="70"/>
  <c r="A219" i="60"/>
  <c r="A218" i="60"/>
  <c r="AD241" i="60"/>
  <c r="A217" i="60"/>
  <c r="A216" i="60"/>
  <c r="AN215" i="60"/>
  <c r="A215" i="60"/>
  <c r="T36" i="70"/>
  <c r="A214" i="60"/>
  <c r="A213" i="60"/>
  <c r="A212" i="60"/>
  <c r="A211" i="60"/>
  <c r="T32" i="70"/>
  <c r="A210" i="60"/>
  <c r="A209" i="60"/>
  <c r="AN208" i="60"/>
  <c r="A208" i="60"/>
  <c r="T29" i="70"/>
  <c r="A207" i="60"/>
  <c r="T28" i="70"/>
  <c r="A206" i="60"/>
  <c r="T27" i="70"/>
  <c r="A205" i="60"/>
  <c r="A204" i="60"/>
  <c r="I241" i="60"/>
  <c r="A203" i="60"/>
  <c r="A202" i="60"/>
  <c r="A201" i="60"/>
  <c r="T22" i="70"/>
  <c r="A200" i="60"/>
  <c r="AN199" i="60"/>
  <c r="A199" i="60"/>
  <c r="A198" i="60"/>
  <c r="T19" i="70"/>
  <c r="A197" i="60"/>
  <c r="AM241" i="60"/>
  <c r="A196" i="60"/>
  <c r="A195" i="60"/>
  <c r="AN194" i="60"/>
  <c r="A194" i="60"/>
  <c r="A193" i="60"/>
  <c r="AN192" i="60"/>
  <c r="A192" i="60"/>
  <c r="T13" i="70"/>
  <c r="A191" i="60"/>
  <c r="AN190" i="60"/>
  <c r="A190" i="60"/>
  <c r="A189" i="60"/>
  <c r="AE241" i="60"/>
  <c r="A188" i="60"/>
  <c r="A187" i="60"/>
  <c r="A186" i="60"/>
  <c r="AN181" i="60"/>
  <c r="T61" i="69" s="1"/>
  <c r="AN180" i="60"/>
  <c r="AN179" i="60"/>
  <c r="T59" i="69" s="1"/>
  <c r="AN178" i="60"/>
  <c r="T58" i="69" s="1"/>
  <c r="AN177" i="60"/>
  <c r="T57" i="69" s="1"/>
  <c r="AN176" i="60"/>
  <c r="T56" i="69" s="1"/>
  <c r="AN175" i="60"/>
  <c r="T55" i="69" s="1"/>
  <c r="AN174" i="60"/>
  <c r="T54" i="69" s="1"/>
  <c r="AN173" i="60"/>
  <c r="AN172" i="60"/>
  <c r="AN171" i="60"/>
  <c r="T50" i="69"/>
  <c r="AN167" i="60"/>
  <c r="T46" i="69" s="1"/>
  <c r="W182" i="60"/>
  <c r="K182" i="60"/>
  <c r="AN153" i="60"/>
  <c r="T33" i="69" s="1"/>
  <c r="AN151" i="60"/>
  <c r="T31" i="69" s="1"/>
  <c r="M182" i="60"/>
  <c r="AN136" i="60"/>
  <c r="T16" i="69" s="1"/>
  <c r="AN133" i="60"/>
  <c r="T13" i="69" s="1"/>
  <c r="A120" i="60"/>
  <c r="A119" i="60"/>
  <c r="AD121" i="60"/>
  <c r="A118" i="60"/>
  <c r="T53" i="68"/>
  <c r="A117" i="60"/>
  <c r="A116" i="60"/>
  <c r="A115" i="60"/>
  <c r="A114" i="60"/>
  <c r="AN113" i="60"/>
  <c r="A113" i="60"/>
  <c r="T48" i="68"/>
  <c r="A112" i="60"/>
  <c r="A111" i="60"/>
  <c r="A110" i="60"/>
  <c r="A109" i="60"/>
  <c r="T44" i="68"/>
  <c r="A108" i="60"/>
  <c r="T43" i="68"/>
  <c r="A107" i="60"/>
  <c r="A106" i="60"/>
  <c r="T41" i="68"/>
  <c r="A105" i="60"/>
  <c r="T40" i="68"/>
  <c r="A104" i="60"/>
  <c r="AN103" i="60"/>
  <c r="A103" i="60"/>
  <c r="T38" i="68"/>
  <c r="A102" i="60"/>
  <c r="A101" i="60"/>
  <c r="A100" i="60"/>
  <c r="A99" i="60"/>
  <c r="AN98" i="60"/>
  <c r="A98" i="60"/>
  <c r="AN97" i="60"/>
  <c r="A97" i="60"/>
  <c r="AN96" i="60"/>
  <c r="A96" i="60"/>
  <c r="AN95" i="60"/>
  <c r="A95" i="60"/>
  <c r="A94" i="60"/>
  <c r="A93" i="60"/>
  <c r="A92" i="60"/>
  <c r="A91" i="60"/>
  <c r="AI121" i="60"/>
  <c r="AI695" i="60" s="1"/>
  <c r="A90" i="60"/>
  <c r="A89" i="60"/>
  <c r="A88" i="60"/>
  <c r="AN87" i="60"/>
  <c r="A87" i="60"/>
  <c r="AN86" i="60"/>
  <c r="A86" i="60"/>
  <c r="T21" i="68"/>
  <c r="A85" i="60"/>
  <c r="T20" i="68"/>
  <c r="A84" i="60"/>
  <c r="A83" i="60"/>
  <c r="T18" i="68"/>
  <c r="A82" i="60"/>
  <c r="T17" i="68"/>
  <c r="A81" i="60"/>
  <c r="A80" i="60"/>
  <c r="A79" i="60"/>
  <c r="AN78" i="60"/>
  <c r="A78" i="60"/>
  <c r="T13" i="68"/>
  <c r="A77" i="60"/>
  <c r="A76" i="60"/>
  <c r="T11" i="68"/>
  <c r="A75" i="60"/>
  <c r="A74" i="60"/>
  <c r="A73" i="60"/>
  <c r="AN72" i="60"/>
  <c r="A72" i="60"/>
  <c r="AN66" i="60"/>
  <c r="AN65" i="60"/>
  <c r="AN64" i="60"/>
  <c r="AN63" i="60"/>
  <c r="AN62" i="60"/>
  <c r="AN61" i="60"/>
  <c r="AN60" i="60"/>
  <c r="AN59" i="60"/>
  <c r="AN58" i="60"/>
  <c r="A58" i="60"/>
  <c r="AN57" i="60"/>
  <c r="A57" i="60"/>
  <c r="AN56" i="60"/>
  <c r="A56" i="60"/>
  <c r="AN55" i="60"/>
  <c r="A55" i="60"/>
  <c r="AN54" i="60"/>
  <c r="T56" i="43" s="1"/>
  <c r="A54" i="60"/>
  <c r="AN53" i="60"/>
  <c r="T55" i="43" s="1"/>
  <c r="A53" i="60"/>
  <c r="AN52" i="60"/>
  <c r="T54" i="43" s="1"/>
  <c r="A52" i="60"/>
  <c r="AN51" i="60"/>
  <c r="T53" i="43" s="1"/>
  <c r="A51" i="60"/>
  <c r="AN50" i="60"/>
  <c r="T52" i="43" s="1"/>
  <c r="A50" i="60"/>
  <c r="AN49" i="60"/>
  <c r="T51" i="43" s="1"/>
  <c r="A49" i="60"/>
  <c r="AN48" i="60"/>
  <c r="T50" i="43" s="1"/>
  <c r="A48" i="60"/>
  <c r="AN47" i="60"/>
  <c r="T49" i="43" s="1"/>
  <c r="A47" i="60"/>
  <c r="AN46" i="60"/>
  <c r="T48" i="43" s="1"/>
  <c r="A46" i="60"/>
  <c r="AN45" i="60"/>
  <c r="T47" i="43" s="1"/>
  <c r="A45" i="60"/>
  <c r="AN44" i="60"/>
  <c r="T46" i="43" s="1"/>
  <c r="A44" i="60"/>
  <c r="A43" i="60"/>
  <c r="A42" i="60"/>
  <c r="A41" i="60"/>
  <c r="A40" i="60"/>
  <c r="A39" i="60"/>
  <c r="AN38" i="60"/>
  <c r="T40" i="43" s="1"/>
  <c r="A38" i="60"/>
  <c r="AA67" i="60"/>
  <c r="A37" i="60"/>
  <c r="AN36" i="60"/>
  <c r="T38" i="43" s="1"/>
  <c r="A36" i="60"/>
  <c r="A35" i="60"/>
  <c r="A34" i="60"/>
  <c r="AN33" i="60"/>
  <c r="T35" i="43" s="1"/>
  <c r="A33" i="60"/>
  <c r="A32" i="60"/>
  <c r="AN31" i="60"/>
  <c r="T33" i="43" s="1"/>
  <c r="A31" i="60"/>
  <c r="A30" i="60"/>
  <c r="AN29" i="60"/>
  <c r="T31" i="43" s="1"/>
  <c r="A29" i="60"/>
  <c r="A28" i="60"/>
  <c r="M67" i="60"/>
  <c r="A27" i="60"/>
  <c r="A26" i="60"/>
  <c r="AJ67" i="60"/>
  <c r="A25" i="60"/>
  <c r="A24" i="60"/>
  <c r="A23" i="60"/>
  <c r="A22" i="60"/>
  <c r="A21" i="60"/>
  <c r="AN20" i="60"/>
  <c r="T22" i="43" s="1"/>
  <c r="A20" i="60"/>
  <c r="A19" i="60"/>
  <c r="AN18" i="60"/>
  <c r="T20" i="43" s="1"/>
  <c r="A18" i="60"/>
  <c r="AN17" i="60"/>
  <c r="T19" i="43" s="1"/>
  <c r="A17" i="60"/>
  <c r="A16" i="60"/>
  <c r="A15" i="60"/>
  <c r="A14" i="60"/>
  <c r="AN13" i="60"/>
  <c r="T15" i="43" s="1"/>
  <c r="A13" i="60"/>
  <c r="A12" i="60"/>
  <c r="A11" i="60"/>
  <c r="I67" i="60"/>
  <c r="A10" i="60"/>
  <c r="A9" i="60"/>
  <c r="A8" i="60"/>
  <c r="A7" i="60"/>
  <c r="AN6" i="60"/>
  <c r="A6" i="60"/>
  <c r="Z704" i="62"/>
  <c r="Z703" i="62"/>
  <c r="A703" i="62"/>
  <c r="Z702" i="62"/>
  <c r="A702" i="62"/>
  <c r="Z701" i="62"/>
  <c r="A701" i="62"/>
  <c r="Z700" i="62"/>
  <c r="A700" i="62"/>
  <c r="Z699" i="62"/>
  <c r="S57" i="67" s="1"/>
  <c r="A699" i="62"/>
  <c r="Z698" i="62"/>
  <c r="A698" i="62"/>
  <c r="Z697" i="62"/>
  <c r="A697" i="62"/>
  <c r="Z696" i="62"/>
  <c r="A696" i="62"/>
  <c r="Z695" i="62"/>
  <c r="A695" i="62"/>
  <c r="Z694" i="62"/>
  <c r="A694" i="62"/>
  <c r="Z693" i="62"/>
  <c r="A693" i="62"/>
  <c r="Z692" i="62"/>
  <c r="S50" i="67" s="1"/>
  <c r="A692" i="62"/>
  <c r="Z691" i="62"/>
  <c r="S49" i="67" s="1"/>
  <c r="A691" i="62"/>
  <c r="Z690" i="62"/>
  <c r="S48" i="67" s="1"/>
  <c r="A690" i="62"/>
  <c r="Z689" i="62"/>
  <c r="S47" i="67" s="1"/>
  <c r="A689" i="62"/>
  <c r="Z688" i="62"/>
  <c r="S46" i="67" s="1"/>
  <c r="A688" i="62"/>
  <c r="Z687" i="62"/>
  <c r="S45" i="67" s="1"/>
  <c r="A687" i="62"/>
  <c r="Z686" i="62"/>
  <c r="S44" i="67" s="1"/>
  <c r="A686" i="62"/>
  <c r="Z685" i="62"/>
  <c r="S43" i="67" s="1"/>
  <c r="A685" i="62"/>
  <c r="Z684" i="62"/>
  <c r="S42" i="67" s="1"/>
  <c r="A684" i="62"/>
  <c r="Z683" i="62"/>
  <c r="S41" i="67" s="1"/>
  <c r="A683" i="62"/>
  <c r="Z682" i="62"/>
  <c r="S40" i="67" s="1"/>
  <c r="A682" i="62"/>
  <c r="Z681" i="62"/>
  <c r="S39" i="67" s="1"/>
  <c r="A681" i="62"/>
  <c r="Z680" i="62"/>
  <c r="S38" i="67" s="1"/>
  <c r="A680" i="62"/>
  <c r="Z679" i="62"/>
  <c r="S37" i="67" s="1"/>
  <c r="A679" i="62"/>
  <c r="Z678" i="62"/>
  <c r="S36" i="67" s="1"/>
  <c r="A678" i="62"/>
  <c r="Z677" i="62"/>
  <c r="S35" i="67" s="1"/>
  <c r="A677" i="62"/>
  <c r="Z676" i="62"/>
  <c r="S34" i="67" s="1"/>
  <c r="A676" i="62"/>
  <c r="Z675" i="62"/>
  <c r="S33" i="67" s="1"/>
  <c r="A675" i="62"/>
  <c r="Z674" i="62"/>
  <c r="S32" i="67" s="1"/>
  <c r="A674" i="62"/>
  <c r="Z673" i="62"/>
  <c r="S31" i="67" s="1"/>
  <c r="A673" i="62"/>
  <c r="Z672" i="62"/>
  <c r="S30" i="67" s="1"/>
  <c r="A672" i="62"/>
  <c r="Z671" i="62"/>
  <c r="S29" i="67" s="1"/>
  <c r="A671" i="62"/>
  <c r="Z670" i="62"/>
  <c r="S28" i="67" s="1"/>
  <c r="A670" i="62"/>
  <c r="Z669" i="62"/>
  <c r="A669" i="62"/>
  <c r="Z668" i="62"/>
  <c r="S26" i="67" s="1"/>
  <c r="A668" i="62"/>
  <c r="Z667" i="62"/>
  <c r="S25" i="67" s="1"/>
  <c r="A667" i="62"/>
  <c r="Z666" i="62"/>
  <c r="S24" i="67" s="1"/>
  <c r="A666" i="62"/>
  <c r="Z665" i="62"/>
  <c r="S23" i="67" s="1"/>
  <c r="A665" i="62"/>
  <c r="Z664" i="62"/>
  <c r="S22" i="67" s="1"/>
  <c r="A664" i="62"/>
  <c r="Z663" i="62"/>
  <c r="S21" i="67" s="1"/>
  <c r="A663" i="62"/>
  <c r="Z662" i="62"/>
  <c r="S20" i="67" s="1"/>
  <c r="A662" i="62"/>
  <c r="Z661" i="62"/>
  <c r="S19" i="67" s="1"/>
  <c r="A661" i="62"/>
  <c r="Z660" i="62"/>
  <c r="S18" i="67" s="1"/>
  <c r="A660" i="62"/>
  <c r="Z659" i="62"/>
  <c r="S17" i="67" s="1"/>
  <c r="A659" i="62"/>
  <c r="S16" i="67"/>
  <c r="S15" i="67"/>
  <c r="S14" i="67"/>
  <c r="S13" i="67"/>
  <c r="Z654" i="62"/>
  <c r="S12" i="67" s="1"/>
  <c r="A654" i="62"/>
  <c r="Z653" i="62"/>
  <c r="S11" i="67" s="1"/>
  <c r="A653" i="62"/>
  <c r="Z652" i="62"/>
  <c r="S10" i="67" s="1"/>
  <c r="A652" i="62"/>
  <c r="Z651" i="62"/>
  <c r="S9" i="67" s="1"/>
  <c r="A651" i="62"/>
  <c r="Z650" i="62"/>
  <c r="S8" i="67" s="1"/>
  <c r="A650" i="62"/>
  <c r="Z644" i="62"/>
  <c r="Z643" i="62"/>
  <c r="Z642" i="62"/>
  <c r="S62" i="77" s="1"/>
  <c r="Z641" i="62"/>
  <c r="S61" i="77" s="1"/>
  <c r="Z640" i="62"/>
  <c r="S60" i="77" s="1"/>
  <c r="Z639" i="62"/>
  <c r="S59" i="77" s="1"/>
  <c r="Z638" i="62"/>
  <c r="S58" i="77" s="1"/>
  <c r="Z637" i="62"/>
  <c r="Z636" i="62"/>
  <c r="S55" i="77" s="1"/>
  <c r="Z635" i="62"/>
  <c r="S54" i="77" s="1"/>
  <c r="Z634" i="62"/>
  <c r="S53" i="77" s="1"/>
  <c r="Z633" i="62"/>
  <c r="S52" i="77" s="1"/>
  <c r="Z632" i="62"/>
  <c r="S51" i="77" s="1"/>
  <c r="Z631" i="62"/>
  <c r="Z630" i="62"/>
  <c r="S48" i="77" s="1"/>
  <c r="Z629" i="62"/>
  <c r="S47" i="77" s="1"/>
  <c r="Z628" i="62"/>
  <c r="S46" i="77" s="1"/>
  <c r="Z627" i="62"/>
  <c r="S45" i="77" s="1"/>
  <c r="Z626" i="62"/>
  <c r="S44" i="77" s="1"/>
  <c r="Z625" i="62"/>
  <c r="S43" i="77" s="1"/>
  <c r="Z624" i="62"/>
  <c r="S42" i="77" s="1"/>
  <c r="Z623" i="62"/>
  <c r="S41" i="77" s="1"/>
  <c r="Z622" i="62"/>
  <c r="S40" i="77" s="1"/>
  <c r="Z621" i="62"/>
  <c r="S39" i="77" s="1"/>
  <c r="Z620" i="62"/>
  <c r="S38" i="77" s="1"/>
  <c r="Z619" i="62"/>
  <c r="S37" i="77" s="1"/>
  <c r="Z618" i="62"/>
  <c r="S36" i="77" s="1"/>
  <c r="Z617" i="62"/>
  <c r="S35" i="77" s="1"/>
  <c r="Z616" i="62"/>
  <c r="S34" i="77" s="1"/>
  <c r="Z615" i="62"/>
  <c r="S33" i="77" s="1"/>
  <c r="Z614" i="62"/>
  <c r="S32" i="77" s="1"/>
  <c r="Z613" i="62"/>
  <c r="S31" i="77" s="1"/>
  <c r="Z612" i="62"/>
  <c r="S30" i="77" s="1"/>
  <c r="Z611" i="62"/>
  <c r="S29" i="77" s="1"/>
  <c r="Z610" i="62"/>
  <c r="S28" i="77" s="1"/>
  <c r="Z609" i="62"/>
  <c r="S27" i="77" s="1"/>
  <c r="Z608" i="62"/>
  <c r="S26" i="77" s="1"/>
  <c r="Z607" i="62"/>
  <c r="S25" i="77" s="1"/>
  <c r="Z606" i="62"/>
  <c r="S24" i="77" s="1"/>
  <c r="Z605" i="62"/>
  <c r="S23" i="77" s="1"/>
  <c r="Z604" i="62"/>
  <c r="S22" i="77" s="1"/>
  <c r="Z603" i="62"/>
  <c r="S21" i="77" s="1"/>
  <c r="Z602" i="62"/>
  <c r="S20" i="77" s="1"/>
  <c r="Z601" i="62"/>
  <c r="S19" i="77" s="1"/>
  <c r="Z600" i="62"/>
  <c r="S18" i="77" s="1"/>
  <c r="Z599" i="62"/>
  <c r="S17" i="77" s="1"/>
  <c r="Z598" i="62"/>
  <c r="S16" i="77" s="1"/>
  <c r="Z597" i="62"/>
  <c r="S15" i="77" s="1"/>
  <c r="Z596" i="62"/>
  <c r="S14" i="77" s="1"/>
  <c r="Z595" i="62"/>
  <c r="S13" i="77" s="1"/>
  <c r="Z594" i="62"/>
  <c r="S12" i="77" s="1"/>
  <c r="Z593" i="62"/>
  <c r="S11" i="77" s="1"/>
  <c r="Z592" i="62"/>
  <c r="S10" i="77" s="1"/>
  <c r="Z591" i="62"/>
  <c r="S9" i="77" s="1"/>
  <c r="Z590" i="62"/>
  <c r="A590" i="62"/>
  <c r="Z584" i="62"/>
  <c r="S62" i="76" s="1"/>
  <c r="Z583" i="62"/>
  <c r="S61" i="76" s="1"/>
  <c r="A583" i="62"/>
  <c r="Z582" i="62"/>
  <c r="S60" i="76" s="1"/>
  <c r="A582" i="62"/>
  <c r="Z581" i="62"/>
  <c r="S59" i="76" s="1"/>
  <c r="A581" i="62"/>
  <c r="Z580" i="62"/>
  <c r="S58" i="76" s="1"/>
  <c r="A580" i="62"/>
  <c r="Z579" i="62"/>
  <c r="S57" i="76" s="1"/>
  <c r="A579" i="62"/>
  <c r="Z578" i="62"/>
  <c r="S56" i="76" s="1"/>
  <c r="A578" i="62"/>
  <c r="Z577" i="62"/>
  <c r="S55" i="76" s="1"/>
  <c r="A577" i="62"/>
  <c r="Z576" i="62"/>
  <c r="S54" i="76" s="1"/>
  <c r="A576" i="62"/>
  <c r="Z575" i="62"/>
  <c r="S53" i="76" s="1"/>
  <c r="A575" i="62"/>
  <c r="Z574" i="62"/>
  <c r="S52" i="76" s="1"/>
  <c r="A574" i="62"/>
  <c r="Z573" i="62"/>
  <c r="S51" i="76" s="1"/>
  <c r="A573" i="62"/>
  <c r="Z572" i="62"/>
  <c r="S50" i="76" s="1"/>
  <c r="A572" i="62"/>
  <c r="Z571" i="62"/>
  <c r="S49" i="76" s="1"/>
  <c r="A571" i="62"/>
  <c r="Z570" i="62"/>
  <c r="S48" i="76" s="1"/>
  <c r="A570" i="62"/>
  <c r="Z569" i="62"/>
  <c r="S47" i="76" s="1"/>
  <c r="A569" i="62"/>
  <c r="Z568" i="62"/>
  <c r="S46" i="76" s="1"/>
  <c r="A568" i="62"/>
  <c r="Z567" i="62"/>
  <c r="S45" i="76" s="1"/>
  <c r="A567" i="62"/>
  <c r="Z566" i="62"/>
  <c r="S44" i="76" s="1"/>
  <c r="A566" i="62"/>
  <c r="Z565" i="62"/>
  <c r="S43" i="76" s="1"/>
  <c r="A565" i="62"/>
  <c r="Z564" i="62"/>
  <c r="S42" i="76" s="1"/>
  <c r="A564" i="62"/>
  <c r="Z563" i="62"/>
  <c r="S41" i="76" s="1"/>
  <c r="A563" i="62"/>
  <c r="Z562" i="62"/>
  <c r="S40" i="76" s="1"/>
  <c r="A562" i="62"/>
  <c r="Z561" i="62"/>
  <c r="S39" i="76" s="1"/>
  <c r="A561" i="62"/>
  <c r="Z560" i="62"/>
  <c r="S38" i="76" s="1"/>
  <c r="A560" i="62"/>
  <c r="Z559" i="62"/>
  <c r="S37" i="76" s="1"/>
  <c r="A559" i="62"/>
  <c r="Z558" i="62"/>
  <c r="S36" i="76" s="1"/>
  <c r="A558" i="62"/>
  <c r="Z557" i="62"/>
  <c r="S35" i="76" s="1"/>
  <c r="A557" i="62"/>
  <c r="K585" i="62"/>
  <c r="A556" i="62"/>
  <c r="Z555" i="62"/>
  <c r="S33" i="76" s="1"/>
  <c r="A555" i="62"/>
  <c r="Z554" i="62"/>
  <c r="S32" i="76" s="1"/>
  <c r="A554" i="62"/>
  <c r="Z553" i="62"/>
  <c r="S31" i="76" s="1"/>
  <c r="A553" i="62"/>
  <c r="Z552" i="62"/>
  <c r="S30" i="76" s="1"/>
  <c r="A552" i="62"/>
  <c r="Z551" i="62"/>
  <c r="S29" i="76" s="1"/>
  <c r="A551" i="62"/>
  <c r="Z550" i="62"/>
  <c r="S28" i="76" s="1"/>
  <c r="A550" i="62"/>
  <c r="Z549" i="62"/>
  <c r="S27" i="76" s="1"/>
  <c r="A549" i="62"/>
  <c r="Z548" i="62"/>
  <c r="S26" i="76" s="1"/>
  <c r="A548" i="62"/>
  <c r="Z547" i="62"/>
  <c r="S25" i="76" s="1"/>
  <c r="A547" i="62"/>
  <c r="Z546" i="62"/>
  <c r="S24" i="76" s="1"/>
  <c r="A546" i="62"/>
  <c r="Z545" i="62"/>
  <c r="S23" i="76" s="1"/>
  <c r="A545" i="62"/>
  <c r="Z544" i="62"/>
  <c r="S22" i="76" s="1"/>
  <c r="A544" i="62"/>
  <c r="Z543" i="62"/>
  <c r="S21" i="76" s="1"/>
  <c r="A543" i="62"/>
  <c r="Z542" i="62"/>
  <c r="S20" i="76" s="1"/>
  <c r="A542" i="62"/>
  <c r="Z541" i="62"/>
  <c r="S19" i="76" s="1"/>
  <c r="A541" i="62"/>
  <c r="Z540" i="62"/>
  <c r="S18" i="76" s="1"/>
  <c r="A540" i="62"/>
  <c r="Z539" i="62"/>
  <c r="S17" i="76" s="1"/>
  <c r="A539" i="62"/>
  <c r="Z538" i="62"/>
  <c r="S16" i="76" s="1"/>
  <c r="A538" i="62"/>
  <c r="Z537" i="62"/>
  <c r="S15" i="76" s="1"/>
  <c r="A537" i="62"/>
  <c r="Z536" i="62"/>
  <c r="S14" i="76" s="1"/>
  <c r="A536" i="62"/>
  <c r="Z535" i="62"/>
  <c r="S13" i="76" s="1"/>
  <c r="A535" i="62"/>
  <c r="I585" i="62"/>
  <c r="A534" i="62"/>
  <c r="Z533" i="62"/>
  <c r="S11" i="76" s="1"/>
  <c r="A533" i="62"/>
  <c r="Z532" i="62"/>
  <c r="S10" i="76" s="1"/>
  <c r="A532" i="62"/>
  <c r="Z531" i="62"/>
  <c r="S9" i="76" s="1"/>
  <c r="A531" i="62"/>
  <c r="Z530" i="62"/>
  <c r="A530" i="62"/>
  <c r="Z525" i="62"/>
  <c r="Z524" i="62"/>
  <c r="A524" i="62"/>
  <c r="Z523" i="62"/>
  <c r="A523" i="62"/>
  <c r="Z522" i="62"/>
  <c r="A522" i="62"/>
  <c r="Z521" i="62"/>
  <c r="S49" i="75" s="1"/>
  <c r="A521" i="62"/>
  <c r="Z520" i="62"/>
  <c r="S48" i="75" s="1"/>
  <c r="A520" i="62"/>
  <c r="Z519" i="62"/>
  <c r="S47" i="75" s="1"/>
  <c r="A519" i="62"/>
  <c r="Z518" i="62"/>
  <c r="S46" i="75" s="1"/>
  <c r="A518" i="62"/>
  <c r="Z517" i="62"/>
  <c r="S45" i="75" s="1"/>
  <c r="A517" i="62"/>
  <c r="Z516" i="62"/>
  <c r="S44" i="75" s="1"/>
  <c r="A516" i="62"/>
  <c r="Z515" i="62"/>
  <c r="S43" i="75" s="1"/>
  <c r="A515" i="62"/>
  <c r="Z514" i="62"/>
  <c r="S42" i="75" s="1"/>
  <c r="A514" i="62"/>
  <c r="Z513" i="62"/>
  <c r="S41" i="75" s="1"/>
  <c r="A513" i="62"/>
  <c r="Z512" i="62"/>
  <c r="S40" i="75" s="1"/>
  <c r="A512" i="62"/>
  <c r="Z511" i="62"/>
  <c r="S39" i="75" s="1"/>
  <c r="A511" i="62"/>
  <c r="Z510" i="62"/>
  <c r="S38" i="75" s="1"/>
  <c r="A510" i="62"/>
  <c r="Z509" i="62"/>
  <c r="S37" i="75" s="1"/>
  <c r="A509" i="62"/>
  <c r="Z508" i="62"/>
  <c r="S36" i="75" s="1"/>
  <c r="A508" i="62"/>
  <c r="Z507" i="62"/>
  <c r="S35" i="75" s="1"/>
  <c r="A507" i="62"/>
  <c r="Z506" i="62"/>
  <c r="S34" i="75" s="1"/>
  <c r="A506" i="62"/>
  <c r="Z505" i="62"/>
  <c r="S33" i="75" s="1"/>
  <c r="A505" i="62"/>
  <c r="Z504" i="62"/>
  <c r="S32" i="75" s="1"/>
  <c r="A504" i="62"/>
  <c r="Z503" i="62"/>
  <c r="S31" i="75" s="1"/>
  <c r="A503" i="62"/>
  <c r="Z502" i="62"/>
  <c r="S30" i="75" s="1"/>
  <c r="A502" i="62"/>
  <c r="Z501" i="62"/>
  <c r="S29" i="75" s="1"/>
  <c r="A501" i="62"/>
  <c r="Z500" i="62"/>
  <c r="S28" i="75" s="1"/>
  <c r="A500" i="62"/>
  <c r="Z499" i="62"/>
  <c r="S27" i="75" s="1"/>
  <c r="A499" i="62"/>
  <c r="Z498" i="62"/>
  <c r="S26" i="75" s="1"/>
  <c r="A498" i="62"/>
  <c r="Z497" i="62"/>
  <c r="S25" i="75" s="1"/>
  <c r="A497" i="62"/>
  <c r="Z496" i="62"/>
  <c r="S24" i="75" s="1"/>
  <c r="A496" i="62"/>
  <c r="Z495" i="62"/>
  <c r="S23" i="75" s="1"/>
  <c r="A495" i="62"/>
  <c r="Z494" i="62"/>
  <c r="S22" i="75" s="1"/>
  <c r="A494" i="62"/>
  <c r="Z493" i="62"/>
  <c r="S21" i="75" s="1"/>
  <c r="A493" i="62"/>
  <c r="Z492" i="62"/>
  <c r="S20" i="75" s="1"/>
  <c r="A492" i="62"/>
  <c r="Z491" i="62"/>
  <c r="S19" i="75" s="1"/>
  <c r="A491" i="62"/>
  <c r="Z490" i="62"/>
  <c r="S18" i="75" s="1"/>
  <c r="A490" i="62"/>
  <c r="Z489" i="62"/>
  <c r="S17" i="75" s="1"/>
  <c r="A489" i="62"/>
  <c r="Z488" i="62"/>
  <c r="S16" i="75" s="1"/>
  <c r="A488" i="62"/>
  <c r="Z487" i="62"/>
  <c r="S15" i="75" s="1"/>
  <c r="A487" i="62"/>
  <c r="Z486" i="62"/>
  <c r="S14" i="75" s="1"/>
  <c r="A486" i="62"/>
  <c r="Z485" i="62"/>
  <c r="S13" i="75" s="1"/>
  <c r="A485" i="62"/>
  <c r="Z484" i="62"/>
  <c r="S12" i="75" s="1"/>
  <c r="A484" i="62"/>
  <c r="Z483" i="62"/>
  <c r="S11" i="75" s="1"/>
  <c r="A483" i="62"/>
  <c r="Z482" i="62"/>
  <c r="S10" i="75" s="1"/>
  <c r="A482" i="62"/>
  <c r="L526" i="62"/>
  <c r="A481" i="62"/>
  <c r="Z480" i="62"/>
  <c r="A480" i="62"/>
  <c r="H476" i="62"/>
  <c r="I476" i="62"/>
  <c r="A444" i="62"/>
  <c r="A443" i="62"/>
  <c r="A442" i="62"/>
  <c r="A441" i="62"/>
  <c r="A440" i="62"/>
  <c r="A439" i="62"/>
  <c r="A438" i="62"/>
  <c r="A437" i="62"/>
  <c r="A436" i="62"/>
  <c r="A435" i="62"/>
  <c r="A434" i="62"/>
  <c r="A433" i="62"/>
  <c r="A432" i="62"/>
  <c r="A431" i="62"/>
  <c r="A430" i="62"/>
  <c r="A429" i="62"/>
  <c r="A428" i="62"/>
  <c r="A427" i="62"/>
  <c r="A426" i="62"/>
  <c r="Z425" i="62"/>
  <c r="A425" i="62"/>
  <c r="B420" i="62"/>
  <c r="S36" i="73"/>
  <c r="S35" i="73"/>
  <c r="S34" i="73"/>
  <c r="S420" i="62"/>
  <c r="S30" i="73"/>
  <c r="S29" i="73"/>
  <c r="S28" i="73"/>
  <c r="S26" i="73"/>
  <c r="S25" i="73"/>
  <c r="S24" i="73"/>
  <c r="S22" i="73"/>
  <c r="S21" i="73"/>
  <c r="S20" i="73"/>
  <c r="S18" i="73"/>
  <c r="S16" i="73"/>
  <c r="S15" i="73"/>
  <c r="S14" i="73"/>
  <c r="A371" i="62"/>
  <c r="S13" i="73"/>
  <c r="A370" i="62"/>
  <c r="S12" i="73"/>
  <c r="A369" i="62"/>
  <c r="S11" i="73"/>
  <c r="A368" i="62"/>
  <c r="S10" i="73"/>
  <c r="A367" i="62"/>
  <c r="S9" i="73"/>
  <c r="A366" i="62"/>
  <c r="Z365" i="62"/>
  <c r="A365" i="62"/>
  <c r="Z360" i="62"/>
  <c r="Z359" i="62"/>
  <c r="Z358" i="62"/>
  <c r="Z357" i="62"/>
  <c r="S56" i="72" s="1"/>
  <c r="Z356" i="62"/>
  <c r="S55" i="72" s="1"/>
  <c r="Z355" i="62"/>
  <c r="S54" i="72" s="1"/>
  <c r="A355" i="62"/>
  <c r="Z354" i="62"/>
  <c r="A354" i="62"/>
  <c r="Z353" i="62"/>
  <c r="S52" i="72" s="1"/>
  <c r="A353" i="62"/>
  <c r="Z352" i="62"/>
  <c r="S51" i="72" s="1"/>
  <c r="A352" i="62"/>
  <c r="Z351" i="62"/>
  <c r="S50" i="72" s="1"/>
  <c r="A351" i="62"/>
  <c r="Z350" i="62"/>
  <c r="A350" i="62"/>
  <c r="Z349" i="62"/>
  <c r="S48" i="72" s="1"/>
  <c r="A349" i="62"/>
  <c r="Z348" i="62"/>
  <c r="S47" i="72" s="1"/>
  <c r="A348" i="62"/>
  <c r="Z347" i="62"/>
  <c r="S46" i="72" s="1"/>
  <c r="A347" i="62"/>
  <c r="Z346" i="62"/>
  <c r="A346" i="62"/>
  <c r="Z345" i="62"/>
  <c r="S44" i="72" s="1"/>
  <c r="A345" i="62"/>
  <c r="Z344" i="62"/>
  <c r="S43" i="72" s="1"/>
  <c r="A344" i="62"/>
  <c r="Z343" i="62"/>
  <c r="S42" i="72" s="1"/>
  <c r="A343" i="62"/>
  <c r="Z342" i="62"/>
  <c r="A342" i="62"/>
  <c r="Z341" i="62"/>
  <c r="S40" i="72" s="1"/>
  <c r="A341" i="62"/>
  <c r="Z340" i="62"/>
  <c r="S39" i="72" s="1"/>
  <c r="A340" i="62"/>
  <c r="Z339" i="62"/>
  <c r="S38" i="72" s="1"/>
  <c r="A339" i="62"/>
  <c r="Z338" i="62"/>
  <c r="A338" i="62"/>
  <c r="Z337" i="62"/>
  <c r="S36" i="72" s="1"/>
  <c r="A337" i="62"/>
  <c r="Z336" i="62"/>
  <c r="S35" i="72" s="1"/>
  <c r="A336" i="62"/>
  <c r="Z335" i="62"/>
  <c r="A335" i="62"/>
  <c r="A334" i="62"/>
  <c r="Z333" i="62"/>
  <c r="S33" i="72" s="1"/>
  <c r="A333" i="62"/>
  <c r="Z332" i="62"/>
  <c r="S32" i="72" s="1"/>
  <c r="A332" i="62"/>
  <c r="Z331" i="62"/>
  <c r="S31" i="72" s="1"/>
  <c r="A331" i="62"/>
  <c r="Z330" i="62"/>
  <c r="S30" i="72" s="1"/>
  <c r="A330" i="62"/>
  <c r="Z329" i="62"/>
  <c r="S29" i="72" s="1"/>
  <c r="A329" i="62"/>
  <c r="Z328" i="62"/>
  <c r="S28" i="72" s="1"/>
  <c r="A328" i="62"/>
  <c r="Z327" i="62"/>
  <c r="S27" i="72" s="1"/>
  <c r="A327" i="62"/>
  <c r="Z326" i="62"/>
  <c r="S26" i="72" s="1"/>
  <c r="A326" i="62"/>
  <c r="A325" i="62"/>
  <c r="Z324" i="62"/>
  <c r="S24" i="72" s="1"/>
  <c r="A324" i="62"/>
  <c r="Z322" i="62"/>
  <c r="A322" i="62"/>
  <c r="Z321" i="62"/>
  <c r="S21" i="72" s="1"/>
  <c r="A321" i="62"/>
  <c r="Z320" i="62"/>
  <c r="S20" i="72" s="1"/>
  <c r="A320" i="62"/>
  <c r="Z319" i="62"/>
  <c r="S19" i="72" s="1"/>
  <c r="A319" i="62"/>
  <c r="Z318" i="62"/>
  <c r="A318" i="62"/>
  <c r="Z317" i="62"/>
  <c r="S17" i="72" s="1"/>
  <c r="A317" i="62"/>
  <c r="B361" i="62"/>
  <c r="A316" i="62"/>
  <c r="Z315" i="62"/>
  <c r="S15" i="72" s="1"/>
  <c r="A315" i="62"/>
  <c r="Z314" i="62"/>
  <c r="S14" i="72" s="1"/>
  <c r="A314" i="62"/>
  <c r="Z313" i="62"/>
  <c r="S13" i="72" s="1"/>
  <c r="A313" i="62"/>
  <c r="Z312" i="62"/>
  <c r="S12" i="72" s="1"/>
  <c r="A312" i="62"/>
  <c r="Z311" i="62"/>
  <c r="S11" i="72" s="1"/>
  <c r="A311" i="62"/>
  <c r="Z310" i="62"/>
  <c r="S10" i="72" s="1"/>
  <c r="A310" i="62"/>
  <c r="Z309" i="62"/>
  <c r="S9" i="72" s="1"/>
  <c r="A309" i="62"/>
  <c r="Z303" i="62"/>
  <c r="A303" i="62"/>
  <c r="Z302" i="62"/>
  <c r="A302" i="62"/>
  <c r="Z301" i="62"/>
  <c r="S60" i="71" s="1"/>
  <c r="A301" i="62"/>
  <c r="Z300" i="62"/>
  <c r="S59" i="71" s="1"/>
  <c r="A300" i="62"/>
  <c r="Z299" i="62"/>
  <c r="S58" i="71" s="1"/>
  <c r="A299" i="62"/>
  <c r="Z298" i="62"/>
  <c r="A298" i="62"/>
  <c r="Z297" i="62"/>
  <c r="S56" i="71" s="1"/>
  <c r="A297" i="62"/>
  <c r="Z296" i="62"/>
  <c r="S55" i="71" s="1"/>
  <c r="A296" i="62"/>
  <c r="Z295" i="62"/>
  <c r="S54" i="71" s="1"/>
  <c r="A295" i="62"/>
  <c r="Z294" i="62"/>
  <c r="A294" i="62"/>
  <c r="Z293" i="62"/>
  <c r="S52" i="71" s="1"/>
  <c r="A293" i="62"/>
  <c r="Z292" i="62"/>
  <c r="S51" i="71" s="1"/>
  <c r="A292" i="62"/>
  <c r="Z291" i="62"/>
  <c r="S50" i="71" s="1"/>
  <c r="A291" i="62"/>
  <c r="Z290" i="62"/>
  <c r="A290" i="62"/>
  <c r="Z289" i="62"/>
  <c r="S48" i="71" s="1"/>
  <c r="A289" i="62"/>
  <c r="Z288" i="62"/>
  <c r="S47" i="71" s="1"/>
  <c r="A288" i="62"/>
  <c r="Z287" i="62"/>
  <c r="A287" i="62"/>
  <c r="Z286" i="62"/>
  <c r="A286" i="62"/>
  <c r="Z285" i="62"/>
  <c r="S44" i="71" s="1"/>
  <c r="A285" i="62"/>
  <c r="Z284" i="62"/>
  <c r="S43" i="71" s="1"/>
  <c r="A284" i="62"/>
  <c r="Z283" i="62"/>
  <c r="A283" i="62"/>
  <c r="Z282" i="62"/>
  <c r="A282" i="62"/>
  <c r="Z281" i="62"/>
  <c r="S40" i="71" s="1"/>
  <c r="A281" i="62"/>
  <c r="Z280" i="62"/>
  <c r="S39" i="71" s="1"/>
  <c r="A280" i="62"/>
  <c r="Z279" i="62"/>
  <c r="A279" i="62"/>
  <c r="Z278" i="62"/>
  <c r="A278" i="62"/>
  <c r="Z277" i="62"/>
  <c r="S36" i="71" s="1"/>
  <c r="A277" i="62"/>
  <c r="Z276" i="62"/>
  <c r="S35" i="71" s="1"/>
  <c r="A276" i="62"/>
  <c r="Z275" i="62"/>
  <c r="A275" i="62"/>
  <c r="Z274" i="62"/>
  <c r="A274" i="62"/>
  <c r="Z273" i="62"/>
  <c r="A273" i="62"/>
  <c r="Z272" i="62"/>
  <c r="S31" i="71" s="1"/>
  <c r="A272" i="62"/>
  <c r="Z271" i="62"/>
  <c r="S30" i="71" s="1"/>
  <c r="A271" i="62"/>
  <c r="Z270" i="62"/>
  <c r="S29" i="71" s="1"/>
  <c r="A270" i="62"/>
  <c r="Z269" i="62"/>
  <c r="S28" i="71" s="1"/>
  <c r="A269" i="62"/>
  <c r="Z268" i="62"/>
  <c r="S27" i="71" s="1"/>
  <c r="A268" i="62"/>
  <c r="Z267" i="62"/>
  <c r="S26" i="71" s="1"/>
  <c r="A267" i="62"/>
  <c r="Z266" i="62"/>
  <c r="S25" i="71" s="1"/>
  <c r="A266" i="62"/>
  <c r="Z265" i="62"/>
  <c r="S24" i="71" s="1"/>
  <c r="A265" i="62"/>
  <c r="Z264" i="62"/>
  <c r="S23" i="71" s="1"/>
  <c r="A264" i="62"/>
  <c r="Z263" i="62"/>
  <c r="S22" i="71" s="1"/>
  <c r="A263" i="62"/>
  <c r="Z262" i="62"/>
  <c r="S21" i="71" s="1"/>
  <c r="Z260" i="62"/>
  <c r="Z259" i="62"/>
  <c r="Z258" i="62"/>
  <c r="Z257" i="62"/>
  <c r="Z256" i="62"/>
  <c r="Z255" i="62"/>
  <c r="S14" i="71" s="1"/>
  <c r="Z254" i="62"/>
  <c r="S13" i="71" s="1"/>
  <c r="Z253" i="62"/>
  <c r="Z252" i="62"/>
  <c r="Z251" i="62"/>
  <c r="A249" i="62"/>
  <c r="Z243" i="62"/>
  <c r="Z242" i="62"/>
  <c r="Z241" i="62"/>
  <c r="Z240" i="62"/>
  <c r="Z239" i="62"/>
  <c r="Z238" i="62"/>
  <c r="Z237" i="62"/>
  <c r="Z236" i="62"/>
  <c r="A236" i="62"/>
  <c r="Z235" i="62"/>
  <c r="A235" i="62"/>
  <c r="Z234" i="62"/>
  <c r="S53" i="70" s="1"/>
  <c r="A234" i="62"/>
  <c r="Z233" i="62"/>
  <c r="S52" i="70" s="1"/>
  <c r="A233" i="62"/>
  <c r="Z232" i="62"/>
  <c r="S51" i="70" s="1"/>
  <c r="A232" i="62"/>
  <c r="Z231" i="62"/>
  <c r="S50" i="70" s="1"/>
  <c r="A231" i="62"/>
  <c r="Z230" i="62"/>
  <c r="S49" i="70" s="1"/>
  <c r="A230" i="62"/>
  <c r="Z229" i="62"/>
  <c r="S48" i="70" s="1"/>
  <c r="A229" i="62"/>
  <c r="Z228" i="62"/>
  <c r="S47" i="70" s="1"/>
  <c r="A228" i="62"/>
  <c r="Z227" i="62"/>
  <c r="S46" i="70" s="1"/>
  <c r="A227" i="62"/>
  <c r="Z226" i="62"/>
  <c r="S45" i="70" s="1"/>
  <c r="A226" i="62"/>
  <c r="Z225" i="62"/>
  <c r="S44" i="70" s="1"/>
  <c r="A225" i="62"/>
  <c r="Z224" i="62"/>
  <c r="S43" i="70" s="1"/>
  <c r="A224" i="62"/>
  <c r="Z223" i="62"/>
  <c r="S42" i="70" s="1"/>
  <c r="A223" i="62"/>
  <c r="Z222" i="62"/>
  <c r="S41" i="70" s="1"/>
  <c r="A222" i="62"/>
  <c r="Z221" i="62"/>
  <c r="S40" i="70" s="1"/>
  <c r="A221" i="62"/>
  <c r="Z220" i="62"/>
  <c r="S39" i="70" s="1"/>
  <c r="A220" i="62"/>
  <c r="Z219" i="62"/>
  <c r="S38" i="70" s="1"/>
  <c r="A219" i="62"/>
  <c r="Z218" i="62"/>
  <c r="S37" i="70" s="1"/>
  <c r="A218" i="62"/>
  <c r="Z217" i="62"/>
  <c r="S36" i="70" s="1"/>
  <c r="A217" i="62"/>
  <c r="Z216" i="62"/>
  <c r="S35" i="70" s="1"/>
  <c r="A216" i="62"/>
  <c r="Z215" i="62"/>
  <c r="S34" i="70" s="1"/>
  <c r="A215" i="62"/>
  <c r="Z214" i="62"/>
  <c r="S33" i="70" s="1"/>
  <c r="A214" i="62"/>
  <c r="Z213" i="62"/>
  <c r="S32" i="70" s="1"/>
  <c r="A213" i="62"/>
  <c r="Z212" i="62"/>
  <c r="A212" i="62"/>
  <c r="A211" i="62"/>
  <c r="Z210" i="62"/>
  <c r="A210" i="62"/>
  <c r="A209" i="62"/>
  <c r="Z208" i="62"/>
  <c r="S27" i="70" s="1"/>
  <c r="A208" i="62"/>
  <c r="Z207" i="62"/>
  <c r="S26" i="70" s="1"/>
  <c r="A207" i="62"/>
  <c r="Z206" i="62"/>
  <c r="S25" i="70" s="1"/>
  <c r="A206" i="62"/>
  <c r="Z205" i="62"/>
  <c r="S24" i="70" s="1"/>
  <c r="A205" i="62"/>
  <c r="Z204" i="62"/>
  <c r="S23" i="70" s="1"/>
  <c r="A204" i="62"/>
  <c r="Z203" i="62"/>
  <c r="S22" i="70" s="1"/>
  <c r="A203" i="62"/>
  <c r="Z202" i="62"/>
  <c r="S21" i="70" s="1"/>
  <c r="A202" i="62"/>
  <c r="Z201" i="62"/>
  <c r="S20" i="70" s="1"/>
  <c r="A201" i="62"/>
  <c r="Z200" i="62"/>
  <c r="S19" i="70" s="1"/>
  <c r="A200" i="62"/>
  <c r="Z199" i="62"/>
  <c r="S18" i="70" s="1"/>
  <c r="A199" i="62"/>
  <c r="Z198" i="62"/>
  <c r="S17" i="70" s="1"/>
  <c r="A198" i="62"/>
  <c r="Z197" i="62"/>
  <c r="S16" i="70" s="1"/>
  <c r="A197" i="62"/>
  <c r="Z196" i="62"/>
  <c r="S15" i="70" s="1"/>
  <c r="A196" i="62"/>
  <c r="L244" i="62"/>
  <c r="A195" i="62"/>
  <c r="Z194" i="62"/>
  <c r="S13" i="70" s="1"/>
  <c r="A194" i="62"/>
  <c r="Z193" i="62"/>
  <c r="A193" i="62"/>
  <c r="Z192" i="62"/>
  <c r="A192" i="62"/>
  <c r="Z191" i="62"/>
  <c r="S10" i="70" s="1"/>
  <c r="A191" i="62"/>
  <c r="Z190" i="62"/>
  <c r="S9" i="70" s="1"/>
  <c r="A190" i="62"/>
  <c r="Z189" i="62"/>
  <c r="A189" i="62"/>
  <c r="Z183" i="62"/>
  <c r="S61" i="69" s="1"/>
  <c r="Z182" i="62"/>
  <c r="S60" i="69" s="1"/>
  <c r="Z181" i="62"/>
  <c r="S59" i="69" s="1"/>
  <c r="Z180" i="62"/>
  <c r="S58" i="69" s="1"/>
  <c r="Z179" i="62"/>
  <c r="S57" i="69" s="1"/>
  <c r="Z178" i="62"/>
  <c r="S56" i="69" s="1"/>
  <c r="Z177" i="62"/>
  <c r="S55" i="69" s="1"/>
  <c r="Z176" i="62"/>
  <c r="S54" i="69" s="1"/>
  <c r="Z175" i="62"/>
  <c r="S53" i="69" s="1"/>
  <c r="Z174" i="62"/>
  <c r="S52" i="69" s="1"/>
  <c r="Z173" i="62"/>
  <c r="S51" i="69" s="1"/>
  <c r="Z172" i="62"/>
  <c r="S50" i="69" s="1"/>
  <c r="Z171" i="62"/>
  <c r="S49" i="69" s="1"/>
  <c r="Z170" i="62"/>
  <c r="S48" i="69" s="1"/>
  <c r="Z169" i="62"/>
  <c r="S47" i="69" s="1"/>
  <c r="Z168" i="62"/>
  <c r="S46" i="69" s="1"/>
  <c r="Z167" i="62"/>
  <c r="S45" i="69" s="1"/>
  <c r="Z166" i="62"/>
  <c r="S44" i="69" s="1"/>
  <c r="Z165" i="62"/>
  <c r="S43" i="69" s="1"/>
  <c r="Z164" i="62"/>
  <c r="S42" i="69" s="1"/>
  <c r="L184" i="62"/>
  <c r="Z162" i="62"/>
  <c r="S40" i="69" s="1"/>
  <c r="Z161" i="62"/>
  <c r="S39" i="69" s="1"/>
  <c r="Z160" i="62"/>
  <c r="S38" i="69" s="1"/>
  <c r="Z159" i="62"/>
  <c r="S37" i="69" s="1"/>
  <c r="Z158" i="62"/>
  <c r="S36" i="69" s="1"/>
  <c r="Z157" i="62"/>
  <c r="S35" i="69" s="1"/>
  <c r="Z156" i="62"/>
  <c r="S34" i="69" s="1"/>
  <c r="Z155" i="62"/>
  <c r="S33" i="69" s="1"/>
  <c r="Z154" i="62"/>
  <c r="S32" i="69" s="1"/>
  <c r="Z153" i="62"/>
  <c r="S31" i="69" s="1"/>
  <c r="Z151" i="62"/>
  <c r="S29" i="69" s="1"/>
  <c r="Z150" i="62"/>
  <c r="S28" i="69" s="1"/>
  <c r="Z149" i="62"/>
  <c r="S27" i="69" s="1"/>
  <c r="Z148" i="62"/>
  <c r="S26" i="69" s="1"/>
  <c r="X184" i="62"/>
  <c r="X709" i="62" s="1"/>
  <c r="Z146" i="62"/>
  <c r="S24" i="69" s="1"/>
  <c r="Z145" i="62"/>
  <c r="S23" i="69" s="1"/>
  <c r="Z144" i="62"/>
  <c r="S22" i="69" s="1"/>
  <c r="Z143" i="62"/>
  <c r="S21" i="69" s="1"/>
  <c r="Z142" i="62"/>
  <c r="S20" i="69" s="1"/>
  <c r="Z141" i="62"/>
  <c r="S19" i="69" s="1"/>
  <c r="Z140" i="62"/>
  <c r="S18" i="69" s="1"/>
  <c r="Z139" i="62"/>
  <c r="S17" i="69" s="1"/>
  <c r="Z138" i="62"/>
  <c r="S16" i="69" s="1"/>
  <c r="Z137" i="62"/>
  <c r="S15" i="69" s="1"/>
  <c r="Z136" i="62"/>
  <c r="S14" i="69" s="1"/>
  <c r="K184" i="62"/>
  <c r="Z134" i="62"/>
  <c r="S12" i="69" s="1"/>
  <c r="Z133" i="62"/>
  <c r="S11" i="69" s="1"/>
  <c r="Z132" i="62"/>
  <c r="S10" i="69" s="1"/>
  <c r="Z131" i="62"/>
  <c r="S9" i="69" s="1"/>
  <c r="Z130" i="62"/>
  <c r="S8" i="69" s="1"/>
  <c r="Z122" i="62"/>
  <c r="Z121" i="62"/>
  <c r="Z120" i="62"/>
  <c r="S56" i="68" s="1"/>
  <c r="Z119" i="62"/>
  <c r="A119" i="62"/>
  <c r="Z118" i="62"/>
  <c r="A118" i="62"/>
  <c r="Z117" i="62"/>
  <c r="S53" i="68" s="1"/>
  <c r="A117" i="62"/>
  <c r="Z116" i="62"/>
  <c r="S52" i="68" s="1"/>
  <c r="A116" i="62"/>
  <c r="Z115" i="62"/>
  <c r="S51" i="68" s="1"/>
  <c r="A115" i="62"/>
  <c r="Z114" i="62"/>
  <c r="A114" i="62"/>
  <c r="Z113" i="62"/>
  <c r="S49" i="68" s="1"/>
  <c r="A113" i="62"/>
  <c r="Z112" i="62"/>
  <c r="S48" i="68" s="1"/>
  <c r="A112" i="62"/>
  <c r="Z111" i="62"/>
  <c r="S47" i="68" s="1"/>
  <c r="A111" i="62"/>
  <c r="Z110" i="62"/>
  <c r="A110" i="62"/>
  <c r="Z109" i="62"/>
  <c r="S45" i="68" s="1"/>
  <c r="A109" i="62"/>
  <c r="Z108" i="62"/>
  <c r="S44" i="68" s="1"/>
  <c r="A108" i="62"/>
  <c r="Z107" i="62"/>
  <c r="S43" i="68" s="1"/>
  <c r="A107" i="62"/>
  <c r="Z106" i="62"/>
  <c r="S42" i="68" s="1"/>
  <c r="A106" i="62"/>
  <c r="Z105" i="62"/>
  <c r="S41" i="68" s="1"/>
  <c r="A105" i="62"/>
  <c r="Z104" i="62"/>
  <c r="S40" i="68" s="1"/>
  <c r="A104" i="62"/>
  <c r="Z103" i="62"/>
  <c r="S39" i="68" s="1"/>
  <c r="A103" i="62"/>
  <c r="Z102" i="62"/>
  <c r="S38" i="68" s="1"/>
  <c r="A102" i="62"/>
  <c r="Z101" i="62"/>
  <c r="S37" i="68" s="1"/>
  <c r="A101" i="62"/>
  <c r="Z100" i="62"/>
  <c r="S36" i="68" s="1"/>
  <c r="A100" i="62"/>
  <c r="Z99" i="62"/>
  <c r="S35" i="68" s="1"/>
  <c r="A99" i="62"/>
  <c r="Z98" i="62"/>
  <c r="S34" i="68" s="1"/>
  <c r="A98" i="62"/>
  <c r="Z97" i="62"/>
  <c r="S33" i="68" s="1"/>
  <c r="A97" i="62"/>
  <c r="Z96" i="62"/>
  <c r="S32" i="68" s="1"/>
  <c r="A96" i="62"/>
  <c r="Z95" i="62"/>
  <c r="S31" i="68" s="1"/>
  <c r="A95" i="62"/>
  <c r="Z94" i="62"/>
  <c r="S30" i="68" s="1"/>
  <c r="A94" i="62"/>
  <c r="Z93" i="62"/>
  <c r="S29" i="68" s="1"/>
  <c r="A93" i="62"/>
  <c r="Z92" i="62"/>
  <c r="S28" i="68" s="1"/>
  <c r="A92" i="62"/>
  <c r="Z91" i="62"/>
  <c r="S27" i="68" s="1"/>
  <c r="A91" i="62"/>
  <c r="Z90" i="62"/>
  <c r="A90" i="62"/>
  <c r="Z89" i="62"/>
  <c r="S25" i="68" s="1"/>
  <c r="A89" i="62"/>
  <c r="Z88" i="62"/>
  <c r="S24" i="68" s="1"/>
  <c r="A88" i="62"/>
  <c r="Z87" i="62"/>
  <c r="S23" i="68" s="1"/>
  <c r="A87" i="62"/>
  <c r="Z86" i="62"/>
  <c r="A86" i="62"/>
  <c r="Z85" i="62"/>
  <c r="S21" i="68" s="1"/>
  <c r="A85" i="62"/>
  <c r="Z84" i="62"/>
  <c r="S20" i="68" s="1"/>
  <c r="A84" i="62"/>
  <c r="Z83" i="62"/>
  <c r="S19" i="68" s="1"/>
  <c r="A83" i="62"/>
  <c r="K123" i="62"/>
  <c r="B123" i="62"/>
  <c r="A82" i="62"/>
  <c r="Z81" i="62"/>
  <c r="A81" i="62"/>
  <c r="Z80" i="62"/>
  <c r="A80" i="62"/>
  <c r="Z79" i="62"/>
  <c r="S15" i="68" s="1"/>
  <c r="A79" i="62"/>
  <c r="Z78" i="62"/>
  <c r="S14" i="68" s="1"/>
  <c r="A78" i="62"/>
  <c r="Z77" i="62"/>
  <c r="A77" i="62"/>
  <c r="Z76" i="62"/>
  <c r="A76" i="62"/>
  <c r="Z75" i="62"/>
  <c r="S11" i="68" s="1"/>
  <c r="A75" i="62"/>
  <c r="Z74" i="62"/>
  <c r="S10" i="68" s="1"/>
  <c r="A74" i="62"/>
  <c r="Z73" i="62"/>
  <c r="A73" i="62"/>
  <c r="Z72" i="62"/>
  <c r="A72" i="62"/>
  <c r="Z67" i="62"/>
  <c r="Z66" i="62"/>
  <c r="Z65" i="62"/>
  <c r="Z64" i="62"/>
  <c r="Z63" i="62"/>
  <c r="Z62" i="62"/>
  <c r="Z61" i="62"/>
  <c r="A61" i="62"/>
  <c r="Z60" i="62"/>
  <c r="A60" i="62"/>
  <c r="Z59" i="62"/>
  <c r="A59" i="62"/>
  <c r="Z58" i="62"/>
  <c r="A58" i="62"/>
  <c r="Z57" i="62"/>
  <c r="A57" i="62"/>
  <c r="Z56" i="62"/>
  <c r="A56" i="62"/>
  <c r="Z55" i="62"/>
  <c r="S58" i="43" s="1"/>
  <c r="A55" i="62"/>
  <c r="Z54" i="62"/>
  <c r="S57" i="43" s="1"/>
  <c r="A54" i="62"/>
  <c r="Z53" i="62"/>
  <c r="S56" i="43" s="1"/>
  <c r="A53" i="62"/>
  <c r="Z52" i="62"/>
  <c r="S55" i="43" s="1"/>
  <c r="A52" i="62"/>
  <c r="Z51" i="62"/>
  <c r="S54" i="43" s="1"/>
  <c r="A51" i="62"/>
  <c r="Z50" i="62"/>
  <c r="S53" i="43" s="1"/>
  <c r="A50" i="62"/>
  <c r="Z49" i="62"/>
  <c r="S52" i="43" s="1"/>
  <c r="A49" i="62"/>
  <c r="Z48" i="62"/>
  <c r="S51" i="43" s="1"/>
  <c r="A48" i="62"/>
  <c r="Z47" i="62"/>
  <c r="S50" i="43" s="1"/>
  <c r="A47" i="62"/>
  <c r="Z46" i="62"/>
  <c r="S49" i="43" s="1"/>
  <c r="A46" i="62"/>
  <c r="Z45" i="62"/>
  <c r="S48" i="43" s="1"/>
  <c r="A45" i="62"/>
  <c r="Z44" i="62"/>
  <c r="S47" i="43" s="1"/>
  <c r="A44" i="62"/>
  <c r="Z43" i="62"/>
  <c r="S46" i="43" s="1"/>
  <c r="A43" i="62"/>
  <c r="Z42" i="62"/>
  <c r="S45" i="43" s="1"/>
  <c r="A42" i="62"/>
  <c r="Z41" i="62"/>
  <c r="S44" i="43" s="1"/>
  <c r="A41" i="62"/>
  <c r="A40" i="62"/>
  <c r="Z39" i="62"/>
  <c r="S42" i="43" s="1"/>
  <c r="A39" i="62"/>
  <c r="Z38" i="62"/>
  <c r="S41" i="43" s="1"/>
  <c r="A38" i="62"/>
  <c r="Z37" i="62"/>
  <c r="S40" i="43" s="1"/>
  <c r="A37" i="62"/>
  <c r="Z36" i="62"/>
  <c r="S39" i="43" s="1"/>
  <c r="A36" i="62"/>
  <c r="Z35" i="62"/>
  <c r="S38" i="43" s="1"/>
  <c r="A35" i="62"/>
  <c r="A34" i="62"/>
  <c r="Z33" i="62"/>
  <c r="S36" i="43" s="1"/>
  <c r="A33" i="62"/>
  <c r="A32" i="62"/>
  <c r="Z31" i="62"/>
  <c r="S34" i="43" s="1"/>
  <c r="A31" i="62"/>
  <c r="Z30" i="62"/>
  <c r="S33" i="43" s="1"/>
  <c r="A30" i="62"/>
  <c r="Z29" i="62"/>
  <c r="S32" i="43" s="1"/>
  <c r="A29" i="62"/>
  <c r="Z28" i="62"/>
  <c r="S31" i="43" s="1"/>
  <c r="A28" i="62"/>
  <c r="A27" i="62"/>
  <c r="K68" i="62"/>
  <c r="A26" i="62"/>
  <c r="Z25" i="62"/>
  <c r="S28" i="43" s="1"/>
  <c r="A25" i="62"/>
  <c r="Z24" i="62"/>
  <c r="S27" i="43" s="1"/>
  <c r="A24" i="62"/>
  <c r="Z23" i="62"/>
  <c r="S26" i="43" s="1"/>
  <c r="A23" i="62"/>
  <c r="Z22" i="62"/>
  <c r="S25" i="43" s="1"/>
  <c r="A22" i="62"/>
  <c r="Z21" i="62"/>
  <c r="S24" i="43" s="1"/>
  <c r="A21" i="62"/>
  <c r="Z20" i="62"/>
  <c r="S23" i="43" s="1"/>
  <c r="A20" i="62"/>
  <c r="N68" i="62"/>
  <c r="A19" i="62"/>
  <c r="Z18" i="62"/>
  <c r="S21" i="43" s="1"/>
  <c r="A18" i="62"/>
  <c r="Z17" i="62"/>
  <c r="S20" i="43" s="1"/>
  <c r="A17" i="62"/>
  <c r="Z16" i="62"/>
  <c r="S19" i="43" s="1"/>
  <c r="A16" i="62"/>
  <c r="Z15" i="62"/>
  <c r="S18" i="43" s="1"/>
  <c r="A15" i="62"/>
  <c r="Z14" i="62"/>
  <c r="S17" i="43" s="1"/>
  <c r="A14" i="62"/>
  <c r="Z13" i="62"/>
  <c r="S16" i="43" s="1"/>
  <c r="A13" i="62"/>
  <c r="Z12" i="62"/>
  <c r="S15" i="43" s="1"/>
  <c r="A12" i="62"/>
  <c r="Z11" i="62"/>
  <c r="S14" i="43" s="1"/>
  <c r="A11" i="62"/>
  <c r="Z10" i="62"/>
  <c r="S13" i="43" s="1"/>
  <c r="A10" i="62"/>
  <c r="Z9" i="62"/>
  <c r="S12" i="43" s="1"/>
  <c r="A9" i="62"/>
  <c r="Z8" i="62"/>
  <c r="S11" i="43" s="1"/>
  <c r="A8" i="62"/>
  <c r="Z7" i="62"/>
  <c r="S10" i="43" s="1"/>
  <c r="A7" i="62"/>
  <c r="Z6" i="62"/>
  <c r="S9" i="43" s="1"/>
  <c r="A6" i="62"/>
  <c r="Z5" i="62"/>
  <c r="A5" i="62"/>
  <c r="AK718" i="57"/>
  <c r="R57" i="67" s="1"/>
  <c r="AK717" i="57"/>
  <c r="A717" i="57"/>
  <c r="AK716" i="57"/>
  <c r="A716" i="57"/>
  <c r="AK715" i="57"/>
  <c r="A715" i="57"/>
  <c r="AK714" i="57"/>
  <c r="A714" i="57"/>
  <c r="AK713" i="57"/>
  <c r="A713" i="57"/>
  <c r="AK712" i="57"/>
  <c r="A712" i="57"/>
  <c r="AK711" i="57"/>
  <c r="R50" i="67" s="1"/>
  <c r="A711" i="57"/>
  <c r="AK710" i="57"/>
  <c r="R49" i="67" s="1"/>
  <c r="A710" i="57"/>
  <c r="AK709" i="57"/>
  <c r="R48" i="67" s="1"/>
  <c r="A709" i="57"/>
  <c r="AK708" i="57"/>
  <c r="R47" i="67" s="1"/>
  <c r="A708" i="57"/>
  <c r="AK707" i="57"/>
  <c r="R46" i="67" s="1"/>
  <c r="A707" i="57"/>
  <c r="AK706" i="57"/>
  <c r="R45" i="67" s="1"/>
  <c r="A706" i="57"/>
  <c r="AK705" i="57"/>
  <c r="R44" i="67" s="1"/>
  <c r="A705" i="57"/>
  <c r="AK704" i="57"/>
  <c r="A704" i="57"/>
  <c r="AK703" i="57"/>
  <c r="R42" i="67" s="1"/>
  <c r="A703" i="57"/>
  <c r="AK702" i="57"/>
  <c r="R41" i="67" s="1"/>
  <c r="A702" i="57"/>
  <c r="AK701" i="57"/>
  <c r="R40" i="67" s="1"/>
  <c r="A701" i="57"/>
  <c r="AK700" i="57"/>
  <c r="R39" i="67" s="1"/>
  <c r="A700" i="57"/>
  <c r="AK699" i="57"/>
  <c r="R38" i="67" s="1"/>
  <c r="A699" i="57"/>
  <c r="AK698" i="57"/>
  <c r="R37" i="67" s="1"/>
  <c r="A698" i="57"/>
  <c r="AK697" i="57"/>
  <c r="R36" i="67" s="1"/>
  <c r="A697" i="57"/>
  <c r="AK696" i="57"/>
  <c r="R35" i="67" s="1"/>
  <c r="A696" i="57"/>
  <c r="AK695" i="57"/>
  <c r="R34" i="67" s="1"/>
  <c r="A695" i="57"/>
  <c r="AK694" i="57"/>
  <c r="R33" i="67" s="1"/>
  <c r="A694" i="57"/>
  <c r="AK693" i="57"/>
  <c r="R32" i="67" s="1"/>
  <c r="A693" i="57"/>
  <c r="AK692" i="57"/>
  <c r="R31" i="67" s="1"/>
  <c r="A692" i="57"/>
  <c r="AK691" i="57"/>
  <c r="R30" i="67" s="1"/>
  <c r="A691" i="57"/>
  <c r="AK690" i="57"/>
  <c r="R29" i="67" s="1"/>
  <c r="A690" i="57"/>
  <c r="AK689" i="57"/>
  <c r="R28" i="67" s="1"/>
  <c r="A689" i="57"/>
  <c r="AK688" i="57"/>
  <c r="R27" i="67" s="1"/>
  <c r="A688" i="57"/>
  <c r="AK687" i="57"/>
  <c r="A687" i="57"/>
  <c r="AK686" i="57"/>
  <c r="R25" i="67" s="1"/>
  <c r="A686" i="57"/>
  <c r="AK685" i="57"/>
  <c r="R24" i="67" s="1"/>
  <c r="A685" i="57"/>
  <c r="AK684" i="57"/>
  <c r="R23" i="67" s="1"/>
  <c r="A684" i="57"/>
  <c r="AK683" i="57"/>
  <c r="R22" i="67" s="1"/>
  <c r="A683" i="57"/>
  <c r="AK682" i="57"/>
  <c r="A682" i="57"/>
  <c r="AK681" i="57"/>
  <c r="R20" i="67" s="1"/>
  <c r="A681" i="57"/>
  <c r="AK680" i="57"/>
  <c r="R19" i="67" s="1"/>
  <c r="A680" i="57"/>
  <c r="AK679" i="57"/>
  <c r="R18" i="67" s="1"/>
  <c r="A679" i="57"/>
  <c r="AK678" i="57"/>
  <c r="R17" i="67" s="1"/>
  <c r="A678" i="57"/>
  <c r="R16" i="67"/>
  <c r="R15" i="67"/>
  <c r="R14" i="67"/>
  <c r="R13" i="67"/>
  <c r="AK673" i="57"/>
  <c r="R12" i="67" s="1"/>
  <c r="A673" i="57"/>
  <c r="AK672" i="57"/>
  <c r="R11" i="67" s="1"/>
  <c r="A672" i="57"/>
  <c r="AK671" i="57"/>
  <c r="R10" i="67" s="1"/>
  <c r="A671" i="57"/>
  <c r="AK670" i="57"/>
  <c r="R9" i="67" s="1"/>
  <c r="A670" i="57"/>
  <c r="AK669" i="57"/>
  <c r="A669" i="57"/>
  <c r="AK664" i="57"/>
  <c r="R62" i="77" s="1"/>
  <c r="AK663" i="57"/>
  <c r="R61" i="77" s="1"/>
  <c r="AK662" i="57"/>
  <c r="R60" i="77" s="1"/>
  <c r="AK661" i="57"/>
  <c r="R59" i="77" s="1"/>
  <c r="AK660" i="57"/>
  <c r="R58" i="77" s="1"/>
  <c r="AK659" i="57"/>
  <c r="R57" i="77" s="1"/>
  <c r="AK658" i="57"/>
  <c r="R56" i="77" s="1"/>
  <c r="AK657" i="57"/>
  <c r="R55" i="77" s="1"/>
  <c r="AK656" i="57"/>
  <c r="R54" i="77" s="1"/>
  <c r="AK655" i="57"/>
  <c r="R53" i="77" s="1"/>
  <c r="AK654" i="57"/>
  <c r="R52" i="77" s="1"/>
  <c r="AK653" i="57"/>
  <c r="R51" i="77" s="1"/>
  <c r="AK652" i="57"/>
  <c r="R49" i="77" s="1"/>
  <c r="AK651" i="57"/>
  <c r="R48" i="77" s="1"/>
  <c r="AK650" i="57"/>
  <c r="R47" i="77" s="1"/>
  <c r="AK649" i="57"/>
  <c r="R46" i="77" s="1"/>
  <c r="AK648" i="57"/>
  <c r="R45" i="77" s="1"/>
  <c r="AK647" i="57"/>
  <c r="R44" i="77" s="1"/>
  <c r="AK646" i="57"/>
  <c r="R43" i="77" s="1"/>
  <c r="AK645" i="57"/>
  <c r="R42" i="77" s="1"/>
  <c r="AK644" i="57"/>
  <c r="R41" i="77" s="1"/>
  <c r="AK643" i="57"/>
  <c r="R40" i="77" s="1"/>
  <c r="AK642" i="57"/>
  <c r="R39" i="77" s="1"/>
  <c r="AK641" i="57"/>
  <c r="R38" i="77" s="1"/>
  <c r="AK640" i="57"/>
  <c r="R37" i="77" s="1"/>
  <c r="AK639" i="57"/>
  <c r="R36" i="77" s="1"/>
  <c r="AK638" i="57"/>
  <c r="R35" i="77" s="1"/>
  <c r="AK637" i="57"/>
  <c r="R34" i="77" s="1"/>
  <c r="AK636" i="57"/>
  <c r="R33" i="77" s="1"/>
  <c r="AK635" i="57"/>
  <c r="R32" i="77" s="1"/>
  <c r="AK634" i="57"/>
  <c r="R31" i="77" s="1"/>
  <c r="AK633" i="57"/>
  <c r="R30" i="77" s="1"/>
  <c r="AK632" i="57"/>
  <c r="R29" i="77" s="1"/>
  <c r="AK631" i="57"/>
  <c r="R28" i="77" s="1"/>
  <c r="AK630" i="57"/>
  <c r="R27" i="77" s="1"/>
  <c r="AK629" i="57"/>
  <c r="AK628" i="57"/>
  <c r="AK627" i="57"/>
  <c r="AK626" i="57"/>
  <c r="AK625" i="57"/>
  <c r="AK624" i="57"/>
  <c r="AK623" i="57"/>
  <c r="AK622" i="57"/>
  <c r="AK621" i="57"/>
  <c r="R18" i="77" s="1"/>
  <c r="AK620" i="57"/>
  <c r="R17" i="77" s="1"/>
  <c r="AK619" i="57"/>
  <c r="R16" i="77" s="1"/>
  <c r="AK618" i="57"/>
  <c r="R15" i="77" s="1"/>
  <c r="AK617" i="57"/>
  <c r="R14" i="77" s="1"/>
  <c r="AK616" i="57"/>
  <c r="R13" i="77" s="1"/>
  <c r="AK615" i="57"/>
  <c r="R12" i="77" s="1"/>
  <c r="AK614" i="57"/>
  <c r="R11" i="77" s="1"/>
  <c r="AK613" i="57"/>
  <c r="R10" i="77" s="1"/>
  <c r="AK612" i="57"/>
  <c r="R9" i="77" s="1"/>
  <c r="AK611" i="57"/>
  <c r="A611" i="57"/>
  <c r="AK606" i="57"/>
  <c r="R61" i="76" s="1"/>
  <c r="AK605" i="57"/>
  <c r="AK604" i="57"/>
  <c r="A604" i="57"/>
  <c r="AK603" i="57"/>
  <c r="A603" i="57"/>
  <c r="AK602" i="57"/>
  <c r="A602" i="57"/>
  <c r="AK601" i="57"/>
  <c r="A601" i="57"/>
  <c r="AK600" i="57"/>
  <c r="A600" i="57"/>
  <c r="AK599" i="57"/>
  <c r="A599" i="57"/>
  <c r="AK598" i="57"/>
  <c r="A598" i="57"/>
  <c r="AK597" i="57"/>
  <c r="A597" i="57"/>
  <c r="AK596" i="57"/>
  <c r="A596" i="57"/>
  <c r="AK595" i="57"/>
  <c r="A595" i="57"/>
  <c r="AK594" i="57"/>
  <c r="A594" i="57"/>
  <c r="AK593" i="57"/>
  <c r="A593" i="57"/>
  <c r="AK592" i="57"/>
  <c r="A592" i="57"/>
  <c r="AK591" i="57"/>
  <c r="R46" i="76" s="1"/>
  <c r="A591" i="57"/>
  <c r="AK590" i="57"/>
  <c r="R45" i="76" s="1"/>
  <c r="A590" i="57"/>
  <c r="A589" i="57"/>
  <c r="AK588" i="57"/>
  <c r="A588" i="57"/>
  <c r="AK587" i="57"/>
  <c r="A587" i="57"/>
  <c r="AK586" i="57"/>
  <c r="R41" i="76" s="1"/>
  <c r="A586" i="57"/>
  <c r="AK585" i="57"/>
  <c r="R40" i="76" s="1"/>
  <c r="A585" i="57"/>
  <c r="AK584" i="57"/>
  <c r="A584" i="57"/>
  <c r="AK583" i="57"/>
  <c r="R38" i="76" s="1"/>
  <c r="A583" i="57"/>
  <c r="AK582" i="57"/>
  <c r="R37" i="76" s="1"/>
  <c r="A582" i="57"/>
  <c r="AK581" i="57"/>
  <c r="A581" i="57"/>
  <c r="AK580" i="57"/>
  <c r="R35" i="76" s="1"/>
  <c r="A580" i="57"/>
  <c r="A579" i="57"/>
  <c r="AE607" i="57"/>
  <c r="A578" i="57"/>
  <c r="E607" i="57"/>
  <c r="A577" i="57"/>
  <c r="AK576" i="57"/>
  <c r="R31" i="76" s="1"/>
  <c r="A576" i="57"/>
  <c r="H607" i="57"/>
  <c r="A575" i="57"/>
  <c r="A574" i="57"/>
  <c r="AK573" i="57"/>
  <c r="A573" i="57"/>
  <c r="Q607" i="57"/>
  <c r="A572" i="57"/>
  <c r="AK571" i="57"/>
  <c r="R26" i="76" s="1"/>
  <c r="A571" i="57"/>
  <c r="A570" i="57"/>
  <c r="A569" i="57"/>
  <c r="A568" i="57"/>
  <c r="AK567" i="57"/>
  <c r="A567" i="57"/>
  <c r="A566" i="57"/>
  <c r="A565" i="57"/>
  <c r="AK564" i="57"/>
  <c r="A564" i="57"/>
  <c r="AK563" i="57"/>
  <c r="R18" i="76" s="1"/>
  <c r="A563" i="57"/>
  <c r="AK562" i="57"/>
  <c r="A562" i="57"/>
  <c r="AK561" i="57"/>
  <c r="R16" i="76" s="1"/>
  <c r="A561" i="57"/>
  <c r="AK560" i="57"/>
  <c r="R15" i="76" s="1"/>
  <c r="A560" i="57"/>
  <c r="AK559" i="57"/>
  <c r="R14" i="76" s="1"/>
  <c r="A559" i="57"/>
  <c r="AK558" i="57"/>
  <c r="R13" i="76" s="1"/>
  <c r="A558" i="57"/>
  <c r="AK557" i="57"/>
  <c r="R12" i="76" s="1"/>
  <c r="A557" i="57"/>
  <c r="AK556" i="57"/>
  <c r="A556" i="57"/>
  <c r="AC607" i="57"/>
  <c r="A555" i="57"/>
  <c r="AK554" i="57"/>
  <c r="R9" i="76" s="1"/>
  <c r="A554" i="57"/>
  <c r="A553" i="57"/>
  <c r="AK548" i="57"/>
  <c r="AK547" i="57"/>
  <c r="AK546" i="57"/>
  <c r="AK545" i="57"/>
  <c r="AK544" i="57"/>
  <c r="AK543" i="57"/>
  <c r="AK542" i="57"/>
  <c r="AK541" i="57"/>
  <c r="AK540" i="57"/>
  <c r="AK539" i="57"/>
  <c r="AK538" i="57"/>
  <c r="AK537" i="57"/>
  <c r="R50" i="75" s="1"/>
  <c r="AK536" i="57"/>
  <c r="AK535" i="57"/>
  <c r="AK534" i="57"/>
  <c r="R49" i="75" s="1"/>
  <c r="AK533" i="57"/>
  <c r="AK532" i="57"/>
  <c r="AK531" i="57"/>
  <c r="AK530" i="57"/>
  <c r="A530" i="57"/>
  <c r="AK529" i="57"/>
  <c r="A529" i="57"/>
  <c r="A528" i="57"/>
  <c r="AK527" i="57"/>
  <c r="R42" i="75" s="1"/>
  <c r="A527" i="57"/>
  <c r="A526" i="57"/>
  <c r="A525" i="57"/>
  <c r="AK524" i="57"/>
  <c r="A524" i="57"/>
  <c r="AK523" i="57"/>
  <c r="R38" i="75" s="1"/>
  <c r="A523" i="57"/>
  <c r="AK522" i="57"/>
  <c r="A522" i="57"/>
  <c r="AK521" i="57"/>
  <c r="R36" i="75" s="1"/>
  <c r="A521" i="57"/>
  <c r="AK520" i="57"/>
  <c r="A520" i="57"/>
  <c r="AC549" i="57"/>
  <c r="A519" i="57"/>
  <c r="AK518" i="57"/>
  <c r="A518" i="57"/>
  <c r="A517" i="57"/>
  <c r="AK516" i="57"/>
  <c r="A516" i="57"/>
  <c r="AK515" i="57"/>
  <c r="R30" i="75" s="1"/>
  <c r="A515" i="57"/>
  <c r="A514" i="57"/>
  <c r="A513" i="57"/>
  <c r="AK512" i="57"/>
  <c r="R27" i="75" s="1"/>
  <c r="A512" i="57"/>
  <c r="A511" i="57"/>
  <c r="AK510" i="57"/>
  <c r="A510" i="57"/>
  <c r="AF549" i="57"/>
  <c r="A509" i="57"/>
  <c r="AK508" i="57"/>
  <c r="R23" i="75" s="1"/>
  <c r="A508" i="57"/>
  <c r="AK507" i="57"/>
  <c r="R22" i="75" s="1"/>
  <c r="A507" i="57"/>
  <c r="AK506" i="57"/>
  <c r="A506" i="57"/>
  <c r="A505" i="57"/>
  <c r="A504" i="57"/>
  <c r="A503" i="57"/>
  <c r="AK502" i="57"/>
  <c r="A502" i="57"/>
  <c r="AK501" i="57"/>
  <c r="A501" i="57"/>
  <c r="A500" i="57"/>
  <c r="A499" i="57"/>
  <c r="A498" i="57"/>
  <c r="AK497" i="57"/>
  <c r="R12" i="75" s="1"/>
  <c r="A497" i="57"/>
  <c r="AK496" i="57"/>
  <c r="A496" i="57"/>
  <c r="A495" i="57"/>
  <c r="A494" i="57"/>
  <c r="AJ549" i="57"/>
  <c r="A493" i="57"/>
  <c r="AK487" i="57"/>
  <c r="AK486" i="57"/>
  <c r="AK485" i="57"/>
  <c r="AK484" i="57"/>
  <c r="AK483" i="57"/>
  <c r="AK482" i="57"/>
  <c r="AK481" i="57"/>
  <c r="AK480" i="57"/>
  <c r="AK479" i="57"/>
  <c r="R55" i="74" s="1"/>
  <c r="AK478" i="57"/>
  <c r="R54" i="74" s="1"/>
  <c r="AK477" i="57"/>
  <c r="R53" i="74" s="1"/>
  <c r="AK476" i="57"/>
  <c r="R52" i="74" s="1"/>
  <c r="AK475" i="57"/>
  <c r="R51" i="74" s="1"/>
  <c r="AK474" i="57"/>
  <c r="R50" i="74" s="1"/>
  <c r="AK473" i="57"/>
  <c r="R49" i="74" s="1"/>
  <c r="AK472" i="57"/>
  <c r="R48" i="74" s="1"/>
  <c r="AK471" i="57"/>
  <c r="R47" i="74" s="1"/>
  <c r="AK470" i="57"/>
  <c r="R46" i="74" s="1"/>
  <c r="S488" i="57"/>
  <c r="A469" i="57"/>
  <c r="AK468" i="57"/>
  <c r="R44" i="74" s="1"/>
  <c r="A468" i="57"/>
  <c r="A467" i="57"/>
  <c r="A466" i="57"/>
  <c r="AK465" i="57"/>
  <c r="R41" i="74" s="1"/>
  <c r="A465" i="57"/>
  <c r="U488" i="57"/>
  <c r="A464" i="57"/>
  <c r="AK463" i="57"/>
  <c r="R39" i="74" s="1"/>
  <c r="A463" i="57"/>
  <c r="AK462" i="57"/>
  <c r="R38" i="74" s="1"/>
  <c r="A462" i="57"/>
  <c r="AK461" i="57"/>
  <c r="R37" i="74" s="1"/>
  <c r="A461" i="57"/>
  <c r="A460" i="57"/>
  <c r="A459" i="57"/>
  <c r="A458" i="57"/>
  <c r="AK457" i="57"/>
  <c r="R33" i="74" s="1"/>
  <c r="A457" i="57"/>
  <c r="A456" i="57"/>
  <c r="AK455" i="57"/>
  <c r="R31" i="74" s="1"/>
  <c r="A455" i="57"/>
  <c r="AK454" i="57"/>
  <c r="R29" i="74" s="1"/>
  <c r="A454" i="57"/>
  <c r="A453" i="57"/>
  <c r="AK452" i="57"/>
  <c r="R27" i="74" s="1"/>
  <c r="A452" i="57"/>
  <c r="AK451" i="57"/>
  <c r="R26" i="74" s="1"/>
  <c r="A451" i="57"/>
  <c r="AK450" i="57"/>
  <c r="A450" i="57"/>
  <c r="AK449" i="57"/>
  <c r="R24" i="74" s="1"/>
  <c r="A449" i="57"/>
  <c r="Q488" i="57"/>
  <c r="A448" i="57"/>
  <c r="A447" i="57"/>
  <c r="A446" i="57"/>
  <c r="A445" i="57"/>
  <c r="AI488" i="57"/>
  <c r="V488" i="57"/>
  <c r="A444" i="57"/>
  <c r="AK443" i="57"/>
  <c r="A443" i="57"/>
  <c r="L488" i="57"/>
  <c r="A442" i="57"/>
  <c r="Y488" i="57"/>
  <c r="A441" i="57"/>
  <c r="A440" i="57"/>
  <c r="A439" i="57"/>
  <c r="M488" i="57"/>
  <c r="A438" i="57"/>
  <c r="N488" i="57"/>
  <c r="A437" i="57"/>
  <c r="A436" i="57"/>
  <c r="A435" i="57"/>
  <c r="AK434" i="57"/>
  <c r="R9" i="74" s="1"/>
  <c r="A434" i="57"/>
  <c r="W488" i="57"/>
  <c r="A433" i="57"/>
  <c r="AK427" i="57"/>
  <c r="AK426" i="57"/>
  <c r="AK425" i="57"/>
  <c r="AK424" i="57"/>
  <c r="R60" i="73" s="1"/>
  <c r="AK423" i="57"/>
  <c r="R59" i="73" s="1"/>
  <c r="AK422" i="57"/>
  <c r="R58" i="73" s="1"/>
  <c r="AK421" i="57"/>
  <c r="R57" i="73" s="1"/>
  <c r="AK420" i="57"/>
  <c r="R56" i="73" s="1"/>
  <c r="AK419" i="57"/>
  <c r="R55" i="73" s="1"/>
  <c r="AK418" i="57"/>
  <c r="R54" i="73" s="1"/>
  <c r="AK417" i="57"/>
  <c r="R53" i="73" s="1"/>
  <c r="AK416" i="57"/>
  <c r="R52" i="73" s="1"/>
  <c r="AK415" i="57"/>
  <c r="R51" i="73" s="1"/>
  <c r="AK414" i="57"/>
  <c r="R50" i="73" s="1"/>
  <c r="AK413" i="57"/>
  <c r="R49" i="73" s="1"/>
  <c r="AK410" i="57"/>
  <c r="R46" i="73" s="1"/>
  <c r="AK409" i="57"/>
  <c r="R45" i="73" s="1"/>
  <c r="AI428" i="57"/>
  <c r="AK406" i="57"/>
  <c r="R42" i="73" s="1"/>
  <c r="AK405" i="57"/>
  <c r="R41" i="73" s="1"/>
  <c r="C428" i="57"/>
  <c r="AK401" i="57"/>
  <c r="R37" i="73" s="1"/>
  <c r="AK400" i="57"/>
  <c r="R36" i="73" s="1"/>
  <c r="AK399" i="57"/>
  <c r="R35" i="73" s="1"/>
  <c r="X428" i="57"/>
  <c r="AK397" i="57"/>
  <c r="R33" i="73" s="1"/>
  <c r="AK396" i="57"/>
  <c r="R32" i="73" s="1"/>
  <c r="AK395" i="57"/>
  <c r="AK394" i="57"/>
  <c r="R30" i="73" s="1"/>
  <c r="AK391" i="57"/>
  <c r="AK390" i="57"/>
  <c r="R26" i="73" s="1"/>
  <c r="AK389" i="57"/>
  <c r="R25" i="73" s="1"/>
  <c r="K428" i="57"/>
  <c r="AE428" i="57"/>
  <c r="R22" i="73"/>
  <c r="AK384" i="57"/>
  <c r="AC428" i="57"/>
  <c r="AA428" i="57"/>
  <c r="H428" i="57"/>
  <c r="AK381" i="57"/>
  <c r="U428" i="57"/>
  <c r="AK378" i="57"/>
  <c r="AK377" i="57"/>
  <c r="AK376" i="57"/>
  <c r="R12" i="73" s="1"/>
  <c r="A376" i="57"/>
  <c r="A375" i="57"/>
  <c r="A374" i="57"/>
  <c r="AK373" i="57"/>
  <c r="A373" i="57"/>
  <c r="A372" i="57"/>
  <c r="AK368" i="57"/>
  <c r="AK367" i="57"/>
  <c r="AK366" i="57"/>
  <c r="AK365" i="57"/>
  <c r="AK364" i="57"/>
  <c r="AK363" i="57"/>
  <c r="AK362" i="57"/>
  <c r="AK361" i="57"/>
  <c r="AK360" i="57"/>
  <c r="AK359" i="57"/>
  <c r="AK358" i="57"/>
  <c r="AK357" i="57"/>
  <c r="AK356" i="57"/>
  <c r="AK355" i="57"/>
  <c r="AK354" i="57"/>
  <c r="A354" i="57"/>
  <c r="AK353" i="57"/>
  <c r="A353" i="57"/>
  <c r="AK352" i="57"/>
  <c r="A352" i="57"/>
  <c r="AK351" i="57"/>
  <c r="R48" i="72" s="1"/>
  <c r="A351" i="57"/>
  <c r="AK350" i="57"/>
  <c r="R47" i="72" s="1"/>
  <c r="A350" i="57"/>
  <c r="AK349" i="57"/>
  <c r="R46" i="72" s="1"/>
  <c r="A349" i="57"/>
  <c r="AK348" i="57"/>
  <c r="R45" i="72" s="1"/>
  <c r="A348" i="57"/>
  <c r="AK347" i="57"/>
  <c r="A347" i="57"/>
  <c r="AK346" i="57"/>
  <c r="A346" i="57"/>
  <c r="K369" i="57"/>
  <c r="A345" i="57"/>
  <c r="AK344" i="57"/>
  <c r="R41" i="72" s="1"/>
  <c r="A344" i="57"/>
  <c r="A343" i="57"/>
  <c r="AK342" i="57"/>
  <c r="A342" i="57"/>
  <c r="A341" i="57"/>
  <c r="AK340" i="57"/>
  <c r="A340" i="57"/>
  <c r="A339" i="57"/>
  <c r="AK338" i="57"/>
  <c r="A338" i="57"/>
  <c r="AK337" i="57"/>
  <c r="A337" i="57"/>
  <c r="AK336" i="57"/>
  <c r="R34" i="72" s="1"/>
  <c r="A336" i="57"/>
  <c r="AK335" i="57"/>
  <c r="R33" i="72" s="1"/>
  <c r="A335" i="57"/>
  <c r="A334" i="57"/>
  <c r="A333" i="57"/>
  <c r="AK332" i="57"/>
  <c r="R30" i="72" s="1"/>
  <c r="A332" i="57"/>
  <c r="Y369" i="57"/>
  <c r="A331" i="57"/>
  <c r="A330" i="57"/>
  <c r="A329" i="57"/>
  <c r="A328" i="57"/>
  <c r="AK327" i="57"/>
  <c r="R25" i="72" s="1"/>
  <c r="A327" i="57"/>
  <c r="A326" i="57"/>
  <c r="A324" i="57"/>
  <c r="AK323" i="57"/>
  <c r="A323" i="57"/>
  <c r="A322" i="57"/>
  <c r="U369" i="57"/>
  <c r="A321" i="57"/>
  <c r="AK320" i="57"/>
  <c r="A320" i="57"/>
  <c r="AK319" i="57"/>
  <c r="R17" i="72" s="1"/>
  <c r="A319" i="57"/>
  <c r="A318" i="57"/>
  <c r="AK317" i="57"/>
  <c r="R15" i="72" s="1"/>
  <c r="A317" i="57"/>
  <c r="AK316" i="57"/>
  <c r="R14" i="72" s="1"/>
  <c r="A316" i="57"/>
  <c r="A315" i="57"/>
  <c r="V369" i="57"/>
  <c r="A314" i="57"/>
  <c r="AK313" i="57"/>
  <c r="A313" i="57"/>
  <c r="A312" i="57"/>
  <c r="AK311" i="57"/>
  <c r="R9" i="72" s="1"/>
  <c r="A311" i="57"/>
  <c r="AF369" i="57"/>
  <c r="AK305" i="57"/>
  <c r="AK304" i="57"/>
  <c r="R61" i="71" s="1"/>
  <c r="AK303" i="57"/>
  <c r="AK302" i="57"/>
  <c r="AK301" i="57"/>
  <c r="AK300" i="57"/>
  <c r="R57" i="71" s="1"/>
  <c r="AK299" i="57"/>
  <c r="AK298" i="57"/>
  <c r="AK297" i="57"/>
  <c r="AK296" i="57"/>
  <c r="R53" i="71" s="1"/>
  <c r="AK295" i="57"/>
  <c r="AK294" i="57"/>
  <c r="AK293" i="57"/>
  <c r="AK291" i="57"/>
  <c r="R48" i="71" s="1"/>
  <c r="AK290" i="57"/>
  <c r="R47" i="71" s="1"/>
  <c r="AK289" i="57"/>
  <c r="R46" i="71" s="1"/>
  <c r="AK288" i="57"/>
  <c r="R45" i="71" s="1"/>
  <c r="AK286" i="57"/>
  <c r="R43" i="71" s="1"/>
  <c r="AK283" i="57"/>
  <c r="AK281" i="57"/>
  <c r="R38" i="71" s="1"/>
  <c r="AK279" i="57"/>
  <c r="AK277" i="57"/>
  <c r="R34" i="71" s="1"/>
  <c r="AD306" i="57"/>
  <c r="AK275" i="57"/>
  <c r="R32" i="71" s="1"/>
  <c r="AK274" i="57"/>
  <c r="R31" i="71" s="1"/>
  <c r="AK273" i="57"/>
  <c r="R30" i="71" s="1"/>
  <c r="AK272" i="57"/>
  <c r="R29" i="71" s="1"/>
  <c r="AK271" i="57"/>
  <c r="R28" i="71" s="1"/>
  <c r="AK270" i="57"/>
  <c r="R27" i="71" s="1"/>
  <c r="AK269" i="57"/>
  <c r="R26" i="71" s="1"/>
  <c r="AK268" i="57"/>
  <c r="R25" i="71" s="1"/>
  <c r="AC306" i="57"/>
  <c r="AA306" i="57"/>
  <c r="AK266" i="57"/>
  <c r="R23" i="71" s="1"/>
  <c r="S306" i="57"/>
  <c r="AK262" i="57"/>
  <c r="R19" i="71" s="1"/>
  <c r="AK260" i="57"/>
  <c r="R17" i="71" s="1"/>
  <c r="AF306" i="57"/>
  <c r="AK258" i="57"/>
  <c r="R15" i="71" s="1"/>
  <c r="AK257" i="57"/>
  <c r="R14" i="71" s="1"/>
  <c r="AK256" i="57"/>
  <c r="R13" i="71" s="1"/>
  <c r="AK255" i="57"/>
  <c r="R12" i="71" s="1"/>
  <c r="Q306" i="57"/>
  <c r="AK252" i="57"/>
  <c r="AK251" i="57"/>
  <c r="A251" i="57"/>
  <c r="AK244" i="57"/>
  <c r="AK243" i="57"/>
  <c r="AK242" i="57"/>
  <c r="AK241" i="57"/>
  <c r="AK240" i="57"/>
  <c r="AK239" i="57"/>
  <c r="AK238" i="57"/>
  <c r="AK237" i="57"/>
  <c r="AK236" i="57"/>
  <c r="AK235" i="57"/>
  <c r="AK234" i="57"/>
  <c r="R53" i="70" s="1"/>
  <c r="AK233" i="57"/>
  <c r="R52" i="70" s="1"/>
  <c r="AK232" i="57"/>
  <c r="R51" i="70" s="1"/>
  <c r="AK231" i="57"/>
  <c r="A230" i="57"/>
  <c r="A229" i="57"/>
  <c r="AK228" i="57"/>
  <c r="A228" i="57"/>
  <c r="P245" i="57"/>
  <c r="A227" i="57"/>
  <c r="A226" i="57"/>
  <c r="S245" i="57"/>
  <c r="A225" i="57"/>
  <c r="A224" i="57"/>
  <c r="A223" i="57"/>
  <c r="R41" i="70"/>
  <c r="A222" i="57"/>
  <c r="A221" i="57"/>
  <c r="A220" i="57"/>
  <c r="R38" i="70"/>
  <c r="A219" i="57"/>
  <c r="X245" i="57"/>
  <c r="A218" i="57"/>
  <c r="A217" i="57"/>
  <c r="R35" i="70"/>
  <c r="A216" i="57"/>
  <c r="A215" i="57"/>
  <c r="H245" i="57"/>
  <c r="A214" i="57"/>
  <c r="AK213" i="57"/>
  <c r="A213" i="57"/>
  <c r="W245" i="57"/>
  <c r="A212" i="57"/>
  <c r="R30" i="70"/>
  <c r="A211" i="57"/>
  <c r="R29" i="70"/>
  <c r="A210" i="57"/>
  <c r="A209" i="57"/>
  <c r="R27" i="70"/>
  <c r="A208" i="57"/>
  <c r="R26" i="70"/>
  <c r="A207" i="57"/>
  <c r="AK206" i="57"/>
  <c r="A206" i="57"/>
  <c r="AK205" i="57"/>
  <c r="A205" i="57"/>
  <c r="A204" i="57"/>
  <c r="R22" i="70"/>
  <c r="A203" i="57"/>
  <c r="A202" i="57"/>
  <c r="A201" i="57"/>
  <c r="AK200" i="57"/>
  <c r="A200" i="57"/>
  <c r="A199" i="57"/>
  <c r="A198" i="57"/>
  <c r="A197" i="57"/>
  <c r="A196" i="57"/>
  <c r="A195" i="57"/>
  <c r="AK194" i="57"/>
  <c r="R12" i="70"/>
  <c r="A193" i="57"/>
  <c r="R11" i="70"/>
  <c r="A192" i="57"/>
  <c r="A191" i="57"/>
  <c r="A190" i="57"/>
  <c r="A189" i="57"/>
  <c r="AK182" i="57"/>
  <c r="AK181" i="57"/>
  <c r="AK180" i="57"/>
  <c r="R61" i="69" s="1"/>
  <c r="AK179" i="57"/>
  <c r="R60" i="69" s="1"/>
  <c r="AK178" i="57"/>
  <c r="R59" i="69" s="1"/>
  <c r="AK177" i="57"/>
  <c r="R58" i="69" s="1"/>
  <c r="AK176" i="57"/>
  <c r="R57" i="69" s="1"/>
  <c r="AK175" i="57"/>
  <c r="R56" i="69" s="1"/>
  <c r="AK174" i="57"/>
  <c r="R55" i="69" s="1"/>
  <c r="AK173" i="57"/>
  <c r="R54" i="69" s="1"/>
  <c r="AK172" i="57"/>
  <c r="R53" i="69" s="1"/>
  <c r="AK171" i="57"/>
  <c r="R52" i="69" s="1"/>
  <c r="AK170" i="57"/>
  <c r="R51" i="69" s="1"/>
  <c r="S183" i="57"/>
  <c r="J183" i="57"/>
  <c r="AK155" i="57"/>
  <c r="R36" i="69" s="1"/>
  <c r="AK154" i="57"/>
  <c r="R35" i="69" s="1"/>
  <c r="N183" i="57"/>
  <c r="K183" i="57"/>
  <c r="AK148" i="57"/>
  <c r="R29" i="69" s="1"/>
  <c r="W183" i="57"/>
  <c r="A147" i="57"/>
  <c r="AE183" i="57"/>
  <c r="A146" i="57"/>
  <c r="A145" i="57"/>
  <c r="A144" i="57"/>
  <c r="X183" i="57"/>
  <c r="A143" i="57"/>
  <c r="A142" i="57"/>
  <c r="A141" i="57"/>
  <c r="A140" i="57"/>
  <c r="A139" i="57"/>
  <c r="A138" i="57"/>
  <c r="A137" i="57"/>
  <c r="A136" i="57"/>
  <c r="A135" i="57"/>
  <c r="O183" i="57"/>
  <c r="A134" i="57"/>
  <c r="A133" i="57"/>
  <c r="A132" i="57"/>
  <c r="AK131" i="57"/>
  <c r="R12" i="69" s="1"/>
  <c r="A131" i="57"/>
  <c r="A115" i="57"/>
  <c r="R55" i="68"/>
  <c r="A114" i="57"/>
  <c r="A113" i="57"/>
  <c r="AK112" i="57"/>
  <c r="A112" i="57"/>
  <c r="AK111" i="57"/>
  <c r="A111" i="57"/>
  <c r="U121" i="57"/>
  <c r="A110" i="57"/>
  <c r="AK109" i="57"/>
  <c r="A109" i="57"/>
  <c r="A108" i="57"/>
  <c r="A107" i="57"/>
  <c r="A106" i="57"/>
  <c r="A105" i="57"/>
  <c r="A104" i="57"/>
  <c r="A103" i="57"/>
  <c r="A102" i="57"/>
  <c r="A101" i="57"/>
  <c r="R41" i="68"/>
  <c r="A100" i="57"/>
  <c r="W121" i="57"/>
  <c r="A99" i="57"/>
  <c r="A98" i="57"/>
  <c r="A97" i="57"/>
  <c r="AK96" i="57"/>
  <c r="A96" i="57"/>
  <c r="A95" i="57"/>
  <c r="A94" i="57"/>
  <c r="A93" i="57"/>
  <c r="AK92" i="57"/>
  <c r="A92" i="57"/>
  <c r="R32" i="68"/>
  <c r="A91" i="57"/>
  <c r="R31" i="68"/>
  <c r="A90" i="57"/>
  <c r="AK89" i="57"/>
  <c r="A89" i="57"/>
  <c r="R29" i="68"/>
  <c r="A88" i="57"/>
  <c r="R28" i="68"/>
  <c r="A87" i="57"/>
  <c r="AK86" i="57"/>
  <c r="A86" i="57"/>
  <c r="AK85" i="57"/>
  <c r="A85" i="57"/>
  <c r="G121" i="57"/>
  <c r="A84" i="57"/>
  <c r="J121" i="57"/>
  <c r="A83" i="57"/>
  <c r="A82" i="57"/>
  <c r="R22" i="68"/>
  <c r="A81" i="57"/>
  <c r="A80" i="57"/>
  <c r="A79" i="57"/>
  <c r="A78" i="57"/>
  <c r="AK77" i="57"/>
  <c r="A77" i="57"/>
  <c r="AK76" i="57"/>
  <c r="A76" i="57"/>
  <c r="R16" i="68"/>
  <c r="A75" i="57"/>
  <c r="A74" i="57"/>
  <c r="AK73" i="57"/>
  <c r="A73" i="57"/>
  <c r="A72" i="57"/>
  <c r="AK71" i="57"/>
  <c r="A71" i="57"/>
  <c r="R11" i="68"/>
  <c r="A70" i="57"/>
  <c r="A69" i="57"/>
  <c r="A68" i="57"/>
  <c r="A67" i="57"/>
  <c r="A40" i="57"/>
  <c r="AK39" i="57"/>
  <c r="R42" i="43" s="1"/>
  <c r="A39" i="57"/>
  <c r="AK38" i="57"/>
  <c r="R41" i="43" s="1"/>
  <c r="A38" i="57"/>
  <c r="A37" i="57"/>
  <c r="AK36" i="57"/>
  <c r="R39" i="43" s="1"/>
  <c r="A36" i="57"/>
  <c r="A35" i="57"/>
  <c r="AK34" i="57"/>
  <c r="R37" i="43" s="1"/>
  <c r="A34" i="57"/>
  <c r="A33" i="57"/>
  <c r="A32" i="57"/>
  <c r="A31" i="57"/>
  <c r="A30" i="57"/>
  <c r="AK29" i="57"/>
  <c r="R32" i="43" s="1"/>
  <c r="A29" i="57"/>
  <c r="A28" i="57"/>
  <c r="S62" i="57"/>
  <c r="A27" i="57"/>
  <c r="N62" i="57"/>
  <c r="A26" i="57"/>
  <c r="A25" i="57"/>
  <c r="AK24" i="57"/>
  <c r="R27" i="43" s="1"/>
  <c r="A24" i="57"/>
  <c r="A23" i="57"/>
  <c r="AK22" i="57"/>
  <c r="R25" i="43" s="1"/>
  <c r="A22" i="57"/>
  <c r="AK21" i="57"/>
  <c r="R24" i="43" s="1"/>
  <c r="A21" i="57"/>
  <c r="A20" i="57"/>
  <c r="A19" i="57"/>
  <c r="AK18" i="57"/>
  <c r="R21" i="43" s="1"/>
  <c r="A18" i="57"/>
  <c r="A17" i="57"/>
  <c r="A16" i="57"/>
  <c r="A15" i="57"/>
  <c r="AK14" i="57"/>
  <c r="R17" i="43" s="1"/>
  <c r="A14" i="57"/>
  <c r="AK13" i="57"/>
  <c r="R16" i="43" s="1"/>
  <c r="A13" i="57"/>
  <c r="U62" i="57"/>
  <c r="A12" i="57"/>
  <c r="A11" i="57"/>
  <c r="AK10" i="57"/>
  <c r="R13" i="43" s="1"/>
  <c r="A10" i="57"/>
  <c r="A9" i="57"/>
  <c r="G62" i="57"/>
  <c r="A8" i="57"/>
  <c r="A7" i="57"/>
  <c r="A6" i="57"/>
  <c r="A5" i="57"/>
  <c r="AI734" i="58"/>
  <c r="AI733" i="58"/>
  <c r="AI732" i="58"/>
  <c r="AI731" i="58"/>
  <c r="AI730" i="58"/>
  <c r="AI729" i="58"/>
  <c r="AI728" i="58"/>
  <c r="Q57" i="67" s="1"/>
  <c r="AI727" i="58"/>
  <c r="AI726" i="58"/>
  <c r="AI725" i="58"/>
  <c r="AI724" i="58"/>
  <c r="AI723" i="58"/>
  <c r="AI722" i="58"/>
  <c r="AI721" i="58"/>
  <c r="Q50" i="67" s="1"/>
  <c r="AI720" i="58"/>
  <c r="Q49" i="67" s="1"/>
  <c r="AI719" i="58"/>
  <c r="Q48" i="67" s="1"/>
  <c r="AI718" i="58"/>
  <c r="Q47" i="67" s="1"/>
  <c r="AI717" i="58"/>
  <c r="Q46" i="67" s="1"/>
  <c r="AI716" i="58"/>
  <c r="Q45" i="67" s="1"/>
  <c r="AI715" i="58"/>
  <c r="Q44" i="67" s="1"/>
  <c r="AI714" i="58"/>
  <c r="Q43" i="67" s="1"/>
  <c r="AI713" i="58"/>
  <c r="Q42" i="67" s="1"/>
  <c r="AI712" i="58"/>
  <c r="Q41" i="67" s="1"/>
  <c r="AI711" i="58"/>
  <c r="Q40" i="67" s="1"/>
  <c r="AI710" i="58"/>
  <c r="Q39" i="67" s="1"/>
  <c r="AI709" i="58"/>
  <c r="AI708" i="58"/>
  <c r="Q37" i="67" s="1"/>
  <c r="AI707" i="58"/>
  <c r="Q36" i="67" s="1"/>
  <c r="AI706" i="58"/>
  <c r="Q35" i="67" s="1"/>
  <c r="AI705" i="58"/>
  <c r="Q34" i="67" s="1"/>
  <c r="AI704" i="58"/>
  <c r="Q33" i="67" s="1"/>
  <c r="AI703" i="58"/>
  <c r="AI702" i="58"/>
  <c r="Q31" i="67" s="1"/>
  <c r="AI701" i="58"/>
  <c r="Q30" i="67" s="1"/>
  <c r="AI700" i="58"/>
  <c r="Q29" i="67" s="1"/>
  <c r="AI699" i="58"/>
  <c r="AI698" i="58"/>
  <c r="Q27" i="67" s="1"/>
  <c r="AI697" i="58"/>
  <c r="AI696" i="58"/>
  <c r="Q25" i="67" s="1"/>
  <c r="AI695" i="58"/>
  <c r="AI694" i="58"/>
  <c r="Q23" i="67" s="1"/>
  <c r="AI693" i="58"/>
  <c r="AI692" i="58"/>
  <c r="Q21" i="67" s="1"/>
  <c r="AI691" i="58"/>
  <c r="AI690" i="58"/>
  <c r="Q19" i="67" s="1"/>
  <c r="AI689" i="58"/>
  <c r="Q18" i="67" s="1"/>
  <c r="AI688" i="58"/>
  <c r="Q17" i="67" s="1"/>
  <c r="Q15" i="67"/>
  <c r="Q14" i="67"/>
  <c r="Q13" i="67"/>
  <c r="AI683" i="58"/>
  <c r="AI682" i="58"/>
  <c r="Q11" i="67" s="1"/>
  <c r="AI681" i="58"/>
  <c r="Q10" i="67" s="1"/>
  <c r="AI680" i="58"/>
  <c r="Q9" i="67" s="1"/>
  <c r="AI679" i="58"/>
  <c r="A679" i="58"/>
  <c r="AI673" i="58"/>
  <c r="AI672" i="58"/>
  <c r="AI671" i="58"/>
  <c r="Q62" i="77" s="1"/>
  <c r="AI670" i="58"/>
  <c r="AI669" i="58"/>
  <c r="Q60" i="77" s="1"/>
  <c r="AI668" i="58"/>
  <c r="AI667" i="58"/>
  <c r="Q58" i="77" s="1"/>
  <c r="AI666" i="58"/>
  <c r="AI665" i="58"/>
  <c r="Q56" i="77" s="1"/>
  <c r="AI664" i="58"/>
  <c r="AI663" i="58"/>
  <c r="Q54" i="77" s="1"/>
  <c r="AI662" i="58"/>
  <c r="AI661" i="58"/>
  <c r="Q52" i="77" s="1"/>
  <c r="AI660" i="58"/>
  <c r="AI659" i="58"/>
  <c r="Q49" i="77" s="1"/>
  <c r="AI658" i="58"/>
  <c r="Q48" i="77" s="1"/>
  <c r="AI657" i="58"/>
  <c r="Q47" i="77" s="1"/>
  <c r="AI656" i="58"/>
  <c r="Q46" i="77" s="1"/>
  <c r="AI655" i="58"/>
  <c r="Q45" i="77" s="1"/>
  <c r="AI654" i="58"/>
  <c r="Q44" i="77" s="1"/>
  <c r="AI653" i="58"/>
  <c r="Q43" i="77" s="1"/>
  <c r="AI652" i="58"/>
  <c r="Q42" i="77" s="1"/>
  <c r="AI651" i="58"/>
  <c r="Q41" i="77" s="1"/>
  <c r="AI650" i="58"/>
  <c r="Q40" i="77" s="1"/>
  <c r="AI649" i="58"/>
  <c r="Q39" i="77" s="1"/>
  <c r="AI648" i="58"/>
  <c r="AI647" i="58"/>
  <c r="Q37" i="77" s="1"/>
  <c r="AI646" i="58"/>
  <c r="AI645" i="58"/>
  <c r="Q35" i="77" s="1"/>
  <c r="AI644" i="58"/>
  <c r="AI643" i="58"/>
  <c r="Q33" i="77" s="1"/>
  <c r="AI642" i="58"/>
  <c r="AI641" i="58"/>
  <c r="Q31" i="77" s="1"/>
  <c r="AI640" i="58"/>
  <c r="AI639" i="58"/>
  <c r="Q29" i="77" s="1"/>
  <c r="AI638" i="58"/>
  <c r="AI637" i="58"/>
  <c r="Q27" i="77" s="1"/>
  <c r="AI636" i="58"/>
  <c r="AI635" i="58"/>
  <c r="Q25" i="77" s="1"/>
  <c r="AI634" i="58"/>
  <c r="AI633" i="58"/>
  <c r="AI632" i="58"/>
  <c r="AI631" i="58"/>
  <c r="Q21" i="77" s="1"/>
  <c r="AI630" i="58"/>
  <c r="AI629" i="58"/>
  <c r="Q19" i="77" s="1"/>
  <c r="AI628" i="58"/>
  <c r="AI627" i="58"/>
  <c r="Q17" i="77" s="1"/>
  <c r="AI626" i="58"/>
  <c r="Q16" i="77" s="1"/>
  <c r="AI625" i="58"/>
  <c r="AI624" i="58"/>
  <c r="Q14" i="77" s="1"/>
  <c r="AI623" i="58"/>
  <c r="Q13" i="77" s="1"/>
  <c r="AI622" i="58"/>
  <c r="Q12" i="77" s="1"/>
  <c r="AI621" i="58"/>
  <c r="Q11" i="77" s="1"/>
  <c r="AI620" i="58"/>
  <c r="Q10" i="77" s="1"/>
  <c r="AI619" i="58"/>
  <c r="Q9" i="77" s="1"/>
  <c r="AI618" i="58"/>
  <c r="A618" i="58"/>
  <c r="AI612" i="58"/>
  <c r="Q62" i="76" s="1"/>
  <c r="AI611" i="58"/>
  <c r="Q61" i="76" s="1"/>
  <c r="A611" i="58"/>
  <c r="AI610" i="58"/>
  <c r="Q60" i="76" s="1"/>
  <c r="A610" i="58"/>
  <c r="AI609" i="58"/>
  <c r="A609" i="58"/>
  <c r="AI608" i="58"/>
  <c r="Q58" i="76" s="1"/>
  <c r="A608" i="58"/>
  <c r="AI607" i="58"/>
  <c r="Q57" i="76" s="1"/>
  <c r="A607" i="58"/>
  <c r="AI606" i="58"/>
  <c r="Q56" i="76" s="1"/>
  <c r="A606" i="58"/>
  <c r="AI605" i="58"/>
  <c r="A605" i="58"/>
  <c r="AI604" i="58"/>
  <c r="Q54" i="76" s="1"/>
  <c r="A604" i="58"/>
  <c r="AI603" i="58"/>
  <c r="Q53" i="76" s="1"/>
  <c r="A603" i="58"/>
  <c r="AI602" i="58"/>
  <c r="Q52" i="76" s="1"/>
  <c r="A602" i="58"/>
  <c r="AI601" i="58"/>
  <c r="A601" i="58"/>
  <c r="AI600" i="58"/>
  <c r="Q50" i="76" s="1"/>
  <c r="A600" i="58"/>
  <c r="AI599" i="58"/>
  <c r="Q49" i="76" s="1"/>
  <c r="A599" i="58"/>
  <c r="AI598" i="58"/>
  <c r="Q48" i="76" s="1"/>
  <c r="A598" i="58"/>
  <c r="AI597" i="58"/>
  <c r="Q47" i="76" s="1"/>
  <c r="A597" i="58"/>
  <c r="AI596" i="58"/>
  <c r="Q46" i="76" s="1"/>
  <c r="A596" i="58"/>
  <c r="AI595" i="58"/>
  <c r="A595" i="58"/>
  <c r="A594" i="58"/>
  <c r="AI593" i="58"/>
  <c r="Q43" i="76" s="1"/>
  <c r="A593" i="58"/>
  <c r="A592" i="58"/>
  <c r="A591" i="58"/>
  <c r="AI590" i="58"/>
  <c r="Q40" i="76" s="1"/>
  <c r="A590" i="58"/>
  <c r="AA613" i="58"/>
  <c r="A589" i="58"/>
  <c r="I613" i="58"/>
  <c r="A588" i="58"/>
  <c r="AI587" i="58"/>
  <c r="Q37" i="76" s="1"/>
  <c r="A587" i="58"/>
  <c r="AH613" i="58"/>
  <c r="A586" i="58"/>
  <c r="AI585" i="58"/>
  <c r="A585" i="58"/>
  <c r="A584" i="58"/>
  <c r="AI583" i="58"/>
  <c r="A583" i="58"/>
  <c r="AE613" i="58"/>
  <c r="A582" i="58"/>
  <c r="AI581" i="58"/>
  <c r="Q31" i="76" s="1"/>
  <c r="A581" i="58"/>
  <c r="P613" i="58"/>
  <c r="P739" i="58" s="1"/>
  <c r="A580" i="58"/>
  <c r="AI579" i="58"/>
  <c r="A579" i="58"/>
  <c r="AI578" i="58"/>
  <c r="Q28" i="76" s="1"/>
  <c r="A578" i="58"/>
  <c r="AI577" i="58"/>
  <c r="Q27" i="76" s="1"/>
  <c r="A577" i="58"/>
  <c r="AI576" i="58"/>
  <c r="A576" i="58"/>
  <c r="AI575" i="58"/>
  <c r="Q25" i="76" s="1"/>
  <c r="A575" i="58"/>
  <c r="A574" i="58"/>
  <c r="AD613" i="58"/>
  <c r="A573" i="58"/>
  <c r="AI572" i="58"/>
  <c r="Q22" i="76" s="1"/>
  <c r="A572" i="58"/>
  <c r="AI571" i="58"/>
  <c r="A571" i="58"/>
  <c r="A570" i="58"/>
  <c r="AI569" i="58"/>
  <c r="Q19" i="76" s="1"/>
  <c r="A569" i="58"/>
  <c r="AI568" i="58"/>
  <c r="A568" i="58"/>
  <c r="A567" i="58"/>
  <c r="AI566" i="58"/>
  <c r="Q16" i="76" s="1"/>
  <c r="A566" i="58"/>
  <c r="AI565" i="58"/>
  <c r="Q15" i="76" s="1"/>
  <c r="A565" i="58"/>
  <c r="AI564" i="58"/>
  <c r="Q14" i="76" s="1"/>
  <c r="A564" i="58"/>
  <c r="AI563" i="58"/>
  <c r="Q13" i="76" s="1"/>
  <c r="A563" i="58"/>
  <c r="A562" i="58"/>
  <c r="AI561" i="58"/>
  <c r="A561" i="58"/>
  <c r="A560" i="58"/>
  <c r="AI559" i="58"/>
  <c r="Q9" i="76" s="1"/>
  <c r="A559" i="58"/>
  <c r="A558" i="58"/>
  <c r="AI552" i="58"/>
  <c r="AI551" i="58"/>
  <c r="AI550" i="58"/>
  <c r="AI549" i="58"/>
  <c r="AI548" i="58"/>
  <c r="AI547" i="58"/>
  <c r="AI546" i="58"/>
  <c r="AI545" i="58"/>
  <c r="AI544" i="58"/>
  <c r="AI543" i="58"/>
  <c r="AI542" i="58"/>
  <c r="AI541" i="58"/>
  <c r="AI540" i="58"/>
  <c r="AI539" i="58"/>
  <c r="AI538" i="58"/>
  <c r="AI537" i="58"/>
  <c r="AI536" i="58"/>
  <c r="Q49" i="75" s="1"/>
  <c r="AI535" i="58"/>
  <c r="Q48" i="75" s="1"/>
  <c r="A535" i="58"/>
  <c r="AI534" i="58"/>
  <c r="Q47" i="75" s="1"/>
  <c r="A534" i="58"/>
  <c r="AI533" i="58"/>
  <c r="Q46" i="75" s="1"/>
  <c r="A533" i="58"/>
  <c r="AI532" i="58"/>
  <c r="A532" i="58"/>
  <c r="AI531" i="58"/>
  <c r="A531" i="58"/>
  <c r="AI530" i="58"/>
  <c r="A530" i="58"/>
  <c r="AI529" i="58"/>
  <c r="A529" i="58"/>
  <c r="A528" i="58"/>
  <c r="AI527" i="58"/>
  <c r="A527" i="58"/>
  <c r="A526" i="58"/>
  <c r="AI525" i="58"/>
  <c r="Q38" i="75" s="1"/>
  <c r="A525" i="58"/>
  <c r="AI524" i="58"/>
  <c r="A524" i="58"/>
  <c r="A523" i="58"/>
  <c r="AI522" i="58"/>
  <c r="Q35" i="75" s="1"/>
  <c r="A522" i="58"/>
  <c r="AI521" i="58"/>
  <c r="A521" i="58"/>
  <c r="AI520" i="58"/>
  <c r="A520" i="58"/>
  <c r="AI519" i="58"/>
  <c r="A519" i="58"/>
  <c r="AI518" i="58"/>
  <c r="A518" i="58"/>
  <c r="AI517" i="58"/>
  <c r="Q30" i="75" s="1"/>
  <c r="A517" i="58"/>
  <c r="AA553" i="58"/>
  <c r="S553" i="58"/>
  <c r="A516" i="58"/>
  <c r="A515" i="58"/>
  <c r="AI514" i="58"/>
  <c r="A514" i="58"/>
  <c r="A513" i="58"/>
  <c r="AI512" i="58"/>
  <c r="Q25" i="75" s="1"/>
  <c r="A512" i="58"/>
  <c r="A511" i="58"/>
  <c r="AI510" i="58"/>
  <c r="A510" i="58"/>
  <c r="AI509" i="58"/>
  <c r="Q22" i="75" s="1"/>
  <c r="A509" i="58"/>
  <c r="AI508" i="58"/>
  <c r="A508" i="58"/>
  <c r="A507" i="58"/>
  <c r="AC553" i="58"/>
  <c r="A506" i="58"/>
  <c r="A505" i="58"/>
  <c r="H553" i="58"/>
  <c r="A504" i="58"/>
  <c r="AI503" i="58"/>
  <c r="Q16" i="75" s="1"/>
  <c r="A503" i="58"/>
  <c r="AI502" i="58"/>
  <c r="A501" i="58"/>
  <c r="A500" i="58"/>
  <c r="AI499" i="58"/>
  <c r="A499" i="58"/>
  <c r="AE553" i="58"/>
  <c r="A498" i="58"/>
  <c r="AI497" i="58"/>
  <c r="A497" i="58"/>
  <c r="I553" i="58"/>
  <c r="A496" i="58"/>
  <c r="AI495" i="58"/>
  <c r="A495" i="58"/>
  <c r="AI490" i="58"/>
  <c r="AI489" i="58"/>
  <c r="AI488" i="58"/>
  <c r="AI487" i="58"/>
  <c r="AI486" i="58"/>
  <c r="AI485" i="58"/>
  <c r="AI484" i="58"/>
  <c r="AI483" i="58"/>
  <c r="AI482" i="58"/>
  <c r="AI481" i="58"/>
  <c r="Q55" i="74" s="1"/>
  <c r="AI480" i="58"/>
  <c r="Q54" i="74" s="1"/>
  <c r="AI479" i="58"/>
  <c r="Q53" i="74" s="1"/>
  <c r="AI478" i="58"/>
  <c r="Q52" i="74" s="1"/>
  <c r="AI477" i="58"/>
  <c r="Q51" i="74" s="1"/>
  <c r="AI476" i="58"/>
  <c r="Q50" i="74" s="1"/>
  <c r="AI475" i="58"/>
  <c r="Q49" i="74" s="1"/>
  <c r="AI474" i="58"/>
  <c r="Q48" i="74" s="1"/>
  <c r="AI473" i="58"/>
  <c r="Q47" i="74" s="1"/>
  <c r="AI472" i="58"/>
  <c r="Q46" i="74" s="1"/>
  <c r="AI471" i="58"/>
  <c r="Q45" i="74" s="1"/>
  <c r="A471" i="58"/>
  <c r="AI470" i="58"/>
  <c r="Q44" i="74" s="1"/>
  <c r="A470" i="58"/>
  <c r="A469" i="58"/>
  <c r="A468" i="58"/>
  <c r="AI467" i="58"/>
  <c r="Q41" i="74" s="1"/>
  <c r="A467" i="58"/>
  <c r="AI466" i="58"/>
  <c r="Q40" i="74" s="1"/>
  <c r="A466" i="58"/>
  <c r="AI465" i="58"/>
  <c r="Q39" i="74" s="1"/>
  <c r="A465" i="58"/>
  <c r="AI464" i="58"/>
  <c r="Q38" i="74" s="1"/>
  <c r="A464" i="58"/>
  <c r="AI463" i="58"/>
  <c r="Q37" i="74" s="1"/>
  <c r="A463" i="58"/>
  <c r="A462" i="58"/>
  <c r="AI461" i="58"/>
  <c r="Q35" i="74" s="1"/>
  <c r="A461" i="58"/>
  <c r="AI460" i="58"/>
  <c r="Q34" i="74" s="1"/>
  <c r="A460" i="58"/>
  <c r="AI459" i="58"/>
  <c r="Q33" i="74" s="1"/>
  <c r="A459" i="58"/>
  <c r="Z491" i="58"/>
  <c r="A458" i="58"/>
  <c r="AI457" i="58"/>
  <c r="Q31" i="74" s="1"/>
  <c r="A457" i="58"/>
  <c r="AI456" i="58"/>
  <c r="A456" i="58"/>
  <c r="A455" i="58"/>
  <c r="AI454" i="58"/>
  <c r="A454" i="58"/>
  <c r="AI453" i="58"/>
  <c r="A453" i="58"/>
  <c r="AF491" i="58"/>
  <c r="AF739" i="58" s="1"/>
  <c r="A452" i="58"/>
  <c r="AI451" i="58"/>
  <c r="A451" i="58"/>
  <c r="A450" i="58"/>
  <c r="AI449" i="58"/>
  <c r="Q22" i="74" s="1"/>
  <c r="A449" i="58"/>
  <c r="AI448" i="58"/>
  <c r="Q21" i="74" s="1"/>
  <c r="A448" i="58"/>
  <c r="A447" i="58"/>
  <c r="A446" i="58"/>
  <c r="AI445" i="58"/>
  <c r="A445" i="58"/>
  <c r="A444" i="58"/>
  <c r="A443" i="58"/>
  <c r="AI442" i="58"/>
  <c r="Q15" i="74" s="1"/>
  <c r="A442" i="58"/>
  <c r="A441" i="58"/>
  <c r="AE491" i="58"/>
  <c r="A440" i="58"/>
  <c r="A439" i="58"/>
  <c r="AI438" i="58"/>
  <c r="A438" i="58"/>
  <c r="A437" i="58"/>
  <c r="AI436" i="58"/>
  <c r="Q9" i="74" s="1"/>
  <c r="A436" i="58"/>
  <c r="AI435" i="58"/>
  <c r="A435" i="58"/>
  <c r="AI429" i="58"/>
  <c r="AI428" i="58"/>
  <c r="AI427" i="58"/>
  <c r="AI426" i="58"/>
  <c r="AI425" i="58"/>
  <c r="Q60" i="73" s="1"/>
  <c r="AI424" i="58"/>
  <c r="Q59" i="73" s="1"/>
  <c r="AI423" i="58"/>
  <c r="Q58" i="73" s="1"/>
  <c r="AI422" i="58"/>
  <c r="Q57" i="73" s="1"/>
  <c r="AI421" i="58"/>
  <c r="Q56" i="73" s="1"/>
  <c r="AI420" i="58"/>
  <c r="Q55" i="73" s="1"/>
  <c r="A420" i="58"/>
  <c r="AI419" i="58"/>
  <c r="Q54" i="73" s="1"/>
  <c r="A419" i="58"/>
  <c r="AI418" i="58"/>
  <c r="Q53" i="73" s="1"/>
  <c r="A418" i="58"/>
  <c r="AI417" i="58"/>
  <c r="Q52" i="73" s="1"/>
  <c r="A417" i="58"/>
  <c r="AI416" i="58"/>
  <c r="Q51" i="73" s="1"/>
  <c r="A416" i="58"/>
  <c r="AI415" i="58"/>
  <c r="Q50" i="73" s="1"/>
  <c r="A415" i="58"/>
  <c r="AI414" i="58"/>
  <c r="Q49" i="73" s="1"/>
  <c r="A414" i="58"/>
  <c r="AI413" i="58"/>
  <c r="Q48" i="73" s="1"/>
  <c r="A413" i="58"/>
  <c r="A412" i="58"/>
  <c r="AI411" i="58"/>
  <c r="Q46" i="73" s="1"/>
  <c r="A411" i="58"/>
  <c r="AI410" i="58"/>
  <c r="Q45" i="73" s="1"/>
  <c r="A410" i="58"/>
  <c r="A409" i="58"/>
  <c r="AI408" i="58"/>
  <c r="Q43" i="73" s="1"/>
  <c r="A408" i="58"/>
  <c r="AI407" i="58"/>
  <c r="Q42" i="73" s="1"/>
  <c r="A407" i="58"/>
  <c r="AI406" i="58"/>
  <c r="Q41" i="73" s="1"/>
  <c r="A406" i="58"/>
  <c r="Q430" i="58"/>
  <c r="A405" i="58"/>
  <c r="AI404" i="58"/>
  <c r="Q39" i="73" s="1"/>
  <c r="A404" i="58"/>
  <c r="D430" i="58"/>
  <c r="A403" i="58"/>
  <c r="A402" i="58"/>
  <c r="K430" i="58"/>
  <c r="A401" i="58"/>
  <c r="AI400" i="58"/>
  <c r="Q35" i="73" s="1"/>
  <c r="A400" i="58"/>
  <c r="A399" i="58"/>
  <c r="AI398" i="58"/>
  <c r="Q33" i="73" s="1"/>
  <c r="A398" i="58"/>
  <c r="H430" i="58"/>
  <c r="A397" i="58"/>
  <c r="AI396" i="58"/>
  <c r="Q31" i="73" s="1"/>
  <c r="A396" i="58"/>
  <c r="AI395" i="58"/>
  <c r="Q30" i="73" s="1"/>
  <c r="AD430" i="58"/>
  <c r="AI392" i="58"/>
  <c r="Q27" i="73" s="1"/>
  <c r="AI391" i="58"/>
  <c r="Q26" i="73" s="1"/>
  <c r="AI390" i="58"/>
  <c r="Q25" i="73" s="1"/>
  <c r="AA430" i="58"/>
  <c r="I430" i="58"/>
  <c r="AI385" i="58"/>
  <c r="AI384" i="58"/>
  <c r="Q19" i="73" s="1"/>
  <c r="AI383" i="58"/>
  <c r="Q18" i="73" s="1"/>
  <c r="N430" i="58"/>
  <c r="AI379" i="58"/>
  <c r="Q14" i="73" s="1"/>
  <c r="AI378" i="58"/>
  <c r="Q13" i="73" s="1"/>
  <c r="A378" i="58"/>
  <c r="AI377" i="58"/>
  <c r="Q12" i="73" s="1"/>
  <c r="A377" i="58"/>
  <c r="A376" i="58"/>
  <c r="AI375" i="58"/>
  <c r="Q10" i="73" s="1"/>
  <c r="A375" i="58"/>
  <c r="A374" i="58"/>
  <c r="A373" i="58"/>
  <c r="AI369" i="58"/>
  <c r="AI368" i="58"/>
  <c r="AI367" i="58"/>
  <c r="AI366" i="58"/>
  <c r="AI365" i="58"/>
  <c r="AI364" i="58"/>
  <c r="AI363" i="58"/>
  <c r="AI362" i="58"/>
  <c r="AI361" i="58"/>
  <c r="AI360" i="58"/>
  <c r="AI359" i="58"/>
  <c r="Q55" i="72" s="1"/>
  <c r="AI358" i="58"/>
  <c r="AI357" i="58"/>
  <c r="Q53" i="72" s="1"/>
  <c r="AI356" i="58"/>
  <c r="Q52" i="72" s="1"/>
  <c r="AI355" i="58"/>
  <c r="Q51" i="72" s="1"/>
  <c r="AI354" i="58"/>
  <c r="AI353" i="58"/>
  <c r="AI352" i="58"/>
  <c r="A352" i="58"/>
  <c r="AI351" i="58"/>
  <c r="A351" i="58"/>
  <c r="AI350" i="58"/>
  <c r="A350" i="58"/>
  <c r="AI349" i="58"/>
  <c r="Q46" i="72" s="1"/>
  <c r="A349" i="58"/>
  <c r="AI348" i="58"/>
  <c r="Q45" i="72" s="1"/>
  <c r="A348" i="58"/>
  <c r="AI347" i="58"/>
  <c r="Q44" i="72" s="1"/>
  <c r="A347" i="58"/>
  <c r="AI346" i="58"/>
  <c r="A346" i="58"/>
  <c r="K370" i="58"/>
  <c r="A345" i="58"/>
  <c r="AI344" i="58"/>
  <c r="A344" i="58"/>
  <c r="I370" i="58"/>
  <c r="A343" i="58"/>
  <c r="AI342" i="58"/>
  <c r="A342" i="58"/>
  <c r="A341" i="58"/>
  <c r="AI340" i="58"/>
  <c r="Q38" i="72" s="1"/>
  <c r="A340" i="58"/>
  <c r="A339" i="58"/>
  <c r="A338" i="58"/>
  <c r="AI337" i="58"/>
  <c r="Q35" i="72" s="1"/>
  <c r="A337" i="58"/>
  <c r="AI336" i="58"/>
  <c r="Q34" i="72" s="1"/>
  <c r="A336" i="58"/>
  <c r="A335" i="58"/>
  <c r="AD370" i="58"/>
  <c r="A334" i="58"/>
  <c r="A333" i="58"/>
  <c r="AI332" i="58"/>
  <c r="Q30" i="72" s="1"/>
  <c r="A332" i="58"/>
  <c r="AI331" i="58"/>
  <c r="Q29" i="72" s="1"/>
  <c r="A331" i="58"/>
  <c r="AI330" i="58"/>
  <c r="Q28" i="72" s="1"/>
  <c r="A330" i="58"/>
  <c r="AG370" i="58"/>
  <c r="AG739" i="58" s="1"/>
  <c r="A329" i="58"/>
  <c r="A328" i="58"/>
  <c r="A327" i="58"/>
  <c r="A326" i="58"/>
  <c r="A324" i="58"/>
  <c r="AI323" i="58"/>
  <c r="Q21" i="72" s="1"/>
  <c r="A323" i="58"/>
  <c r="A322" i="58"/>
  <c r="A321" i="58"/>
  <c r="AI320" i="58"/>
  <c r="A320" i="58"/>
  <c r="AI319" i="58"/>
  <c r="Q17" i="72" s="1"/>
  <c r="A319" i="58"/>
  <c r="A318" i="58"/>
  <c r="AI317" i="58"/>
  <c r="Q15" i="72" s="1"/>
  <c r="A317" i="58"/>
  <c r="AI316" i="58"/>
  <c r="Q14" i="72" s="1"/>
  <c r="A316" i="58"/>
  <c r="A315" i="58"/>
  <c r="A314" i="58"/>
  <c r="A313" i="58"/>
  <c r="A312" i="58"/>
  <c r="AI311" i="58"/>
  <c r="Q9" i="72" s="1"/>
  <c r="A311" i="58"/>
  <c r="AI304" i="58"/>
  <c r="AI303" i="58"/>
  <c r="Q61" i="71" s="1"/>
  <c r="AI302" i="58"/>
  <c r="AI301" i="58"/>
  <c r="Q59" i="71" s="1"/>
  <c r="AI300" i="58"/>
  <c r="Q58" i="71" s="1"/>
  <c r="AI299" i="58"/>
  <c r="Q57" i="71" s="1"/>
  <c r="AI298" i="58"/>
  <c r="AI297" i="58"/>
  <c r="Q55" i="71" s="1"/>
  <c r="AI296" i="58"/>
  <c r="Q54" i="71" s="1"/>
  <c r="AI295" i="58"/>
  <c r="Q53" i="71" s="1"/>
  <c r="AI294" i="58"/>
  <c r="AI293" i="58"/>
  <c r="Q51" i="71" s="1"/>
  <c r="AI292" i="58"/>
  <c r="Q50" i="71" s="1"/>
  <c r="AA305" i="58"/>
  <c r="AI290" i="58"/>
  <c r="Q48" i="71" s="1"/>
  <c r="AI288" i="58"/>
  <c r="AI287" i="58"/>
  <c r="Q45" i="71" s="1"/>
  <c r="AI285" i="58"/>
  <c r="Q43" i="71" s="1"/>
  <c r="S305" i="58"/>
  <c r="AI282" i="58"/>
  <c r="Q40" i="71" s="1"/>
  <c r="AI281" i="58"/>
  <c r="Q39" i="71" s="1"/>
  <c r="AI280" i="58"/>
  <c r="AI278" i="58"/>
  <c r="Q36" i="71" s="1"/>
  <c r="AI276" i="58"/>
  <c r="Q34" i="71" s="1"/>
  <c r="AH305" i="58"/>
  <c r="AI274" i="58"/>
  <c r="Q32" i="71" s="1"/>
  <c r="AI273" i="58"/>
  <c r="Q31" i="71" s="1"/>
  <c r="AI272" i="58"/>
  <c r="Q30" i="71" s="1"/>
  <c r="AI269" i="58"/>
  <c r="Q27" i="71" s="1"/>
  <c r="AI268" i="58"/>
  <c r="Q26" i="71" s="1"/>
  <c r="AI267" i="58"/>
  <c r="AI265" i="58"/>
  <c r="Q23" i="71" s="1"/>
  <c r="A264" i="58"/>
  <c r="AI263" i="58"/>
  <c r="Q21" i="71" s="1"/>
  <c r="A263" i="58"/>
  <c r="A262" i="58"/>
  <c r="AI261" i="58"/>
  <c r="A261" i="58"/>
  <c r="L305" i="58"/>
  <c r="L739" i="58" s="1"/>
  <c r="A260" i="58"/>
  <c r="AI259" i="58"/>
  <c r="Q17" i="71" s="1"/>
  <c r="K305" i="58"/>
  <c r="AI257" i="58"/>
  <c r="AI256" i="58"/>
  <c r="Q14" i="71" s="1"/>
  <c r="AI254" i="58"/>
  <c r="AI253" i="58"/>
  <c r="AI250" i="58"/>
  <c r="A250" i="58"/>
  <c r="AI244" i="58"/>
  <c r="AI243" i="58"/>
  <c r="AI242" i="58"/>
  <c r="AI241" i="58"/>
  <c r="AI240" i="58"/>
  <c r="AI239" i="58"/>
  <c r="AI238" i="58"/>
  <c r="AI237" i="58"/>
  <c r="AI236" i="58"/>
  <c r="AI235" i="58"/>
  <c r="A235" i="58"/>
  <c r="AI234" i="58"/>
  <c r="Q53" i="70" s="1"/>
  <c r="A234" i="58"/>
  <c r="AI233" i="58"/>
  <c r="Q52" i="70" s="1"/>
  <c r="A233" i="58"/>
  <c r="AI232" i="58"/>
  <c r="Q51" i="70" s="1"/>
  <c r="A232" i="58"/>
  <c r="AI231" i="58"/>
  <c r="Q50" i="70" s="1"/>
  <c r="A231" i="58"/>
  <c r="AI230" i="58"/>
  <c r="A230" i="58"/>
  <c r="A229" i="58"/>
  <c r="AI228" i="58"/>
  <c r="Q47" i="70" s="1"/>
  <c r="A228" i="58"/>
  <c r="A227" i="58"/>
  <c r="AI226" i="58"/>
  <c r="Q45" i="70" s="1"/>
  <c r="A226" i="58"/>
  <c r="A225" i="58"/>
  <c r="AI224" i="58"/>
  <c r="A224" i="58"/>
  <c r="AI223" i="58"/>
  <c r="A223" i="58"/>
  <c r="AI222" i="58"/>
  <c r="Q41" i="70" s="1"/>
  <c r="A222" i="58"/>
  <c r="A221" i="58"/>
  <c r="AI220" i="58"/>
  <c r="A220" i="58"/>
  <c r="AI219" i="58"/>
  <c r="Q38" i="70" s="1"/>
  <c r="A219" i="58"/>
  <c r="A218" i="58"/>
  <c r="AI217" i="58"/>
  <c r="Q36" i="70" s="1"/>
  <c r="A217" i="58"/>
  <c r="A216" i="58"/>
  <c r="A215" i="58"/>
  <c r="B245" i="58"/>
  <c r="A214" i="58"/>
  <c r="AI213" i="58"/>
  <c r="Q32" i="70" s="1"/>
  <c r="A213" i="58"/>
  <c r="A212" i="58"/>
  <c r="AI211" i="58"/>
  <c r="Q30" i="70" s="1"/>
  <c r="A211" i="58"/>
  <c r="AI210" i="58"/>
  <c r="Q29" i="70" s="1"/>
  <c r="A210" i="58"/>
  <c r="AC245" i="58"/>
  <c r="A209" i="58"/>
  <c r="AI208" i="58"/>
  <c r="Q27" i="70" s="1"/>
  <c r="A208" i="58"/>
  <c r="A207" i="58"/>
  <c r="A206" i="58"/>
  <c r="AI205" i="58"/>
  <c r="Q24" i="70" s="1"/>
  <c r="A205" i="58"/>
  <c r="AI204" i="58"/>
  <c r="A204" i="58"/>
  <c r="AI203" i="58"/>
  <c r="Q22" i="70" s="1"/>
  <c r="A203" i="58"/>
  <c r="AI202" i="58"/>
  <c r="Q21" i="70" s="1"/>
  <c r="A202" i="58"/>
  <c r="AI201" i="58"/>
  <c r="Q20" i="70" s="1"/>
  <c r="A201" i="58"/>
  <c r="AI200" i="58"/>
  <c r="Q19" i="70" s="1"/>
  <c r="A200" i="58"/>
  <c r="A199" i="58"/>
  <c r="A198" i="58"/>
  <c r="AI197" i="58"/>
  <c r="Q16" i="70" s="1"/>
  <c r="A197" i="58"/>
  <c r="A196" i="58"/>
  <c r="A195" i="58"/>
  <c r="AI194" i="58"/>
  <c r="A194" i="58"/>
  <c r="AI193" i="58"/>
  <c r="A193" i="58"/>
  <c r="A192" i="58"/>
  <c r="AE245" i="58"/>
  <c r="A191" i="58"/>
  <c r="A190" i="58"/>
  <c r="A189" i="58"/>
  <c r="AI183" i="58"/>
  <c r="AI182" i="58"/>
  <c r="AI181" i="58"/>
  <c r="Q61" i="69" s="1"/>
  <c r="AI180" i="58"/>
  <c r="Q60" i="69" s="1"/>
  <c r="AI179" i="58"/>
  <c r="Q59" i="69" s="1"/>
  <c r="AI178" i="58"/>
  <c r="Q58" i="69" s="1"/>
  <c r="AI177" i="58"/>
  <c r="Q57" i="69" s="1"/>
  <c r="AI176" i="58"/>
  <c r="Q56" i="69" s="1"/>
  <c r="AI175" i="58"/>
  <c r="Q55" i="69" s="1"/>
  <c r="AI174" i="58"/>
  <c r="Q54" i="69" s="1"/>
  <c r="AI173" i="58"/>
  <c r="AI172" i="58"/>
  <c r="Q52" i="69" s="1"/>
  <c r="AI171" i="58"/>
  <c r="Q51" i="69" s="1"/>
  <c r="AI170" i="58"/>
  <c r="Q50" i="69" s="1"/>
  <c r="AI169" i="58"/>
  <c r="C184" i="58"/>
  <c r="I184" i="58"/>
  <c r="AI161" i="58"/>
  <c r="Q41" i="69" s="1"/>
  <c r="AI160" i="58"/>
  <c r="Q40" i="69" s="1"/>
  <c r="N184" i="58"/>
  <c r="AI153" i="58"/>
  <c r="Q33" i="69" s="1"/>
  <c r="AI151" i="58"/>
  <c r="Q31" i="69" s="1"/>
  <c r="AI150" i="58"/>
  <c r="Q30" i="69" s="1"/>
  <c r="AI149" i="58"/>
  <c r="Q29" i="69" s="1"/>
  <c r="AI147" i="58"/>
  <c r="Q27" i="69" s="1"/>
  <c r="AI146" i="58"/>
  <c r="Q26" i="69" s="1"/>
  <c r="AI145" i="58"/>
  <c r="Q25" i="69" s="1"/>
  <c r="AI144" i="58"/>
  <c r="Q24" i="69" s="1"/>
  <c r="K184" i="58"/>
  <c r="AI142" i="58"/>
  <c r="Q22" i="69" s="1"/>
  <c r="AI140" i="58"/>
  <c r="Q20" i="69" s="1"/>
  <c r="AI139" i="58"/>
  <c r="Q19" i="69" s="1"/>
  <c r="B184" i="58"/>
  <c r="AI137" i="58"/>
  <c r="Q17" i="69" s="1"/>
  <c r="AI136" i="58"/>
  <c r="Q16" i="69" s="1"/>
  <c r="AI133" i="58"/>
  <c r="Q13" i="69" s="1"/>
  <c r="AI132" i="58"/>
  <c r="Q12" i="69" s="1"/>
  <c r="AI131" i="58"/>
  <c r="Q11" i="69" s="1"/>
  <c r="AI130" i="58"/>
  <c r="Q10" i="69" s="1"/>
  <c r="AI129" i="58"/>
  <c r="Q9" i="69" s="1"/>
  <c r="AI120" i="58"/>
  <c r="AI119" i="58"/>
  <c r="Q56" i="68" s="1"/>
  <c r="A119" i="58"/>
  <c r="AI118" i="58"/>
  <c r="A118" i="58"/>
  <c r="AI117" i="58"/>
  <c r="Q54" i="68" s="1"/>
  <c r="A117" i="58"/>
  <c r="AI116" i="58"/>
  <c r="Q53" i="68" s="1"/>
  <c r="A116" i="58"/>
  <c r="AI115" i="58"/>
  <c r="A115" i="58"/>
  <c r="AI114" i="58"/>
  <c r="A114" i="58"/>
  <c r="AI113" i="58"/>
  <c r="Q50" i="68" s="1"/>
  <c r="A113" i="58"/>
  <c r="AI112" i="58"/>
  <c r="A112" i="58"/>
  <c r="A111" i="58"/>
  <c r="S121" i="58"/>
  <c r="A110" i="58"/>
  <c r="AI109" i="58"/>
  <c r="Q46" i="68" s="1"/>
  <c r="A109" i="58"/>
  <c r="A108" i="58"/>
  <c r="AI107" i="58"/>
  <c r="Q44" i="68" s="1"/>
  <c r="A107" i="58"/>
  <c r="AI106" i="58"/>
  <c r="Q43" i="68" s="1"/>
  <c r="A106" i="58"/>
  <c r="AI105" i="58"/>
  <c r="Q42" i="68" s="1"/>
  <c r="A105" i="58"/>
  <c r="AI104" i="58"/>
  <c r="Q41" i="68" s="1"/>
  <c r="A104" i="58"/>
  <c r="AI103" i="58"/>
  <c r="Q40" i="68" s="1"/>
  <c r="A103" i="58"/>
  <c r="AI102" i="58"/>
  <c r="Q39" i="68" s="1"/>
  <c r="A102" i="58"/>
  <c r="AI101" i="58"/>
  <c r="Q38" i="68" s="1"/>
  <c r="A101" i="58"/>
  <c r="A100" i="58"/>
  <c r="AI99" i="58"/>
  <c r="Q36" i="68" s="1"/>
  <c r="A99" i="58"/>
  <c r="AI98" i="58"/>
  <c r="Q35" i="68" s="1"/>
  <c r="A98" i="58"/>
  <c r="N121" i="58"/>
  <c r="A97" i="58"/>
  <c r="A96" i="58"/>
  <c r="AI95" i="58"/>
  <c r="Q32" i="68" s="1"/>
  <c r="A95" i="58"/>
  <c r="AI94" i="58"/>
  <c r="Q31" i="68" s="1"/>
  <c r="A94" i="58"/>
  <c r="AI93" i="58"/>
  <c r="Q30" i="68" s="1"/>
  <c r="A93" i="58"/>
  <c r="AI92" i="58"/>
  <c r="Q29" i="68" s="1"/>
  <c r="A92" i="58"/>
  <c r="X121" i="58"/>
  <c r="X739" i="58" s="1"/>
  <c r="A91" i="58"/>
  <c r="AI90" i="58"/>
  <c r="Q27" i="68" s="1"/>
  <c r="A90" i="58"/>
  <c r="A89" i="58"/>
  <c r="A88" i="58"/>
  <c r="AI87" i="58"/>
  <c r="A87" i="58"/>
  <c r="K121" i="58"/>
  <c r="A86" i="58"/>
  <c r="AI85" i="58"/>
  <c r="Q22" i="68" s="1"/>
  <c r="A85" i="58"/>
  <c r="AI84" i="58"/>
  <c r="Q21" i="68" s="1"/>
  <c r="A84" i="58"/>
  <c r="AI83" i="58"/>
  <c r="A83" i="58"/>
  <c r="AI82" i="58"/>
  <c r="Q19" i="68" s="1"/>
  <c r="A82" i="58"/>
  <c r="A81" i="58"/>
  <c r="AI80" i="58"/>
  <c r="Q17" i="68" s="1"/>
  <c r="A80" i="58"/>
  <c r="AI79" i="58"/>
  <c r="Q16" i="68" s="1"/>
  <c r="A79" i="58"/>
  <c r="AI78" i="58"/>
  <c r="Q15" i="68" s="1"/>
  <c r="A78" i="58"/>
  <c r="AI77" i="58"/>
  <c r="Q14" i="68" s="1"/>
  <c r="A77" i="58"/>
  <c r="A76" i="58"/>
  <c r="A75" i="58"/>
  <c r="AI74" i="58"/>
  <c r="Q11" i="68" s="1"/>
  <c r="A74" i="58"/>
  <c r="AI73" i="58"/>
  <c r="Q10" i="68" s="1"/>
  <c r="A73" i="58"/>
  <c r="AI72" i="58"/>
  <c r="Q9" i="68" s="1"/>
  <c r="A72" i="58"/>
  <c r="A71" i="58"/>
  <c r="AI66" i="58"/>
  <c r="AI65" i="58"/>
  <c r="AI64" i="58"/>
  <c r="AI63" i="58"/>
  <c r="AI62" i="58"/>
  <c r="AI61" i="58"/>
  <c r="AI60" i="58"/>
  <c r="A60" i="58"/>
  <c r="AI59" i="58"/>
  <c r="A59" i="58"/>
  <c r="AI58" i="58"/>
  <c r="A58" i="58"/>
  <c r="AI57" i="58"/>
  <c r="A57" i="58"/>
  <c r="AI56" i="58"/>
  <c r="A56" i="58"/>
  <c r="AI55" i="58"/>
  <c r="A55" i="58"/>
  <c r="AI54" i="58"/>
  <c r="Q56" i="43" s="1"/>
  <c r="A54" i="58"/>
  <c r="AI53" i="58"/>
  <c r="Q55" i="43" s="1"/>
  <c r="A53" i="58"/>
  <c r="AI52" i="58"/>
  <c r="Q54" i="43" s="1"/>
  <c r="A52" i="58"/>
  <c r="AI51" i="58"/>
  <c r="Q53" i="43" s="1"/>
  <c r="A51" i="58"/>
  <c r="AI50" i="58"/>
  <c r="Q52" i="43" s="1"/>
  <c r="A50" i="58"/>
  <c r="AI49" i="58"/>
  <c r="Q51" i="43" s="1"/>
  <c r="A49" i="58"/>
  <c r="AI48" i="58"/>
  <c r="Q50" i="43" s="1"/>
  <c r="A48" i="58"/>
  <c r="AI47" i="58"/>
  <c r="Q49" i="43" s="1"/>
  <c r="A47" i="58"/>
  <c r="AI46" i="58"/>
  <c r="Q48" i="43" s="1"/>
  <c r="A46" i="58"/>
  <c r="AI45" i="58"/>
  <c r="Q47" i="43" s="1"/>
  <c r="A45" i="58"/>
  <c r="AI44" i="58"/>
  <c r="Q46" i="43" s="1"/>
  <c r="A44" i="58"/>
  <c r="AI43" i="58"/>
  <c r="Q45" i="43" s="1"/>
  <c r="A43" i="58"/>
  <c r="AI42" i="58"/>
  <c r="Q44" i="43" s="1"/>
  <c r="A42" i="58"/>
  <c r="AI41" i="58"/>
  <c r="Q43" i="43" s="1"/>
  <c r="A41" i="58"/>
  <c r="A40" i="58"/>
  <c r="AI39" i="58"/>
  <c r="Q41" i="43" s="1"/>
  <c r="A39" i="58"/>
  <c r="A38" i="58"/>
  <c r="AE67" i="58"/>
  <c r="A37" i="58"/>
  <c r="AI36" i="58"/>
  <c r="Q38" i="43" s="1"/>
  <c r="A36" i="58"/>
  <c r="A35" i="58"/>
  <c r="AI34" i="58"/>
  <c r="Q36" i="43" s="1"/>
  <c r="A34" i="58"/>
  <c r="AI33" i="58"/>
  <c r="Q35" i="43" s="1"/>
  <c r="A33" i="58"/>
  <c r="AI32" i="58"/>
  <c r="Q34" i="43" s="1"/>
  <c r="A32" i="58"/>
  <c r="AI31" i="58"/>
  <c r="Q33" i="43" s="1"/>
  <c r="A31" i="58"/>
  <c r="AI30" i="58"/>
  <c r="Q32" i="43" s="1"/>
  <c r="A30" i="58"/>
  <c r="AI29" i="58"/>
  <c r="Q31" i="43" s="1"/>
  <c r="A29" i="58"/>
  <c r="A28" i="58"/>
  <c r="A27" i="58"/>
  <c r="AI26" i="58"/>
  <c r="Q28" i="43" s="1"/>
  <c r="A26" i="58"/>
  <c r="A25" i="58"/>
  <c r="AI24" i="58"/>
  <c r="Q26" i="43" s="1"/>
  <c r="A24" i="58"/>
  <c r="AI23" i="58"/>
  <c r="Q25" i="43" s="1"/>
  <c r="A23" i="58"/>
  <c r="A22" i="58"/>
  <c r="AI21" i="58"/>
  <c r="Q23" i="43" s="1"/>
  <c r="A21" i="58"/>
  <c r="V67" i="58"/>
  <c r="A20" i="58"/>
  <c r="C67" i="58"/>
  <c r="A19" i="58"/>
  <c r="AA67" i="58"/>
  <c r="A18" i="58"/>
  <c r="AI17" i="58"/>
  <c r="Q19" i="43" s="1"/>
  <c r="A17" i="58"/>
  <c r="A16" i="58"/>
  <c r="AI15" i="58"/>
  <c r="Q17" i="43" s="1"/>
  <c r="A15" i="58"/>
  <c r="A14" i="58"/>
  <c r="AI13" i="58"/>
  <c r="Q15" i="43" s="1"/>
  <c r="A13" i="58"/>
  <c r="A12" i="58"/>
  <c r="AI11" i="58"/>
  <c r="Q13" i="43" s="1"/>
  <c r="A11" i="58"/>
  <c r="A10" i="58"/>
  <c r="A9" i="58"/>
  <c r="A8" i="58"/>
  <c r="AI7" i="58"/>
  <c r="Q9" i="43" s="1"/>
  <c r="A7" i="58"/>
  <c r="A6" i="58"/>
  <c r="BH740" i="56"/>
  <c r="BH739" i="56"/>
  <c r="BH738" i="56"/>
  <c r="BH737" i="56"/>
  <c r="BH736" i="56"/>
  <c r="BH735" i="56"/>
  <c r="BH734" i="56"/>
  <c r="A734" i="56"/>
  <c r="BH733" i="56"/>
  <c r="P57" i="67" s="1"/>
  <c r="A733" i="56"/>
  <c r="BH732" i="56"/>
  <c r="A732" i="56"/>
  <c r="BH731" i="56"/>
  <c r="A731" i="56"/>
  <c r="BH730" i="56"/>
  <c r="A730" i="56"/>
  <c r="BH729" i="56"/>
  <c r="A729" i="56"/>
  <c r="BH728" i="56"/>
  <c r="A728" i="56"/>
  <c r="BH727" i="56"/>
  <c r="A727" i="56"/>
  <c r="BH726" i="56"/>
  <c r="P50" i="67" s="1"/>
  <c r="A726" i="56"/>
  <c r="BH725" i="56"/>
  <c r="P49" i="67" s="1"/>
  <c r="A725" i="56"/>
  <c r="BH724" i="56"/>
  <c r="P48" i="67" s="1"/>
  <c r="A724" i="56"/>
  <c r="BH723" i="56"/>
  <c r="P47" i="67" s="1"/>
  <c r="A723" i="56"/>
  <c r="BH722" i="56"/>
  <c r="P46" i="67" s="1"/>
  <c r="A722" i="56"/>
  <c r="BH721" i="56"/>
  <c r="P45" i="67" s="1"/>
  <c r="A721" i="56"/>
  <c r="BH720" i="56"/>
  <c r="P44" i="67" s="1"/>
  <c r="A720" i="56"/>
  <c r="BH719" i="56"/>
  <c r="P43" i="67" s="1"/>
  <c r="A719" i="56"/>
  <c r="BH718" i="56"/>
  <c r="A718" i="56"/>
  <c r="BH717" i="56"/>
  <c r="P41" i="67" s="1"/>
  <c r="A717" i="56"/>
  <c r="BH716" i="56"/>
  <c r="P40" i="67" s="1"/>
  <c r="A716" i="56"/>
  <c r="BH715" i="56"/>
  <c r="P39" i="67" s="1"/>
  <c r="A715" i="56"/>
  <c r="BH714" i="56"/>
  <c r="P38" i="67" s="1"/>
  <c r="A714" i="56"/>
  <c r="BH713" i="56"/>
  <c r="P37" i="67" s="1"/>
  <c r="A713" i="56"/>
  <c r="BH712" i="56"/>
  <c r="P36" i="67" s="1"/>
  <c r="A712" i="56"/>
  <c r="BH711" i="56"/>
  <c r="P35" i="67" s="1"/>
  <c r="A711" i="56"/>
  <c r="BH710" i="56"/>
  <c r="P34" i="67" s="1"/>
  <c r="A710" i="56"/>
  <c r="BH709" i="56"/>
  <c r="P33" i="67" s="1"/>
  <c r="A709" i="56"/>
  <c r="BH708" i="56"/>
  <c r="P32" i="67" s="1"/>
  <c r="A708" i="56"/>
  <c r="BH707" i="56"/>
  <c r="A707" i="56"/>
  <c r="BH706" i="56"/>
  <c r="P30" i="67" s="1"/>
  <c r="A706" i="56"/>
  <c r="BH705" i="56"/>
  <c r="P29" i="67" s="1"/>
  <c r="A705" i="56"/>
  <c r="BH704" i="56"/>
  <c r="A704" i="56"/>
  <c r="BH703" i="56"/>
  <c r="A703" i="56"/>
  <c r="BH702" i="56"/>
  <c r="P26" i="67" s="1"/>
  <c r="A702" i="56"/>
  <c r="BH701" i="56"/>
  <c r="P25" i="67" s="1"/>
  <c r="A701" i="56"/>
  <c r="BH700" i="56"/>
  <c r="P24" i="67" s="1"/>
  <c r="A700" i="56"/>
  <c r="BH699" i="56"/>
  <c r="A699" i="56"/>
  <c r="BH698" i="56"/>
  <c r="P22" i="67" s="1"/>
  <c r="A698" i="56"/>
  <c r="BH697" i="56"/>
  <c r="P21" i="67" s="1"/>
  <c r="A697" i="56"/>
  <c r="BH696" i="56"/>
  <c r="P20" i="67" s="1"/>
  <c r="A696" i="56"/>
  <c r="BH695" i="56"/>
  <c r="A695" i="56"/>
  <c r="BH694" i="56"/>
  <c r="P18" i="67" s="1"/>
  <c r="A694" i="56"/>
  <c r="BH693" i="56"/>
  <c r="P17" i="67" s="1"/>
  <c r="A693" i="56"/>
  <c r="BH692" i="56"/>
  <c r="P16" i="67" s="1"/>
  <c r="A692" i="56"/>
  <c r="BH691" i="56"/>
  <c r="A691" i="56"/>
  <c r="BH690" i="56"/>
  <c r="P14" i="67" s="1"/>
  <c r="A690" i="56"/>
  <c r="BH689" i="56"/>
  <c r="P13" i="67" s="1"/>
  <c r="A689" i="56"/>
  <c r="BH688" i="56"/>
  <c r="P12" i="67" s="1"/>
  <c r="A688" i="56"/>
  <c r="BH687" i="56"/>
  <c r="A687" i="56"/>
  <c r="BH686" i="56"/>
  <c r="P10" i="67" s="1"/>
  <c r="A686" i="56"/>
  <c r="BH685" i="56"/>
  <c r="P9" i="67" s="1"/>
  <c r="A685" i="56"/>
  <c r="BH684" i="56"/>
  <c r="A684" i="56"/>
  <c r="BG679" i="56"/>
  <c r="BF679" i="56"/>
  <c r="BE679" i="56"/>
  <c r="BD679" i="56"/>
  <c r="BC679" i="56"/>
  <c r="BB679" i="56"/>
  <c r="BA679" i="56"/>
  <c r="AZ679" i="56"/>
  <c r="AY679" i="56"/>
  <c r="AX679" i="56"/>
  <c r="AW679" i="56"/>
  <c r="AV679" i="56"/>
  <c r="AU679" i="56"/>
  <c r="AT679" i="56"/>
  <c r="AS679" i="56"/>
  <c r="AR679" i="56"/>
  <c r="AQ679" i="56"/>
  <c r="AP679" i="56"/>
  <c r="AO679" i="56"/>
  <c r="AN679" i="56"/>
  <c r="AM679" i="56"/>
  <c r="AL679" i="56"/>
  <c r="AK679" i="56"/>
  <c r="AJ679" i="56"/>
  <c r="AI679" i="56"/>
  <c r="AH679" i="56"/>
  <c r="AG679" i="56"/>
  <c r="AF679" i="56"/>
  <c r="AE679" i="56"/>
  <c r="AD679" i="56"/>
  <c r="AC679" i="56"/>
  <c r="AB679" i="56"/>
  <c r="AA679" i="56"/>
  <c r="Z679" i="56"/>
  <c r="Y679" i="56"/>
  <c r="X679" i="56"/>
  <c r="W679" i="56"/>
  <c r="V679" i="56"/>
  <c r="U679" i="56"/>
  <c r="T679" i="56"/>
  <c r="S679" i="56"/>
  <c r="R679" i="56"/>
  <c r="Q679" i="56"/>
  <c r="P679" i="56"/>
  <c r="O679" i="56"/>
  <c r="N679" i="56"/>
  <c r="M679" i="56"/>
  <c r="L679" i="56"/>
  <c r="K679" i="56"/>
  <c r="J679" i="56"/>
  <c r="I679" i="56"/>
  <c r="H679" i="56"/>
  <c r="G679" i="56"/>
  <c r="F679" i="56"/>
  <c r="E679" i="56"/>
  <c r="D679" i="56"/>
  <c r="C679" i="56"/>
  <c r="B679" i="56"/>
  <c r="BH678" i="56"/>
  <c r="BH677" i="56"/>
  <c r="BH676" i="56"/>
  <c r="BH675" i="56"/>
  <c r="BH674" i="56"/>
  <c r="BH673" i="56"/>
  <c r="BH672" i="56"/>
  <c r="P60" i="77" s="1"/>
  <c r="BH671" i="56"/>
  <c r="P59" i="77" s="1"/>
  <c r="BH670" i="56"/>
  <c r="P58" i="77" s="1"/>
  <c r="BH669" i="56"/>
  <c r="BH668" i="56"/>
  <c r="P56" i="77" s="1"/>
  <c r="BH667" i="56"/>
  <c r="P55" i="77" s="1"/>
  <c r="BH666" i="56"/>
  <c r="P54" i="77" s="1"/>
  <c r="BH665" i="56"/>
  <c r="BH664" i="56"/>
  <c r="P52" i="77" s="1"/>
  <c r="BH663" i="56"/>
  <c r="P51" i="77" s="1"/>
  <c r="BH662" i="56"/>
  <c r="BH661" i="56"/>
  <c r="P48" i="77" s="1"/>
  <c r="BH660" i="56"/>
  <c r="P47" i="77" s="1"/>
  <c r="BH659" i="56"/>
  <c r="P46" i="77" s="1"/>
  <c r="BH658" i="56"/>
  <c r="P45" i="77" s="1"/>
  <c r="BH657" i="56"/>
  <c r="P44" i="77" s="1"/>
  <c r="BH656" i="56"/>
  <c r="P43" i="77" s="1"/>
  <c r="BH655" i="56"/>
  <c r="P42" i="77" s="1"/>
  <c r="BH654" i="56"/>
  <c r="P41" i="77" s="1"/>
  <c r="BH653" i="56"/>
  <c r="P40" i="77" s="1"/>
  <c r="BH652" i="56"/>
  <c r="P39" i="77" s="1"/>
  <c r="BH651" i="56"/>
  <c r="P38" i="77" s="1"/>
  <c r="BH650" i="56"/>
  <c r="P37" i="77" s="1"/>
  <c r="BH649" i="56"/>
  <c r="BH648" i="56"/>
  <c r="P35" i="77" s="1"/>
  <c r="BH647" i="56"/>
  <c r="P34" i="77" s="1"/>
  <c r="BH646" i="56"/>
  <c r="P33" i="77" s="1"/>
  <c r="BH645" i="56"/>
  <c r="BH644" i="56"/>
  <c r="P31" i="77" s="1"/>
  <c r="BH643" i="56"/>
  <c r="P30" i="77" s="1"/>
  <c r="BH642" i="56"/>
  <c r="P29" i="77" s="1"/>
  <c r="BH641" i="56"/>
  <c r="BH640" i="56"/>
  <c r="P27" i="77" s="1"/>
  <c r="BH639" i="56"/>
  <c r="P26" i="77" s="1"/>
  <c r="BH638" i="56"/>
  <c r="P25" i="77" s="1"/>
  <c r="BH637" i="56"/>
  <c r="BH636" i="56"/>
  <c r="P23" i="77" s="1"/>
  <c r="BH635" i="56"/>
  <c r="P22" i="77" s="1"/>
  <c r="BH634" i="56"/>
  <c r="P21" i="77" s="1"/>
  <c r="BH633" i="56"/>
  <c r="BH632" i="56"/>
  <c r="P19" i="77" s="1"/>
  <c r="BH631" i="56"/>
  <c r="P18" i="77" s="1"/>
  <c r="BH630" i="56"/>
  <c r="P17" i="77" s="1"/>
  <c r="BH629" i="56"/>
  <c r="BH628" i="56"/>
  <c r="P15" i="77" s="1"/>
  <c r="BH627" i="56"/>
  <c r="P14" i="77" s="1"/>
  <c r="BH626" i="56"/>
  <c r="P13" i="77" s="1"/>
  <c r="BH625" i="56"/>
  <c r="P12" i="77" s="1"/>
  <c r="BH624" i="56"/>
  <c r="P11" i="77" s="1"/>
  <c r="BH623" i="56"/>
  <c r="P10" i="77" s="1"/>
  <c r="BH622" i="56"/>
  <c r="P9" i="77" s="1"/>
  <c r="BH621" i="56"/>
  <c r="P8" i="77" s="1"/>
  <c r="A621" i="56"/>
  <c r="BG617" i="56"/>
  <c r="BE617" i="56"/>
  <c r="BD617" i="56"/>
  <c r="BC617" i="56"/>
  <c r="BB617" i="56"/>
  <c r="BA617" i="56"/>
  <c r="AZ617" i="56"/>
  <c r="AY617" i="56"/>
  <c r="AX617" i="56"/>
  <c r="AW617" i="56"/>
  <c r="AV617" i="56"/>
  <c r="AU617" i="56"/>
  <c r="AT617" i="56"/>
  <c r="AS617" i="56"/>
  <c r="AR617" i="56"/>
  <c r="AO617" i="56"/>
  <c r="AN617" i="56"/>
  <c r="AM617" i="56"/>
  <c r="AL617" i="56"/>
  <c r="AK617" i="56"/>
  <c r="AJ617" i="56"/>
  <c r="AI617" i="56"/>
  <c r="AH617" i="56"/>
  <c r="AG617" i="56"/>
  <c r="AF617" i="56"/>
  <c r="AE617" i="56"/>
  <c r="AD617" i="56"/>
  <c r="AC617" i="56"/>
  <c r="AB617" i="56"/>
  <c r="AA617" i="56"/>
  <c r="Z617" i="56"/>
  <c r="Y617" i="56"/>
  <c r="X617" i="56"/>
  <c r="W617" i="56"/>
  <c r="V617" i="56"/>
  <c r="U617" i="56"/>
  <c r="T617" i="56"/>
  <c r="R617" i="56"/>
  <c r="Q617" i="56"/>
  <c r="O617" i="56"/>
  <c r="N617" i="56"/>
  <c r="M617" i="56"/>
  <c r="L617" i="56"/>
  <c r="K617" i="56"/>
  <c r="J617" i="56"/>
  <c r="G617" i="56"/>
  <c r="F617" i="56"/>
  <c r="E617" i="56"/>
  <c r="D617" i="56"/>
  <c r="C617" i="56"/>
  <c r="B617" i="56"/>
  <c r="BH616" i="56"/>
  <c r="BH615" i="56"/>
  <c r="P62" i="76" s="1"/>
  <c r="BH614" i="56"/>
  <c r="P61" i="76" s="1"/>
  <c r="BH613" i="56"/>
  <c r="P60" i="76" s="1"/>
  <c r="BH612" i="56"/>
  <c r="P59" i="76" s="1"/>
  <c r="BH611" i="56"/>
  <c r="P58" i="76" s="1"/>
  <c r="BH610" i="56"/>
  <c r="P57" i="76" s="1"/>
  <c r="BH609" i="56"/>
  <c r="P56" i="76" s="1"/>
  <c r="BH608" i="56"/>
  <c r="P55" i="76" s="1"/>
  <c r="BH607" i="56"/>
  <c r="P54" i="76" s="1"/>
  <c r="BH606" i="56"/>
  <c r="P53" i="76" s="1"/>
  <c r="BH605" i="56"/>
  <c r="P52" i="76" s="1"/>
  <c r="BH604" i="56"/>
  <c r="P51" i="76" s="1"/>
  <c r="BH603" i="56"/>
  <c r="P50" i="76" s="1"/>
  <c r="A603" i="56"/>
  <c r="BH602" i="56"/>
  <c r="P49" i="76" s="1"/>
  <c r="A602" i="56"/>
  <c r="BH601" i="56"/>
  <c r="P48" i="76" s="1"/>
  <c r="A601" i="56"/>
  <c r="BH600" i="56"/>
  <c r="P47" i="76" s="1"/>
  <c r="A600" i="56"/>
  <c r="BH599" i="56"/>
  <c r="P46" i="76" s="1"/>
  <c r="A599" i="56"/>
  <c r="BH598" i="56"/>
  <c r="A598" i="56"/>
  <c r="A597" i="56"/>
  <c r="BH596" i="56"/>
  <c r="P43" i="76" s="1"/>
  <c r="A596" i="56"/>
  <c r="BH595" i="56"/>
  <c r="A595" i="56"/>
  <c r="BH594" i="56"/>
  <c r="P41" i="76" s="1"/>
  <c r="A594" i="56"/>
  <c r="BH593" i="56"/>
  <c r="P40" i="76" s="1"/>
  <c r="A593" i="56"/>
  <c r="A592" i="56"/>
  <c r="BH591" i="56"/>
  <c r="P38" i="76" s="1"/>
  <c r="A591" i="56"/>
  <c r="BH590" i="56"/>
  <c r="P37" i="76" s="1"/>
  <c r="A590" i="56"/>
  <c r="A589" i="56"/>
  <c r="BH588" i="56"/>
  <c r="P35" i="76" s="1"/>
  <c r="A588" i="56"/>
  <c r="BH587" i="56"/>
  <c r="P34" i="76" s="1"/>
  <c r="A587" i="56"/>
  <c r="A586" i="56"/>
  <c r="BH585" i="56"/>
  <c r="P32" i="76" s="1"/>
  <c r="A585" i="56"/>
  <c r="A584" i="56"/>
  <c r="A583" i="56"/>
  <c r="BH582" i="56"/>
  <c r="A582" i="56"/>
  <c r="BH581" i="56"/>
  <c r="P28" i="76" s="1"/>
  <c r="A581" i="56"/>
  <c r="A580" i="56"/>
  <c r="BH579" i="56"/>
  <c r="P26" i="76" s="1"/>
  <c r="A579" i="56"/>
  <c r="AQ617" i="56"/>
  <c r="A578" i="56"/>
  <c r="BH577" i="56"/>
  <c r="P24" i="76" s="1"/>
  <c r="A577" i="56"/>
  <c r="BH576" i="56"/>
  <c r="P23" i="76" s="1"/>
  <c r="A576" i="56"/>
  <c r="BH575" i="56"/>
  <c r="A575" i="56"/>
  <c r="BH574" i="56"/>
  <c r="P21" i="76" s="1"/>
  <c r="A574" i="56"/>
  <c r="AP617" i="56"/>
  <c r="A573" i="56"/>
  <c r="BH572" i="56"/>
  <c r="P19" i="76" s="1"/>
  <c r="A572" i="56"/>
  <c r="BH571" i="56"/>
  <c r="P18" i="76" s="1"/>
  <c r="A571" i="56"/>
  <c r="BH570" i="56"/>
  <c r="A570" i="56"/>
  <c r="BH569" i="56"/>
  <c r="P16" i="76" s="1"/>
  <c r="A569" i="56"/>
  <c r="A568" i="56"/>
  <c r="BH567" i="56"/>
  <c r="A567" i="56"/>
  <c r="BH566" i="56"/>
  <c r="P13" i="76" s="1"/>
  <c r="A566" i="56"/>
  <c r="BH565" i="56"/>
  <c r="A565" i="56"/>
  <c r="BH564" i="56"/>
  <c r="P11" i="76" s="1"/>
  <c r="A564" i="56"/>
  <c r="A563" i="56"/>
  <c r="BH562" i="56"/>
  <c r="A562" i="56"/>
  <c r="BH561" i="56"/>
  <c r="P8" i="76" s="1"/>
  <c r="A561" i="56"/>
  <c r="BG557" i="56"/>
  <c r="BE557" i="56"/>
  <c r="BD557" i="56"/>
  <c r="BC557" i="56"/>
  <c r="BB557" i="56"/>
  <c r="BA557" i="56"/>
  <c r="AY557" i="56"/>
  <c r="AX557" i="56"/>
  <c r="AW557" i="56"/>
  <c r="AV557" i="56"/>
  <c r="AU557" i="56"/>
  <c r="AT557" i="56"/>
  <c r="AS557" i="56"/>
  <c r="AR557" i="56"/>
  <c r="AP557" i="56"/>
  <c r="AN557" i="56"/>
  <c r="AM557" i="56"/>
  <c r="AL557" i="56"/>
  <c r="AK557" i="56"/>
  <c r="AJ557" i="56"/>
  <c r="AI557" i="56"/>
  <c r="AH557" i="56"/>
  <c r="AG557" i="56"/>
  <c r="AF557" i="56"/>
  <c r="AE557" i="56"/>
  <c r="AD557" i="56"/>
  <c r="AC557" i="56"/>
  <c r="AB557" i="56"/>
  <c r="AA557" i="56"/>
  <c r="Z557" i="56"/>
  <c r="Y557" i="56"/>
  <c r="X557" i="56"/>
  <c r="W557" i="56"/>
  <c r="V557" i="56"/>
  <c r="T557" i="56"/>
  <c r="S557" i="56"/>
  <c r="R557" i="56"/>
  <c r="Q557" i="56"/>
  <c r="O557" i="56"/>
  <c r="N557" i="56"/>
  <c r="M557" i="56"/>
  <c r="L557" i="56"/>
  <c r="K557" i="56"/>
  <c r="F557" i="56"/>
  <c r="E557" i="56"/>
  <c r="D557" i="56"/>
  <c r="C557" i="56"/>
  <c r="B557" i="56"/>
  <c r="BH556" i="56"/>
  <c r="BH555" i="56"/>
  <c r="BH554" i="56"/>
  <c r="BH553" i="56"/>
  <c r="BH552" i="56"/>
  <c r="BH551" i="56"/>
  <c r="BH550" i="56"/>
  <c r="BH549" i="56"/>
  <c r="BH548" i="56"/>
  <c r="BH547" i="56"/>
  <c r="BH546" i="56"/>
  <c r="BH545" i="56"/>
  <c r="BH544" i="56"/>
  <c r="BH543" i="56"/>
  <c r="BH542" i="56"/>
  <c r="BH541" i="56"/>
  <c r="BH540" i="56"/>
  <c r="P49" i="75" s="1"/>
  <c r="BH539" i="56"/>
  <c r="P48" i="75" s="1"/>
  <c r="BH538" i="56"/>
  <c r="P47" i="75" s="1"/>
  <c r="BH537" i="56"/>
  <c r="A537" i="56"/>
  <c r="BH536" i="56"/>
  <c r="P45" i="75" s="1"/>
  <c r="A536" i="56"/>
  <c r="BH535" i="56"/>
  <c r="A535" i="56"/>
  <c r="BH534" i="56"/>
  <c r="P43" i="75" s="1"/>
  <c r="A534" i="56"/>
  <c r="BH533" i="56"/>
  <c r="A533" i="56"/>
  <c r="BH532" i="56"/>
  <c r="P41" i="75" s="1"/>
  <c r="A532" i="56"/>
  <c r="A531" i="56"/>
  <c r="BH530" i="56"/>
  <c r="A530" i="56"/>
  <c r="AQ557" i="56"/>
  <c r="A529" i="56"/>
  <c r="BH528" i="56"/>
  <c r="P37" i="75" s="1"/>
  <c r="A528" i="56"/>
  <c r="AZ557" i="56"/>
  <c r="AO557" i="56"/>
  <c r="A527" i="56"/>
  <c r="BH526" i="56"/>
  <c r="P35" i="75" s="1"/>
  <c r="A526" i="56"/>
  <c r="BH525" i="56"/>
  <c r="A525" i="56"/>
  <c r="BH524" i="56"/>
  <c r="P33" i="75" s="1"/>
  <c r="A524" i="56"/>
  <c r="BH523" i="56"/>
  <c r="P32" i="75" s="1"/>
  <c r="A523" i="56"/>
  <c r="BH522" i="56"/>
  <c r="P31" i="75" s="1"/>
  <c r="A522" i="56"/>
  <c r="BH521" i="56"/>
  <c r="P30" i="75" s="1"/>
  <c r="A521" i="56"/>
  <c r="BH520" i="56"/>
  <c r="P29" i="75" s="1"/>
  <c r="A520" i="56"/>
  <c r="U557" i="56"/>
  <c r="A519" i="56"/>
  <c r="BH518" i="56"/>
  <c r="P27" i="75" s="1"/>
  <c r="A518" i="56"/>
  <c r="A517" i="56"/>
  <c r="BH516" i="56"/>
  <c r="P25" i="75" s="1"/>
  <c r="A516" i="56"/>
  <c r="A515" i="56"/>
  <c r="BH514" i="56"/>
  <c r="P23" i="75" s="1"/>
  <c r="A514" i="56"/>
  <c r="BH513" i="56"/>
  <c r="P22" i="75" s="1"/>
  <c r="A513" i="56"/>
  <c r="BH512" i="56"/>
  <c r="A512" i="56"/>
  <c r="BH511" i="56"/>
  <c r="P20" i="75" s="1"/>
  <c r="A511" i="56"/>
  <c r="BH510" i="56"/>
  <c r="P19" i="75" s="1"/>
  <c r="A510" i="56"/>
  <c r="BH509" i="56"/>
  <c r="P18" i="75" s="1"/>
  <c r="A509" i="56"/>
  <c r="BH508" i="56"/>
  <c r="P17" i="75" s="1"/>
  <c r="A508" i="56"/>
  <c r="BH507" i="56"/>
  <c r="A507" i="56"/>
  <c r="BH506" i="56"/>
  <c r="A506" i="56"/>
  <c r="BH505" i="56"/>
  <c r="P14" i="75" s="1"/>
  <c r="A505" i="56"/>
  <c r="BH504" i="56"/>
  <c r="P13" i="75" s="1"/>
  <c r="A504" i="56"/>
  <c r="A503" i="56"/>
  <c r="A502" i="56"/>
  <c r="BH501" i="56"/>
  <c r="P10" i="75" s="1"/>
  <c r="A501" i="56"/>
  <c r="BH500" i="56"/>
  <c r="P9" i="75" s="1"/>
  <c r="A500" i="56"/>
  <c r="BH499" i="56"/>
  <c r="P8" i="75" s="1"/>
  <c r="A499" i="56"/>
  <c r="AO494" i="56"/>
  <c r="AN494" i="56"/>
  <c r="AL494" i="56"/>
  <c r="AK494" i="56"/>
  <c r="AJ494" i="56"/>
  <c r="AI494" i="56"/>
  <c r="AH494" i="56"/>
  <c r="AG494" i="56"/>
  <c r="AF494" i="56"/>
  <c r="AE494" i="56"/>
  <c r="AD494" i="56"/>
  <c r="AC494" i="56"/>
  <c r="AB494" i="56"/>
  <c r="AA494" i="56"/>
  <c r="Z494" i="56"/>
  <c r="Y494" i="56"/>
  <c r="X494" i="56"/>
  <c r="W494" i="56"/>
  <c r="V494" i="56"/>
  <c r="U494" i="56"/>
  <c r="T494" i="56"/>
  <c r="S494" i="56"/>
  <c r="R494" i="56"/>
  <c r="Q494" i="56"/>
  <c r="O494" i="56"/>
  <c r="N494" i="56"/>
  <c r="M494" i="56"/>
  <c r="K494" i="56"/>
  <c r="J494" i="56"/>
  <c r="F494" i="56"/>
  <c r="E494" i="56"/>
  <c r="D494" i="56"/>
  <c r="C494" i="56"/>
  <c r="B494" i="56"/>
  <c r="BH493" i="56"/>
  <c r="BH492" i="56"/>
  <c r="BH491" i="56"/>
  <c r="BH490" i="56"/>
  <c r="BH489" i="56"/>
  <c r="BH488" i="56"/>
  <c r="BH487" i="56"/>
  <c r="BH486" i="56"/>
  <c r="BH485" i="56"/>
  <c r="BH484" i="56"/>
  <c r="P55" i="74" s="1"/>
  <c r="BH483" i="56"/>
  <c r="P54" i="74" s="1"/>
  <c r="BH482" i="56"/>
  <c r="P53" i="74" s="1"/>
  <c r="BH481" i="56"/>
  <c r="P52" i="74" s="1"/>
  <c r="BH480" i="56"/>
  <c r="P51" i="74" s="1"/>
  <c r="BH479" i="56"/>
  <c r="P50" i="74" s="1"/>
  <c r="BH478" i="56"/>
  <c r="P49" i="74" s="1"/>
  <c r="BH477" i="56"/>
  <c r="P48" i="74" s="1"/>
  <c r="BH476" i="56"/>
  <c r="P47" i="74" s="1"/>
  <c r="A476" i="56"/>
  <c r="BH475" i="56"/>
  <c r="P46" i="74" s="1"/>
  <c r="A475" i="56"/>
  <c r="BH474" i="56"/>
  <c r="P45" i="74" s="1"/>
  <c r="A474" i="56"/>
  <c r="A473" i="56"/>
  <c r="BH472" i="56"/>
  <c r="P43" i="74" s="1"/>
  <c r="A472" i="56"/>
  <c r="A471" i="56"/>
  <c r="A470" i="56"/>
  <c r="A469" i="56"/>
  <c r="BH468" i="56"/>
  <c r="P39" i="74" s="1"/>
  <c r="A468" i="56"/>
  <c r="BH467" i="56"/>
  <c r="P38" i="74" s="1"/>
  <c r="A467" i="56"/>
  <c r="A466" i="56"/>
  <c r="BH465" i="56"/>
  <c r="P36" i="74" s="1"/>
  <c r="A465" i="56"/>
  <c r="A464" i="56"/>
  <c r="A463" i="56"/>
  <c r="BH462" i="56"/>
  <c r="P33" i="74" s="1"/>
  <c r="A462" i="56"/>
  <c r="A461" i="56"/>
  <c r="A460" i="56"/>
  <c r="BH459" i="56"/>
  <c r="P29" i="74" s="1"/>
  <c r="A459" i="56"/>
  <c r="A458" i="56"/>
  <c r="BH457" i="56"/>
  <c r="A457" i="56"/>
  <c r="BH456" i="56"/>
  <c r="P26" i="74" s="1"/>
  <c r="A456" i="56"/>
  <c r="BH455" i="56"/>
  <c r="P25" i="74" s="1"/>
  <c r="A455" i="56"/>
  <c r="BH454" i="56"/>
  <c r="P24" i="74" s="1"/>
  <c r="A454" i="56"/>
  <c r="BH453" i="56"/>
  <c r="P23" i="74" s="1"/>
  <c r="A453" i="56"/>
  <c r="BH452" i="56"/>
  <c r="P22" i="74" s="1"/>
  <c r="A452" i="56"/>
  <c r="A451" i="56"/>
  <c r="BH450" i="56"/>
  <c r="A450" i="56"/>
  <c r="BH449" i="56"/>
  <c r="P19" i="74" s="1"/>
  <c r="A449" i="56"/>
  <c r="BH448" i="56"/>
  <c r="P18" i="74" s="1"/>
  <c r="A448" i="56"/>
  <c r="A447" i="56"/>
  <c r="A446" i="56"/>
  <c r="BH445" i="56"/>
  <c r="A445" i="56"/>
  <c r="A444" i="56"/>
  <c r="BH443" i="56"/>
  <c r="P13" i="74" s="1"/>
  <c r="A443" i="56"/>
  <c r="AM494" i="56"/>
  <c r="A442" i="56"/>
  <c r="BH441" i="56"/>
  <c r="P11" i="74" s="1"/>
  <c r="A441" i="56"/>
  <c r="BH440" i="56"/>
  <c r="P10" i="74" s="1"/>
  <c r="A440" i="56"/>
  <c r="BH439" i="56"/>
  <c r="P9" i="74" s="1"/>
  <c r="A439" i="56"/>
  <c r="A438" i="56"/>
  <c r="AI433" i="56"/>
  <c r="P39" i="73"/>
  <c r="P38" i="73"/>
  <c r="P36" i="73"/>
  <c r="P35" i="73"/>
  <c r="P32" i="73"/>
  <c r="P25" i="73"/>
  <c r="P14" i="73"/>
  <c r="P13" i="73"/>
  <c r="P12" i="73"/>
  <c r="P9" i="73"/>
  <c r="A375" i="56"/>
  <c r="BD372" i="56"/>
  <c r="BC372" i="56"/>
  <c r="BB372" i="56"/>
  <c r="BA372" i="56"/>
  <c r="AZ372" i="56"/>
  <c r="AY372" i="56"/>
  <c r="AX372" i="56"/>
  <c r="AW372" i="56"/>
  <c r="AU372" i="56"/>
  <c r="AT372" i="56"/>
  <c r="AR372" i="56"/>
  <c r="AQ372" i="56"/>
  <c r="AP372" i="56"/>
  <c r="AO372" i="56"/>
  <c r="AN372" i="56"/>
  <c r="AL372" i="56"/>
  <c r="AK372" i="56"/>
  <c r="AI372" i="56"/>
  <c r="AH372" i="56"/>
  <c r="AG372" i="56"/>
  <c r="AF372" i="56"/>
  <c r="AE372" i="56"/>
  <c r="AD372" i="56"/>
  <c r="AC372" i="56"/>
  <c r="AB372" i="56"/>
  <c r="AA372" i="56"/>
  <c r="Z372" i="56"/>
  <c r="Y372" i="56"/>
  <c r="X372" i="56"/>
  <c r="W372" i="56"/>
  <c r="V372" i="56"/>
  <c r="U372" i="56"/>
  <c r="T372" i="56"/>
  <c r="S372" i="56"/>
  <c r="R372" i="56"/>
  <c r="Q372" i="56"/>
  <c r="O372" i="56"/>
  <c r="N372" i="56"/>
  <c r="M372" i="56"/>
  <c r="L372" i="56"/>
  <c r="K372" i="56"/>
  <c r="J372" i="56"/>
  <c r="G372" i="56"/>
  <c r="F372" i="56"/>
  <c r="E372" i="56"/>
  <c r="D372" i="56"/>
  <c r="C372" i="56"/>
  <c r="BH371" i="56"/>
  <c r="BH370" i="56"/>
  <c r="BH369" i="56"/>
  <c r="BH368" i="56"/>
  <c r="BH367" i="56"/>
  <c r="BH366" i="56"/>
  <c r="BH365" i="56"/>
  <c r="BH364" i="56"/>
  <c r="BH363" i="56"/>
  <c r="BH362" i="56"/>
  <c r="BH361" i="56"/>
  <c r="BH360" i="56"/>
  <c r="P56" i="72" s="1"/>
  <c r="BH359" i="56"/>
  <c r="BH358" i="56"/>
  <c r="P54" i="72" s="1"/>
  <c r="BH357" i="56"/>
  <c r="P53" i="72" s="1"/>
  <c r="BH356" i="56"/>
  <c r="P52" i="72" s="1"/>
  <c r="BH355" i="56"/>
  <c r="P51" i="72" s="1"/>
  <c r="A355" i="56"/>
  <c r="BH354" i="56"/>
  <c r="P50" i="72" s="1"/>
  <c r="A354" i="56"/>
  <c r="BH353" i="56"/>
  <c r="A353" i="56"/>
  <c r="BH352" i="56"/>
  <c r="P48" i="72" s="1"/>
  <c r="A352" i="56"/>
  <c r="BH351" i="56"/>
  <c r="P47" i="72" s="1"/>
  <c r="A351" i="56"/>
  <c r="BH350" i="56"/>
  <c r="A350" i="56"/>
  <c r="A349" i="56"/>
  <c r="BH348" i="56"/>
  <c r="P44" i="72" s="1"/>
  <c r="A348" i="56"/>
  <c r="BH347" i="56"/>
  <c r="P43" i="72" s="1"/>
  <c r="A347" i="56"/>
  <c r="A346" i="56"/>
  <c r="BH345" i="56"/>
  <c r="P41" i="72" s="1"/>
  <c r="A345" i="56"/>
  <c r="BH344" i="56"/>
  <c r="A344" i="56"/>
  <c r="BH343" i="56"/>
  <c r="P39" i="72" s="1"/>
  <c r="A343" i="56"/>
  <c r="A342" i="56"/>
  <c r="BH341" i="56"/>
  <c r="A341" i="56"/>
  <c r="A340" i="56"/>
  <c r="A339" i="56"/>
  <c r="BH338" i="56"/>
  <c r="A338" i="56"/>
  <c r="BH337" i="56"/>
  <c r="P34" i="72" s="1"/>
  <c r="A337" i="56"/>
  <c r="BH336" i="56"/>
  <c r="P33" i="72" s="1"/>
  <c r="A336" i="56"/>
  <c r="A335" i="56"/>
  <c r="A334" i="56"/>
  <c r="A333" i="56"/>
  <c r="A332" i="56"/>
  <c r="A331" i="56"/>
  <c r="BH330" i="56"/>
  <c r="P27" i="72" s="1"/>
  <c r="A330" i="56"/>
  <c r="AM372" i="56"/>
  <c r="A329" i="56"/>
  <c r="BH328" i="56"/>
  <c r="P25" i="72" s="1"/>
  <c r="A328" i="56"/>
  <c r="BH327" i="56"/>
  <c r="P24" i="72" s="1"/>
  <c r="A327" i="56"/>
  <c r="BG372" i="56"/>
  <c r="A325" i="56"/>
  <c r="A324" i="56"/>
  <c r="A323" i="56"/>
  <c r="A322" i="56"/>
  <c r="BH321" i="56"/>
  <c r="P18" i="72" s="1"/>
  <c r="A321" i="56"/>
  <c r="BH320" i="56"/>
  <c r="P17" i="72" s="1"/>
  <c r="A320" i="56"/>
  <c r="AJ372" i="56"/>
  <c r="A319" i="56"/>
  <c r="BH318" i="56"/>
  <c r="P15" i="72" s="1"/>
  <c r="A318" i="56"/>
  <c r="BH317" i="56"/>
  <c r="P14" i="72" s="1"/>
  <c r="A317" i="56"/>
  <c r="BH316" i="56"/>
  <c r="P13" i="72" s="1"/>
  <c r="A316" i="56"/>
  <c r="A315" i="56"/>
  <c r="BH314" i="56"/>
  <c r="A314" i="56"/>
  <c r="A313" i="56"/>
  <c r="A312" i="56"/>
  <c r="AG306" i="56"/>
  <c r="AD306" i="56"/>
  <c r="AC306" i="56"/>
  <c r="AB306" i="56"/>
  <c r="AA306" i="56"/>
  <c r="Z306" i="56"/>
  <c r="Y306" i="56"/>
  <c r="X306" i="56"/>
  <c r="W306" i="56"/>
  <c r="V306" i="56"/>
  <c r="U306" i="56"/>
  <c r="T306" i="56"/>
  <c r="S306" i="56"/>
  <c r="R306" i="56"/>
  <c r="Q306" i="56"/>
  <c r="O306" i="56"/>
  <c r="N306" i="56"/>
  <c r="M306" i="56"/>
  <c r="L306" i="56"/>
  <c r="K306" i="56"/>
  <c r="J306" i="56"/>
  <c r="G306" i="56"/>
  <c r="F306" i="56"/>
  <c r="E306" i="56"/>
  <c r="D306" i="56"/>
  <c r="B306" i="56"/>
  <c r="BH305" i="56"/>
  <c r="BH304" i="56"/>
  <c r="BH303" i="56"/>
  <c r="P61" i="71" s="1"/>
  <c r="A303" i="56"/>
  <c r="BH302" i="56"/>
  <c r="P60" i="71" s="1"/>
  <c r="A302" i="56"/>
  <c r="BH301" i="56"/>
  <c r="P59" i="71" s="1"/>
  <c r="A301" i="56"/>
  <c r="BH300" i="56"/>
  <c r="P58" i="71" s="1"/>
  <c r="A300" i="56"/>
  <c r="BH299" i="56"/>
  <c r="P57" i="71" s="1"/>
  <c r="A299" i="56"/>
  <c r="BH298" i="56"/>
  <c r="P56" i="71" s="1"/>
  <c r="A298" i="56"/>
  <c r="BH297" i="56"/>
  <c r="P55" i="71" s="1"/>
  <c r="A297" i="56"/>
  <c r="BH296" i="56"/>
  <c r="P54" i="71" s="1"/>
  <c r="A296" i="56"/>
  <c r="BH295" i="56"/>
  <c r="P53" i="71" s="1"/>
  <c r="A295" i="56"/>
  <c r="BH294" i="56"/>
  <c r="P52" i="71" s="1"/>
  <c r="A294" i="56"/>
  <c r="BH293" i="56"/>
  <c r="P51" i="71" s="1"/>
  <c r="A293" i="56"/>
  <c r="BH292" i="56"/>
  <c r="P50" i="71" s="1"/>
  <c r="A292" i="56"/>
  <c r="A291" i="56"/>
  <c r="BH290" i="56"/>
  <c r="P48" i="71" s="1"/>
  <c r="A290" i="56"/>
  <c r="BH289" i="56"/>
  <c r="P47" i="71" s="1"/>
  <c r="A289" i="56"/>
  <c r="BH288" i="56"/>
  <c r="P46" i="71" s="1"/>
  <c r="A288" i="56"/>
  <c r="BH287" i="56"/>
  <c r="P45" i="71" s="1"/>
  <c r="A287" i="56"/>
  <c r="AK306" i="56"/>
  <c r="A286" i="56"/>
  <c r="BH285" i="56"/>
  <c r="P43" i="71" s="1"/>
  <c r="A285" i="56"/>
  <c r="A284" i="56"/>
  <c r="BE306" i="56"/>
  <c r="AV306" i="56"/>
  <c r="A283" i="56"/>
  <c r="BH282" i="56"/>
  <c r="P40" i="71" s="1"/>
  <c r="A282" i="56"/>
  <c r="BH281" i="56"/>
  <c r="P39" i="71" s="1"/>
  <c r="A281" i="56"/>
  <c r="A280" i="56"/>
  <c r="AU306" i="56"/>
  <c r="AE306" i="56"/>
  <c r="A279" i="56"/>
  <c r="BH278" i="56"/>
  <c r="A278" i="56"/>
  <c r="BG306" i="56"/>
  <c r="AF306" i="56"/>
  <c r="A277" i="56"/>
  <c r="BH276" i="56"/>
  <c r="A276" i="56"/>
  <c r="AQ306" i="56"/>
  <c r="A275" i="56"/>
  <c r="BH274" i="56"/>
  <c r="P32" i="71" s="1"/>
  <c r="A274" i="56"/>
  <c r="BH273" i="56"/>
  <c r="A273" i="56"/>
  <c r="BH272" i="56"/>
  <c r="P30" i="71" s="1"/>
  <c r="A272" i="56"/>
  <c r="BH271" i="56"/>
  <c r="P29" i="71" s="1"/>
  <c r="A271" i="56"/>
  <c r="BH270" i="56"/>
  <c r="P28" i="71" s="1"/>
  <c r="A270" i="56"/>
  <c r="BH269" i="56"/>
  <c r="P27" i="71" s="1"/>
  <c r="A269" i="56"/>
  <c r="BH268" i="56"/>
  <c r="P26" i="71" s="1"/>
  <c r="A268" i="56"/>
  <c r="A267" i="56"/>
  <c r="BH266" i="56"/>
  <c r="P24" i="71" s="1"/>
  <c r="A266" i="56"/>
  <c r="BH265" i="56"/>
  <c r="P23" i="71" s="1"/>
  <c r="A265" i="56"/>
  <c r="A264" i="56"/>
  <c r="BH263" i="56"/>
  <c r="P21" i="71" s="1"/>
  <c r="A263" i="56"/>
  <c r="AN306" i="56"/>
  <c r="A262" i="56"/>
  <c r="BH261" i="56"/>
  <c r="A261" i="56"/>
  <c r="A260" i="56"/>
  <c r="BH259" i="56"/>
  <c r="P17" i="71" s="1"/>
  <c r="A259" i="56"/>
  <c r="A258" i="56"/>
  <c r="BH257" i="56"/>
  <c r="A257" i="56"/>
  <c r="BH256" i="56"/>
  <c r="P14" i="71" s="1"/>
  <c r="A256" i="56"/>
  <c r="C306" i="56"/>
  <c r="A255" i="56"/>
  <c r="BH254" i="56"/>
  <c r="P12" i="71" s="1"/>
  <c r="A254" i="56"/>
  <c r="BH253" i="56"/>
  <c r="P11" i="71" s="1"/>
  <c r="A253" i="56"/>
  <c r="BH252" i="56"/>
  <c r="P10" i="71" s="1"/>
  <c r="A252" i="56"/>
  <c r="BH251" i="56"/>
  <c r="P9" i="71" s="1"/>
  <c r="A251" i="56"/>
  <c r="A250" i="56"/>
  <c r="BE245" i="56"/>
  <c r="BD245" i="56"/>
  <c r="BC245" i="56"/>
  <c r="BB245" i="56"/>
  <c r="BA245" i="56"/>
  <c r="AY245" i="56"/>
  <c r="AX245" i="56"/>
  <c r="AW245" i="56"/>
  <c r="AV245" i="56"/>
  <c r="AT245" i="56"/>
  <c r="AS245" i="56"/>
  <c r="AR245" i="56"/>
  <c r="AQ245" i="56"/>
  <c r="AP245" i="56"/>
  <c r="AO245" i="56"/>
  <c r="AN245" i="56"/>
  <c r="AM245" i="56"/>
  <c r="AL245" i="56"/>
  <c r="AJ245" i="56"/>
  <c r="AI245" i="56"/>
  <c r="AF245" i="56"/>
  <c r="AD245" i="56"/>
  <c r="AC245" i="56"/>
  <c r="AB245" i="56"/>
  <c r="AA245" i="56"/>
  <c r="Z245" i="56"/>
  <c r="Y245" i="56"/>
  <c r="X245" i="56"/>
  <c r="W245" i="56"/>
  <c r="V245" i="56"/>
  <c r="U245" i="56"/>
  <c r="E245" i="56"/>
  <c r="D245" i="56"/>
  <c r="C245" i="56"/>
  <c r="B245" i="56"/>
  <c r="BH244" i="56"/>
  <c r="BH243" i="56"/>
  <c r="BH242" i="56"/>
  <c r="BH241" i="56"/>
  <c r="BH240" i="56"/>
  <c r="BH239" i="56"/>
  <c r="BH238" i="56"/>
  <c r="BH237" i="56"/>
  <c r="BH236" i="56"/>
  <c r="BH235" i="56"/>
  <c r="A235" i="56"/>
  <c r="BH234" i="56"/>
  <c r="P53" i="70" s="1"/>
  <c r="A234" i="56"/>
  <c r="BH233" i="56"/>
  <c r="P52" i="70" s="1"/>
  <c r="A233" i="56"/>
  <c r="BH232" i="56"/>
  <c r="P51" i="70" s="1"/>
  <c r="A232" i="56"/>
  <c r="BH231" i="56"/>
  <c r="P50" i="70" s="1"/>
  <c r="A231" i="56"/>
  <c r="BH230" i="56"/>
  <c r="P49" i="70" s="1"/>
  <c r="A230" i="56"/>
  <c r="BH229" i="56"/>
  <c r="P48" i="70" s="1"/>
  <c r="A229" i="56"/>
  <c r="BH228" i="56"/>
  <c r="P47" i="70" s="1"/>
  <c r="A228" i="56"/>
  <c r="A227" i="56"/>
  <c r="BH226" i="56"/>
  <c r="P45" i="70" s="1"/>
  <c r="A226" i="56"/>
  <c r="A225" i="56"/>
  <c r="BH224" i="56"/>
  <c r="A224" i="56"/>
  <c r="A223" i="56"/>
  <c r="A222" i="56"/>
  <c r="BH221" i="56"/>
  <c r="P40" i="70" s="1"/>
  <c r="A221" i="56"/>
  <c r="BH220" i="56"/>
  <c r="P39" i="70" s="1"/>
  <c r="A220" i="56"/>
  <c r="BH219" i="56"/>
  <c r="P38" i="70" s="1"/>
  <c r="A219" i="56"/>
  <c r="AH245" i="56"/>
  <c r="A218" i="56"/>
  <c r="BH217" i="56"/>
  <c r="P36" i="70" s="1"/>
  <c r="A217" i="56"/>
  <c r="AE245" i="56"/>
  <c r="A216" i="56"/>
  <c r="BH215" i="56"/>
  <c r="A215" i="56"/>
  <c r="A214" i="56"/>
  <c r="BH213" i="56"/>
  <c r="A213" i="56"/>
  <c r="BH212" i="56"/>
  <c r="A212" i="56"/>
  <c r="BH211" i="56"/>
  <c r="P30" i="70" s="1"/>
  <c r="A211" i="56"/>
  <c r="BH210" i="56"/>
  <c r="P29" i="70" s="1"/>
  <c r="A210" i="56"/>
  <c r="A209" i="56"/>
  <c r="BH208" i="56"/>
  <c r="P27" i="70" s="1"/>
  <c r="A208" i="56"/>
  <c r="BH206" i="56"/>
  <c r="A206" i="56"/>
  <c r="BH205" i="56"/>
  <c r="P24" i="70" s="1"/>
  <c r="A205" i="56"/>
  <c r="BH204" i="56"/>
  <c r="P23" i="70" s="1"/>
  <c r="A204" i="56"/>
  <c r="BH203" i="56"/>
  <c r="P22" i="70" s="1"/>
  <c r="A203" i="56"/>
  <c r="BH202" i="56"/>
  <c r="P21" i="70" s="1"/>
  <c r="A202" i="56"/>
  <c r="A201" i="56"/>
  <c r="BH200" i="56"/>
  <c r="P19" i="70" s="1"/>
  <c r="A200" i="56"/>
  <c r="A199" i="56"/>
  <c r="A198" i="56"/>
  <c r="BH197" i="56"/>
  <c r="P16" i="70" s="1"/>
  <c r="A197" i="56"/>
  <c r="A196" i="56"/>
  <c r="BH195" i="56"/>
  <c r="P14" i="70" s="1"/>
  <c r="A195" i="56"/>
  <c r="BH194" i="56"/>
  <c r="A194" i="56"/>
  <c r="BH193" i="56"/>
  <c r="P12" i="70" s="1"/>
  <c r="A193" i="56"/>
  <c r="BH192" i="56"/>
  <c r="A192" i="56"/>
  <c r="AK245" i="56"/>
  <c r="A191" i="56"/>
  <c r="BH190" i="56"/>
  <c r="P9" i="70" s="1"/>
  <c r="A190" i="56"/>
  <c r="BG245" i="56"/>
  <c r="A189" i="56"/>
  <c r="BE184" i="56"/>
  <c r="BD184" i="56"/>
  <c r="BC184" i="56"/>
  <c r="AY184" i="56"/>
  <c r="AW184" i="56"/>
  <c r="AV184" i="56"/>
  <c r="AR184" i="56"/>
  <c r="AP184" i="56"/>
  <c r="AO184" i="56"/>
  <c r="AN184" i="56"/>
  <c r="AL184" i="56"/>
  <c r="AG184" i="56"/>
  <c r="AF184" i="56"/>
  <c r="AE184" i="56"/>
  <c r="AD184" i="56"/>
  <c r="AC184" i="56"/>
  <c r="AB184" i="56"/>
  <c r="AA184" i="56"/>
  <c r="Z184" i="56"/>
  <c r="Y184" i="56"/>
  <c r="X184" i="56"/>
  <c r="W184" i="56"/>
  <c r="V184" i="56"/>
  <c r="U184" i="56"/>
  <c r="T184" i="56"/>
  <c r="S184" i="56"/>
  <c r="R184" i="56"/>
  <c r="Q184" i="56"/>
  <c r="O184" i="56"/>
  <c r="N184" i="56"/>
  <c r="M184" i="56"/>
  <c r="L184" i="56"/>
  <c r="K184" i="56"/>
  <c r="J184" i="56"/>
  <c r="G184" i="56"/>
  <c r="F184" i="56"/>
  <c r="E184" i="56"/>
  <c r="D184" i="56"/>
  <c r="C184" i="56"/>
  <c r="B184" i="56"/>
  <c r="BH183" i="56"/>
  <c r="BH182" i="56"/>
  <c r="BH181" i="56"/>
  <c r="P61" i="69" s="1"/>
  <c r="BH180" i="56"/>
  <c r="P60" i="69" s="1"/>
  <c r="BH179" i="56"/>
  <c r="P59" i="69" s="1"/>
  <c r="BH178" i="56"/>
  <c r="P58" i="69" s="1"/>
  <c r="BH177" i="56"/>
  <c r="P57" i="69" s="1"/>
  <c r="BH176" i="56"/>
  <c r="P56" i="69" s="1"/>
  <c r="BH175" i="56"/>
  <c r="P55" i="69" s="1"/>
  <c r="BH174" i="56"/>
  <c r="P54" i="69" s="1"/>
  <c r="BH173" i="56"/>
  <c r="P53" i="69" s="1"/>
  <c r="BH172" i="56"/>
  <c r="P52" i="69" s="1"/>
  <c r="BH171" i="56"/>
  <c r="P51" i="69" s="1"/>
  <c r="BH170" i="56"/>
  <c r="P50" i="69" s="1"/>
  <c r="BG184" i="56"/>
  <c r="AQ184" i="56"/>
  <c r="BA184" i="56"/>
  <c r="BH160" i="56"/>
  <c r="P39" i="69" s="1"/>
  <c r="AM184" i="56"/>
  <c r="BH157" i="56"/>
  <c r="P36" i="69" s="1"/>
  <c r="BH156" i="56"/>
  <c r="P35" i="69" s="1"/>
  <c r="AZ184" i="56"/>
  <c r="BH154" i="56"/>
  <c r="P33" i="69" s="1"/>
  <c r="BH153" i="56"/>
  <c r="P32" i="69" s="1"/>
  <c r="BH152" i="56"/>
  <c r="P31" i="69" s="1"/>
  <c r="BH150" i="56"/>
  <c r="P29" i="69" s="1"/>
  <c r="AI184" i="56"/>
  <c r="BH148" i="56"/>
  <c r="P27" i="69" s="1"/>
  <c r="BH147" i="56"/>
  <c r="P26" i="69" s="1"/>
  <c r="BH146" i="56"/>
  <c r="P25" i="69" s="1"/>
  <c r="BH145" i="56"/>
  <c r="P24" i="69" s="1"/>
  <c r="AX184" i="56"/>
  <c r="AJ184" i="56"/>
  <c r="BH142" i="56"/>
  <c r="P21" i="69" s="1"/>
  <c r="BH141" i="56"/>
  <c r="P20" i="69" s="1"/>
  <c r="BH140" i="56"/>
  <c r="P19" i="69" s="1"/>
  <c r="BH139" i="56"/>
  <c r="P18" i="69" s="1"/>
  <c r="BH136" i="56"/>
  <c r="P15" i="69" s="1"/>
  <c r="BH133" i="56"/>
  <c r="P12" i="69" s="1"/>
  <c r="BH131" i="56"/>
  <c r="P10" i="69" s="1"/>
  <c r="BH130" i="56"/>
  <c r="P9" i="69" s="1"/>
  <c r="A120" i="56"/>
  <c r="A119" i="56"/>
  <c r="A118" i="56"/>
  <c r="P54" i="68"/>
  <c r="A117" i="56"/>
  <c r="P53" i="68"/>
  <c r="A116" i="56"/>
  <c r="A115" i="56"/>
  <c r="A114" i="56"/>
  <c r="A113" i="56"/>
  <c r="A112" i="56"/>
  <c r="A111" i="56"/>
  <c r="A110" i="56"/>
  <c r="A109" i="56"/>
  <c r="A108" i="56"/>
  <c r="A107" i="56"/>
  <c r="A106" i="56"/>
  <c r="P42" i="68"/>
  <c r="A105" i="56"/>
  <c r="P41" i="68"/>
  <c r="A104" i="56"/>
  <c r="P40" i="68"/>
  <c r="A103" i="56"/>
  <c r="BH102" i="56"/>
  <c r="A102" i="56"/>
  <c r="V123" i="56"/>
  <c r="A101" i="56"/>
  <c r="A100" i="56"/>
  <c r="A99" i="56"/>
  <c r="BH98" i="56"/>
  <c r="P35" i="68" s="1"/>
  <c r="A98" i="56"/>
  <c r="BH97" i="56"/>
  <c r="P34" i="68" s="1"/>
  <c r="A97" i="56"/>
  <c r="A96" i="56"/>
  <c r="A95" i="56"/>
  <c r="A94" i="56"/>
  <c r="BH93" i="56"/>
  <c r="P30" i="68" s="1"/>
  <c r="A93" i="56"/>
  <c r="P29" i="68"/>
  <c r="A92" i="56"/>
  <c r="A91" i="56"/>
  <c r="BC123" i="56"/>
  <c r="A90" i="56"/>
  <c r="A89" i="56"/>
  <c r="A88" i="56"/>
  <c r="A87" i="56"/>
  <c r="A86" i="56"/>
  <c r="P22" i="68"/>
  <c r="A85" i="56"/>
  <c r="A84" i="56"/>
  <c r="BH83" i="56"/>
  <c r="A83" i="56"/>
  <c r="A82" i="56"/>
  <c r="AO123" i="56"/>
  <c r="A81" i="56"/>
  <c r="A80" i="56"/>
  <c r="A79" i="56"/>
  <c r="BH78" i="56"/>
  <c r="A78" i="56"/>
  <c r="R123" i="56"/>
  <c r="A77" i="56"/>
  <c r="A76" i="56"/>
  <c r="A75" i="56"/>
  <c r="P11" i="68"/>
  <c r="A74" i="56"/>
  <c r="AM123" i="56"/>
  <c r="A73" i="56"/>
  <c r="A72" i="56"/>
  <c r="P8" i="68"/>
  <c r="A71" i="56"/>
  <c r="BG66" i="56"/>
  <c r="BD66" i="56"/>
  <c r="BC66" i="56"/>
  <c r="BB66" i="56"/>
  <c r="BA66" i="56"/>
  <c r="AZ66" i="56"/>
  <c r="AY66" i="56"/>
  <c r="AW66" i="56"/>
  <c r="AV66" i="56"/>
  <c r="AR66" i="56"/>
  <c r="AP66" i="56"/>
  <c r="AO66" i="56"/>
  <c r="AN66" i="56"/>
  <c r="AL66" i="56"/>
  <c r="AK66" i="56"/>
  <c r="AI66" i="56"/>
  <c r="AH66" i="56"/>
  <c r="AF66" i="56"/>
  <c r="AD66" i="56"/>
  <c r="AC66" i="56"/>
  <c r="AB66" i="56"/>
  <c r="AA66" i="56"/>
  <c r="Z66" i="56"/>
  <c r="Y66" i="56"/>
  <c r="X66" i="56"/>
  <c r="V66" i="56"/>
  <c r="U66" i="56"/>
  <c r="T66" i="56"/>
  <c r="S66" i="56"/>
  <c r="Q66" i="56"/>
  <c r="O66" i="56"/>
  <c r="N66" i="56"/>
  <c r="M66" i="56"/>
  <c r="L66" i="56"/>
  <c r="K66" i="56"/>
  <c r="J66" i="56"/>
  <c r="G66" i="56"/>
  <c r="F66" i="56"/>
  <c r="E66" i="56"/>
  <c r="D66" i="56"/>
  <c r="C66" i="56"/>
  <c r="B66" i="56"/>
  <c r="BH65" i="56"/>
  <c r="BH64" i="56"/>
  <c r="BH63" i="56"/>
  <c r="BH62" i="56"/>
  <c r="BH61" i="56"/>
  <c r="BH60" i="56"/>
  <c r="BH59" i="56"/>
  <c r="BH58" i="56"/>
  <c r="BH57" i="56"/>
  <c r="P57" i="43" s="1"/>
  <c r="BH56" i="56"/>
  <c r="P56" i="43" s="1"/>
  <c r="BH55" i="56"/>
  <c r="P55" i="43" s="1"/>
  <c r="BH54" i="56"/>
  <c r="P54" i="43" s="1"/>
  <c r="BH53" i="56"/>
  <c r="P53" i="43" s="1"/>
  <c r="BH52" i="56"/>
  <c r="P52" i="43" s="1"/>
  <c r="BH51" i="56"/>
  <c r="P51" i="43" s="1"/>
  <c r="BH50" i="56"/>
  <c r="P50" i="43" s="1"/>
  <c r="BH49" i="56"/>
  <c r="BH48" i="56"/>
  <c r="P48" i="43" s="1"/>
  <c r="BH47" i="56"/>
  <c r="P47" i="43" s="1"/>
  <c r="BH46" i="56"/>
  <c r="P46" i="43" s="1"/>
  <c r="BH45" i="56"/>
  <c r="P45" i="43" s="1"/>
  <c r="A45" i="56"/>
  <c r="BH44" i="56"/>
  <c r="P44" i="43" s="1"/>
  <c r="A44" i="56"/>
  <c r="BH43" i="56"/>
  <c r="P43" i="43" s="1"/>
  <c r="A43" i="56"/>
  <c r="BH42" i="56"/>
  <c r="P42" i="43" s="1"/>
  <c r="A42" i="56"/>
  <c r="A41" i="56"/>
  <c r="BH40" i="56"/>
  <c r="P40" i="43" s="1"/>
  <c r="A40" i="56"/>
  <c r="BH39" i="56"/>
  <c r="P39" i="43" s="1"/>
  <c r="A39" i="56"/>
  <c r="BH38" i="56"/>
  <c r="P38" i="43" s="1"/>
  <c r="A38" i="56"/>
  <c r="AU66" i="56"/>
  <c r="A37" i="56"/>
  <c r="A36" i="56"/>
  <c r="BH35" i="56"/>
  <c r="P35" i="43" s="1"/>
  <c r="A35" i="56"/>
  <c r="A34" i="56"/>
  <c r="BH33" i="56"/>
  <c r="P33" i="43" s="1"/>
  <c r="A33" i="56"/>
  <c r="A32" i="56"/>
  <c r="BH31" i="56"/>
  <c r="P31" i="43" s="1"/>
  <c r="A31" i="56"/>
  <c r="AM66" i="56"/>
  <c r="W66" i="56"/>
  <c r="A30" i="56"/>
  <c r="AQ66" i="56"/>
  <c r="A29" i="56"/>
  <c r="BH28" i="56"/>
  <c r="P28" i="43" s="1"/>
  <c r="A28" i="56"/>
  <c r="A27" i="56"/>
  <c r="BH26" i="56"/>
  <c r="P26" i="43" s="1"/>
  <c r="A26" i="56"/>
  <c r="R66" i="56"/>
  <c r="A25" i="56"/>
  <c r="A24" i="56"/>
  <c r="BH23" i="56"/>
  <c r="P23" i="43" s="1"/>
  <c r="A23" i="56"/>
  <c r="BH22" i="56"/>
  <c r="P22" i="43" s="1"/>
  <c r="A22" i="56"/>
  <c r="A21" i="56"/>
  <c r="A20" i="56"/>
  <c r="BH19" i="56"/>
  <c r="P19" i="43" s="1"/>
  <c r="A19" i="56"/>
  <c r="AX66" i="56"/>
  <c r="A18" i="56"/>
  <c r="BH17" i="56"/>
  <c r="P17" i="43" s="1"/>
  <c r="A17" i="56"/>
  <c r="BH16" i="56"/>
  <c r="P16" i="43" s="1"/>
  <c r="A16" i="56"/>
  <c r="BH15" i="56"/>
  <c r="P15" i="43" s="1"/>
  <c r="A15" i="56"/>
  <c r="BH14" i="56"/>
  <c r="P14" i="43" s="1"/>
  <c r="A14" i="56"/>
  <c r="BH13" i="56"/>
  <c r="P13" i="43" s="1"/>
  <c r="A13" i="56"/>
  <c r="BH12" i="56"/>
  <c r="P12" i="43" s="1"/>
  <c r="A12" i="56"/>
  <c r="BH11" i="56"/>
  <c r="P11" i="43" s="1"/>
  <c r="A11" i="56"/>
  <c r="BH10" i="56"/>
  <c r="P10" i="43" s="1"/>
  <c r="A10" i="56"/>
  <c r="AS66" i="56"/>
  <c r="A9" i="56"/>
  <c r="BH8" i="56"/>
  <c r="A8" i="56"/>
  <c r="AG728" i="65"/>
  <c r="AG727" i="65"/>
  <c r="AG726" i="65"/>
  <c r="AG725" i="65"/>
  <c r="AG724" i="65"/>
  <c r="A724" i="65"/>
  <c r="AG723" i="65"/>
  <c r="A723" i="65"/>
  <c r="AG722" i="65"/>
  <c r="A722" i="65"/>
  <c r="AG721" i="65"/>
  <c r="O57" i="67" s="1"/>
  <c r="A721" i="65"/>
  <c r="AG720" i="65"/>
  <c r="A720" i="65"/>
  <c r="AG719" i="65"/>
  <c r="A719" i="65"/>
  <c r="AG718" i="65"/>
  <c r="A718" i="65"/>
  <c r="AG717" i="65"/>
  <c r="A717" i="65"/>
  <c r="AG716" i="65"/>
  <c r="A716" i="65"/>
  <c r="AG715" i="65"/>
  <c r="A715" i="65"/>
  <c r="AG714" i="65"/>
  <c r="O50" i="67" s="1"/>
  <c r="A714" i="65"/>
  <c r="AG713" i="65"/>
  <c r="O49" i="67" s="1"/>
  <c r="A713" i="65"/>
  <c r="AG712" i="65"/>
  <c r="O48" i="67" s="1"/>
  <c r="A712" i="65"/>
  <c r="AG711" i="65"/>
  <c r="O47" i="67" s="1"/>
  <c r="A711" i="65"/>
  <c r="AG710" i="65"/>
  <c r="O46" i="67" s="1"/>
  <c r="A710" i="65"/>
  <c r="AG709" i="65"/>
  <c r="O45" i="67" s="1"/>
  <c r="A709" i="65"/>
  <c r="AG708" i="65"/>
  <c r="O44" i="67" s="1"/>
  <c r="A708" i="65"/>
  <c r="AG707" i="65"/>
  <c r="O43" i="67" s="1"/>
  <c r="A707" i="65"/>
  <c r="AG706" i="65"/>
  <c r="O42" i="67" s="1"/>
  <c r="A706" i="65"/>
  <c r="AG705" i="65"/>
  <c r="O41" i="67" s="1"/>
  <c r="A705" i="65"/>
  <c r="AG704" i="65"/>
  <c r="O40" i="67" s="1"/>
  <c r="A704" i="65"/>
  <c r="AG703" i="65"/>
  <c r="O39" i="67" s="1"/>
  <c r="A703" i="65"/>
  <c r="AG702" i="65"/>
  <c r="A702" i="65"/>
  <c r="AG701" i="65"/>
  <c r="O37" i="67" s="1"/>
  <c r="A701" i="65"/>
  <c r="AG699" i="65"/>
  <c r="O35" i="67" s="1"/>
  <c r="A699" i="65"/>
  <c r="AG698" i="65"/>
  <c r="O34" i="67" s="1"/>
  <c r="A698" i="65"/>
  <c r="AG697" i="65"/>
  <c r="O33" i="67" s="1"/>
  <c r="A697" i="65"/>
  <c r="AG696" i="65"/>
  <c r="O32" i="67" s="1"/>
  <c r="A696" i="65"/>
  <c r="AG695" i="65"/>
  <c r="O31" i="67" s="1"/>
  <c r="A695" i="65"/>
  <c r="AG694" i="65"/>
  <c r="O30" i="67" s="1"/>
  <c r="A694" i="65"/>
  <c r="AG693" i="65"/>
  <c r="O29" i="67" s="1"/>
  <c r="A693" i="65"/>
  <c r="AG692" i="65"/>
  <c r="O28" i="67" s="1"/>
  <c r="A692" i="65"/>
  <c r="AG691" i="65"/>
  <c r="O27" i="67" s="1"/>
  <c r="A691" i="65"/>
  <c r="AG690" i="65"/>
  <c r="O26" i="67" s="1"/>
  <c r="A690" i="65"/>
  <c r="AG689" i="65"/>
  <c r="O25" i="67" s="1"/>
  <c r="A689" i="65"/>
  <c r="AG688" i="65"/>
  <c r="O24" i="67" s="1"/>
  <c r="A688" i="65"/>
  <c r="AG687" i="65"/>
  <c r="O23" i="67" s="1"/>
  <c r="A687" i="65"/>
  <c r="AG686" i="65"/>
  <c r="O22" i="67" s="1"/>
  <c r="A686" i="65"/>
  <c r="AG685" i="65"/>
  <c r="O21" i="67" s="1"/>
  <c r="A685" i="65"/>
  <c r="AG684" i="65"/>
  <c r="O20" i="67" s="1"/>
  <c r="A684" i="65"/>
  <c r="AG683" i="65"/>
  <c r="O19" i="67" s="1"/>
  <c r="A683" i="65"/>
  <c r="AG682" i="65"/>
  <c r="O18" i="67" s="1"/>
  <c r="A682" i="65"/>
  <c r="AG681" i="65"/>
  <c r="O17" i="67" s="1"/>
  <c r="A681" i="65"/>
  <c r="O16" i="67"/>
  <c r="O15" i="67"/>
  <c r="O14" i="67"/>
  <c r="O13" i="67"/>
  <c r="AG676" i="65"/>
  <c r="O12" i="67" s="1"/>
  <c r="A676" i="65"/>
  <c r="AG675" i="65"/>
  <c r="O11" i="67" s="1"/>
  <c r="A675" i="65"/>
  <c r="AG674" i="65"/>
  <c r="O10" i="67" s="1"/>
  <c r="A674" i="65"/>
  <c r="AG673" i="65"/>
  <c r="O9" i="67" s="1"/>
  <c r="A673" i="65"/>
  <c r="AG672" i="65"/>
  <c r="O8" i="67" s="1"/>
  <c r="A672" i="65"/>
  <c r="AG667" i="65"/>
  <c r="O65" i="77" s="1"/>
  <c r="AD65" i="77" s="1"/>
  <c r="AG666" i="65"/>
  <c r="O64" i="77" s="1"/>
  <c r="AG665" i="65"/>
  <c r="O63" i="77" s="1"/>
  <c r="AG664" i="65"/>
  <c r="O62" i="77" s="1"/>
  <c r="AG663" i="65"/>
  <c r="O61" i="77" s="1"/>
  <c r="AG662" i="65"/>
  <c r="O60" i="77" s="1"/>
  <c r="AG661" i="65"/>
  <c r="O59" i="77" s="1"/>
  <c r="AG660" i="65"/>
  <c r="O58" i="77" s="1"/>
  <c r="AG659" i="65"/>
  <c r="O57" i="77" s="1"/>
  <c r="AG658" i="65"/>
  <c r="O56" i="77" s="1"/>
  <c r="AG657" i="65"/>
  <c r="O55" i="77" s="1"/>
  <c r="AG656" i="65"/>
  <c r="O54" i="77" s="1"/>
  <c r="AG655" i="65"/>
  <c r="O53" i="77" s="1"/>
  <c r="AG654" i="65"/>
  <c r="O52" i="77" s="1"/>
  <c r="AG653" i="65"/>
  <c r="O51" i="77" s="1"/>
  <c r="AG652" i="65"/>
  <c r="AG651" i="65"/>
  <c r="O48" i="77" s="1"/>
  <c r="AG650" i="65"/>
  <c r="AG649" i="65"/>
  <c r="O46" i="77" s="1"/>
  <c r="AG648" i="65"/>
  <c r="O45" i="77" s="1"/>
  <c r="AG647" i="65"/>
  <c r="O44" i="77" s="1"/>
  <c r="AG646" i="65"/>
  <c r="O43" i="77" s="1"/>
  <c r="AG645" i="65"/>
  <c r="O42" i="77" s="1"/>
  <c r="AG644" i="65"/>
  <c r="O41" i="77" s="1"/>
  <c r="AG643" i="65"/>
  <c r="O40" i="77" s="1"/>
  <c r="AG642" i="65"/>
  <c r="O39" i="77" s="1"/>
  <c r="AG641" i="65"/>
  <c r="O38" i="77" s="1"/>
  <c r="AG640" i="65"/>
  <c r="O37" i="77" s="1"/>
  <c r="AG639" i="65"/>
  <c r="O36" i="77" s="1"/>
  <c r="AG638" i="65"/>
  <c r="O35" i="77" s="1"/>
  <c r="AG637" i="65"/>
  <c r="O34" i="77" s="1"/>
  <c r="AG636" i="65"/>
  <c r="O33" i="77" s="1"/>
  <c r="AG635" i="65"/>
  <c r="O32" i="77" s="1"/>
  <c r="AG634" i="65"/>
  <c r="O31" i="77" s="1"/>
  <c r="AG633" i="65"/>
  <c r="O30" i="77" s="1"/>
  <c r="AG632" i="65"/>
  <c r="O29" i="77" s="1"/>
  <c r="AG631" i="65"/>
  <c r="O28" i="77" s="1"/>
  <c r="AG630" i="65"/>
  <c r="O27" i="77" s="1"/>
  <c r="AG629" i="65"/>
  <c r="O26" i="77" s="1"/>
  <c r="AG628" i="65"/>
  <c r="O25" i="77" s="1"/>
  <c r="AG627" i="65"/>
  <c r="O24" i="77" s="1"/>
  <c r="AG626" i="65"/>
  <c r="O23" i="77" s="1"/>
  <c r="AG625" i="65"/>
  <c r="O22" i="77" s="1"/>
  <c r="AG624" i="65"/>
  <c r="O21" i="77" s="1"/>
  <c r="AG623" i="65"/>
  <c r="O20" i="77" s="1"/>
  <c r="AG622" i="65"/>
  <c r="O19" i="77" s="1"/>
  <c r="AG621" i="65"/>
  <c r="O18" i="77" s="1"/>
  <c r="AG620" i="65"/>
  <c r="O17" i="77" s="1"/>
  <c r="AG619" i="65"/>
  <c r="O16" i="77" s="1"/>
  <c r="AG618" i="65"/>
  <c r="O15" i="77" s="1"/>
  <c r="AG617" i="65"/>
  <c r="O14" i="77" s="1"/>
  <c r="AG616" i="65"/>
  <c r="O13" i="77" s="1"/>
  <c r="AG615" i="65"/>
  <c r="O12" i="77" s="1"/>
  <c r="AG614" i="65"/>
  <c r="O11" i="77" s="1"/>
  <c r="AG613" i="65"/>
  <c r="O10" i="77" s="1"/>
  <c r="AG612" i="65"/>
  <c r="O9" i="77" s="1"/>
  <c r="AG611" i="65"/>
  <c r="O8" i="77" s="1"/>
  <c r="A611" i="65"/>
  <c r="AG606" i="65"/>
  <c r="O60" i="76" s="1"/>
  <c r="AG605" i="65"/>
  <c r="O59" i="76" s="1"/>
  <c r="AG604" i="65"/>
  <c r="O58" i="76" s="1"/>
  <c r="AG603" i="65"/>
  <c r="O57" i="76" s="1"/>
  <c r="A603" i="65"/>
  <c r="AG602" i="65"/>
  <c r="O56" i="76" s="1"/>
  <c r="A602" i="65"/>
  <c r="AG601" i="65"/>
  <c r="O55" i="76" s="1"/>
  <c r="A601" i="65"/>
  <c r="AG600" i="65"/>
  <c r="O54" i="76" s="1"/>
  <c r="A600" i="65"/>
  <c r="AG599" i="65"/>
  <c r="O53" i="76" s="1"/>
  <c r="A599" i="65"/>
  <c r="AG598" i="65"/>
  <c r="O52" i="76" s="1"/>
  <c r="A598" i="65"/>
  <c r="AG597" i="65"/>
  <c r="O51" i="76" s="1"/>
  <c r="A597" i="65"/>
  <c r="AG596" i="65"/>
  <c r="O50" i="76" s="1"/>
  <c r="A596" i="65"/>
  <c r="AG595" i="65"/>
  <c r="O49" i="76" s="1"/>
  <c r="A595" i="65"/>
  <c r="AG594" i="65"/>
  <c r="O48" i="76" s="1"/>
  <c r="A594" i="65"/>
  <c r="AG593" i="65"/>
  <c r="O47" i="76" s="1"/>
  <c r="A593" i="65"/>
  <c r="AG592" i="65"/>
  <c r="A592" i="65"/>
  <c r="AG591" i="65"/>
  <c r="A591" i="65"/>
  <c r="A590" i="65"/>
  <c r="AG589" i="65"/>
  <c r="O43" i="76" s="1"/>
  <c r="A589" i="65"/>
  <c r="AG588" i="65"/>
  <c r="O42" i="76" s="1"/>
  <c r="A588" i="65"/>
  <c r="AG587" i="65"/>
  <c r="A587" i="65"/>
  <c r="AG586" i="65"/>
  <c r="O40" i="76" s="1"/>
  <c r="A586" i="65"/>
  <c r="AG585" i="65"/>
  <c r="O39" i="76" s="1"/>
  <c r="A585" i="65"/>
  <c r="AG584" i="65"/>
  <c r="O38" i="76" s="1"/>
  <c r="A584" i="65"/>
  <c r="AG583" i="65"/>
  <c r="A583" i="65"/>
  <c r="AG582" i="65"/>
  <c r="A582" i="65"/>
  <c r="AG581" i="65"/>
  <c r="O35" i="76" s="1"/>
  <c r="A581" i="65"/>
  <c r="AG580" i="65"/>
  <c r="A580" i="65"/>
  <c r="AG579" i="65"/>
  <c r="A579" i="65"/>
  <c r="AG578" i="65"/>
  <c r="O32" i="76" s="1"/>
  <c r="A578" i="65"/>
  <c r="A577" i="65"/>
  <c r="Y607" i="65"/>
  <c r="P607" i="65"/>
  <c r="A576" i="65"/>
  <c r="AG575" i="65"/>
  <c r="O29" i="76" s="1"/>
  <c r="A575" i="65"/>
  <c r="AG574" i="65"/>
  <c r="O28" i="76" s="1"/>
  <c r="A574" i="65"/>
  <c r="AG573" i="65"/>
  <c r="O27" i="76" s="1"/>
  <c r="A573" i="65"/>
  <c r="AG572" i="65"/>
  <c r="O26" i="76" s="1"/>
  <c r="A572" i="65"/>
  <c r="AG571" i="65"/>
  <c r="O25" i="76" s="1"/>
  <c r="A571" i="65"/>
  <c r="AG570" i="65"/>
  <c r="A570" i="65"/>
  <c r="AG569" i="65"/>
  <c r="O23" i="76" s="1"/>
  <c r="A569" i="65"/>
  <c r="AG568" i="65"/>
  <c r="O22" i="76" s="1"/>
  <c r="A568" i="65"/>
  <c r="AG567" i="65"/>
  <c r="O21" i="76" s="1"/>
  <c r="A567" i="65"/>
  <c r="AG566" i="65"/>
  <c r="O20" i="76" s="1"/>
  <c r="A566" i="65"/>
  <c r="AG565" i="65"/>
  <c r="O19" i="76" s="1"/>
  <c r="A565" i="65"/>
  <c r="AG564" i="65"/>
  <c r="O18" i="76" s="1"/>
  <c r="A564" i="65"/>
  <c r="AG563" i="65"/>
  <c r="O17" i="76" s="1"/>
  <c r="A563" i="65"/>
  <c r="AG562" i="65"/>
  <c r="A562" i="65"/>
  <c r="AG561" i="65"/>
  <c r="O15" i="76" s="1"/>
  <c r="A561" i="65"/>
  <c r="AG560" i="65"/>
  <c r="A560" i="65"/>
  <c r="AG559" i="65"/>
  <c r="A559" i="65"/>
  <c r="AG558" i="65"/>
  <c r="O12" i="76" s="1"/>
  <c r="A558" i="65"/>
  <c r="AG557" i="65"/>
  <c r="O11" i="76" s="1"/>
  <c r="A557" i="65"/>
  <c r="AG556" i="65"/>
  <c r="A556" i="65"/>
  <c r="AG555" i="65"/>
  <c r="O9" i="76" s="1"/>
  <c r="A555" i="65"/>
  <c r="A554" i="65"/>
  <c r="AG549" i="65"/>
  <c r="AG548" i="65"/>
  <c r="AG547" i="65"/>
  <c r="AG546" i="65"/>
  <c r="AG545" i="65"/>
  <c r="AG544" i="65"/>
  <c r="AG543" i="65"/>
  <c r="AG542" i="65"/>
  <c r="A542" i="65"/>
  <c r="AG541" i="65"/>
  <c r="A541" i="65"/>
  <c r="AG540" i="65"/>
  <c r="A540" i="65"/>
  <c r="AG539" i="65"/>
  <c r="A539" i="65"/>
  <c r="AG538" i="65"/>
  <c r="A538" i="65"/>
  <c r="AG537" i="65"/>
  <c r="A537" i="65"/>
  <c r="AG536" i="65"/>
  <c r="A536" i="65"/>
  <c r="AG535" i="65"/>
  <c r="A535" i="65"/>
  <c r="AG534" i="65"/>
  <c r="O49" i="75" s="1"/>
  <c r="A534" i="65"/>
  <c r="AG533" i="65"/>
  <c r="O48" i="75" s="1"/>
  <c r="A533" i="65"/>
  <c r="AG532" i="65"/>
  <c r="A532" i="65"/>
  <c r="A531" i="65"/>
  <c r="AG530" i="65"/>
  <c r="O45" i="75" s="1"/>
  <c r="A530" i="65"/>
  <c r="AG529" i="65"/>
  <c r="O44" i="75" s="1"/>
  <c r="A529" i="65"/>
  <c r="AG528" i="65"/>
  <c r="O43" i="75" s="1"/>
  <c r="A528" i="65"/>
  <c r="A527" i="65"/>
  <c r="AG526" i="65"/>
  <c r="A526" i="65"/>
  <c r="AG525" i="65"/>
  <c r="O40" i="75" s="1"/>
  <c r="A525" i="65"/>
  <c r="AG524" i="65"/>
  <c r="O39" i="75" s="1"/>
  <c r="A524" i="65"/>
  <c r="AG523" i="65"/>
  <c r="A523" i="65"/>
  <c r="AG522" i="65"/>
  <c r="O37" i="75" s="1"/>
  <c r="A522" i="65"/>
  <c r="A521" i="65"/>
  <c r="AG520" i="65"/>
  <c r="A520" i="65"/>
  <c r="A519" i="65"/>
  <c r="AG518" i="65"/>
  <c r="O33" i="75" s="1"/>
  <c r="A518" i="65"/>
  <c r="AG517" i="65"/>
  <c r="O32" i="75" s="1"/>
  <c r="A517" i="65"/>
  <c r="AG516" i="65"/>
  <c r="O31" i="75" s="1"/>
  <c r="A516" i="65"/>
  <c r="AG515" i="65"/>
  <c r="O30" i="75" s="1"/>
  <c r="A515" i="65"/>
  <c r="AG514" i="65"/>
  <c r="A514" i="65"/>
  <c r="T550" i="65"/>
  <c r="A513" i="65"/>
  <c r="AG512" i="65"/>
  <c r="O27" i="75" s="1"/>
  <c r="A512" i="65"/>
  <c r="AG511" i="65"/>
  <c r="A511" i="65"/>
  <c r="E550" i="65"/>
  <c r="A510" i="65"/>
  <c r="A509" i="65"/>
  <c r="AG508" i="65"/>
  <c r="O23" i="75" s="1"/>
  <c r="A508" i="65"/>
  <c r="AG507" i="65"/>
  <c r="O22" i="75" s="1"/>
  <c r="A507" i="65"/>
  <c r="AG506" i="65"/>
  <c r="A506" i="65"/>
  <c r="AG505" i="65"/>
  <c r="A505" i="65"/>
  <c r="N550" i="65"/>
  <c r="N733" i="65" s="1"/>
  <c r="G550" i="65"/>
  <c r="A504" i="65"/>
  <c r="A503" i="65"/>
  <c r="AG502" i="65"/>
  <c r="O17" i="75" s="1"/>
  <c r="A502" i="65"/>
  <c r="AG501" i="65"/>
  <c r="O16" i="75" s="1"/>
  <c r="A501" i="65"/>
  <c r="A500" i="65"/>
  <c r="A499" i="65"/>
  <c r="A498" i="65"/>
  <c r="A497" i="65"/>
  <c r="AG496" i="65"/>
  <c r="A496" i="65"/>
  <c r="A495" i="65"/>
  <c r="A494" i="65"/>
  <c r="AG493" i="65"/>
  <c r="O8" i="75" s="1"/>
  <c r="A493" i="65"/>
  <c r="J489" i="65"/>
  <c r="J733" i="65" s="1"/>
  <c r="I489" i="65"/>
  <c r="H489" i="65"/>
  <c r="F489" i="65"/>
  <c r="F733" i="65" s="1"/>
  <c r="E489" i="65"/>
  <c r="C489" i="65"/>
  <c r="B489" i="65"/>
  <c r="AG488" i="65"/>
  <c r="AG487" i="65"/>
  <c r="AG486" i="65"/>
  <c r="AG485" i="65"/>
  <c r="AG484" i="65"/>
  <c r="AG483" i="65"/>
  <c r="AG482" i="65"/>
  <c r="AG481" i="65"/>
  <c r="AG480" i="65"/>
  <c r="AG479" i="65"/>
  <c r="O55" i="74" s="1"/>
  <c r="AG478" i="65"/>
  <c r="O54" i="74" s="1"/>
  <c r="AG477" i="65"/>
  <c r="O53" i="74" s="1"/>
  <c r="AG476" i="65"/>
  <c r="O52" i="74" s="1"/>
  <c r="AG475" i="65"/>
  <c r="O51" i="74" s="1"/>
  <c r="AG474" i="65"/>
  <c r="O50" i="74" s="1"/>
  <c r="AG473" i="65"/>
  <c r="O49" i="74" s="1"/>
  <c r="AG472" i="65"/>
  <c r="O48" i="74" s="1"/>
  <c r="AG471" i="65"/>
  <c r="O47" i="74" s="1"/>
  <c r="AG470" i="65"/>
  <c r="O46" i="74" s="1"/>
  <c r="A470" i="65"/>
  <c r="A469" i="65"/>
  <c r="AG468" i="65"/>
  <c r="O44" i="74" s="1"/>
  <c r="A468" i="65"/>
  <c r="AG467" i="65"/>
  <c r="O43" i="74" s="1"/>
  <c r="A467" i="65"/>
  <c r="AG466" i="65"/>
  <c r="O42" i="74" s="1"/>
  <c r="A466" i="65"/>
  <c r="G489" i="65"/>
  <c r="A465" i="65"/>
  <c r="AG464" i="65"/>
  <c r="O40" i="74" s="1"/>
  <c r="A464" i="65"/>
  <c r="AG463" i="65"/>
  <c r="O39" i="74" s="1"/>
  <c r="A463" i="65"/>
  <c r="AG462" i="65"/>
  <c r="O38" i="74" s="1"/>
  <c r="A462" i="65"/>
  <c r="AG461" i="65"/>
  <c r="O37" i="74" s="1"/>
  <c r="A461" i="65"/>
  <c r="D489" i="65"/>
  <c r="A460" i="65"/>
  <c r="AG459" i="65"/>
  <c r="O35" i="74" s="1"/>
  <c r="A459" i="65"/>
  <c r="AG458" i="65"/>
  <c r="O34" i="74" s="1"/>
  <c r="A458" i="65"/>
  <c r="AG457" i="65"/>
  <c r="O33" i="74" s="1"/>
  <c r="A457" i="65"/>
  <c r="A456" i="65"/>
  <c r="AG455" i="65"/>
  <c r="O31" i="74" s="1"/>
  <c r="A455" i="65"/>
  <c r="AG454" i="65"/>
  <c r="A454" i="65"/>
  <c r="A453" i="65"/>
  <c r="AG452" i="65"/>
  <c r="A452" i="65"/>
  <c r="AG451" i="65"/>
  <c r="O26" i="74" s="1"/>
  <c r="A451" i="65"/>
  <c r="AG450" i="65"/>
  <c r="O25" i="74" s="1"/>
  <c r="A450" i="65"/>
  <c r="AG449" i="65"/>
  <c r="O24" i="74" s="1"/>
  <c r="A449" i="65"/>
  <c r="AG448" i="65"/>
  <c r="O23" i="74" s="1"/>
  <c r="A448" i="65"/>
  <c r="AG447" i="65"/>
  <c r="O22" i="74" s="1"/>
  <c r="A447" i="65"/>
  <c r="AG446" i="65"/>
  <c r="O21" i="74" s="1"/>
  <c r="A446" i="65"/>
  <c r="AG445" i="65"/>
  <c r="O20" i="74" s="1"/>
  <c r="A445" i="65"/>
  <c r="A444" i="65"/>
  <c r="AG443" i="65"/>
  <c r="O18" i="74" s="1"/>
  <c r="A443" i="65"/>
  <c r="AG442" i="65"/>
  <c r="O17" i="74" s="1"/>
  <c r="A442" i="65"/>
  <c r="T489" i="65"/>
  <c r="A441" i="65"/>
  <c r="AG440" i="65"/>
  <c r="O15" i="74" s="1"/>
  <c r="A440" i="65"/>
  <c r="AG439" i="65"/>
  <c r="O14" i="74" s="1"/>
  <c r="A439" i="65"/>
  <c r="AG438" i="65"/>
  <c r="O13" i="74" s="1"/>
  <c r="A438" i="65"/>
  <c r="X489" i="65"/>
  <c r="A437" i="65"/>
  <c r="AG436" i="65"/>
  <c r="O11" i="74" s="1"/>
  <c r="A436" i="65"/>
  <c r="AD489" i="65"/>
  <c r="AD733" i="65" s="1"/>
  <c r="A435" i="65"/>
  <c r="AG434" i="65"/>
  <c r="A434" i="65"/>
  <c r="A433" i="65"/>
  <c r="AG427" i="65"/>
  <c r="AG426" i="65"/>
  <c r="AG425" i="65"/>
  <c r="AG424" i="65"/>
  <c r="AG423" i="65"/>
  <c r="O60" i="73" s="1"/>
  <c r="AG422" i="65"/>
  <c r="O59" i="73" s="1"/>
  <c r="AG421" i="65"/>
  <c r="O58" i="73" s="1"/>
  <c r="AG420" i="65"/>
  <c r="O57" i="73" s="1"/>
  <c r="AG419" i="65"/>
  <c r="O56" i="73" s="1"/>
  <c r="AG418" i="65"/>
  <c r="O55" i="73" s="1"/>
  <c r="AG417" i="65"/>
  <c r="O54" i="73" s="1"/>
  <c r="AG416" i="65"/>
  <c r="O53" i="73" s="1"/>
  <c r="AG415" i="65"/>
  <c r="O52" i="73" s="1"/>
  <c r="AG414" i="65"/>
  <c r="O51" i="73" s="1"/>
  <c r="AG413" i="65"/>
  <c r="O50" i="73" s="1"/>
  <c r="AG412" i="65"/>
  <c r="O49" i="73" s="1"/>
  <c r="AG411" i="65"/>
  <c r="O48" i="73" s="1"/>
  <c r="AG410" i="65"/>
  <c r="O47" i="73" s="1"/>
  <c r="AG409" i="65"/>
  <c r="O46" i="73" s="1"/>
  <c r="AG407" i="65"/>
  <c r="O44" i="73" s="1"/>
  <c r="AG406" i="65"/>
  <c r="O43" i="73" s="1"/>
  <c r="AG405" i="65"/>
  <c r="O42" i="73" s="1"/>
  <c r="AG404" i="65"/>
  <c r="O41" i="73" s="1"/>
  <c r="AG402" i="65"/>
  <c r="O39" i="73" s="1"/>
  <c r="AG401" i="65"/>
  <c r="O38" i="73" s="1"/>
  <c r="AG400" i="65"/>
  <c r="O37" i="73" s="1"/>
  <c r="AG399" i="65"/>
  <c r="O36" i="73" s="1"/>
  <c r="AG398" i="65"/>
  <c r="O35" i="73" s="1"/>
  <c r="AG397" i="65"/>
  <c r="O34" i="73" s="1"/>
  <c r="AG396" i="65"/>
  <c r="O33" i="73" s="1"/>
  <c r="AG394" i="65"/>
  <c r="O31" i="73" s="1"/>
  <c r="AG393" i="65"/>
  <c r="O30" i="73" s="1"/>
  <c r="AF428" i="65"/>
  <c r="X428" i="65"/>
  <c r="AG391" i="65"/>
  <c r="O28" i="73" s="1"/>
  <c r="AG390" i="65"/>
  <c r="AG389" i="65"/>
  <c r="O26" i="73" s="1"/>
  <c r="AG388" i="65"/>
  <c r="O25" i="73" s="1"/>
  <c r="AG387" i="65"/>
  <c r="O24" i="73" s="1"/>
  <c r="AG386" i="65"/>
  <c r="O23" i="73" s="1"/>
  <c r="AG384" i="65"/>
  <c r="O21" i="73" s="1"/>
  <c r="AG383" i="65"/>
  <c r="AG382" i="65"/>
  <c r="Z428" i="65"/>
  <c r="Z733" i="65" s="1"/>
  <c r="AG380" i="65"/>
  <c r="AG378" i="65"/>
  <c r="AG377" i="65"/>
  <c r="O14" i="73" s="1"/>
  <c r="A377" i="65"/>
  <c r="AG376" i="65"/>
  <c r="O13" i="73" s="1"/>
  <c r="A376" i="65"/>
  <c r="AG375" i="65"/>
  <c r="O12" i="73" s="1"/>
  <c r="A375" i="65"/>
  <c r="AG374" i="65"/>
  <c r="O11" i="73" s="1"/>
  <c r="A374" i="65"/>
  <c r="A373" i="65"/>
  <c r="AG372" i="65"/>
  <c r="O9" i="73" s="1"/>
  <c r="A372" i="65"/>
  <c r="A371" i="65"/>
  <c r="A368" i="65"/>
  <c r="AG367" i="65"/>
  <c r="AG366" i="65"/>
  <c r="AG365" i="65"/>
  <c r="AG364" i="65"/>
  <c r="AG363" i="65"/>
  <c r="AG362" i="65"/>
  <c r="AG361" i="65"/>
  <c r="AG360" i="65"/>
  <c r="AG359" i="65"/>
  <c r="AG358" i="65"/>
  <c r="O56" i="72" s="1"/>
  <c r="AG357" i="65"/>
  <c r="O55" i="72" s="1"/>
  <c r="AG356" i="65"/>
  <c r="O54" i="72" s="1"/>
  <c r="AG355" i="65"/>
  <c r="O53" i="72" s="1"/>
  <c r="AG354" i="65"/>
  <c r="O52" i="72" s="1"/>
  <c r="AG353" i="65"/>
  <c r="AG352" i="65"/>
  <c r="O51" i="72" s="1"/>
  <c r="AG351" i="65"/>
  <c r="O50" i="72" s="1"/>
  <c r="AG350" i="65"/>
  <c r="O49" i="72" s="1"/>
  <c r="A350" i="65"/>
  <c r="AG349" i="65"/>
  <c r="O48" i="72" s="1"/>
  <c r="A349" i="65"/>
  <c r="AG348" i="65"/>
  <c r="A348" i="65"/>
  <c r="AG347" i="65"/>
  <c r="O46" i="72" s="1"/>
  <c r="A347" i="65"/>
  <c r="AG346" i="65"/>
  <c r="O45" i="72" s="1"/>
  <c r="A346" i="65"/>
  <c r="AG345" i="65"/>
  <c r="O44" i="72" s="1"/>
  <c r="A345" i="65"/>
  <c r="AG344" i="65"/>
  <c r="O43" i="72" s="1"/>
  <c r="A344" i="65"/>
  <c r="A343" i="65"/>
  <c r="AG342" i="65"/>
  <c r="O41" i="72" s="1"/>
  <c r="A342" i="65"/>
  <c r="Y368" i="65"/>
  <c r="A341" i="65"/>
  <c r="AG340" i="65"/>
  <c r="O39" i="72" s="1"/>
  <c r="A340" i="65"/>
  <c r="AG339" i="65"/>
  <c r="O38" i="72" s="1"/>
  <c r="A339" i="65"/>
  <c r="AG338" i="65"/>
  <c r="O37" i="72" s="1"/>
  <c r="A338" i="65"/>
  <c r="AG337" i="65"/>
  <c r="O36" i="72" s="1"/>
  <c r="A337" i="65"/>
  <c r="AG336" i="65"/>
  <c r="O35" i="72" s="1"/>
  <c r="A336" i="65"/>
  <c r="AG335" i="65"/>
  <c r="O34" i="72" s="1"/>
  <c r="A335" i="65"/>
  <c r="AG334" i="65"/>
  <c r="O33" i="72" s="1"/>
  <c r="A334" i="65"/>
  <c r="AG333" i="65"/>
  <c r="O32" i="72" s="1"/>
  <c r="A333" i="65"/>
  <c r="AC368" i="65"/>
  <c r="AC733" i="65" s="1"/>
  <c r="A332" i="65"/>
  <c r="AG331" i="65"/>
  <c r="A331" i="65"/>
  <c r="C368" i="65"/>
  <c r="A330" i="65"/>
  <c r="A329" i="65"/>
  <c r="AG328" i="65"/>
  <c r="O27" i="72" s="1"/>
  <c r="A328" i="65"/>
  <c r="A327" i="65"/>
  <c r="A326" i="65"/>
  <c r="AG325" i="65"/>
  <c r="O24" i="72" s="1"/>
  <c r="A325" i="65"/>
  <c r="AG324" i="65"/>
  <c r="O23" i="72" s="1"/>
  <c r="A324" i="65"/>
  <c r="A322" i="65"/>
  <c r="A321" i="65"/>
  <c r="AE368" i="65"/>
  <c r="AA368" i="65"/>
  <c r="AA733" i="65" s="1"/>
  <c r="A320" i="65"/>
  <c r="AG319" i="65"/>
  <c r="O19" i="72" s="1"/>
  <c r="A319" i="65"/>
  <c r="AG318" i="65"/>
  <c r="O18" i="72" s="1"/>
  <c r="A318" i="65"/>
  <c r="AG317" i="65"/>
  <c r="O17" i="72" s="1"/>
  <c r="A317" i="65"/>
  <c r="AG316" i="65"/>
  <c r="A316" i="65"/>
  <c r="A315" i="65"/>
  <c r="AG314" i="65"/>
  <c r="O14" i="72" s="1"/>
  <c r="A314" i="65"/>
  <c r="A313" i="65"/>
  <c r="A312" i="65"/>
  <c r="AG311" i="65"/>
  <c r="O11" i="72" s="1"/>
  <c r="A311" i="65"/>
  <c r="I368" i="65"/>
  <c r="A310" i="65"/>
  <c r="AG309" i="65"/>
  <c r="O9" i="72" s="1"/>
  <c r="A309" i="65"/>
  <c r="A303" i="65"/>
  <c r="AG302" i="65"/>
  <c r="A302" i="65"/>
  <c r="AG301" i="65"/>
  <c r="O61" i="71" s="1"/>
  <c r="A301" i="65"/>
  <c r="AG300" i="65"/>
  <c r="O60" i="71" s="1"/>
  <c r="A300" i="65"/>
  <c r="AG299" i="65"/>
  <c r="O59" i="71" s="1"/>
  <c r="A299" i="65"/>
  <c r="AG298" i="65"/>
  <c r="O58" i="71" s="1"/>
  <c r="A298" i="65"/>
  <c r="AG297" i="65"/>
  <c r="O57" i="71" s="1"/>
  <c r="A297" i="65"/>
  <c r="AG296" i="65"/>
  <c r="O56" i="71" s="1"/>
  <c r="A296" i="65"/>
  <c r="AG295" i="65"/>
  <c r="O55" i="71" s="1"/>
  <c r="A295" i="65"/>
  <c r="AG294" i="65"/>
  <c r="O54" i="71" s="1"/>
  <c r="A294" i="65"/>
  <c r="AG293" i="65"/>
  <c r="O53" i="71" s="1"/>
  <c r="A293" i="65"/>
  <c r="AG292" i="65"/>
  <c r="O52" i="71" s="1"/>
  <c r="A292" i="65"/>
  <c r="AG291" i="65"/>
  <c r="O51" i="71" s="1"/>
  <c r="A291" i="65"/>
  <c r="AG290" i="65"/>
  <c r="O50" i="71" s="1"/>
  <c r="A290" i="65"/>
  <c r="AG289" i="65"/>
  <c r="O49" i="71" s="1"/>
  <c r="A289" i="65"/>
  <c r="AG288" i="65"/>
  <c r="O48" i="71" s="1"/>
  <c r="A288" i="65"/>
  <c r="AG287" i="65"/>
  <c r="O47" i="71" s="1"/>
  <c r="A287" i="65"/>
  <c r="AG286" i="65"/>
  <c r="O46" i="71" s="1"/>
  <c r="A286" i="65"/>
  <c r="A285" i="65"/>
  <c r="AG284" i="65"/>
  <c r="O44" i="71" s="1"/>
  <c r="A284" i="65"/>
  <c r="AG283" i="65"/>
  <c r="O43" i="71" s="1"/>
  <c r="A283" i="65"/>
  <c r="AG282" i="65"/>
  <c r="O42" i="71" s="1"/>
  <c r="A282" i="65"/>
  <c r="AG281" i="65"/>
  <c r="O41" i="71" s="1"/>
  <c r="A281" i="65"/>
  <c r="AG280" i="65"/>
  <c r="O40" i="71" s="1"/>
  <c r="A280" i="65"/>
  <c r="AG279" i="65"/>
  <c r="O39" i="71" s="1"/>
  <c r="A279" i="65"/>
  <c r="AG278" i="65"/>
  <c r="O38" i="71" s="1"/>
  <c r="A278" i="65"/>
  <c r="AG277" i="65"/>
  <c r="A277" i="65"/>
  <c r="AG276" i="65"/>
  <c r="O36" i="71" s="1"/>
  <c r="A276" i="65"/>
  <c r="AG275" i="65"/>
  <c r="O35" i="71" s="1"/>
  <c r="A275" i="65"/>
  <c r="AG274" i="65"/>
  <c r="O34" i="71" s="1"/>
  <c r="A274" i="65"/>
  <c r="AG273" i="65"/>
  <c r="O33" i="71" s="1"/>
  <c r="A273" i="65"/>
  <c r="AG272" i="65"/>
  <c r="O32" i="71" s="1"/>
  <c r="A272" i="65"/>
  <c r="AG271" i="65"/>
  <c r="O31" i="71" s="1"/>
  <c r="A271" i="65"/>
  <c r="AG270" i="65"/>
  <c r="O30" i="71" s="1"/>
  <c r="A270" i="65"/>
  <c r="AG269" i="65"/>
  <c r="O29" i="71" s="1"/>
  <c r="A269" i="65"/>
  <c r="AG268" i="65"/>
  <c r="O28" i="71" s="1"/>
  <c r="A268" i="65"/>
  <c r="AG267" i="65"/>
  <c r="O27" i="71" s="1"/>
  <c r="A267" i="65"/>
  <c r="AG266" i="65"/>
  <c r="O26" i="71" s="1"/>
  <c r="A266" i="65"/>
  <c r="A265" i="65"/>
  <c r="AG264" i="65"/>
  <c r="O24" i="71" s="1"/>
  <c r="A264" i="65"/>
  <c r="AG263" i="65"/>
  <c r="O23" i="71" s="1"/>
  <c r="A263" i="65"/>
  <c r="AG262" i="65"/>
  <c r="O22" i="71" s="1"/>
  <c r="A262" i="65"/>
  <c r="AG261" i="65"/>
  <c r="O21" i="71" s="1"/>
  <c r="A261" i="65"/>
  <c r="AG260" i="65"/>
  <c r="A260" i="65"/>
  <c r="AG259" i="65"/>
  <c r="O19" i="71" s="1"/>
  <c r="A259" i="65"/>
  <c r="AG258" i="65"/>
  <c r="A258" i="65"/>
  <c r="AG257" i="65"/>
  <c r="O17" i="71" s="1"/>
  <c r="A257" i="65"/>
  <c r="A256" i="65"/>
  <c r="AG255" i="65"/>
  <c r="O15" i="71" s="1"/>
  <c r="A255" i="65"/>
  <c r="AG254" i="65"/>
  <c r="O14" i="71" s="1"/>
  <c r="A254" i="65"/>
  <c r="AG253" i="65"/>
  <c r="O13" i="71" s="1"/>
  <c r="A253" i="65"/>
  <c r="AG252" i="65"/>
  <c r="O12" i="71" s="1"/>
  <c r="A252" i="65"/>
  <c r="AG251" i="65"/>
  <c r="O11" i="71" s="1"/>
  <c r="A251" i="65"/>
  <c r="AG250" i="65"/>
  <c r="O10" i="71" s="1"/>
  <c r="A250" i="65"/>
  <c r="AG249" i="65"/>
  <c r="A249" i="65"/>
  <c r="A248" i="65"/>
  <c r="A243" i="65"/>
  <c r="AG242" i="65"/>
  <c r="A242" i="65"/>
  <c r="AG241" i="65"/>
  <c r="A241" i="65"/>
  <c r="AG240" i="65"/>
  <c r="A240" i="65"/>
  <c r="AG239" i="65"/>
  <c r="A239" i="65"/>
  <c r="AG238" i="65"/>
  <c r="A238" i="65"/>
  <c r="AG237" i="65"/>
  <c r="A237" i="65"/>
  <c r="AG236" i="65"/>
  <c r="A236" i="65"/>
  <c r="AG235" i="65"/>
  <c r="A235" i="65"/>
  <c r="AG234" i="65"/>
  <c r="A234" i="65"/>
  <c r="AG233" i="65"/>
  <c r="A233" i="65"/>
  <c r="AG232" i="65"/>
  <c r="O53" i="70" s="1"/>
  <c r="A232" i="65"/>
  <c r="AG231" i="65"/>
  <c r="O52" i="70" s="1"/>
  <c r="A231" i="65"/>
  <c r="AG230" i="65"/>
  <c r="O51" i="70" s="1"/>
  <c r="A230" i="65"/>
  <c r="AG229" i="65"/>
  <c r="O50" i="70" s="1"/>
  <c r="A229" i="65"/>
  <c r="AG228" i="65"/>
  <c r="O49" i="70" s="1"/>
  <c r="A228" i="65"/>
  <c r="D243" i="65"/>
  <c r="A227" i="65"/>
  <c r="AG226" i="65"/>
  <c r="O47" i="70" s="1"/>
  <c r="A226" i="65"/>
  <c r="A225" i="65"/>
  <c r="AG224" i="65"/>
  <c r="O45" i="70" s="1"/>
  <c r="A224" i="65"/>
  <c r="AG223" i="65"/>
  <c r="O44" i="70" s="1"/>
  <c r="A223" i="65"/>
  <c r="AG222" i="65"/>
  <c r="O43" i="70" s="1"/>
  <c r="A222" i="65"/>
  <c r="AG221" i="65"/>
  <c r="O42" i="70" s="1"/>
  <c r="A221" i="65"/>
  <c r="AG220" i="65"/>
  <c r="O41" i="70" s="1"/>
  <c r="A220" i="65"/>
  <c r="AG219" i="65"/>
  <c r="O40" i="70" s="1"/>
  <c r="A219" i="65"/>
  <c r="AG218" i="65"/>
  <c r="O39" i="70" s="1"/>
  <c r="A218" i="65"/>
  <c r="AG217" i="65"/>
  <c r="A217" i="65"/>
  <c r="AG216" i="65"/>
  <c r="O37" i="70" s="1"/>
  <c r="A216" i="65"/>
  <c r="AG215" i="65"/>
  <c r="O36" i="70" s="1"/>
  <c r="A215" i="65"/>
  <c r="AG214" i="65"/>
  <c r="O35" i="70" s="1"/>
  <c r="A214" i="65"/>
  <c r="AG213" i="65"/>
  <c r="A213" i="65"/>
  <c r="Y243" i="65"/>
  <c r="A212" i="65"/>
  <c r="AG211" i="65"/>
  <c r="O32" i="70" s="1"/>
  <c r="A211" i="65"/>
  <c r="AG210" i="65"/>
  <c r="A210" i="65"/>
  <c r="AG209" i="65"/>
  <c r="O30" i="70" s="1"/>
  <c r="A209" i="65"/>
  <c r="AG208" i="65"/>
  <c r="O29" i="70" s="1"/>
  <c r="A208" i="65"/>
  <c r="A207" i="65"/>
  <c r="AG206" i="65"/>
  <c r="O27" i="70" s="1"/>
  <c r="A206" i="65"/>
  <c r="AG205" i="65"/>
  <c r="O26" i="70" s="1"/>
  <c r="A205" i="65"/>
  <c r="AG204" i="65"/>
  <c r="O25" i="70" s="1"/>
  <c r="A204" i="65"/>
  <c r="AG203" i="65"/>
  <c r="A203" i="65"/>
  <c r="AG202" i="65"/>
  <c r="O23" i="70" s="1"/>
  <c r="A202" i="65"/>
  <c r="X243" i="65"/>
  <c r="A201" i="65"/>
  <c r="AG200" i="65"/>
  <c r="O21" i="70" s="1"/>
  <c r="A200" i="65"/>
  <c r="AG199" i="65"/>
  <c r="O20" i="70" s="1"/>
  <c r="A199" i="65"/>
  <c r="AG198" i="65"/>
  <c r="O19" i="70" s="1"/>
  <c r="A198" i="65"/>
  <c r="AG197" i="65"/>
  <c r="O18" i="70" s="1"/>
  <c r="A197" i="65"/>
  <c r="C243" i="65"/>
  <c r="A196" i="65"/>
  <c r="AG195" i="65"/>
  <c r="O16" i="70" s="1"/>
  <c r="A195" i="65"/>
  <c r="AG194" i="65"/>
  <c r="A194" i="65"/>
  <c r="AG193" i="65"/>
  <c r="A193" i="65"/>
  <c r="AG192" i="65"/>
  <c r="O13" i="70" s="1"/>
  <c r="A192" i="65"/>
  <c r="AG191" i="65"/>
  <c r="O12" i="70" s="1"/>
  <c r="A191" i="65"/>
  <c r="AG190" i="65"/>
  <c r="O11" i="70" s="1"/>
  <c r="A190" i="65"/>
  <c r="AG189" i="65"/>
  <c r="A189" i="65"/>
  <c r="AG188" i="65"/>
  <c r="O9" i="70" s="1"/>
  <c r="A188" i="65"/>
  <c r="A187" i="65"/>
  <c r="A182" i="65"/>
  <c r="AG181" i="65"/>
  <c r="AG180" i="65"/>
  <c r="AG179" i="65"/>
  <c r="AG178" i="65"/>
  <c r="AG177" i="65"/>
  <c r="O57" i="69" s="1"/>
  <c r="AG176" i="65"/>
  <c r="O56" i="69" s="1"/>
  <c r="AG175" i="65"/>
  <c r="O55" i="69" s="1"/>
  <c r="AG174" i="65"/>
  <c r="O54" i="69" s="1"/>
  <c r="AG173" i="65"/>
  <c r="O53" i="69" s="1"/>
  <c r="AG172" i="65"/>
  <c r="O52" i="69" s="1"/>
  <c r="AG171" i="65"/>
  <c r="O51" i="69" s="1"/>
  <c r="AG170" i="65"/>
  <c r="O50" i="69" s="1"/>
  <c r="AG169" i="65"/>
  <c r="O49" i="69" s="1"/>
  <c r="AG168" i="65"/>
  <c r="O48" i="69" s="1"/>
  <c r="AG167" i="65"/>
  <c r="O47" i="69" s="1"/>
  <c r="AG166" i="65"/>
  <c r="O46" i="69" s="1"/>
  <c r="AG165" i="65"/>
  <c r="O45" i="69" s="1"/>
  <c r="AG163" i="65"/>
  <c r="O43" i="69" s="1"/>
  <c r="AG162" i="65"/>
  <c r="O42" i="69" s="1"/>
  <c r="AG161" i="65"/>
  <c r="O41" i="69" s="1"/>
  <c r="AG160" i="65"/>
  <c r="O40" i="69" s="1"/>
  <c r="AG159" i="65"/>
  <c r="O39" i="69" s="1"/>
  <c r="AG158" i="65"/>
  <c r="O38" i="69" s="1"/>
  <c r="AG157" i="65"/>
  <c r="O37" i="69" s="1"/>
  <c r="AG156" i="65"/>
  <c r="O36" i="69" s="1"/>
  <c r="AG155" i="65"/>
  <c r="O35" i="69" s="1"/>
  <c r="AG154" i="65"/>
  <c r="O34" i="69" s="1"/>
  <c r="AG153" i="65"/>
  <c r="O33" i="69" s="1"/>
  <c r="AG152" i="65"/>
  <c r="O32" i="69" s="1"/>
  <c r="AG151" i="65"/>
  <c r="O31" i="69" s="1"/>
  <c r="AG150" i="65"/>
  <c r="O30" i="69" s="1"/>
  <c r="AG149" i="65"/>
  <c r="O29" i="69" s="1"/>
  <c r="AG148" i="65"/>
  <c r="O28" i="69" s="1"/>
  <c r="AG147" i="65"/>
  <c r="O27" i="69" s="1"/>
  <c r="AG146" i="65"/>
  <c r="O26" i="69" s="1"/>
  <c r="AG145" i="65"/>
  <c r="O25" i="69" s="1"/>
  <c r="AG144" i="65"/>
  <c r="O24" i="69" s="1"/>
  <c r="X182" i="65"/>
  <c r="AG142" i="65"/>
  <c r="O22" i="69" s="1"/>
  <c r="AG141" i="65"/>
  <c r="O21" i="69" s="1"/>
  <c r="AG140" i="65"/>
  <c r="O20" i="69" s="1"/>
  <c r="AG139" i="65"/>
  <c r="O19" i="69" s="1"/>
  <c r="AG138" i="65"/>
  <c r="O18" i="69" s="1"/>
  <c r="AG137" i="65"/>
  <c r="O17" i="69" s="1"/>
  <c r="AG136" i="65"/>
  <c r="O16" i="69" s="1"/>
  <c r="AG135" i="65"/>
  <c r="O15" i="69" s="1"/>
  <c r="T182" i="65"/>
  <c r="AG133" i="65"/>
  <c r="O13" i="69" s="1"/>
  <c r="AG132" i="65"/>
  <c r="O12" i="69" s="1"/>
  <c r="AG131" i="65"/>
  <c r="O11" i="69" s="1"/>
  <c r="AG130" i="65"/>
  <c r="O10" i="69" s="1"/>
  <c r="A124" i="65"/>
  <c r="AG122" i="65"/>
  <c r="AG121" i="65"/>
  <c r="AG120" i="65"/>
  <c r="A120" i="65"/>
  <c r="AG119" i="65"/>
  <c r="O55" i="68" s="1"/>
  <c r="A119" i="65"/>
  <c r="AG118" i="65"/>
  <c r="O54" i="68" s="1"/>
  <c r="A118" i="65"/>
  <c r="AG117" i="65"/>
  <c r="O53" i="68" s="1"/>
  <c r="A117" i="65"/>
  <c r="AG116" i="65"/>
  <c r="O52" i="68" s="1"/>
  <c r="A116" i="65"/>
  <c r="A115" i="65"/>
  <c r="A114" i="65"/>
  <c r="AG113" i="65"/>
  <c r="O49" i="68" s="1"/>
  <c r="A113" i="65"/>
  <c r="AG112" i="65"/>
  <c r="O48" i="68" s="1"/>
  <c r="A112" i="65"/>
  <c r="AG111" i="65"/>
  <c r="O47" i="68" s="1"/>
  <c r="A111" i="65"/>
  <c r="AG110" i="65"/>
  <c r="O46" i="68" s="1"/>
  <c r="A110" i="65"/>
  <c r="AG109" i="65"/>
  <c r="A109" i="65"/>
  <c r="AG108" i="65"/>
  <c r="O44" i="68" s="1"/>
  <c r="A108" i="65"/>
  <c r="AG107" i="65"/>
  <c r="O43" i="68" s="1"/>
  <c r="A107" i="65"/>
  <c r="AG106" i="65"/>
  <c r="O42" i="68" s="1"/>
  <c r="A106" i="65"/>
  <c r="AG105" i="65"/>
  <c r="O41" i="68" s="1"/>
  <c r="A105" i="65"/>
  <c r="AG104" i="65"/>
  <c r="O40" i="68" s="1"/>
  <c r="A104" i="65"/>
  <c r="AG103" i="65"/>
  <c r="O39" i="68" s="1"/>
  <c r="A103" i="65"/>
  <c r="AG102" i="65"/>
  <c r="A102" i="65"/>
  <c r="AG101" i="65"/>
  <c r="A101" i="65"/>
  <c r="AG100" i="65"/>
  <c r="A100" i="65"/>
  <c r="AG99" i="65"/>
  <c r="O35" i="68" s="1"/>
  <c r="A99" i="65"/>
  <c r="AG98" i="65"/>
  <c r="O34" i="68" s="1"/>
  <c r="A98" i="65"/>
  <c r="A97" i="65"/>
  <c r="AG96" i="65"/>
  <c r="O32" i="68" s="1"/>
  <c r="A96" i="65"/>
  <c r="A95" i="65"/>
  <c r="AG94" i="65"/>
  <c r="O30" i="68" s="1"/>
  <c r="A94" i="65"/>
  <c r="AG93" i="65"/>
  <c r="O29" i="68" s="1"/>
  <c r="A93" i="65"/>
  <c r="AG92" i="65"/>
  <c r="O28" i="68" s="1"/>
  <c r="A92" i="65"/>
  <c r="AG91" i="65"/>
  <c r="A91" i="65"/>
  <c r="AG90" i="65"/>
  <c r="O26" i="68" s="1"/>
  <c r="A90" i="65"/>
  <c r="A89" i="65"/>
  <c r="AG88" i="65"/>
  <c r="A88" i="65"/>
  <c r="A87" i="65"/>
  <c r="AG86" i="65"/>
  <c r="O22" i="68" s="1"/>
  <c r="A86" i="65"/>
  <c r="A85" i="65"/>
  <c r="AG84" i="65"/>
  <c r="O20" i="68" s="1"/>
  <c r="A84" i="65"/>
  <c r="A83" i="65"/>
  <c r="AG82" i="65"/>
  <c r="A82" i="65"/>
  <c r="A81" i="65"/>
  <c r="AG80" i="65"/>
  <c r="A80" i="65"/>
  <c r="AG79" i="65"/>
  <c r="O15" i="68" s="1"/>
  <c r="A79" i="65"/>
  <c r="AG78" i="65"/>
  <c r="A78" i="65"/>
  <c r="AG77" i="65"/>
  <c r="A77" i="65"/>
  <c r="A76" i="65"/>
  <c r="AG75" i="65"/>
  <c r="O11" i="68" s="1"/>
  <c r="A75" i="65"/>
  <c r="AG74" i="65"/>
  <c r="O10" i="68" s="1"/>
  <c r="A74" i="65"/>
  <c r="AG73" i="65"/>
  <c r="O9" i="68" s="1"/>
  <c r="A73" i="65"/>
  <c r="AG72" i="65"/>
  <c r="A72" i="65"/>
  <c r="A69" i="65"/>
  <c r="AG67" i="65"/>
  <c r="AG66" i="65"/>
  <c r="AG65" i="65"/>
  <c r="AG64" i="65"/>
  <c r="AG63" i="65"/>
  <c r="AG62" i="65"/>
  <c r="AG61" i="65"/>
  <c r="A61" i="65"/>
  <c r="AG60" i="65"/>
  <c r="A60" i="65"/>
  <c r="AG59" i="65"/>
  <c r="A59" i="65"/>
  <c r="AG58" i="65"/>
  <c r="A58" i="65"/>
  <c r="AG57" i="65"/>
  <c r="A57" i="65"/>
  <c r="AG56" i="65"/>
  <c r="O57" i="43" s="1"/>
  <c r="A56" i="65"/>
  <c r="AG55" i="65"/>
  <c r="O56" i="43" s="1"/>
  <c r="A55" i="65"/>
  <c r="AG54" i="65"/>
  <c r="O55" i="43" s="1"/>
  <c r="A54" i="65"/>
  <c r="AG53" i="65"/>
  <c r="O54" i="43" s="1"/>
  <c r="A53" i="65"/>
  <c r="AG52" i="65"/>
  <c r="O53" i="43" s="1"/>
  <c r="A52" i="65"/>
  <c r="AG51" i="65"/>
  <c r="O52" i="43" s="1"/>
  <c r="A51" i="65"/>
  <c r="AG50" i="65"/>
  <c r="O51" i="43" s="1"/>
  <c r="A50" i="65"/>
  <c r="AG49" i="65"/>
  <c r="O50" i="43" s="1"/>
  <c r="A49" i="65"/>
  <c r="AG48" i="65"/>
  <c r="O49" i="43" s="1"/>
  <c r="A48" i="65"/>
  <c r="AG47" i="65"/>
  <c r="O48" i="43" s="1"/>
  <c r="A47" i="65"/>
  <c r="AG46" i="65"/>
  <c r="O47" i="43" s="1"/>
  <c r="A46" i="65"/>
  <c r="AG45" i="65"/>
  <c r="O46" i="43" s="1"/>
  <c r="A45" i="65"/>
  <c r="AG44" i="65"/>
  <c r="O45" i="43" s="1"/>
  <c r="A44" i="65"/>
  <c r="AG43" i="65"/>
  <c r="O44" i="43" s="1"/>
  <c r="A43" i="65"/>
  <c r="AG42" i="65"/>
  <c r="O43" i="43" s="1"/>
  <c r="A42" i="65"/>
  <c r="AG41" i="65"/>
  <c r="O42" i="43" s="1"/>
  <c r="A41" i="65"/>
  <c r="Y68" i="65"/>
  <c r="A40" i="65"/>
  <c r="AG39" i="65"/>
  <c r="O40" i="43" s="1"/>
  <c r="A39" i="65"/>
  <c r="AG38" i="65"/>
  <c r="O39" i="43" s="1"/>
  <c r="A38" i="65"/>
  <c r="AG37" i="65"/>
  <c r="O38" i="43" s="1"/>
  <c r="A37" i="65"/>
  <c r="AG36" i="65"/>
  <c r="O37" i="43" s="1"/>
  <c r="A36" i="65"/>
  <c r="AG35" i="65"/>
  <c r="O36" i="43" s="1"/>
  <c r="A35" i="65"/>
  <c r="AG34" i="65"/>
  <c r="O35" i="43" s="1"/>
  <c r="A34" i="65"/>
  <c r="P68" i="65"/>
  <c r="A33" i="65"/>
  <c r="AG32" i="65"/>
  <c r="O33" i="43" s="1"/>
  <c r="A32" i="65"/>
  <c r="A31" i="65"/>
  <c r="AG30" i="65"/>
  <c r="O31" i="43" s="1"/>
  <c r="A30" i="65"/>
  <c r="AG29" i="65"/>
  <c r="O30" i="43" s="1"/>
  <c r="A29" i="65"/>
  <c r="AG28" i="65"/>
  <c r="O29" i="43" s="1"/>
  <c r="A28" i="65"/>
  <c r="AG27" i="65"/>
  <c r="O28" i="43" s="1"/>
  <c r="A27" i="65"/>
  <c r="AG26" i="65"/>
  <c r="O27" i="43" s="1"/>
  <c r="A26" i="65"/>
  <c r="AG25" i="65"/>
  <c r="O26" i="43" s="1"/>
  <c r="A25" i="65"/>
  <c r="AG24" i="65"/>
  <c r="O25" i="43" s="1"/>
  <c r="A24" i="65"/>
  <c r="H68" i="65"/>
  <c r="A23" i="65"/>
  <c r="AG22" i="65"/>
  <c r="O23" i="43" s="1"/>
  <c r="A22" i="65"/>
  <c r="AG21" i="65"/>
  <c r="O22" i="43" s="1"/>
  <c r="A21" i="65"/>
  <c r="A20" i="65"/>
  <c r="A19" i="65"/>
  <c r="AG18" i="65"/>
  <c r="O19" i="43" s="1"/>
  <c r="A18" i="65"/>
  <c r="T68" i="65"/>
  <c r="A17" i="65"/>
  <c r="AG16" i="65"/>
  <c r="O17" i="43" s="1"/>
  <c r="A16" i="65"/>
  <c r="AG15" i="65"/>
  <c r="O16" i="43" s="1"/>
  <c r="A15" i="65"/>
  <c r="AG14" i="65"/>
  <c r="O15" i="43" s="1"/>
  <c r="A14" i="65"/>
  <c r="A13" i="65"/>
  <c r="B68" i="65"/>
  <c r="A12" i="65"/>
  <c r="AG11" i="65"/>
  <c r="O12" i="43" s="1"/>
  <c r="A11" i="65"/>
  <c r="AG10" i="65"/>
  <c r="O11" i="43" s="1"/>
  <c r="A10" i="65"/>
  <c r="AG9" i="65"/>
  <c r="O10" i="43" s="1"/>
  <c r="A9" i="65"/>
  <c r="AG8" i="65"/>
  <c r="O9" i="43" s="1"/>
  <c r="A8" i="65"/>
  <c r="A7" i="65"/>
  <c r="D123" i="18"/>
  <c r="D122" i="18"/>
  <c r="D121" i="18"/>
  <c r="D120" i="18"/>
  <c r="D119" i="18"/>
  <c r="D118" i="18"/>
  <c r="D117" i="18"/>
  <c r="D116" i="18"/>
  <c r="D115" i="18"/>
  <c r="D114" i="18"/>
  <c r="D113" i="18"/>
  <c r="D112" i="18"/>
  <c r="D111" i="18"/>
  <c r="D110" i="18"/>
  <c r="D109" i="18"/>
  <c r="D108" i="18"/>
  <c r="D107" i="18"/>
  <c r="D106" i="18"/>
  <c r="D105" i="18"/>
  <c r="E121" i="18" s="1"/>
  <c r="AA19" i="17"/>
  <c r="W14" i="17"/>
  <c r="W12" i="17"/>
  <c r="U14" i="17" l="1"/>
  <c r="H15" i="17"/>
  <c r="L101" i="74"/>
  <c r="X30" i="74"/>
  <c r="X31" i="74"/>
  <c r="H709" i="62"/>
  <c r="Z476" i="62"/>
  <c r="AD55" i="74"/>
  <c r="AD60" i="73"/>
  <c r="AD41" i="73"/>
  <c r="AD50" i="73"/>
  <c r="L82" i="73"/>
  <c r="S14" i="17"/>
  <c r="S19" i="17" s="1"/>
  <c r="V101" i="70"/>
  <c r="W60" i="69"/>
  <c r="W59" i="69"/>
  <c r="U53" i="69"/>
  <c r="U52" i="69"/>
  <c r="O61" i="69"/>
  <c r="AD61" i="69" s="1"/>
  <c r="O59" i="69"/>
  <c r="O60" i="69"/>
  <c r="O58" i="69"/>
  <c r="AD58" i="69" s="1"/>
  <c r="AD53" i="43"/>
  <c r="AD51" i="43"/>
  <c r="AD50" i="43"/>
  <c r="AD48" i="43"/>
  <c r="P49" i="43"/>
  <c r="AD49" i="43" s="1"/>
  <c r="AD52" i="43"/>
  <c r="AD47" i="43"/>
  <c r="AD44" i="43"/>
  <c r="AD46" i="43"/>
  <c r="AD45" i="43"/>
  <c r="B7" i="17"/>
  <c r="T105" i="67"/>
  <c r="N370" i="58"/>
  <c r="T107" i="67"/>
  <c r="R55" i="72"/>
  <c r="R56" i="72"/>
  <c r="R52" i="72"/>
  <c r="R53" i="72"/>
  <c r="M479" i="66"/>
  <c r="BH77" i="56"/>
  <c r="P14" i="68" s="1"/>
  <c r="BH109" i="56"/>
  <c r="P46" i="68" s="1"/>
  <c r="BH119" i="56"/>
  <c r="P56" i="68" s="1"/>
  <c r="AN433" i="56"/>
  <c r="AN744" i="56" s="1"/>
  <c r="AD488" i="57"/>
  <c r="G607" i="57"/>
  <c r="BH100" i="56"/>
  <c r="P37" i="68" s="1"/>
  <c r="B65" i="66"/>
  <c r="D120" i="66"/>
  <c r="N613" i="58"/>
  <c r="T101" i="67"/>
  <c r="E183" i="57"/>
  <c r="E723" i="57" s="1"/>
  <c r="T549" i="57"/>
  <c r="T607" i="57"/>
  <c r="AA183" i="57"/>
  <c r="T62" i="57"/>
  <c r="C243" i="61"/>
  <c r="Q242" i="66"/>
  <c r="Q728" i="66" s="1"/>
  <c r="H182" i="66"/>
  <c r="H728" i="66" s="1"/>
  <c r="AC423" i="66"/>
  <c r="L245" i="57"/>
  <c r="AI306" i="57"/>
  <c r="AI723" i="57" s="1"/>
  <c r="AK11" i="57"/>
  <c r="R14" i="43" s="1"/>
  <c r="D242" i="66"/>
  <c r="D365" i="66"/>
  <c r="M242" i="66"/>
  <c r="Y534" i="66"/>
  <c r="Y306" i="57"/>
  <c r="D303" i="61"/>
  <c r="AC65" i="66"/>
  <c r="E120" i="66"/>
  <c r="Y423" i="66"/>
  <c r="J534" i="66"/>
  <c r="B483" i="61"/>
  <c r="AD369" i="57"/>
  <c r="V183" i="57"/>
  <c r="Y183" i="57"/>
  <c r="T369" i="57"/>
  <c r="G428" i="57"/>
  <c r="AK15" i="57"/>
  <c r="R18" i="43" s="1"/>
  <c r="J479" i="66"/>
  <c r="AK26" i="57"/>
  <c r="R29" i="43" s="1"/>
  <c r="AK68" i="57"/>
  <c r="R9" i="68" s="1"/>
  <c r="F121" i="57"/>
  <c r="B428" i="57"/>
  <c r="F488" i="57"/>
  <c r="AJ488" i="57"/>
  <c r="AJ723" i="57" s="1"/>
  <c r="E65" i="66"/>
  <c r="AD210" i="66"/>
  <c r="W31" i="70" s="1"/>
  <c r="B242" i="66"/>
  <c r="AD331" i="66"/>
  <c r="W32" i="72" s="1"/>
  <c r="N365" i="66"/>
  <c r="AD402" i="66"/>
  <c r="W43" i="73" s="1"/>
  <c r="N423" i="66"/>
  <c r="K728" i="66"/>
  <c r="C736" i="79"/>
  <c r="AA736" i="79"/>
  <c r="AM736" i="79"/>
  <c r="B306" i="57"/>
  <c r="P428" i="57"/>
  <c r="G488" i="57"/>
  <c r="O110" i="61"/>
  <c r="U47" i="68" s="1"/>
  <c r="I121" i="61"/>
  <c r="I723" i="61" s="1"/>
  <c r="B183" i="61"/>
  <c r="B303" i="61"/>
  <c r="B425" i="61"/>
  <c r="AD114" i="66"/>
  <c r="W51" i="68" s="1"/>
  <c r="L120" i="66"/>
  <c r="L728" i="66" s="1"/>
  <c r="W8" i="76"/>
  <c r="H720" i="81"/>
  <c r="AN736" i="79"/>
  <c r="P62" i="57"/>
  <c r="AK31" i="57"/>
  <c r="R34" i="43" s="1"/>
  <c r="AK69" i="57"/>
  <c r="R10" i="68" s="1"/>
  <c r="B121" i="57"/>
  <c r="AC183" i="57"/>
  <c r="G306" i="57"/>
  <c r="C306" i="57"/>
  <c r="AA369" i="57"/>
  <c r="Y428" i="57"/>
  <c r="B549" i="57"/>
  <c r="O660" i="61"/>
  <c r="P630" i="61" s="1"/>
  <c r="W20" i="74"/>
  <c r="W479" i="66"/>
  <c r="Q736" i="79"/>
  <c r="AK12" i="57"/>
  <c r="R15" i="43" s="1"/>
  <c r="O245" i="57"/>
  <c r="T306" i="57"/>
  <c r="F549" i="57"/>
  <c r="G549" i="57"/>
  <c r="D67" i="61"/>
  <c r="B542" i="61"/>
  <c r="W8" i="71"/>
  <c r="J720" i="81"/>
  <c r="AP736" i="79"/>
  <c r="AK8" i="57"/>
  <c r="R11" i="43" s="1"/>
  <c r="F62" i="57"/>
  <c r="AK101" i="57"/>
  <c r="V121" i="57"/>
  <c r="C488" i="57"/>
  <c r="C602" i="61"/>
  <c r="AD135" i="66"/>
  <c r="W14" i="69" s="1"/>
  <c r="N182" i="66"/>
  <c r="AD327" i="66"/>
  <c r="W28" i="72" s="1"/>
  <c r="T365" i="66"/>
  <c r="T728" i="66" s="1"/>
  <c r="D479" i="66"/>
  <c r="E534" i="66"/>
  <c r="AB728" i="66"/>
  <c r="AQ736" i="79"/>
  <c r="AK17" i="57"/>
  <c r="R20" i="43" s="1"/>
  <c r="AK27" i="57"/>
  <c r="R30" i="43" s="1"/>
  <c r="B183" i="57"/>
  <c r="C183" i="57"/>
  <c r="G183" i="57"/>
  <c r="B245" i="57"/>
  <c r="F245" i="57"/>
  <c r="B369" i="57"/>
  <c r="C369" i="57"/>
  <c r="T428" i="57"/>
  <c r="B607" i="57"/>
  <c r="O71" i="61"/>
  <c r="U8" i="68" s="1"/>
  <c r="D121" i="61"/>
  <c r="O161" i="61"/>
  <c r="U40" i="69" s="1"/>
  <c r="K183" i="61"/>
  <c r="K723" i="61" s="1"/>
  <c r="AD261" i="66"/>
  <c r="W21" i="71" s="1"/>
  <c r="J302" i="66"/>
  <c r="I728" i="66"/>
  <c r="W16" i="74"/>
  <c r="B479" i="66"/>
  <c r="V728" i="66"/>
  <c r="AD541" i="66"/>
  <c r="W10" i="76" s="1"/>
  <c r="B596" i="66"/>
  <c r="L720" i="81"/>
  <c r="T736" i="79"/>
  <c r="AR736" i="79"/>
  <c r="C245" i="57"/>
  <c r="F369" i="57"/>
  <c r="B488" i="57"/>
  <c r="C549" i="57"/>
  <c r="O555" i="61"/>
  <c r="U17" i="76" s="1"/>
  <c r="B602" i="61"/>
  <c r="AD158" i="66"/>
  <c r="W37" i="69" s="1"/>
  <c r="J182" i="66"/>
  <c r="AD163" i="66"/>
  <c r="W42" i="69" s="1"/>
  <c r="Y182" i="66"/>
  <c r="M423" i="66"/>
  <c r="N596" i="66"/>
  <c r="AS736" i="79"/>
  <c r="B62" i="57"/>
  <c r="AK9" i="57"/>
  <c r="R12" i="43" s="1"/>
  <c r="F183" i="57"/>
  <c r="T183" i="57"/>
  <c r="G245" i="57"/>
  <c r="X369" i="57"/>
  <c r="X723" i="57" s="1"/>
  <c r="G369" i="57"/>
  <c r="F428" i="57"/>
  <c r="AK665" i="57"/>
  <c r="K666" i="57" s="1"/>
  <c r="O720" i="61"/>
  <c r="P668" i="61" s="1"/>
  <c r="B720" i="81"/>
  <c r="N720" i="81"/>
  <c r="C62" i="57"/>
  <c r="L183" i="57"/>
  <c r="P607" i="57"/>
  <c r="B366" i="61"/>
  <c r="B182" i="66"/>
  <c r="E479" i="66"/>
  <c r="AU736" i="79"/>
  <c r="Y245" i="57"/>
  <c r="F306" i="57"/>
  <c r="AC369" i="57"/>
  <c r="F607" i="57"/>
  <c r="O8" i="61"/>
  <c r="U11" i="43" s="1"/>
  <c r="B67" i="61"/>
  <c r="B121" i="61"/>
  <c r="O133" i="61"/>
  <c r="U12" i="69" s="1"/>
  <c r="D183" i="61"/>
  <c r="E182" i="66"/>
  <c r="W8" i="73"/>
  <c r="E423" i="66"/>
  <c r="B423" i="66"/>
  <c r="AC479" i="66"/>
  <c r="J596" i="66"/>
  <c r="D720" i="81"/>
  <c r="L736" i="79"/>
  <c r="AJ736" i="79"/>
  <c r="AK67" i="57"/>
  <c r="T121" i="57"/>
  <c r="AK113" i="57"/>
  <c r="R54" i="68" s="1"/>
  <c r="D121" i="57"/>
  <c r="D723" i="57" s="1"/>
  <c r="B534" i="66"/>
  <c r="AD567" i="66"/>
  <c r="W36" i="76" s="1"/>
  <c r="E596" i="66"/>
  <c r="E720" i="81"/>
  <c r="Y736" i="79"/>
  <c r="AK736" i="79"/>
  <c r="C121" i="57"/>
  <c r="AK105" i="57"/>
  <c r="R46" i="68" s="1"/>
  <c r="O121" i="57"/>
  <c r="P306" i="57"/>
  <c r="T488" i="57"/>
  <c r="Z607" i="57"/>
  <c r="Z723" i="57" s="1"/>
  <c r="D542" i="61"/>
  <c r="AD83" i="66"/>
  <c r="W20" i="68" s="1"/>
  <c r="B120" i="66"/>
  <c r="AD188" i="66"/>
  <c r="W9" i="70" s="1"/>
  <c r="E242" i="66"/>
  <c r="AD276" i="66"/>
  <c r="W36" i="71" s="1"/>
  <c r="AC302" i="66"/>
  <c r="W8" i="77"/>
  <c r="AD655" i="66"/>
  <c r="B656" i="66" s="1"/>
  <c r="F720" i="81"/>
  <c r="AL736" i="79"/>
  <c r="R43" i="67"/>
  <c r="AD43" i="67" s="1"/>
  <c r="AK719" i="57"/>
  <c r="O720" i="57" s="1"/>
  <c r="AD723" i="66"/>
  <c r="S724" i="66" s="1"/>
  <c r="AK72" i="57"/>
  <c r="R13" i="68" s="1"/>
  <c r="AK104" i="57"/>
  <c r="R45" i="68" s="1"/>
  <c r="AK83" i="57"/>
  <c r="R24" i="68" s="1"/>
  <c r="D733" i="65"/>
  <c r="BH81" i="56"/>
  <c r="P18" i="68" s="1"/>
  <c r="BH113" i="56"/>
  <c r="P50" i="68" s="1"/>
  <c r="AN379" i="60"/>
  <c r="V305" i="58"/>
  <c r="V739" i="58" s="1"/>
  <c r="I733" i="65"/>
  <c r="AD57" i="67"/>
  <c r="AH306" i="56"/>
  <c r="Y67" i="58"/>
  <c r="AK78" i="57"/>
  <c r="R19" i="68" s="1"/>
  <c r="AK99" i="57"/>
  <c r="R40" i="68" s="1"/>
  <c r="AD40" i="68" s="1"/>
  <c r="BH75" i="56"/>
  <c r="P12" i="68" s="1"/>
  <c r="BH101" i="56"/>
  <c r="P38" i="68" s="1"/>
  <c r="C121" i="58"/>
  <c r="AS306" i="56"/>
  <c r="BH79" i="56"/>
  <c r="P16" i="68" s="1"/>
  <c r="AH245" i="58"/>
  <c r="AK74" i="57"/>
  <c r="R15" i="68" s="1"/>
  <c r="AK79" i="57"/>
  <c r="R20" i="68" s="1"/>
  <c r="AK106" i="57"/>
  <c r="R47" i="68" s="1"/>
  <c r="AK136" i="57"/>
  <c r="R17" i="69" s="1"/>
  <c r="AK214" i="57"/>
  <c r="R33" i="70" s="1"/>
  <c r="T94" i="67"/>
  <c r="P368" i="65"/>
  <c r="BH84" i="56"/>
  <c r="P21" i="68" s="1"/>
  <c r="AK107" i="57"/>
  <c r="R48" i="68" s="1"/>
  <c r="X368" i="65"/>
  <c r="BB123" i="56"/>
  <c r="BH94" i="56"/>
  <c r="P31" i="68" s="1"/>
  <c r="C744" i="56"/>
  <c r="O744" i="56"/>
  <c r="AA744" i="56"/>
  <c r="AM744" i="56"/>
  <c r="AY744" i="56"/>
  <c r="AK98" i="57"/>
  <c r="R39" i="68" s="1"/>
  <c r="U8" i="70"/>
  <c r="O463" i="61"/>
  <c r="U43" i="74" s="1"/>
  <c r="T98" i="67"/>
  <c r="D744" i="56"/>
  <c r="AB744" i="56"/>
  <c r="AK108" i="57"/>
  <c r="R49" i="68" s="1"/>
  <c r="O507" i="61"/>
  <c r="U27" i="75" s="1"/>
  <c r="BH82" i="56"/>
  <c r="P19" i="68" s="1"/>
  <c r="BH88" i="56"/>
  <c r="P25" i="68" s="1"/>
  <c r="BH114" i="56"/>
  <c r="P51" i="68" s="1"/>
  <c r="AT123" i="56"/>
  <c r="P433" i="56"/>
  <c r="E744" i="56"/>
  <c r="Q744" i="56"/>
  <c r="AC744" i="56"/>
  <c r="AO744" i="56"/>
  <c r="BA744" i="56"/>
  <c r="AK82" i="57"/>
  <c r="R23" i="68" s="1"/>
  <c r="O188" i="61"/>
  <c r="U9" i="70" s="1"/>
  <c r="H723" i="61"/>
  <c r="BH375" i="56"/>
  <c r="P8" i="73" s="1"/>
  <c r="I433" i="56"/>
  <c r="F744" i="56"/>
  <c r="R744" i="56"/>
  <c r="AD744" i="56"/>
  <c r="O248" i="61"/>
  <c r="U8" i="67"/>
  <c r="BH110" i="56"/>
  <c r="P47" i="68" s="1"/>
  <c r="BH115" i="56"/>
  <c r="P52" i="68" s="1"/>
  <c r="AQ744" i="56"/>
  <c r="BC744" i="56"/>
  <c r="AK190" i="57"/>
  <c r="AK217" i="57"/>
  <c r="R36" i="70" s="1"/>
  <c r="O429" i="61"/>
  <c r="U8" i="74" s="1"/>
  <c r="J723" i="61"/>
  <c r="P8" i="43"/>
  <c r="BH86" i="56"/>
  <c r="P23" i="68" s="1"/>
  <c r="BH91" i="56"/>
  <c r="P28" i="68" s="1"/>
  <c r="T744" i="56"/>
  <c r="AF744" i="56"/>
  <c r="AR744" i="56"/>
  <c r="BD744" i="56"/>
  <c r="U67" i="58"/>
  <c r="BH89" i="56"/>
  <c r="P26" i="68" s="1"/>
  <c r="BH106" i="56"/>
  <c r="P43" i="68" s="1"/>
  <c r="BH111" i="56"/>
  <c r="P48" i="68" s="1"/>
  <c r="U744" i="56"/>
  <c r="AK95" i="57"/>
  <c r="R36" i="68" s="1"/>
  <c r="AK229" i="57"/>
  <c r="R48" i="70" s="1"/>
  <c r="L723" i="61"/>
  <c r="AU123" i="56"/>
  <c r="BH72" i="56"/>
  <c r="L123" i="56"/>
  <c r="H433" i="56"/>
  <c r="V744" i="56"/>
  <c r="AK115" i="57"/>
  <c r="R56" i="68" s="1"/>
  <c r="M723" i="61"/>
  <c r="BH76" i="56"/>
  <c r="P13" i="68" s="1"/>
  <c r="BH107" i="56"/>
  <c r="P44" i="68" s="1"/>
  <c r="BH112" i="56"/>
  <c r="P49" i="68" s="1"/>
  <c r="K744" i="56"/>
  <c r="W744" i="56"/>
  <c r="AI744" i="56"/>
  <c r="AK84" i="57"/>
  <c r="AK110" i="57"/>
  <c r="R51" i="68" s="1"/>
  <c r="N723" i="61"/>
  <c r="BH73" i="56"/>
  <c r="P10" i="68" s="1"/>
  <c r="H123" i="56"/>
  <c r="AK123" i="56"/>
  <c r="BH80" i="56"/>
  <c r="P17" i="68" s="1"/>
  <c r="BF306" i="56"/>
  <c r="X744" i="56"/>
  <c r="AK80" i="57"/>
  <c r="H733" i="65"/>
  <c r="T123" i="65"/>
  <c r="I123" i="56"/>
  <c r="AJ123" i="56"/>
  <c r="BH99" i="56"/>
  <c r="P36" i="68" s="1"/>
  <c r="B123" i="56"/>
  <c r="BH108" i="56"/>
  <c r="P45" i="68" s="1"/>
  <c r="BH118" i="56"/>
  <c r="P55" i="68" s="1"/>
  <c r="P9" i="76"/>
  <c r="M744" i="56"/>
  <c r="Y744" i="56"/>
  <c r="AW744" i="56"/>
  <c r="O67" i="58"/>
  <c r="O192" i="61"/>
  <c r="U13" i="70" s="1"/>
  <c r="O228" i="61"/>
  <c r="U49" i="70" s="1"/>
  <c r="F723" i="61"/>
  <c r="O263" i="61"/>
  <c r="U23" i="71" s="1"/>
  <c r="G723" i="61"/>
  <c r="U8" i="77"/>
  <c r="P123" i="56"/>
  <c r="BF123" i="56"/>
  <c r="BH87" i="56"/>
  <c r="J123" i="56"/>
  <c r="BH90" i="56"/>
  <c r="G123" i="56"/>
  <c r="N744" i="56"/>
  <c r="Z744" i="56"/>
  <c r="AL744" i="56"/>
  <c r="AX744" i="56"/>
  <c r="U8" i="75"/>
  <c r="E723" i="61"/>
  <c r="P42" i="67"/>
  <c r="AD42" i="67" s="1"/>
  <c r="BH741" i="56"/>
  <c r="S489" i="65"/>
  <c r="AC739" i="58"/>
  <c r="K553" i="58"/>
  <c r="C613" i="58"/>
  <c r="AN24" i="60"/>
  <c r="T26" i="43" s="1"/>
  <c r="AN76" i="60"/>
  <c r="T12" i="68" s="1"/>
  <c r="AN118" i="60"/>
  <c r="T54" i="68" s="1"/>
  <c r="AN161" i="60"/>
  <c r="T41" i="69" s="1"/>
  <c r="AN257" i="60"/>
  <c r="AN375" i="60"/>
  <c r="T20" i="73" s="1"/>
  <c r="AN384" i="60"/>
  <c r="AN530" i="60"/>
  <c r="T10" i="76" s="1"/>
  <c r="AD30" i="67"/>
  <c r="U121" i="58"/>
  <c r="U370" i="58"/>
  <c r="AK199" i="57"/>
  <c r="R18" i="70" s="1"/>
  <c r="P123" i="65"/>
  <c r="N723" i="57"/>
  <c r="AK158" i="57"/>
  <c r="R39" i="69" s="1"/>
  <c r="AK195" i="57"/>
  <c r="R14" i="70" s="1"/>
  <c r="AK223" i="57"/>
  <c r="B739" i="58"/>
  <c r="J723" i="57"/>
  <c r="AD305" i="58"/>
  <c r="AE723" i="57"/>
  <c r="AK162" i="57"/>
  <c r="R43" i="69" s="1"/>
  <c r="AK230" i="57"/>
  <c r="R49" i="70" s="1"/>
  <c r="O245" i="58"/>
  <c r="Z245" i="58"/>
  <c r="Z739" i="58" s="1"/>
  <c r="Y491" i="58"/>
  <c r="K491" i="58"/>
  <c r="C553" i="58"/>
  <c r="K723" i="57"/>
  <c r="AK157" i="57"/>
  <c r="R38" i="69" s="1"/>
  <c r="AK167" i="57"/>
  <c r="R48" i="69" s="1"/>
  <c r="AK212" i="57"/>
  <c r="R31" i="70" s="1"/>
  <c r="AK227" i="57"/>
  <c r="Q723" i="57"/>
  <c r="AN32" i="60"/>
  <c r="T34" i="43" s="1"/>
  <c r="AN37" i="60"/>
  <c r="T39" i="43" s="1"/>
  <c r="K428" i="65"/>
  <c r="AG456" i="65"/>
  <c r="O32" i="74" s="1"/>
  <c r="P489" i="65"/>
  <c r="S607" i="65"/>
  <c r="Y121" i="58"/>
  <c r="I491" i="58"/>
  <c r="Q8" i="77"/>
  <c r="AI674" i="58"/>
  <c r="U723" i="57"/>
  <c r="AK129" i="57"/>
  <c r="R10" i="69" s="1"/>
  <c r="AK140" i="57"/>
  <c r="R21" i="69" s="1"/>
  <c r="AK144" i="57"/>
  <c r="R25" i="69" s="1"/>
  <c r="AK209" i="57"/>
  <c r="R28" i="70" s="1"/>
  <c r="B303" i="65"/>
  <c r="P428" i="65"/>
  <c r="AG495" i="65"/>
  <c r="O10" i="75" s="1"/>
  <c r="K550" i="65"/>
  <c r="Y305" i="58"/>
  <c r="AI374" i="58"/>
  <c r="Q9" i="73" s="1"/>
  <c r="U430" i="58"/>
  <c r="Q8" i="74"/>
  <c r="AI9" i="58"/>
  <c r="Q11" i="43" s="1"/>
  <c r="AK204" i="57"/>
  <c r="R23" i="70" s="1"/>
  <c r="K123" i="65"/>
  <c r="C733" i="65"/>
  <c r="E733" i="65"/>
  <c r="U245" i="58"/>
  <c r="I305" i="58"/>
  <c r="M370" i="58"/>
  <c r="AA370" i="58"/>
  <c r="AA491" i="58"/>
  <c r="AH491" i="58"/>
  <c r="Q8" i="75"/>
  <c r="R50" i="68"/>
  <c r="AK141" i="57"/>
  <c r="R22" i="69" s="1"/>
  <c r="AK150" i="57"/>
  <c r="R31" i="69" s="1"/>
  <c r="T89" i="67"/>
  <c r="S243" i="65"/>
  <c r="AG469" i="65"/>
  <c r="O45" i="74" s="1"/>
  <c r="L489" i="65"/>
  <c r="L733" i="65" s="1"/>
  <c r="AD184" i="58"/>
  <c r="C305" i="58"/>
  <c r="Q739" i="58"/>
  <c r="AK164" i="57"/>
  <c r="R45" i="69" s="1"/>
  <c r="AK166" i="57"/>
  <c r="R47" i="69" s="1"/>
  <c r="AK191" i="57"/>
  <c r="R10" i="70" s="1"/>
  <c r="H723" i="57"/>
  <c r="AK218" i="57"/>
  <c r="R37" i="70" s="1"/>
  <c r="R8" i="67"/>
  <c r="O184" i="58"/>
  <c r="AI134" i="58"/>
  <c r="Q14" i="69" s="1"/>
  <c r="U184" i="58"/>
  <c r="D184" i="58"/>
  <c r="D739" i="58" s="1"/>
  <c r="C245" i="58"/>
  <c r="AE430" i="58"/>
  <c r="AE739" i="58" s="1"/>
  <c r="C491" i="58"/>
  <c r="U553" i="58"/>
  <c r="U613" i="58"/>
  <c r="AF723" i="57"/>
  <c r="S723" i="57"/>
  <c r="R30" i="68"/>
  <c r="AK146" i="57"/>
  <c r="R27" i="69" s="1"/>
  <c r="AK151" i="57"/>
  <c r="R32" i="69" s="1"/>
  <c r="AK226" i="57"/>
  <c r="R45" i="70" s="1"/>
  <c r="AN74" i="60"/>
  <c r="T10" i="68" s="1"/>
  <c r="AN99" i="60"/>
  <c r="T35" i="68" s="1"/>
  <c r="AN120" i="60"/>
  <c r="T56" i="68" s="1"/>
  <c r="AN159" i="60"/>
  <c r="T39" i="69" s="1"/>
  <c r="AN204" i="60"/>
  <c r="T26" i="70" s="1"/>
  <c r="C241" i="60"/>
  <c r="AN255" i="60"/>
  <c r="T18" i="71" s="1"/>
  <c r="AN278" i="60"/>
  <c r="T41" i="71" s="1"/>
  <c r="AN324" i="60"/>
  <c r="T26" i="72" s="1"/>
  <c r="AN329" i="60"/>
  <c r="T31" i="72" s="1"/>
  <c r="AN398" i="60"/>
  <c r="T43" i="73" s="1"/>
  <c r="AN430" i="60"/>
  <c r="T14" i="74" s="1"/>
  <c r="AN433" i="60"/>
  <c r="T17" i="74" s="1"/>
  <c r="AN438" i="60"/>
  <c r="T22" i="74" s="1"/>
  <c r="AN562" i="60"/>
  <c r="T42" i="76" s="1"/>
  <c r="O8" i="68"/>
  <c r="K368" i="65"/>
  <c r="S428" i="65"/>
  <c r="H245" i="58"/>
  <c r="H739" i="58" s="1"/>
  <c r="O370" i="58"/>
  <c r="O491" i="58"/>
  <c r="O553" i="58"/>
  <c r="AK196" i="57"/>
  <c r="R15" i="70" s="1"/>
  <c r="AN109" i="60"/>
  <c r="T45" i="68" s="1"/>
  <c r="T93" i="67"/>
  <c r="AI6" i="58"/>
  <c r="Q8" i="43" s="1"/>
  <c r="N245" i="58"/>
  <c r="K245" i="58"/>
  <c r="N305" i="58"/>
  <c r="W305" i="58"/>
  <c r="W739" i="58" s="1"/>
  <c r="Y370" i="58"/>
  <c r="U491" i="58"/>
  <c r="Y553" i="58"/>
  <c r="AD553" i="58"/>
  <c r="AI558" i="58"/>
  <c r="Q8" i="76" s="1"/>
  <c r="Y613" i="58"/>
  <c r="AK127" i="57"/>
  <c r="AK133" i="57"/>
  <c r="R14" i="69" s="1"/>
  <c r="AK143" i="57"/>
  <c r="R24" i="69" s="1"/>
  <c r="AK201" i="57"/>
  <c r="R20" i="70" s="1"/>
  <c r="AK215" i="57"/>
  <c r="R34" i="70" s="1"/>
  <c r="AK224" i="57"/>
  <c r="R43" i="70" s="1"/>
  <c r="L709" i="62"/>
  <c r="AG315" i="65"/>
  <c r="O15" i="72" s="1"/>
  <c r="B368" i="65"/>
  <c r="AG265" i="65"/>
  <c r="O25" i="71" s="1"/>
  <c r="X303" i="65"/>
  <c r="G733" i="65"/>
  <c r="R12" i="68"/>
  <c r="R52" i="68"/>
  <c r="W723" i="57"/>
  <c r="AK147" i="57"/>
  <c r="R28" i="69" s="1"/>
  <c r="AG128" i="65"/>
  <c r="O8" i="69" s="1"/>
  <c r="P182" i="65"/>
  <c r="S68" i="65"/>
  <c r="AG164" i="65"/>
  <c r="O44" i="69" s="1"/>
  <c r="Y182" i="65"/>
  <c r="K182" i="65"/>
  <c r="K243" i="65"/>
  <c r="AG248" i="65"/>
  <c r="K303" i="65"/>
  <c r="AG321" i="65"/>
  <c r="O21" i="72" s="1"/>
  <c r="T368" i="65"/>
  <c r="K489" i="65"/>
  <c r="AI20" i="58"/>
  <c r="Q22" i="43" s="1"/>
  <c r="Y184" i="58"/>
  <c r="Y245" i="58"/>
  <c r="U305" i="58"/>
  <c r="AK128" i="57"/>
  <c r="R9" i="69" s="1"/>
  <c r="AK134" i="57"/>
  <c r="R15" i="69" s="1"/>
  <c r="AK160" i="57"/>
  <c r="R41" i="69" s="1"/>
  <c r="AK163" i="57"/>
  <c r="R44" i="69" s="1"/>
  <c r="AK165" i="57"/>
  <c r="R46" i="69" s="1"/>
  <c r="AK202" i="57"/>
  <c r="R21" i="70" s="1"/>
  <c r="AK221" i="57"/>
  <c r="R40" i="70" s="1"/>
  <c r="AN217" i="60"/>
  <c r="T39" i="70" s="1"/>
  <c r="Y550" i="65"/>
  <c r="O121" i="58"/>
  <c r="AI141" i="58"/>
  <c r="Q21" i="69" s="1"/>
  <c r="M184" i="58"/>
  <c r="AI251" i="58"/>
  <c r="Q9" i="71" s="1"/>
  <c r="O305" i="58"/>
  <c r="S370" i="58"/>
  <c r="S739" i="58" s="1"/>
  <c r="O430" i="58"/>
  <c r="R18" i="68"/>
  <c r="R53" i="68"/>
  <c r="AK225" i="57"/>
  <c r="AG7" i="65"/>
  <c r="O8" i="43" s="1"/>
  <c r="K68" i="65"/>
  <c r="AG13" i="65"/>
  <c r="O14" i="43" s="1"/>
  <c r="AF68" i="65"/>
  <c r="AF733" i="65" s="1"/>
  <c r="S123" i="65"/>
  <c r="S368" i="65"/>
  <c r="S550" i="65"/>
  <c r="K607" i="65"/>
  <c r="C370" i="58"/>
  <c r="Y430" i="58"/>
  <c r="O613" i="58"/>
  <c r="AK152" i="57"/>
  <c r="R33" i="69" s="1"/>
  <c r="AK161" i="57"/>
  <c r="R42" i="69" s="1"/>
  <c r="AG729" i="65"/>
  <c r="AA730" i="65" s="1"/>
  <c r="O38" i="67"/>
  <c r="O58" i="67" s="1"/>
  <c r="AI735" i="58"/>
  <c r="W736" i="58" s="1"/>
  <c r="Q38" i="67"/>
  <c r="O47" i="75"/>
  <c r="O47" i="77"/>
  <c r="AG668" i="65"/>
  <c r="C669" i="65" s="1"/>
  <c r="R50" i="70"/>
  <c r="AD50" i="70" s="1"/>
  <c r="AD34" i="67"/>
  <c r="AN90" i="60"/>
  <c r="T26" i="68" s="1"/>
  <c r="AN148" i="60"/>
  <c r="T28" i="69" s="1"/>
  <c r="M695" i="60"/>
  <c r="I184" i="62"/>
  <c r="AN564" i="60"/>
  <c r="T44" i="76" s="1"/>
  <c r="AN222" i="60"/>
  <c r="AN432" i="60"/>
  <c r="AN165" i="60"/>
  <c r="Z301" i="60"/>
  <c r="AN101" i="60"/>
  <c r="T37" i="68" s="1"/>
  <c r="AN500" i="60"/>
  <c r="T29" i="75" s="1"/>
  <c r="AN119" i="60"/>
  <c r="T55" i="68" s="1"/>
  <c r="AN203" i="60"/>
  <c r="T25" i="70" s="1"/>
  <c r="AN282" i="60"/>
  <c r="T45" i="71" s="1"/>
  <c r="AN437" i="60"/>
  <c r="AN561" i="60"/>
  <c r="T41" i="76" s="1"/>
  <c r="AN40" i="60"/>
  <c r="T42" i="43" s="1"/>
  <c r="AN89" i="60"/>
  <c r="T25" i="68" s="1"/>
  <c r="AN94" i="60"/>
  <c r="AN449" i="60"/>
  <c r="T34" i="74" s="1"/>
  <c r="AK264" i="57"/>
  <c r="R21" i="71" s="1"/>
  <c r="I68" i="62"/>
  <c r="M304" i="62"/>
  <c r="M709" i="62" s="1"/>
  <c r="K361" i="62"/>
  <c r="AN27" i="60"/>
  <c r="T29" i="43" s="1"/>
  <c r="AN216" i="60"/>
  <c r="T38" i="70" s="1"/>
  <c r="T8" i="71"/>
  <c r="R360" i="60"/>
  <c r="AN309" i="60"/>
  <c r="T11" i="72" s="1"/>
  <c r="AN383" i="60"/>
  <c r="T28" i="73" s="1"/>
  <c r="AN393" i="60"/>
  <c r="T38" i="73" s="1"/>
  <c r="Z475" i="60"/>
  <c r="AA475" i="60"/>
  <c r="AN545" i="60"/>
  <c r="T25" i="76" s="1"/>
  <c r="C584" i="60"/>
  <c r="F584" i="60"/>
  <c r="Z152" i="62"/>
  <c r="S30" i="69" s="1"/>
  <c r="B184" i="62"/>
  <c r="AC67" i="60"/>
  <c r="AC695" i="60" s="1"/>
  <c r="AN7" i="60"/>
  <c r="T9" i="43" s="1"/>
  <c r="Z121" i="60"/>
  <c r="AN100" i="60"/>
  <c r="T36" i="68" s="1"/>
  <c r="AN168" i="60"/>
  <c r="T47" i="69" s="1"/>
  <c r="AN189" i="60"/>
  <c r="AN195" i="60"/>
  <c r="T17" i="70" s="1"/>
  <c r="AN273" i="60"/>
  <c r="T36" i="71" s="1"/>
  <c r="AN387" i="60"/>
  <c r="T32" i="73" s="1"/>
  <c r="AN439" i="60"/>
  <c r="T23" i="74" s="1"/>
  <c r="AA524" i="60"/>
  <c r="AN497" i="60"/>
  <c r="T26" i="75" s="1"/>
  <c r="T8" i="76"/>
  <c r="R8" i="77"/>
  <c r="AL67" i="60"/>
  <c r="AN12" i="60"/>
  <c r="T14" i="43" s="1"/>
  <c r="AN110" i="60"/>
  <c r="T46" i="68" s="1"/>
  <c r="AN201" i="60"/>
  <c r="T23" i="70" s="1"/>
  <c r="AN211" i="60"/>
  <c r="T33" i="70" s="1"/>
  <c r="AN261" i="60"/>
  <c r="T24" i="71" s="1"/>
  <c r="AN316" i="60"/>
  <c r="AN319" i="60"/>
  <c r="AN330" i="60"/>
  <c r="T32" i="72" s="1"/>
  <c r="D420" i="60"/>
  <c r="AN365" i="60"/>
  <c r="C420" i="60"/>
  <c r="AN406" i="60"/>
  <c r="T51" i="73" s="1"/>
  <c r="AD51" i="73" s="1"/>
  <c r="AN426" i="60"/>
  <c r="AN431" i="60"/>
  <c r="T15" i="74" s="1"/>
  <c r="Z32" i="62"/>
  <c r="S35" i="43" s="1"/>
  <c r="B68" i="62"/>
  <c r="AN28" i="60"/>
  <c r="T30" i="43" s="1"/>
  <c r="AJ121" i="60"/>
  <c r="AJ695" i="60" s="1"/>
  <c r="AN80" i="60"/>
  <c r="T16" i="68" s="1"/>
  <c r="AN91" i="60"/>
  <c r="T27" i="68" s="1"/>
  <c r="C182" i="60"/>
  <c r="AN134" i="60"/>
  <c r="T14" i="69" s="1"/>
  <c r="AN140" i="60"/>
  <c r="T20" i="69" s="1"/>
  <c r="AN143" i="60"/>
  <c r="T23" i="69" s="1"/>
  <c r="AN149" i="60"/>
  <c r="T29" i="69" s="1"/>
  <c r="AN196" i="60"/>
  <c r="T18" i="70" s="1"/>
  <c r="AN253" i="60"/>
  <c r="T16" i="71" s="1"/>
  <c r="B301" i="60"/>
  <c r="AN388" i="60"/>
  <c r="T33" i="73" s="1"/>
  <c r="F475" i="60"/>
  <c r="AN457" i="60"/>
  <c r="T42" i="74" s="1"/>
  <c r="AN509" i="60"/>
  <c r="AK315" i="57"/>
  <c r="R13" i="72" s="1"/>
  <c r="S8" i="73"/>
  <c r="AN111" i="60"/>
  <c r="T47" i="68" s="1"/>
  <c r="AN212" i="60"/>
  <c r="T34" i="70" s="1"/>
  <c r="AN395" i="60"/>
  <c r="T40" i="73" s="1"/>
  <c r="AN480" i="60"/>
  <c r="T9" i="75" s="1"/>
  <c r="C524" i="60"/>
  <c r="AN559" i="60"/>
  <c r="T39" i="76" s="1"/>
  <c r="Z27" i="62"/>
  <c r="S30" i="43" s="1"/>
  <c r="S68" i="62"/>
  <c r="S709" i="62" s="1"/>
  <c r="E121" i="60"/>
  <c r="AN92" i="60"/>
  <c r="AN106" i="60"/>
  <c r="T42" i="68" s="1"/>
  <c r="AN144" i="60"/>
  <c r="T24" i="69" s="1"/>
  <c r="E241" i="60"/>
  <c r="AN218" i="60"/>
  <c r="T40" i="70" s="1"/>
  <c r="R301" i="60"/>
  <c r="AN248" i="60"/>
  <c r="B360" i="60"/>
  <c r="AN493" i="60"/>
  <c r="P524" i="60"/>
  <c r="AN499" i="60"/>
  <c r="T28" i="75" s="1"/>
  <c r="W524" i="60"/>
  <c r="W695" i="60" s="1"/>
  <c r="T8" i="77"/>
  <c r="AN635" i="60"/>
  <c r="S8" i="74"/>
  <c r="S8" i="77"/>
  <c r="Z645" i="62"/>
  <c r="X646" i="62" s="1"/>
  <c r="AN9" i="60"/>
  <c r="T11" i="43" s="1"/>
  <c r="B67" i="60"/>
  <c r="C67" i="60"/>
  <c r="AN14" i="60"/>
  <c r="T16" i="43" s="1"/>
  <c r="AN213" i="60"/>
  <c r="T35" i="70" s="1"/>
  <c r="B420" i="60"/>
  <c r="AN367" i="60"/>
  <c r="T12" i="73" s="1"/>
  <c r="AN402" i="60"/>
  <c r="T47" i="73" s="1"/>
  <c r="B524" i="60"/>
  <c r="AN481" i="60"/>
  <c r="T10" i="75" s="1"/>
  <c r="AN505" i="60"/>
  <c r="T34" i="75" s="1"/>
  <c r="AN536" i="60"/>
  <c r="T16" i="76" s="1"/>
  <c r="Z584" i="60"/>
  <c r="AN542" i="60"/>
  <c r="T22" i="76" s="1"/>
  <c r="D584" i="60"/>
  <c r="Z209" i="62"/>
  <c r="S28" i="70" s="1"/>
  <c r="B244" i="62"/>
  <c r="AN25" i="60"/>
  <c r="T27" i="43" s="1"/>
  <c r="AN34" i="60"/>
  <c r="T36" i="43" s="1"/>
  <c r="AN88" i="60"/>
  <c r="T24" i="68" s="1"/>
  <c r="AN93" i="60"/>
  <c r="T29" i="68" s="1"/>
  <c r="AN162" i="60"/>
  <c r="T42" i="69" s="1"/>
  <c r="B241" i="60"/>
  <c r="AN187" i="60"/>
  <c r="T9" i="70" s="1"/>
  <c r="AN276" i="60"/>
  <c r="T39" i="71" s="1"/>
  <c r="AN328" i="60"/>
  <c r="T30" i="72" s="1"/>
  <c r="AN494" i="60"/>
  <c r="T23" i="75" s="1"/>
  <c r="AE524" i="60"/>
  <c r="D67" i="60"/>
  <c r="AN10" i="60"/>
  <c r="T12" i="43" s="1"/>
  <c r="AN73" i="60"/>
  <c r="B121" i="60"/>
  <c r="AN137" i="60"/>
  <c r="T17" i="69" s="1"/>
  <c r="B182" i="60"/>
  <c r="AN141" i="60"/>
  <c r="T21" i="69" s="1"/>
  <c r="AN166" i="60"/>
  <c r="T45" i="69" s="1"/>
  <c r="Z360" i="60"/>
  <c r="AN313" i="60"/>
  <c r="T15" i="72" s="1"/>
  <c r="C360" i="60"/>
  <c r="AN323" i="60"/>
  <c r="T25" i="72" s="1"/>
  <c r="AN339" i="60"/>
  <c r="T40" i="72" s="1"/>
  <c r="AN386" i="60"/>
  <c r="T31" i="73" s="1"/>
  <c r="AN543" i="60"/>
  <c r="T23" i="76" s="1"/>
  <c r="Z325" i="62"/>
  <c r="S25" i="72" s="1"/>
  <c r="I361" i="62"/>
  <c r="AN83" i="60"/>
  <c r="T19" i="68" s="1"/>
  <c r="Z182" i="60"/>
  <c r="AN220" i="60"/>
  <c r="T42" i="70" s="1"/>
  <c r="AN223" i="60"/>
  <c r="T45" i="70" s="1"/>
  <c r="AN318" i="60"/>
  <c r="T20" i="72" s="1"/>
  <c r="K420" i="60"/>
  <c r="K695" i="60" s="1"/>
  <c r="AN373" i="60"/>
  <c r="AN382" i="60"/>
  <c r="T27" i="73" s="1"/>
  <c r="AN403" i="60"/>
  <c r="T48" i="73" s="1"/>
  <c r="AN483" i="60"/>
  <c r="T12" i="75" s="1"/>
  <c r="Z524" i="60"/>
  <c r="AN495" i="60"/>
  <c r="T24" i="75" s="1"/>
  <c r="R524" i="60"/>
  <c r="Z249" i="62"/>
  <c r="S8" i="71" s="1"/>
  <c r="K304" i="62"/>
  <c r="Z261" i="62"/>
  <c r="S20" i="71" s="1"/>
  <c r="B304" i="62"/>
  <c r="S17" i="73"/>
  <c r="I420" i="62"/>
  <c r="Z420" i="62" s="1"/>
  <c r="S8" i="75"/>
  <c r="AN26" i="60"/>
  <c r="T28" i="43" s="1"/>
  <c r="AD67" i="60"/>
  <c r="AN30" i="60"/>
  <c r="T32" i="43" s="1"/>
  <c r="AN114" i="60"/>
  <c r="T50" i="68" s="1"/>
  <c r="Z241" i="60"/>
  <c r="AN188" i="60"/>
  <c r="T10" i="70" s="1"/>
  <c r="AN209" i="60"/>
  <c r="T31" i="70" s="1"/>
  <c r="AN368" i="60"/>
  <c r="Z420" i="60"/>
  <c r="B475" i="60"/>
  <c r="AN425" i="60"/>
  <c r="T9" i="74" s="1"/>
  <c r="AN501" i="60"/>
  <c r="T30" i="75" s="1"/>
  <c r="AL584" i="60"/>
  <c r="AN532" i="60"/>
  <c r="T12" i="76" s="1"/>
  <c r="AD584" i="60"/>
  <c r="AN538" i="60"/>
  <c r="T18" i="76" s="1"/>
  <c r="AN556" i="60"/>
  <c r="T36" i="76" s="1"/>
  <c r="AE584" i="60"/>
  <c r="N244" i="62"/>
  <c r="AN22" i="60"/>
  <c r="T24" i="43" s="1"/>
  <c r="AN79" i="60"/>
  <c r="T15" i="68" s="1"/>
  <c r="AA182" i="60"/>
  <c r="AN138" i="60"/>
  <c r="T18" i="69" s="1"/>
  <c r="AN142" i="60"/>
  <c r="T22" i="69" s="1"/>
  <c r="AN163" i="60"/>
  <c r="T43" i="69" s="1"/>
  <c r="X360" i="60"/>
  <c r="X695" i="60" s="1"/>
  <c r="AN335" i="60"/>
  <c r="F524" i="60"/>
  <c r="AN513" i="60"/>
  <c r="T42" i="75" s="1"/>
  <c r="L89" i="67"/>
  <c r="T88" i="67"/>
  <c r="T82" i="67"/>
  <c r="T80" i="67"/>
  <c r="S27" i="67"/>
  <c r="S58" i="67" s="1"/>
  <c r="Z705" i="62"/>
  <c r="B706" i="62" s="1"/>
  <c r="R26" i="67"/>
  <c r="AD26" i="67" s="1"/>
  <c r="I360" i="60"/>
  <c r="D121" i="60"/>
  <c r="T8" i="67"/>
  <c r="AE67" i="60"/>
  <c r="AE121" i="60"/>
  <c r="B584" i="60"/>
  <c r="R67" i="60"/>
  <c r="S182" i="60"/>
  <c r="S695" i="60" s="1"/>
  <c r="C301" i="60"/>
  <c r="AM360" i="60"/>
  <c r="AE182" i="60"/>
  <c r="T8" i="43"/>
  <c r="AK67" i="60"/>
  <c r="AK695" i="60" s="1"/>
  <c r="P241" i="60"/>
  <c r="AE475" i="60"/>
  <c r="F241" i="60"/>
  <c r="C475" i="60"/>
  <c r="T14" i="68"/>
  <c r="F121" i="60"/>
  <c r="D182" i="60"/>
  <c r="F301" i="60"/>
  <c r="I301" i="60"/>
  <c r="F420" i="60"/>
  <c r="F67" i="60"/>
  <c r="F182" i="60"/>
  <c r="AE420" i="60"/>
  <c r="AN186" i="60"/>
  <c r="D241" i="60"/>
  <c r="L121" i="60"/>
  <c r="L695" i="60" s="1"/>
  <c r="D475" i="60"/>
  <c r="AA360" i="60"/>
  <c r="AM121" i="60"/>
  <c r="AA420" i="60"/>
  <c r="Z67" i="60"/>
  <c r="C121" i="60"/>
  <c r="T48" i="71"/>
  <c r="AD48" i="71" s="1"/>
  <c r="U301" i="60"/>
  <c r="U695" i="60" s="1"/>
  <c r="D360" i="60"/>
  <c r="T61" i="77"/>
  <c r="T61" i="76"/>
  <c r="T77" i="67"/>
  <c r="T69" i="67"/>
  <c r="AD18" i="67"/>
  <c r="T71" i="67"/>
  <c r="T18" i="17"/>
  <c r="N1" i="80"/>
  <c r="C18" i="17"/>
  <c r="L127" i="77"/>
  <c r="O49" i="77"/>
  <c r="S49" i="77"/>
  <c r="U49" i="77"/>
  <c r="P49" i="77"/>
  <c r="AD64" i="77"/>
  <c r="T104" i="77"/>
  <c r="K53" i="41"/>
  <c r="AD52" i="70"/>
  <c r="T102" i="77"/>
  <c r="T83" i="77"/>
  <c r="T126" i="76"/>
  <c r="L128" i="77"/>
  <c r="K51" i="41"/>
  <c r="V17" i="17"/>
  <c r="T17" i="17"/>
  <c r="L104" i="71"/>
  <c r="L117" i="69"/>
  <c r="L119" i="76"/>
  <c r="AI409" i="58"/>
  <c r="Q44" i="73" s="1"/>
  <c r="T81" i="77"/>
  <c r="N104" i="70"/>
  <c r="L110" i="67"/>
  <c r="L81" i="76"/>
  <c r="L134" i="77"/>
  <c r="L120" i="76"/>
  <c r="AD53" i="70"/>
  <c r="N68" i="70"/>
  <c r="N77" i="70"/>
  <c r="L77" i="67"/>
  <c r="L93" i="67"/>
  <c r="L109" i="67"/>
  <c r="L87" i="76"/>
  <c r="N83" i="70"/>
  <c r="AD62" i="77"/>
  <c r="L106" i="43"/>
  <c r="L110" i="43"/>
  <c r="AD17" i="77"/>
  <c r="L110" i="74"/>
  <c r="T113" i="74"/>
  <c r="L65" i="72"/>
  <c r="L82" i="72"/>
  <c r="C17" i="17"/>
  <c r="L117" i="77"/>
  <c r="L100" i="74"/>
  <c r="L117" i="74"/>
  <c r="M68" i="74"/>
  <c r="G14" i="17" s="1"/>
  <c r="AI157" i="58"/>
  <c r="Q37" i="69" s="1"/>
  <c r="T128" i="76"/>
  <c r="AD31" i="77"/>
  <c r="L88" i="71"/>
  <c r="AI402" i="58"/>
  <c r="Q37" i="73" s="1"/>
  <c r="Z556" i="62"/>
  <c r="S34" i="76" s="1"/>
  <c r="L112" i="43"/>
  <c r="T115" i="76"/>
  <c r="L76" i="73"/>
  <c r="K48" i="41"/>
  <c r="L87" i="74"/>
  <c r="T113" i="67"/>
  <c r="BH135" i="56"/>
  <c r="P14" i="69" s="1"/>
  <c r="BH169" i="56"/>
  <c r="T112" i="67"/>
  <c r="N64" i="70"/>
  <c r="L70" i="73"/>
  <c r="AK528" i="57"/>
  <c r="R43" i="75" s="1"/>
  <c r="AO663" i="60"/>
  <c r="AV95" i="79"/>
  <c r="V36" i="68" s="1"/>
  <c r="L94" i="68"/>
  <c r="T96" i="72"/>
  <c r="BH470" i="56"/>
  <c r="P41" i="74" s="1"/>
  <c r="BH335" i="56"/>
  <c r="P32" i="72" s="1"/>
  <c r="BH340" i="56"/>
  <c r="P36" i="72" s="1"/>
  <c r="AI165" i="58"/>
  <c r="Q45" i="69" s="1"/>
  <c r="L76" i="74"/>
  <c r="Z163" i="62"/>
  <c r="S41" i="69" s="1"/>
  <c r="L89" i="72"/>
  <c r="L92" i="72"/>
  <c r="L84" i="43"/>
  <c r="L103" i="43"/>
  <c r="AI76" i="58"/>
  <c r="Q13" i="68" s="1"/>
  <c r="P306" i="56"/>
  <c r="AK456" i="57"/>
  <c r="R32" i="74" s="1"/>
  <c r="AM301" i="60"/>
  <c r="AF118" i="79"/>
  <c r="L111" i="76"/>
  <c r="L113" i="67"/>
  <c r="BH349" i="56"/>
  <c r="P45" i="72" s="1"/>
  <c r="AG441" i="65"/>
  <c r="O16" i="74" s="1"/>
  <c r="T102" i="72"/>
  <c r="N78" i="70"/>
  <c r="N92" i="70"/>
  <c r="BH29" i="56"/>
  <c r="P29" i="43" s="1"/>
  <c r="L109" i="43"/>
  <c r="AP744" i="56"/>
  <c r="AI397" i="58"/>
  <c r="Q32" i="73" s="1"/>
  <c r="H243" i="79"/>
  <c r="K50" i="41"/>
  <c r="L87" i="69"/>
  <c r="L99" i="69"/>
  <c r="L118" i="76"/>
  <c r="L107" i="72"/>
  <c r="AD97" i="66"/>
  <c r="W34" i="68" s="1"/>
  <c r="L113" i="76"/>
  <c r="L85" i="69"/>
  <c r="L95" i="75"/>
  <c r="L70" i="67"/>
  <c r="AD40" i="76"/>
  <c r="AD42" i="77"/>
  <c r="AD54" i="77"/>
  <c r="L80" i="77"/>
  <c r="AD14" i="67"/>
  <c r="AD62" i="76"/>
  <c r="AK328" i="57"/>
  <c r="R26" i="72" s="1"/>
  <c r="L82" i="68"/>
  <c r="L95" i="69"/>
  <c r="AG332" i="65"/>
  <c r="O31" i="72" s="1"/>
  <c r="AD19" i="76"/>
  <c r="AD12" i="77"/>
  <c r="BH199" i="56"/>
  <c r="P18" i="70" s="1"/>
  <c r="P10" i="73"/>
  <c r="L71" i="68"/>
  <c r="L115" i="68"/>
  <c r="L78" i="72"/>
  <c r="L87" i="72"/>
  <c r="L94" i="72"/>
  <c r="L78" i="74"/>
  <c r="L120" i="74"/>
  <c r="AG519" i="65"/>
  <c r="O34" i="75" s="1"/>
  <c r="BH584" i="56"/>
  <c r="P31" i="76" s="1"/>
  <c r="AD41" i="67"/>
  <c r="L88" i="67"/>
  <c r="L112" i="67"/>
  <c r="L115" i="76"/>
  <c r="L74" i="68"/>
  <c r="L89" i="68"/>
  <c r="T119" i="68"/>
  <c r="L72" i="71"/>
  <c r="T67" i="72"/>
  <c r="AG83" i="65"/>
  <c r="O19" i="68" s="1"/>
  <c r="AG500" i="65"/>
  <c r="AK324" i="57"/>
  <c r="R22" i="72" s="1"/>
  <c r="AD385" i="66"/>
  <c r="W25" i="73" s="1"/>
  <c r="L95" i="76"/>
  <c r="T124" i="71"/>
  <c r="L95" i="72"/>
  <c r="L102" i="75"/>
  <c r="AD58" i="77"/>
  <c r="AI271" i="58"/>
  <c r="Q29" i="71" s="1"/>
  <c r="AK574" i="57"/>
  <c r="R29" i="76" s="1"/>
  <c r="AD40" i="66"/>
  <c r="W41" i="43" s="1"/>
  <c r="L79" i="69"/>
  <c r="L103" i="69"/>
  <c r="L106" i="69"/>
  <c r="N79" i="70"/>
  <c r="T95" i="72"/>
  <c r="L92" i="74"/>
  <c r="T112" i="74"/>
  <c r="AG196" i="65"/>
  <c r="O17" i="70" s="1"/>
  <c r="AG207" i="65"/>
  <c r="O28" i="70" s="1"/>
  <c r="AI192" i="58"/>
  <c r="Q11" i="70" s="1"/>
  <c r="AI376" i="58"/>
  <c r="Q11" i="73" s="1"/>
  <c r="AK282" i="57"/>
  <c r="R39" i="71" s="1"/>
  <c r="P35" i="81"/>
  <c r="L121" i="76"/>
  <c r="L107" i="43"/>
  <c r="L111" i="43"/>
  <c r="H63" i="71"/>
  <c r="L107" i="71"/>
  <c r="L96" i="72"/>
  <c r="L89" i="75"/>
  <c r="BH267" i="56"/>
  <c r="P25" i="71" s="1"/>
  <c r="L112" i="76"/>
  <c r="L73" i="43"/>
  <c r="N73" i="69"/>
  <c r="L72" i="69"/>
  <c r="L98" i="69"/>
  <c r="L108" i="69"/>
  <c r="N63" i="70"/>
  <c r="T118" i="74"/>
  <c r="O474" i="81"/>
  <c r="AV133" i="79"/>
  <c r="V17" i="69" s="1"/>
  <c r="L93" i="71"/>
  <c r="L89" i="76"/>
  <c r="L102" i="43"/>
  <c r="T117" i="71"/>
  <c r="L107" i="77"/>
  <c r="AK333" i="57"/>
  <c r="R31" i="72" s="1"/>
  <c r="AK565" i="57"/>
  <c r="R20" i="76" s="1"/>
  <c r="L95" i="68"/>
  <c r="L96" i="71"/>
  <c r="N88" i="72"/>
  <c r="AI264" i="58"/>
  <c r="Q22" i="71" s="1"/>
  <c r="L84" i="76"/>
  <c r="L116" i="76"/>
  <c r="L93" i="43"/>
  <c r="L100" i="71"/>
  <c r="K57" i="72"/>
  <c r="E12" i="17" s="1"/>
  <c r="L85" i="75"/>
  <c r="AI252" i="58"/>
  <c r="Q10" i="71" s="1"/>
  <c r="AK411" i="57"/>
  <c r="R47" i="73" s="1"/>
  <c r="L99" i="67"/>
  <c r="AI216" i="58"/>
  <c r="Q35" i="70" s="1"/>
  <c r="AD162" i="66"/>
  <c r="W41" i="69" s="1"/>
  <c r="L91" i="69"/>
  <c r="N99" i="70"/>
  <c r="N102" i="70"/>
  <c r="N69" i="72"/>
  <c r="N78" i="72"/>
  <c r="AG143" i="65"/>
  <c r="O23" i="69" s="1"/>
  <c r="AI511" i="58"/>
  <c r="Q24" i="75" s="1"/>
  <c r="AK339" i="57"/>
  <c r="R36" i="72" s="1"/>
  <c r="AK446" i="57"/>
  <c r="R21" i="74" s="1"/>
  <c r="O291" i="81"/>
  <c r="AV195" i="79"/>
  <c r="V16" i="70" s="1"/>
  <c r="L114" i="76"/>
  <c r="L79" i="73"/>
  <c r="L86" i="74"/>
  <c r="P30" i="73"/>
  <c r="P264" i="81"/>
  <c r="X36" i="71" s="1"/>
  <c r="L117" i="76"/>
  <c r="L60" i="68"/>
  <c r="F8" i="17" s="1"/>
  <c r="L66" i="72"/>
  <c r="L81" i="77"/>
  <c r="L86" i="67"/>
  <c r="L98" i="67"/>
  <c r="AV227" i="79"/>
  <c r="V48" i="70" s="1"/>
  <c r="L85" i="76"/>
  <c r="L114" i="43"/>
  <c r="L118" i="43"/>
  <c r="L122" i="76"/>
  <c r="H116" i="76"/>
  <c r="P116" i="76"/>
  <c r="P117" i="76"/>
  <c r="H117" i="76"/>
  <c r="H115" i="76"/>
  <c r="P115" i="76"/>
  <c r="K47" i="41"/>
  <c r="BH444" i="56"/>
  <c r="P14" i="74" s="1"/>
  <c r="AI469" i="58"/>
  <c r="Q43" i="74" s="1"/>
  <c r="AK467" i="57"/>
  <c r="R43" i="74" s="1"/>
  <c r="O109" i="61"/>
  <c r="U46" i="68" s="1"/>
  <c r="T99" i="76"/>
  <c r="L96" i="68"/>
  <c r="L114" i="68"/>
  <c r="T117" i="68"/>
  <c r="N82" i="70"/>
  <c r="L106" i="72"/>
  <c r="L85" i="74"/>
  <c r="L101" i="67"/>
  <c r="AD17" i="66"/>
  <c r="W18" i="43" s="1"/>
  <c r="AV12" i="79"/>
  <c r="V14" i="43" s="1"/>
  <c r="L105" i="76"/>
  <c r="L70" i="43"/>
  <c r="L79" i="43"/>
  <c r="L70" i="68"/>
  <c r="L121" i="69"/>
  <c r="T106" i="75"/>
  <c r="L108" i="77"/>
  <c r="L120" i="77"/>
  <c r="BH36" i="56"/>
  <c r="P36" i="43" s="1"/>
  <c r="AI504" i="58"/>
  <c r="Q17" i="75" s="1"/>
  <c r="T118" i="68"/>
  <c r="T114" i="67"/>
  <c r="BH586" i="56"/>
  <c r="P33" i="76" s="1"/>
  <c r="AI38" i="58"/>
  <c r="Q40" i="43" s="1"/>
  <c r="AK503" i="57"/>
  <c r="R18" i="75" s="1"/>
  <c r="W19" i="74"/>
  <c r="AV210" i="79"/>
  <c r="V31" i="70" s="1"/>
  <c r="L86" i="72"/>
  <c r="L88" i="75"/>
  <c r="L91" i="77"/>
  <c r="L99" i="77"/>
  <c r="L68" i="67"/>
  <c r="AG201" i="65"/>
  <c r="O22" i="70" s="1"/>
  <c r="AD22" i="70" s="1"/>
  <c r="AG212" i="65"/>
  <c r="O33" i="70" s="1"/>
  <c r="BH41" i="56"/>
  <c r="P41" i="43" s="1"/>
  <c r="AI12" i="58"/>
  <c r="Q14" i="43" s="1"/>
  <c r="AI156" i="58"/>
  <c r="Q36" i="69" s="1"/>
  <c r="AI399" i="58"/>
  <c r="Q34" i="73" s="1"/>
  <c r="P241" i="81"/>
  <c r="X13" i="71" s="1"/>
  <c r="P275" i="81"/>
  <c r="L83" i="72"/>
  <c r="AK380" i="57"/>
  <c r="R16" i="73" s="1"/>
  <c r="AV6" i="79"/>
  <c r="V8" i="43" s="1"/>
  <c r="L103" i="68"/>
  <c r="L75" i="69"/>
  <c r="L89" i="69"/>
  <c r="T118" i="71"/>
  <c r="L77" i="74"/>
  <c r="L108" i="74"/>
  <c r="L73" i="75"/>
  <c r="AG40" i="65"/>
  <c r="O41" i="43" s="1"/>
  <c r="AI111" i="58"/>
  <c r="Q48" i="68" s="1"/>
  <c r="AV137" i="79"/>
  <c r="V21" i="69" s="1"/>
  <c r="L96" i="43"/>
  <c r="L90" i="72"/>
  <c r="T119" i="77"/>
  <c r="AN424" i="60"/>
  <c r="L108" i="43"/>
  <c r="L86" i="68"/>
  <c r="L84" i="69"/>
  <c r="V62" i="70"/>
  <c r="N97" i="70"/>
  <c r="L80" i="74"/>
  <c r="AV372" i="56"/>
  <c r="AK388" i="57"/>
  <c r="R24" i="73" s="1"/>
  <c r="P27" i="73"/>
  <c r="W28" i="74"/>
  <c r="L69" i="68"/>
  <c r="L84" i="74"/>
  <c r="L109" i="74"/>
  <c r="L93" i="77"/>
  <c r="L97" i="77"/>
  <c r="AV437" i="79"/>
  <c r="V12" i="74" s="1"/>
  <c r="L96" i="76"/>
  <c r="L78" i="43"/>
  <c r="L97" i="43"/>
  <c r="L81" i="75"/>
  <c r="L114" i="67"/>
  <c r="AI10" i="58"/>
  <c r="Q12" i="43" s="1"/>
  <c r="AV258" i="79"/>
  <c r="V18" i="71" s="1"/>
  <c r="N93" i="70"/>
  <c r="L104" i="74"/>
  <c r="L65" i="75"/>
  <c r="L99" i="75"/>
  <c r="P29" i="73"/>
  <c r="AK404" i="57"/>
  <c r="R40" i="73" s="1"/>
  <c r="AD399" i="66"/>
  <c r="W39" i="73" s="1"/>
  <c r="AV165" i="79"/>
  <c r="V49" i="69" s="1"/>
  <c r="AV410" i="79"/>
  <c r="V46" i="73" s="1"/>
  <c r="L121" i="43"/>
  <c r="N84" i="69"/>
  <c r="L74" i="69"/>
  <c r="L88" i="69"/>
  <c r="N101" i="70"/>
  <c r="L77" i="73"/>
  <c r="L69" i="67"/>
  <c r="AI444" i="58"/>
  <c r="Q17" i="74" s="1"/>
  <c r="AI589" i="58"/>
  <c r="Q39" i="76" s="1"/>
  <c r="P440" i="81"/>
  <c r="X29" i="74" s="1"/>
  <c r="AV495" i="79"/>
  <c r="V9" i="75" s="1"/>
  <c r="AV503" i="79"/>
  <c r="V17" i="75" s="1"/>
  <c r="L82" i="76"/>
  <c r="T82" i="76"/>
  <c r="L77" i="68"/>
  <c r="L85" i="68"/>
  <c r="L80" i="69"/>
  <c r="P65" i="70"/>
  <c r="N65" i="70"/>
  <c r="L103" i="72"/>
  <c r="L103" i="74"/>
  <c r="L104" i="75"/>
  <c r="L82" i="77"/>
  <c r="L106" i="77"/>
  <c r="L115" i="77"/>
  <c r="BH198" i="56"/>
  <c r="P17" i="70" s="1"/>
  <c r="AI506" i="58"/>
  <c r="Q19" i="75" s="1"/>
  <c r="AK253" i="57"/>
  <c r="R10" i="71" s="1"/>
  <c r="AV104" i="79"/>
  <c r="V45" i="68" s="1"/>
  <c r="AC303" i="79"/>
  <c r="AV398" i="79"/>
  <c r="V34" i="73" s="1"/>
  <c r="AV469" i="79"/>
  <c r="V45" i="74" s="1"/>
  <c r="AV527" i="79"/>
  <c r="V41" i="75" s="1"/>
  <c r="AV580" i="79"/>
  <c r="V32" i="76" s="1"/>
  <c r="L104" i="76"/>
  <c r="L71" i="43"/>
  <c r="L74" i="43"/>
  <c r="L97" i="68"/>
  <c r="N62" i="69"/>
  <c r="H9" i="17" s="1"/>
  <c r="L104" i="69"/>
  <c r="N85" i="70"/>
  <c r="H79" i="71"/>
  <c r="Q93" i="71"/>
  <c r="L117" i="71"/>
  <c r="N99" i="72"/>
  <c r="M61" i="73"/>
  <c r="G13" i="17" s="1"/>
  <c r="L75" i="74"/>
  <c r="AG327" i="65"/>
  <c r="O26" i="72" s="1"/>
  <c r="AK321" i="57"/>
  <c r="R19" i="72" s="1"/>
  <c r="AO661" i="60"/>
  <c r="P89" i="70"/>
  <c r="N88" i="70"/>
  <c r="I85" i="71"/>
  <c r="L77" i="72"/>
  <c r="L81" i="74"/>
  <c r="L68" i="75"/>
  <c r="L110" i="77"/>
  <c r="H126" i="77"/>
  <c r="BH209" i="56"/>
  <c r="P28" i="70" s="1"/>
  <c r="AI189" i="58"/>
  <c r="AI574" i="58"/>
  <c r="Q24" i="76" s="1"/>
  <c r="AD164" i="66"/>
  <c r="W43" i="69" s="1"/>
  <c r="AF181" i="79"/>
  <c r="AD429" i="79"/>
  <c r="L107" i="76"/>
  <c r="L81" i="43"/>
  <c r="L100" i="43"/>
  <c r="L92" i="68"/>
  <c r="H62" i="69"/>
  <c r="L91" i="74"/>
  <c r="L97" i="74"/>
  <c r="N74" i="75"/>
  <c r="L100" i="67"/>
  <c r="AG444" i="65"/>
  <c r="O19" i="74" s="1"/>
  <c r="AG497" i="65"/>
  <c r="O12" i="75" s="1"/>
  <c r="AG521" i="65"/>
  <c r="O36" i="75" s="1"/>
  <c r="BH583" i="56"/>
  <c r="P30" i="76" s="1"/>
  <c r="BH597" i="56"/>
  <c r="P44" i="76" s="1"/>
  <c r="AI110" i="58"/>
  <c r="Q47" i="68" s="1"/>
  <c r="AK259" i="57"/>
  <c r="R16" i="71" s="1"/>
  <c r="AD144" i="66"/>
  <c r="W23" i="69" s="1"/>
  <c r="L129" i="76"/>
  <c r="L83" i="68"/>
  <c r="L98" i="68"/>
  <c r="N69" i="70"/>
  <c r="N94" i="70"/>
  <c r="L91" i="71"/>
  <c r="L102" i="71"/>
  <c r="N79" i="72"/>
  <c r="N92" i="72"/>
  <c r="L81" i="72"/>
  <c r="L106" i="75"/>
  <c r="AK330" i="57"/>
  <c r="R28" i="72" s="1"/>
  <c r="AV112" i="79"/>
  <c r="V53" i="68" s="1"/>
  <c r="L69" i="43"/>
  <c r="L75" i="43"/>
  <c r="L94" i="43"/>
  <c r="L67" i="72"/>
  <c r="T121" i="74"/>
  <c r="L75" i="67"/>
  <c r="AI190" i="58"/>
  <c r="Q9" i="70" s="1"/>
  <c r="AD407" i="66"/>
  <c r="W48" i="73" s="1"/>
  <c r="AV500" i="79"/>
  <c r="V14" i="75" s="1"/>
  <c r="L102" i="76"/>
  <c r="N81" i="70"/>
  <c r="L99" i="72"/>
  <c r="L73" i="73"/>
  <c r="L113" i="77"/>
  <c r="L111" i="67"/>
  <c r="AG17" i="65"/>
  <c r="O18" i="43" s="1"/>
  <c r="BH27" i="56"/>
  <c r="P27" i="43" s="1"/>
  <c r="BH568" i="56"/>
  <c r="P15" i="76" s="1"/>
  <c r="AD15" i="76" s="1"/>
  <c r="AI562" i="58"/>
  <c r="Q12" i="76" s="1"/>
  <c r="AI567" i="58"/>
  <c r="Q17" i="76" s="1"/>
  <c r="AK526" i="57"/>
  <c r="R41" i="75" s="1"/>
  <c r="AK578" i="57"/>
  <c r="R33" i="76" s="1"/>
  <c r="AV16" i="79"/>
  <c r="V18" i="43" s="1"/>
  <c r="Z118" i="79"/>
  <c r="AV223" i="79"/>
  <c r="V44" i="70" s="1"/>
  <c r="AV330" i="79"/>
  <c r="V30" i="72" s="1"/>
  <c r="L97" i="76"/>
  <c r="L82" i="43"/>
  <c r="L85" i="43"/>
  <c r="L87" i="68"/>
  <c r="L73" i="69"/>
  <c r="L90" i="69"/>
  <c r="L86" i="71"/>
  <c r="L118" i="71"/>
  <c r="N82" i="72"/>
  <c r="N96" i="72"/>
  <c r="L98" i="74"/>
  <c r="L82" i="75"/>
  <c r="L88" i="77"/>
  <c r="L92" i="77"/>
  <c r="L133" i="77"/>
  <c r="AG33" i="65"/>
  <c r="O34" i="43" s="1"/>
  <c r="AG343" i="65"/>
  <c r="O42" i="72" s="1"/>
  <c r="AG503" i="65"/>
  <c r="O18" i="75" s="1"/>
  <c r="P24" i="73"/>
  <c r="BH502" i="56"/>
  <c r="P11" i="75" s="1"/>
  <c r="O256" i="61"/>
  <c r="U16" i="71" s="1"/>
  <c r="AV23" i="79"/>
  <c r="V25" i="43" s="1"/>
  <c r="AV78" i="79"/>
  <c r="V19" i="68" s="1"/>
  <c r="AO429" i="79"/>
  <c r="AO736" i="79" s="1"/>
  <c r="L88" i="43"/>
  <c r="L84" i="68"/>
  <c r="N109" i="69"/>
  <c r="L94" i="69"/>
  <c r="L116" i="69"/>
  <c r="L113" i="71"/>
  <c r="L73" i="72"/>
  <c r="L91" i="72"/>
  <c r="L105" i="72"/>
  <c r="T103" i="75"/>
  <c r="L112" i="77"/>
  <c r="L74" i="67"/>
  <c r="BH225" i="56"/>
  <c r="P44" i="70" s="1"/>
  <c r="BH332" i="56"/>
  <c r="P29" i="72" s="1"/>
  <c r="AI386" i="58"/>
  <c r="Q21" i="73" s="1"/>
  <c r="AK261" i="57"/>
  <c r="R18" i="71" s="1"/>
  <c r="AK442" i="57"/>
  <c r="R17" i="74" s="1"/>
  <c r="AD196" i="66"/>
  <c r="W17" i="70" s="1"/>
  <c r="AD213" i="66"/>
  <c r="W34" i="70" s="1"/>
  <c r="L91" i="68"/>
  <c r="L110" i="71"/>
  <c r="L111" i="74"/>
  <c r="L118" i="74"/>
  <c r="T120" i="74"/>
  <c r="L83" i="77"/>
  <c r="AG395" i="65"/>
  <c r="O32" i="73" s="1"/>
  <c r="BH24" i="56"/>
  <c r="P24" i="43" s="1"/>
  <c r="AI328" i="58"/>
  <c r="Q26" i="72" s="1"/>
  <c r="AI335" i="58"/>
  <c r="Q33" i="72" s="1"/>
  <c r="AC368" i="79"/>
  <c r="L103" i="76"/>
  <c r="L97" i="69"/>
  <c r="L110" i="69"/>
  <c r="T121" i="71"/>
  <c r="E113" i="18"/>
  <c r="AG66" i="56"/>
  <c r="BE66" i="56"/>
  <c r="BH149" i="56"/>
  <c r="P28" i="69" s="1"/>
  <c r="BH222" i="56"/>
  <c r="P41" i="70" s="1"/>
  <c r="AD41" i="70" s="1"/>
  <c r="BH280" i="56"/>
  <c r="P38" i="71" s="1"/>
  <c r="BH529" i="56"/>
  <c r="P38" i="75" s="1"/>
  <c r="AI162" i="58"/>
  <c r="Q42" i="69" s="1"/>
  <c r="AG76" i="65"/>
  <c r="O12" i="68" s="1"/>
  <c r="AG81" i="65"/>
  <c r="O17" i="68" s="1"/>
  <c r="AG85" i="65"/>
  <c r="O21" i="68" s="1"/>
  <c r="AG527" i="65"/>
  <c r="O42" i="75" s="1"/>
  <c r="BH158" i="56"/>
  <c r="P37" i="69" s="1"/>
  <c r="BH163" i="56"/>
  <c r="P42" i="69" s="1"/>
  <c r="BH166" i="56"/>
  <c r="P45" i="69" s="1"/>
  <c r="BH260" i="56"/>
  <c r="P18" i="71" s="1"/>
  <c r="AG19" i="65"/>
  <c r="O20" i="43" s="1"/>
  <c r="AK184" i="56"/>
  <c r="BH223" i="56"/>
  <c r="P42" i="70" s="1"/>
  <c r="BH250" i="56"/>
  <c r="P8" i="71" s="1"/>
  <c r="AI380" i="58"/>
  <c r="AK267" i="57"/>
  <c r="R24" i="71" s="1"/>
  <c r="AK504" i="57"/>
  <c r="R19" i="75" s="1"/>
  <c r="AG97" i="65"/>
  <c r="O33" i="68" s="1"/>
  <c r="AG322" i="65"/>
  <c r="O22" i="72" s="1"/>
  <c r="AG341" i="65"/>
  <c r="O40" i="72" s="1"/>
  <c r="AG392" i="65"/>
  <c r="O29" i="73" s="1"/>
  <c r="AG499" i="65"/>
  <c r="O14" i="75" s="1"/>
  <c r="AU184" i="56"/>
  <c r="BH164" i="56"/>
  <c r="P43" i="69" s="1"/>
  <c r="BH167" i="56"/>
  <c r="P46" i="69" s="1"/>
  <c r="G557" i="56"/>
  <c r="E109" i="18"/>
  <c r="AD27" i="70"/>
  <c r="AG408" i="65"/>
  <c r="O45" i="73" s="1"/>
  <c r="AG554" i="65"/>
  <c r="BH473" i="56"/>
  <c r="P44" i="74" s="1"/>
  <c r="BH563" i="56"/>
  <c r="P10" i="76" s="1"/>
  <c r="AI586" i="58"/>
  <c r="Q36" i="76" s="1"/>
  <c r="AD13" i="77"/>
  <c r="BH151" i="56"/>
  <c r="P30" i="69" s="1"/>
  <c r="BH162" i="56"/>
  <c r="P41" i="69" s="1"/>
  <c r="BH339" i="56"/>
  <c r="P35" i="72" s="1"/>
  <c r="B372" i="56"/>
  <c r="BH466" i="56"/>
  <c r="P37" i="74" s="1"/>
  <c r="AI37" i="58"/>
  <c r="Q39" i="43" s="1"/>
  <c r="AG460" i="65"/>
  <c r="O36" i="74" s="1"/>
  <c r="AG465" i="65"/>
  <c r="O41" i="74" s="1"/>
  <c r="AD10" i="67"/>
  <c r="AT184" i="56"/>
  <c r="BH143" i="56"/>
  <c r="P22" i="69" s="1"/>
  <c r="BH201" i="56"/>
  <c r="P20" i="70" s="1"/>
  <c r="BH283" i="56"/>
  <c r="P41" i="71" s="1"/>
  <c r="AI198" i="58"/>
  <c r="Q17" i="70" s="1"/>
  <c r="Z195" i="62"/>
  <c r="S14" i="70" s="1"/>
  <c r="AG320" i="65"/>
  <c r="O20" i="72" s="1"/>
  <c r="BG744" i="56"/>
  <c r="BH519" i="56"/>
  <c r="P28" i="75" s="1"/>
  <c r="AI8" i="58"/>
  <c r="Q10" i="43" s="1"/>
  <c r="AI35" i="58"/>
  <c r="Q37" i="43" s="1"/>
  <c r="AI138" i="58"/>
  <c r="Q18" i="69" s="1"/>
  <c r="AI221" i="58"/>
  <c r="Q40" i="70" s="1"/>
  <c r="AK314" i="57"/>
  <c r="R12" i="72" s="1"/>
  <c r="AK326" i="57"/>
  <c r="R24" i="72" s="1"/>
  <c r="AK493" i="57"/>
  <c r="AD117" i="66"/>
  <c r="W54" i="68" s="1"/>
  <c r="R63" i="79"/>
  <c r="AV38" i="79"/>
  <c r="V40" i="43" s="1"/>
  <c r="AV322" i="79"/>
  <c r="V22" i="72" s="1"/>
  <c r="AV339" i="79"/>
  <c r="V38" i="72" s="1"/>
  <c r="AV382" i="79"/>
  <c r="V18" i="73" s="1"/>
  <c r="AV434" i="79"/>
  <c r="V9" i="74" s="1"/>
  <c r="AV510" i="79"/>
  <c r="V24" i="75" s="1"/>
  <c r="L110" i="76"/>
  <c r="L114" i="69"/>
  <c r="L73" i="71"/>
  <c r="L74" i="72"/>
  <c r="L85" i="72"/>
  <c r="L95" i="74"/>
  <c r="L123" i="77"/>
  <c r="L135" i="77"/>
  <c r="L87" i="67"/>
  <c r="T110" i="67"/>
  <c r="AI22" i="58"/>
  <c r="Q24" i="43" s="1"/>
  <c r="AI40" i="58"/>
  <c r="Q42" i="43" s="1"/>
  <c r="AI89" i="58"/>
  <c r="Q26" i="68" s="1"/>
  <c r="AI155" i="58"/>
  <c r="Q35" i="69" s="1"/>
  <c r="AI191" i="58"/>
  <c r="Q10" i="70" s="1"/>
  <c r="AI195" i="58"/>
  <c r="Q14" i="70" s="1"/>
  <c r="AI338" i="58"/>
  <c r="Q36" i="72" s="1"/>
  <c r="AI468" i="58"/>
  <c r="Q42" i="74" s="1"/>
  <c r="AK505" i="57"/>
  <c r="R20" i="75" s="1"/>
  <c r="AO286" i="60"/>
  <c r="AO666" i="60"/>
  <c r="U181" i="79"/>
  <c r="AH368" i="79"/>
  <c r="AV383" i="79"/>
  <c r="V19" i="73" s="1"/>
  <c r="AV453" i="79"/>
  <c r="V28" i="74" s="1"/>
  <c r="L91" i="76"/>
  <c r="L77" i="43"/>
  <c r="L99" i="43"/>
  <c r="L93" i="68"/>
  <c r="L101" i="68"/>
  <c r="L104" i="68"/>
  <c r="L110" i="68"/>
  <c r="L116" i="68"/>
  <c r="N83" i="69"/>
  <c r="L70" i="69"/>
  <c r="L86" i="69"/>
  <c r="L92" i="69"/>
  <c r="L100" i="69"/>
  <c r="N76" i="70"/>
  <c r="N100" i="70"/>
  <c r="T122" i="71"/>
  <c r="L80" i="72"/>
  <c r="L88" i="72"/>
  <c r="L75" i="73"/>
  <c r="L89" i="74"/>
  <c r="T105" i="75"/>
  <c r="L104" i="77"/>
  <c r="L104" i="67"/>
  <c r="F303" i="79"/>
  <c r="AV505" i="79"/>
  <c r="V19" i="75" s="1"/>
  <c r="L125" i="76"/>
  <c r="L117" i="43"/>
  <c r="L71" i="71"/>
  <c r="L121" i="71"/>
  <c r="L105" i="74"/>
  <c r="L115" i="74"/>
  <c r="L72" i="75"/>
  <c r="L90" i="75"/>
  <c r="L96" i="75"/>
  <c r="L103" i="75"/>
  <c r="L86" i="77"/>
  <c r="L78" i="67"/>
  <c r="L95" i="67"/>
  <c r="L108" i="67"/>
  <c r="AI318" i="58"/>
  <c r="Q16" i="72" s="1"/>
  <c r="AK511" i="57"/>
  <c r="R26" i="75" s="1"/>
  <c r="AI63" i="79"/>
  <c r="AT118" i="79"/>
  <c r="AV105" i="79"/>
  <c r="V46" i="68" s="1"/>
  <c r="V181" i="79"/>
  <c r="AV161" i="79"/>
  <c r="V45" i="69" s="1"/>
  <c r="V303" i="79"/>
  <c r="X429" i="79"/>
  <c r="X736" i="79" s="1"/>
  <c r="L136" i="76"/>
  <c r="I61" i="43"/>
  <c r="C7" i="17" s="1"/>
  <c r="L68" i="68"/>
  <c r="N62" i="70"/>
  <c r="T107" i="72"/>
  <c r="I55" i="75"/>
  <c r="AK331" i="57"/>
  <c r="R29" i="72" s="1"/>
  <c r="AK385" i="57"/>
  <c r="R21" i="73" s="1"/>
  <c r="AK402" i="57"/>
  <c r="R38" i="73" s="1"/>
  <c r="AK408" i="57"/>
  <c r="R44" i="73" s="1"/>
  <c r="AK495" i="57"/>
  <c r="R10" i="75" s="1"/>
  <c r="AK499" i="57"/>
  <c r="R14" i="75" s="1"/>
  <c r="Z26" i="62"/>
  <c r="S29" i="43" s="1"/>
  <c r="S33" i="73"/>
  <c r="O9" i="61"/>
  <c r="U12" i="43" s="1"/>
  <c r="AG243" i="79"/>
  <c r="AG736" i="79" s="1"/>
  <c r="AV326" i="79"/>
  <c r="V26" i="72" s="1"/>
  <c r="T79" i="76"/>
  <c r="L92" i="76"/>
  <c r="L108" i="76"/>
  <c r="L90" i="43"/>
  <c r="L105" i="43"/>
  <c r="N74" i="70"/>
  <c r="N90" i="70"/>
  <c r="T114" i="71"/>
  <c r="T119" i="71"/>
  <c r="L123" i="71"/>
  <c r="L71" i="73"/>
  <c r="L76" i="75"/>
  <c r="L79" i="75"/>
  <c r="T104" i="75"/>
  <c r="L94" i="77"/>
  <c r="L98" i="77"/>
  <c r="L103" i="77"/>
  <c r="L130" i="77"/>
  <c r="AE66" i="56"/>
  <c r="AE744" i="56" s="1"/>
  <c r="BH159" i="56"/>
  <c r="P38" i="69" s="1"/>
  <c r="BH275" i="56"/>
  <c r="P33" i="71" s="1"/>
  <c r="AS372" i="56"/>
  <c r="AI81" i="58"/>
  <c r="Q18" i="68" s="1"/>
  <c r="AI152" i="58"/>
  <c r="Q32" i="69" s="1"/>
  <c r="AI167" i="58"/>
  <c r="AI218" i="58"/>
  <c r="Q37" i="70" s="1"/>
  <c r="AI275" i="58"/>
  <c r="Q33" i="71" s="1"/>
  <c r="AI314" i="58"/>
  <c r="Q12" i="72" s="1"/>
  <c r="AI381" i="58"/>
  <c r="Q16" i="73" s="1"/>
  <c r="AI389" i="58"/>
  <c r="Q24" i="73" s="1"/>
  <c r="AI455" i="58"/>
  <c r="Q28" i="74" s="1"/>
  <c r="AI515" i="58"/>
  <c r="Q28" i="75" s="1"/>
  <c r="AI592" i="58"/>
  <c r="Q42" i="76" s="1"/>
  <c r="AK374" i="57"/>
  <c r="R10" i="73" s="1"/>
  <c r="Z135" i="62"/>
  <c r="S13" i="69" s="1"/>
  <c r="AD490" i="66"/>
  <c r="W14" i="75" s="1"/>
  <c r="C350" i="81"/>
  <c r="C720" i="81" s="1"/>
  <c r="AV34" i="79"/>
  <c r="V36" i="43" s="1"/>
  <c r="AV71" i="79"/>
  <c r="V12" i="68" s="1"/>
  <c r="AV151" i="79"/>
  <c r="V35" i="69" s="1"/>
  <c r="AV156" i="79"/>
  <c r="V40" i="69" s="1"/>
  <c r="AD243" i="79"/>
  <c r="J71" i="76"/>
  <c r="D16" i="17" s="1"/>
  <c r="T104" i="76"/>
  <c r="P75" i="43"/>
  <c r="L120" i="43"/>
  <c r="L119" i="69"/>
  <c r="H97" i="71"/>
  <c r="L61" i="73"/>
  <c r="L93" i="74"/>
  <c r="AI560" i="58"/>
  <c r="Q10" i="76" s="1"/>
  <c r="AK444" i="57"/>
  <c r="R19" i="74" s="1"/>
  <c r="AD141" i="66"/>
  <c r="W20" i="69" s="1"/>
  <c r="AV187" i="79"/>
  <c r="V8" i="70" s="1"/>
  <c r="AV266" i="79"/>
  <c r="V26" i="71" s="1"/>
  <c r="AD26" i="71" s="1"/>
  <c r="AD489" i="79"/>
  <c r="I84" i="71"/>
  <c r="L70" i="75"/>
  <c r="L89" i="77"/>
  <c r="L72" i="67"/>
  <c r="AI108" i="58"/>
  <c r="Q45" i="68" s="1"/>
  <c r="AI447" i="58"/>
  <c r="Q20" i="74" s="1"/>
  <c r="AK566" i="57"/>
  <c r="R21" i="76" s="1"/>
  <c r="Z316" i="62"/>
  <c r="S16" i="72" s="1"/>
  <c r="AO249" i="60"/>
  <c r="O39" i="61"/>
  <c r="U42" i="43" s="1"/>
  <c r="P80" i="81"/>
  <c r="X32" i="68" s="1"/>
  <c r="P540" i="81"/>
  <c r="X8" i="76" s="1"/>
  <c r="X71" i="76" s="1"/>
  <c r="R16" i="17" s="1"/>
  <c r="AV163" i="79"/>
  <c r="V47" i="69" s="1"/>
  <c r="L98" i="76"/>
  <c r="L106" i="76"/>
  <c r="M57" i="72"/>
  <c r="G12" i="17" s="1"/>
  <c r="N76" i="74"/>
  <c r="T119" i="74"/>
  <c r="L122" i="74"/>
  <c r="L67" i="75"/>
  <c r="L91" i="75"/>
  <c r="L94" i="75"/>
  <c r="Q108" i="75"/>
  <c r="L84" i="77"/>
  <c r="L102" i="77"/>
  <c r="T121" i="77"/>
  <c r="H127" i="77"/>
  <c r="AI148" i="58"/>
  <c r="Q28" i="69" s="1"/>
  <c r="AI199" i="58"/>
  <c r="Q18" i="70" s="1"/>
  <c r="AI279" i="58"/>
  <c r="Q37" i="71" s="1"/>
  <c r="AI284" i="58"/>
  <c r="Q42" i="71" s="1"/>
  <c r="AI315" i="58"/>
  <c r="Q13" i="72" s="1"/>
  <c r="AI373" i="58"/>
  <c r="AI403" i="58"/>
  <c r="Q38" i="73" s="1"/>
  <c r="AI437" i="58"/>
  <c r="Q10" i="74" s="1"/>
  <c r="AK292" i="57"/>
  <c r="R49" i="71" s="1"/>
  <c r="AK329" i="57"/>
  <c r="R27" i="72" s="1"/>
  <c r="AK375" i="57"/>
  <c r="R11" i="73" s="1"/>
  <c r="AK466" i="57"/>
  <c r="R42" i="74" s="1"/>
  <c r="Z40" i="62"/>
  <c r="AO279" i="60"/>
  <c r="O580" i="61"/>
  <c r="U42" i="76" s="1"/>
  <c r="AD340" i="66"/>
  <c r="W40" i="72" s="1"/>
  <c r="AV86" i="79"/>
  <c r="V27" i="68" s="1"/>
  <c r="AV213" i="79"/>
  <c r="V34" i="70" s="1"/>
  <c r="AF552" i="79"/>
  <c r="AV582" i="79"/>
  <c r="V34" i="76" s="1"/>
  <c r="L93" i="76"/>
  <c r="L101" i="76"/>
  <c r="T102" i="76"/>
  <c r="L109" i="76"/>
  <c r="L123" i="76"/>
  <c r="L127" i="76"/>
  <c r="L131" i="76"/>
  <c r="L119" i="43"/>
  <c r="T120" i="43"/>
  <c r="J60" i="68"/>
  <c r="D8" i="17" s="1"/>
  <c r="L72" i="68"/>
  <c r="L75" i="68"/>
  <c r="L100" i="68"/>
  <c r="L112" i="68"/>
  <c r="L122" i="69"/>
  <c r="N72" i="70"/>
  <c r="N75" i="70"/>
  <c r="P72" i="71"/>
  <c r="P81" i="71"/>
  <c r="Q102" i="71"/>
  <c r="L79" i="72"/>
  <c r="L84" i="72"/>
  <c r="L93" i="72"/>
  <c r="L88" i="74"/>
  <c r="L94" i="74"/>
  <c r="L121" i="74"/>
  <c r="L129" i="77"/>
  <c r="L76" i="67"/>
  <c r="AI25" i="58"/>
  <c r="Q27" i="43" s="1"/>
  <c r="AI341" i="58"/>
  <c r="Q39" i="72" s="1"/>
  <c r="AI412" i="58"/>
  <c r="Q47" i="73" s="1"/>
  <c r="AI500" i="58"/>
  <c r="Q13" i="75" s="1"/>
  <c r="AI594" i="58"/>
  <c r="Q44" i="76" s="1"/>
  <c r="AK345" i="57"/>
  <c r="R42" i="72" s="1"/>
  <c r="AK383" i="57"/>
  <c r="R19" i="73" s="1"/>
  <c r="AO665" i="60"/>
  <c r="AV15" i="79"/>
  <c r="V17" i="43" s="1"/>
  <c r="AV262" i="79"/>
  <c r="V22" i="71" s="1"/>
  <c r="AV575" i="79"/>
  <c r="V27" i="76" s="1"/>
  <c r="L83" i="76"/>
  <c r="T85" i="76"/>
  <c r="L88" i="76"/>
  <c r="L99" i="76"/>
  <c r="L130" i="76"/>
  <c r="L135" i="76"/>
  <c r="L80" i="43"/>
  <c r="L83" i="43"/>
  <c r="L92" i="43"/>
  <c r="L101" i="43"/>
  <c r="L81" i="68"/>
  <c r="L90" i="68"/>
  <c r="L77" i="69"/>
  <c r="L120" i="69"/>
  <c r="N86" i="70"/>
  <c r="M63" i="71"/>
  <c r="G11" i="17" s="1"/>
  <c r="L95" i="71"/>
  <c r="T115" i="71"/>
  <c r="L124" i="71"/>
  <c r="L76" i="72"/>
  <c r="L104" i="72"/>
  <c r="L79" i="74"/>
  <c r="L82" i="74"/>
  <c r="T114" i="74"/>
  <c r="L71" i="75"/>
  <c r="L74" i="75"/>
  <c r="L86" i="75"/>
  <c r="L92" i="75"/>
  <c r="L98" i="75"/>
  <c r="L100" i="75"/>
  <c r="L96" i="77"/>
  <c r="L119" i="77"/>
  <c r="AG509" i="65"/>
  <c r="O24" i="75" s="1"/>
  <c r="AG95" i="65"/>
  <c r="O31" i="68" s="1"/>
  <c r="AG313" i="65"/>
  <c r="O13" i="72" s="1"/>
  <c r="AG373" i="65"/>
  <c r="O10" i="73" s="1"/>
  <c r="AG576" i="65"/>
  <c r="O30" i="76" s="1"/>
  <c r="BH32" i="56"/>
  <c r="P32" i="43" s="1"/>
  <c r="H184" i="56"/>
  <c r="P28" i="73"/>
  <c r="AG256" i="65"/>
  <c r="O16" i="71" s="1"/>
  <c r="BH9" i="56"/>
  <c r="P9" i="43" s="1"/>
  <c r="I184" i="56"/>
  <c r="BB184" i="56"/>
  <c r="BH191" i="56"/>
  <c r="P10" i="70" s="1"/>
  <c r="AG453" i="65"/>
  <c r="O28" i="74" s="1"/>
  <c r="BH30" i="56"/>
  <c r="P30" i="43" s="1"/>
  <c r="P184" i="56"/>
  <c r="AG329" i="65"/>
  <c r="O28" i="72" s="1"/>
  <c r="H66" i="56"/>
  <c r="BH168" i="56"/>
  <c r="BH331" i="56"/>
  <c r="P28" i="72" s="1"/>
  <c r="AG385" i="65"/>
  <c r="O22" i="73" s="1"/>
  <c r="AG435" i="65"/>
  <c r="O10" i="74" s="1"/>
  <c r="AG531" i="65"/>
  <c r="O46" i="75" s="1"/>
  <c r="AG577" i="65"/>
  <c r="O31" i="76" s="1"/>
  <c r="BH20" i="56"/>
  <c r="P20" i="43" s="1"/>
  <c r="BH37" i="56"/>
  <c r="P37" i="43" s="1"/>
  <c r="BH165" i="56"/>
  <c r="P44" i="69" s="1"/>
  <c r="BH313" i="56"/>
  <c r="P10" i="72" s="1"/>
  <c r="BH144" i="56"/>
  <c r="P23" i="69" s="1"/>
  <c r="H306" i="56"/>
  <c r="BH258" i="56"/>
  <c r="P16" i="71" s="1"/>
  <c r="BF557" i="56"/>
  <c r="AG87" i="65"/>
  <c r="O23" i="68" s="1"/>
  <c r="AG227" i="65"/>
  <c r="O48" i="70" s="1"/>
  <c r="AG326" i="65"/>
  <c r="O25" i="72" s="1"/>
  <c r="BH34" i="56"/>
  <c r="P34" i="43" s="1"/>
  <c r="BH137" i="56"/>
  <c r="P16" i="69" s="1"/>
  <c r="AH184" i="56"/>
  <c r="AG114" i="65"/>
  <c r="O50" i="68" s="1"/>
  <c r="AG134" i="65"/>
  <c r="O14" i="69" s="1"/>
  <c r="AG312" i="65"/>
  <c r="O12" i="72" s="1"/>
  <c r="AG330" i="65"/>
  <c r="O29" i="72" s="1"/>
  <c r="AG437" i="65"/>
  <c r="O12" i="74" s="1"/>
  <c r="AG513" i="65"/>
  <c r="O28" i="75" s="1"/>
  <c r="AG590" i="65"/>
  <c r="O44" i="76" s="1"/>
  <c r="BH21" i="56"/>
  <c r="P21" i="43" s="1"/>
  <c r="I66" i="56"/>
  <c r="BH161" i="56"/>
  <c r="P40" i="69" s="1"/>
  <c r="BH18" i="56"/>
  <c r="P18" i="43" s="1"/>
  <c r="AG23" i="65"/>
  <c r="O24" i="43" s="1"/>
  <c r="AG89" i="65"/>
  <c r="O25" i="68" s="1"/>
  <c r="AG129" i="65"/>
  <c r="O9" i="69" s="1"/>
  <c r="AG225" i="65"/>
  <c r="O46" i="70" s="1"/>
  <c r="AG403" i="65"/>
  <c r="O40" i="73" s="1"/>
  <c r="AG504" i="65"/>
  <c r="O19" i="75" s="1"/>
  <c r="P66" i="56"/>
  <c r="BF66" i="56"/>
  <c r="BH447" i="56"/>
  <c r="P17" i="74" s="1"/>
  <c r="BH517" i="56"/>
  <c r="P26" i="75" s="1"/>
  <c r="AI16" i="58"/>
  <c r="Q18" i="43" s="1"/>
  <c r="AI19" i="58"/>
  <c r="Q21" i="43" s="1"/>
  <c r="AI75" i="58"/>
  <c r="Q12" i="68" s="1"/>
  <c r="AI97" i="58"/>
  <c r="Q34" i="68" s="1"/>
  <c r="AI225" i="58"/>
  <c r="Q44" i="70" s="1"/>
  <c r="AI258" i="58"/>
  <c r="Q16" i="71" s="1"/>
  <c r="AI289" i="58"/>
  <c r="Q47" i="71" s="1"/>
  <c r="AI324" i="58"/>
  <c r="Q22" i="72" s="1"/>
  <c r="AI382" i="58"/>
  <c r="Q17" i="73" s="1"/>
  <c r="AI462" i="58"/>
  <c r="Q36" i="74" s="1"/>
  <c r="AI513" i="58"/>
  <c r="Q26" i="75" s="1"/>
  <c r="AI516" i="58"/>
  <c r="Q29" i="75" s="1"/>
  <c r="AI582" i="58"/>
  <c r="Q32" i="76" s="1"/>
  <c r="AI591" i="58"/>
  <c r="Q41" i="76" s="1"/>
  <c r="AK392" i="57"/>
  <c r="R28" i="73" s="1"/>
  <c r="AK460" i="57"/>
  <c r="R36" i="74" s="1"/>
  <c r="AK513" i="57"/>
  <c r="R28" i="75" s="1"/>
  <c r="AK577" i="57"/>
  <c r="R32" i="76" s="1"/>
  <c r="AO672" i="60"/>
  <c r="AD216" i="66"/>
  <c r="W37" i="70" s="1"/>
  <c r="AD319" i="66"/>
  <c r="W20" i="72" s="1"/>
  <c r="W58" i="67"/>
  <c r="Q18" i="17" s="1"/>
  <c r="AV106" i="79"/>
  <c r="V47" i="68" s="1"/>
  <c r="AV145" i="79"/>
  <c r="V29" i="69" s="1"/>
  <c r="AV277" i="79"/>
  <c r="V37" i="71" s="1"/>
  <c r="AU245" i="56"/>
  <c r="BH279" i="56"/>
  <c r="P37" i="71" s="1"/>
  <c r="H372" i="56"/>
  <c r="BH262" i="56"/>
  <c r="P20" i="71" s="1"/>
  <c r="BH286" i="56"/>
  <c r="P44" i="71" s="1"/>
  <c r="BF372" i="56"/>
  <c r="BH325" i="56"/>
  <c r="P22" i="72" s="1"/>
  <c r="BH458" i="56"/>
  <c r="P28" i="74" s="1"/>
  <c r="BH527" i="56"/>
  <c r="P36" i="75" s="1"/>
  <c r="BH531" i="56"/>
  <c r="P40" i="75" s="1"/>
  <c r="AI262" i="58"/>
  <c r="Q20" i="71" s="1"/>
  <c r="AI329" i="58"/>
  <c r="Q27" i="72" s="1"/>
  <c r="AI333" i="58"/>
  <c r="Q31" i="72" s="1"/>
  <c r="AI439" i="58"/>
  <c r="Q12" i="74" s="1"/>
  <c r="AI446" i="58"/>
  <c r="Q19" i="74" s="1"/>
  <c r="AK285" i="57"/>
  <c r="R42" i="71" s="1"/>
  <c r="AK341" i="57"/>
  <c r="R38" i="72" s="1"/>
  <c r="AK407" i="57"/>
  <c r="R43" i="73" s="1"/>
  <c r="AK435" i="57"/>
  <c r="R10" i="74" s="1"/>
  <c r="AK447" i="57"/>
  <c r="R22" i="74" s="1"/>
  <c r="AK525" i="57"/>
  <c r="R40" i="75" s="1"/>
  <c r="AO256" i="60"/>
  <c r="O36" i="61"/>
  <c r="U39" i="43" s="1"/>
  <c r="O165" i="61"/>
  <c r="U44" i="69" s="1"/>
  <c r="O308" i="61"/>
  <c r="U9" i="72" s="1"/>
  <c r="AD506" i="66"/>
  <c r="W30" i="75" s="1"/>
  <c r="I231" i="81"/>
  <c r="I720" i="81" s="1"/>
  <c r="N63" i="79"/>
  <c r="AV27" i="79"/>
  <c r="V29" i="43" s="1"/>
  <c r="AV219" i="79"/>
  <c r="V40" i="70" s="1"/>
  <c r="AV384" i="79"/>
  <c r="V20" i="73" s="1"/>
  <c r="AC429" i="79"/>
  <c r="BH196" i="56"/>
  <c r="P15" i="70" s="1"/>
  <c r="BH214" i="56"/>
  <c r="P33" i="70" s="1"/>
  <c r="BH312" i="56"/>
  <c r="P9" i="72" s="1"/>
  <c r="BE372" i="56"/>
  <c r="BH333" i="56"/>
  <c r="P30" i="72" s="1"/>
  <c r="BH463" i="56"/>
  <c r="P34" i="74" s="1"/>
  <c r="AI135" i="58"/>
  <c r="Q15" i="69" s="1"/>
  <c r="AI321" i="58"/>
  <c r="Q19" i="72" s="1"/>
  <c r="AI387" i="58"/>
  <c r="Q22" i="73" s="1"/>
  <c r="Z19" i="62"/>
  <c r="S22" i="43" s="1"/>
  <c r="AO673" i="60"/>
  <c r="O72" i="61"/>
  <c r="U9" i="68" s="1"/>
  <c r="AD73" i="66"/>
  <c r="W10" i="68" s="1"/>
  <c r="AD154" i="66"/>
  <c r="W33" i="69" s="1"/>
  <c r="K231" i="81"/>
  <c r="K291" i="81"/>
  <c r="P307" i="81"/>
  <c r="X19" i="72" s="1"/>
  <c r="M118" i="79"/>
  <c r="AV139" i="79"/>
  <c r="V23" i="69" s="1"/>
  <c r="AV164" i="79"/>
  <c r="V48" i="69" s="1"/>
  <c r="AV343" i="79"/>
  <c r="V42" i="72" s="1"/>
  <c r="AV392" i="79"/>
  <c r="V28" i="73" s="1"/>
  <c r="AV409" i="79"/>
  <c r="V45" i="73" s="1"/>
  <c r="BH323" i="56"/>
  <c r="P20" i="72" s="1"/>
  <c r="H494" i="56"/>
  <c r="AI166" i="58"/>
  <c r="Q46" i="69" s="1"/>
  <c r="AI207" i="58"/>
  <c r="Q26" i="70" s="1"/>
  <c r="AI286" i="58"/>
  <c r="Q44" i="71" s="1"/>
  <c r="AI450" i="58"/>
  <c r="Q23" i="74" s="1"/>
  <c r="AI570" i="58"/>
  <c r="Q20" i="76" s="1"/>
  <c r="AI584" i="58"/>
  <c r="Q34" i="76" s="1"/>
  <c r="AK276" i="57"/>
  <c r="R33" i="71" s="1"/>
  <c r="AK322" i="57"/>
  <c r="R20" i="72" s="1"/>
  <c r="AK379" i="57"/>
  <c r="R15" i="73" s="1"/>
  <c r="AK393" i="57"/>
  <c r="R29" i="73" s="1"/>
  <c r="AK448" i="57"/>
  <c r="R23" i="74" s="1"/>
  <c r="AK453" i="57"/>
  <c r="R28" i="74" s="1"/>
  <c r="Z147" i="62"/>
  <c r="S25" i="69" s="1"/>
  <c r="AO669" i="60"/>
  <c r="AD279" i="66"/>
  <c r="W39" i="71" s="1"/>
  <c r="P64" i="81"/>
  <c r="X16" i="68" s="1"/>
  <c r="O415" i="81"/>
  <c r="AV316" i="79"/>
  <c r="V16" i="72" s="1"/>
  <c r="AV380" i="79"/>
  <c r="V16" i="73" s="1"/>
  <c r="AG245" i="56"/>
  <c r="BH291" i="56"/>
  <c r="P49" i="71" s="1"/>
  <c r="P15" i="73"/>
  <c r="BH464" i="56"/>
  <c r="P35" i="74" s="1"/>
  <c r="BH471" i="56"/>
  <c r="P42" i="74" s="1"/>
  <c r="AI159" i="58"/>
  <c r="Q39" i="69" s="1"/>
  <c r="AI283" i="58"/>
  <c r="Q41" i="71" s="1"/>
  <c r="AI291" i="58"/>
  <c r="Q49" i="71" s="1"/>
  <c r="AI313" i="58"/>
  <c r="Q11" i="72" s="1"/>
  <c r="AI501" i="58"/>
  <c r="Q14" i="75" s="1"/>
  <c r="AK254" i="57"/>
  <c r="R11" i="71" s="1"/>
  <c r="AK263" i="57"/>
  <c r="R20" i="71" s="1"/>
  <c r="AK382" i="57"/>
  <c r="R18" i="73" s="1"/>
  <c r="AK436" i="57"/>
  <c r="R11" i="74" s="1"/>
  <c r="AD187" i="66"/>
  <c r="AD316" i="66"/>
  <c r="W17" i="72" s="1"/>
  <c r="AD17" i="72" s="1"/>
  <c r="AD378" i="66"/>
  <c r="W18" i="73" s="1"/>
  <c r="S63" i="79"/>
  <c r="AV108" i="79"/>
  <c r="V49" i="68" s="1"/>
  <c r="R243" i="79"/>
  <c r="AV226" i="79"/>
  <c r="V47" i="70" s="1"/>
  <c r="AV273" i="79"/>
  <c r="V33" i="71" s="1"/>
  <c r="AD303" i="79"/>
  <c r="AD368" i="79"/>
  <c r="BH334" i="56"/>
  <c r="P31" i="72" s="1"/>
  <c r="P40" i="73"/>
  <c r="BH469" i="56"/>
  <c r="P40" i="74" s="1"/>
  <c r="H557" i="56"/>
  <c r="J557" i="56"/>
  <c r="AI86" i="58"/>
  <c r="Q23" i="68" s="1"/>
  <c r="AI100" i="58"/>
  <c r="Q37" i="68" s="1"/>
  <c r="AI163" i="58"/>
  <c r="Q43" i="69" s="1"/>
  <c r="AI327" i="58"/>
  <c r="Q25" i="72" s="1"/>
  <c r="AI334" i="58"/>
  <c r="Q32" i="72" s="1"/>
  <c r="AI498" i="58"/>
  <c r="Q11" i="75" s="1"/>
  <c r="AI580" i="58"/>
  <c r="Q30" i="76" s="1"/>
  <c r="AD193" i="66"/>
  <c r="W14" i="70" s="1"/>
  <c r="AD388" i="66"/>
  <c r="W28" i="73" s="1"/>
  <c r="AD63" i="79"/>
  <c r="AI393" i="58"/>
  <c r="Q28" i="73" s="1"/>
  <c r="AK445" i="57"/>
  <c r="R20" i="74" s="1"/>
  <c r="AK579" i="57"/>
  <c r="R34" i="76" s="1"/>
  <c r="AK589" i="57"/>
  <c r="R44" i="76" s="1"/>
  <c r="Z82" i="62"/>
  <c r="S18" i="68" s="1"/>
  <c r="AO655" i="60"/>
  <c r="AO670" i="60"/>
  <c r="R181" i="79"/>
  <c r="AV281" i="79"/>
  <c r="V41" i="71" s="1"/>
  <c r="AV372" i="79"/>
  <c r="V8" i="73" s="1"/>
  <c r="S429" i="79"/>
  <c r="G429" i="79"/>
  <c r="G736" i="79" s="1"/>
  <c r="J429" i="79"/>
  <c r="BH216" i="56"/>
  <c r="P35" i="70" s="1"/>
  <c r="BH277" i="56"/>
  <c r="P35" i="71" s="1"/>
  <c r="BH461" i="56"/>
  <c r="P32" i="74" s="1"/>
  <c r="AI14" i="58"/>
  <c r="Q16" i="43" s="1"/>
  <c r="AI91" i="58"/>
  <c r="Q28" i="68" s="1"/>
  <c r="AI96" i="58"/>
  <c r="Q33" i="68" s="1"/>
  <c r="AI322" i="58"/>
  <c r="Q20" i="72" s="1"/>
  <c r="AI345" i="58"/>
  <c r="Q42" i="72" s="1"/>
  <c r="AI507" i="58"/>
  <c r="Q20" i="75" s="1"/>
  <c r="AI523" i="58"/>
  <c r="Q36" i="75" s="1"/>
  <c r="AK312" i="57"/>
  <c r="R10" i="72" s="1"/>
  <c r="AK334" i="57"/>
  <c r="R32" i="72" s="1"/>
  <c r="AK500" i="57"/>
  <c r="R15" i="75" s="1"/>
  <c r="AK568" i="57"/>
  <c r="R23" i="76" s="1"/>
  <c r="O135" i="61"/>
  <c r="U14" i="69" s="1"/>
  <c r="O276" i="61"/>
  <c r="U36" i="71" s="1"/>
  <c r="AD374" i="66"/>
  <c r="W14" i="73" s="1"/>
  <c r="AD408" i="66"/>
  <c r="W49" i="73" s="1"/>
  <c r="W12" i="74"/>
  <c r="AD565" i="66"/>
  <c r="W34" i="76" s="1"/>
  <c r="AD570" i="66"/>
  <c r="W39" i="76" s="1"/>
  <c r="B118" i="79"/>
  <c r="AV207" i="79"/>
  <c r="V28" i="70" s="1"/>
  <c r="AV222" i="79"/>
  <c r="V43" i="70" s="1"/>
  <c r="AV319" i="79"/>
  <c r="V19" i="72" s="1"/>
  <c r="AV331" i="79"/>
  <c r="V31" i="72" s="1"/>
  <c r="BH264" i="56"/>
  <c r="P22" i="71" s="1"/>
  <c r="BH284" i="56"/>
  <c r="P42" i="71" s="1"/>
  <c r="BH342" i="56"/>
  <c r="P38" i="72" s="1"/>
  <c r="BH346" i="56"/>
  <c r="P42" i="72" s="1"/>
  <c r="BH446" i="56"/>
  <c r="P16" i="74" s="1"/>
  <c r="BH451" i="56"/>
  <c r="P21" i="74" s="1"/>
  <c r="BH679" i="56"/>
  <c r="E680" i="56" s="1"/>
  <c r="AI212" i="58"/>
  <c r="Q31" i="70" s="1"/>
  <c r="AI215" i="58"/>
  <c r="Q34" i="70" s="1"/>
  <c r="AI260" i="58"/>
  <c r="Q18" i="71" s="1"/>
  <c r="AI401" i="58"/>
  <c r="Q36" i="73" s="1"/>
  <c r="AK403" i="57"/>
  <c r="R39" i="73" s="1"/>
  <c r="AK459" i="57"/>
  <c r="R35" i="74" s="1"/>
  <c r="AK464" i="57"/>
  <c r="R40" i="74" s="1"/>
  <c r="P454" i="81"/>
  <c r="X44" i="74" s="1"/>
  <c r="AV289" i="79"/>
  <c r="V49" i="71" s="1"/>
  <c r="N303" i="79"/>
  <c r="BH207" i="56"/>
  <c r="P26" i="70" s="1"/>
  <c r="BH324" i="56"/>
  <c r="P21" i="72" s="1"/>
  <c r="BH329" i="56"/>
  <c r="P26" i="72" s="1"/>
  <c r="BH442" i="56"/>
  <c r="P12" i="74" s="1"/>
  <c r="P557" i="56"/>
  <c r="BF617" i="56"/>
  <c r="AI164" i="58"/>
  <c r="Q44" i="69" s="1"/>
  <c r="AI277" i="58"/>
  <c r="Q35" i="71" s="1"/>
  <c r="AI339" i="58"/>
  <c r="Q37" i="72" s="1"/>
  <c r="AI405" i="58"/>
  <c r="Q40" i="73" s="1"/>
  <c r="AI441" i="58"/>
  <c r="Q14" i="74" s="1"/>
  <c r="AI528" i="58"/>
  <c r="Q41" i="75" s="1"/>
  <c r="AK284" i="57"/>
  <c r="R41" i="71" s="1"/>
  <c r="R23" i="73"/>
  <c r="AK572" i="57"/>
  <c r="R27" i="76" s="1"/>
  <c r="O168" i="61"/>
  <c r="U47" i="69" s="1"/>
  <c r="O196" i="61"/>
  <c r="U17" i="70" s="1"/>
  <c r="O385" i="61"/>
  <c r="U24" i="73" s="1"/>
  <c r="AD265" i="66"/>
  <c r="W25" i="71" s="1"/>
  <c r="AV13" i="79"/>
  <c r="V15" i="43" s="1"/>
  <c r="AV268" i="79"/>
  <c r="V28" i="71" s="1"/>
  <c r="AV341" i="79"/>
  <c r="V40" i="72" s="1"/>
  <c r="BH573" i="56"/>
  <c r="P20" i="76" s="1"/>
  <c r="BH578" i="56"/>
  <c r="P25" i="76" s="1"/>
  <c r="BH592" i="56"/>
  <c r="P39" i="76" s="1"/>
  <c r="AI88" i="58"/>
  <c r="Q25" i="68" s="1"/>
  <c r="AI394" i="58"/>
  <c r="Q29" i="73" s="1"/>
  <c r="AK265" i="57"/>
  <c r="R22" i="71" s="1"/>
  <c r="AK343" i="57"/>
  <c r="R40" i="72" s="1"/>
  <c r="AK498" i="57"/>
  <c r="R13" i="75" s="1"/>
  <c r="O380" i="61"/>
  <c r="U19" i="73" s="1"/>
  <c r="AD137" i="66"/>
  <c r="W16" i="69" s="1"/>
  <c r="AD379" i="66"/>
  <c r="P180" i="81"/>
  <c r="X13" i="70" s="1"/>
  <c r="AV72" i="79"/>
  <c r="V13" i="68" s="1"/>
  <c r="Z303" i="79"/>
  <c r="AH429" i="79"/>
  <c r="AV460" i="79"/>
  <c r="V36" i="74" s="1"/>
  <c r="AV399" i="79"/>
  <c r="V35" i="73" s="1"/>
  <c r="U489" i="79"/>
  <c r="AC552" i="79"/>
  <c r="AV592" i="79"/>
  <c r="V44" i="76" s="1"/>
  <c r="L100" i="76"/>
  <c r="L133" i="76"/>
  <c r="K46" i="41"/>
  <c r="I77" i="43"/>
  <c r="L79" i="68"/>
  <c r="P85" i="68"/>
  <c r="I88" i="68"/>
  <c r="L111" i="68"/>
  <c r="L82" i="69"/>
  <c r="L96" i="69"/>
  <c r="P102" i="70"/>
  <c r="N84" i="70"/>
  <c r="N89" i="70"/>
  <c r="L83" i="71"/>
  <c r="L85" i="71"/>
  <c r="L99" i="71"/>
  <c r="L101" i="71"/>
  <c r="L105" i="71"/>
  <c r="L120" i="71"/>
  <c r="N97" i="72"/>
  <c r="L68" i="72"/>
  <c r="L72" i="73"/>
  <c r="L114" i="74"/>
  <c r="L80" i="75"/>
  <c r="AD67" i="77"/>
  <c r="L122" i="77"/>
  <c r="L84" i="67"/>
  <c r="L94" i="67"/>
  <c r="L103" i="67"/>
  <c r="L79" i="76"/>
  <c r="T112" i="76"/>
  <c r="I102" i="68"/>
  <c r="I114" i="68"/>
  <c r="L69" i="69"/>
  <c r="L98" i="72"/>
  <c r="T109" i="67"/>
  <c r="AV256" i="79"/>
  <c r="V16" i="71" s="1"/>
  <c r="AV338" i="79"/>
  <c r="V37" i="72" s="1"/>
  <c r="U552" i="79"/>
  <c r="L124" i="76"/>
  <c r="K61" i="43"/>
  <c r="E7" i="17" s="1"/>
  <c r="L116" i="43"/>
  <c r="P81" i="68"/>
  <c r="L88" i="68"/>
  <c r="L102" i="68"/>
  <c r="N104" i="69"/>
  <c r="N80" i="70"/>
  <c r="N87" i="70"/>
  <c r="P73" i="71"/>
  <c r="L90" i="71"/>
  <c r="L97" i="71"/>
  <c r="P101" i="71"/>
  <c r="L108" i="71"/>
  <c r="Q114" i="71"/>
  <c r="L116" i="71"/>
  <c r="I58" i="75"/>
  <c r="L66" i="75"/>
  <c r="L69" i="75"/>
  <c r="L93" i="75"/>
  <c r="L85" i="77"/>
  <c r="L90" i="77"/>
  <c r="L95" i="77"/>
  <c r="T123" i="77"/>
  <c r="I133" i="77"/>
  <c r="AD552" i="79"/>
  <c r="L94" i="76"/>
  <c r="H81" i="43"/>
  <c r="Q92" i="68"/>
  <c r="P98" i="68"/>
  <c r="H107" i="68"/>
  <c r="L101" i="69"/>
  <c r="L115" i="69"/>
  <c r="N67" i="70"/>
  <c r="N70" i="70"/>
  <c r="V93" i="70"/>
  <c r="N63" i="71"/>
  <c r="H11" i="17" s="1"/>
  <c r="I104" i="71"/>
  <c r="P108" i="71"/>
  <c r="L111" i="71"/>
  <c r="T98" i="72"/>
  <c r="L101" i="72"/>
  <c r="L78" i="73"/>
  <c r="L81" i="73"/>
  <c r="AE68" i="74"/>
  <c r="N79" i="74"/>
  <c r="L102" i="74"/>
  <c r="L107" i="74"/>
  <c r="L113" i="74"/>
  <c r="T115" i="74"/>
  <c r="N79" i="75"/>
  <c r="L79" i="77"/>
  <c r="L100" i="77"/>
  <c r="L105" i="77"/>
  <c r="L111" i="77"/>
  <c r="L116" i="77"/>
  <c r="L121" i="77"/>
  <c r="L73" i="67"/>
  <c r="L83" i="67"/>
  <c r="AV396" i="79"/>
  <c r="V32" i="73" s="1"/>
  <c r="H97" i="43"/>
  <c r="K60" i="68"/>
  <c r="E8" i="17" s="1"/>
  <c r="I75" i="68"/>
  <c r="L80" i="68"/>
  <c r="P94" i="68"/>
  <c r="Q98" i="68"/>
  <c r="I105" i="68"/>
  <c r="L109" i="68"/>
  <c r="E66" i="69"/>
  <c r="N90" i="69"/>
  <c r="N108" i="69"/>
  <c r="L76" i="69"/>
  <c r="L78" i="69"/>
  <c r="L83" i="69"/>
  <c r="P87" i="70"/>
  <c r="Q108" i="71"/>
  <c r="T120" i="71"/>
  <c r="T123" i="71"/>
  <c r="N76" i="72"/>
  <c r="L108" i="72"/>
  <c r="J61" i="73"/>
  <c r="L84" i="73"/>
  <c r="L63" i="75"/>
  <c r="L78" i="75"/>
  <c r="L101" i="75"/>
  <c r="L124" i="77"/>
  <c r="L67" i="67"/>
  <c r="L92" i="67"/>
  <c r="L97" i="67"/>
  <c r="L102" i="67"/>
  <c r="L107" i="67"/>
  <c r="R489" i="79"/>
  <c r="AV438" i="79"/>
  <c r="V13" i="74" s="1"/>
  <c r="AV520" i="79"/>
  <c r="V34" i="75" s="1"/>
  <c r="AV589" i="79"/>
  <c r="V41" i="76" s="1"/>
  <c r="AB612" i="79"/>
  <c r="AB736" i="79" s="1"/>
  <c r="L90" i="76"/>
  <c r="L132" i="76"/>
  <c r="L134" i="76"/>
  <c r="I97" i="43"/>
  <c r="Q104" i="43"/>
  <c r="L115" i="43"/>
  <c r="L109" i="69"/>
  <c r="N73" i="70"/>
  <c r="N105" i="70"/>
  <c r="L63" i="71"/>
  <c r="F11" i="17" s="1"/>
  <c r="L84" i="71"/>
  <c r="P88" i="71"/>
  <c r="Q95" i="71"/>
  <c r="I118" i="71"/>
  <c r="L69" i="72"/>
  <c r="L112" i="74"/>
  <c r="L82" i="67"/>
  <c r="L91" i="67"/>
  <c r="I74" i="76"/>
  <c r="AB61" i="43"/>
  <c r="L86" i="43"/>
  <c r="L91" i="43"/>
  <c r="P68" i="68"/>
  <c r="L73" i="68"/>
  <c r="H101" i="68"/>
  <c r="L105" i="68"/>
  <c r="H110" i="68"/>
  <c r="L81" i="69"/>
  <c r="L93" i="69"/>
  <c r="L102" i="69"/>
  <c r="L107" i="69"/>
  <c r="Z63" i="71"/>
  <c r="I78" i="71"/>
  <c r="I80" i="71"/>
  <c r="I98" i="71"/>
  <c r="I121" i="71"/>
  <c r="L57" i="72"/>
  <c r="F12" i="17" s="1"/>
  <c r="L72" i="72"/>
  <c r="AV513" i="79"/>
  <c r="V27" i="75" s="1"/>
  <c r="AE61" i="43"/>
  <c r="AA61" i="43"/>
  <c r="U7" i="17" s="1"/>
  <c r="I95" i="68"/>
  <c r="Z62" i="69"/>
  <c r="N103" i="69"/>
  <c r="N71" i="70"/>
  <c r="Q74" i="71"/>
  <c r="Q100" i="71"/>
  <c r="L109" i="71"/>
  <c r="L115" i="71"/>
  <c r="Z57" i="72"/>
  <c r="L69" i="73"/>
  <c r="L83" i="74"/>
  <c r="L64" i="75"/>
  <c r="L84" i="75"/>
  <c r="L97" i="75"/>
  <c r="L78" i="77"/>
  <c r="I125" i="77"/>
  <c r="I127" i="77"/>
  <c r="L71" i="67"/>
  <c r="L81" i="67"/>
  <c r="L96" i="67"/>
  <c r="L106" i="67"/>
  <c r="AE243" i="79"/>
  <c r="V24" i="71"/>
  <c r="AV404" i="79"/>
  <c r="V40" i="73" s="1"/>
  <c r="AV514" i="79"/>
  <c r="V28" i="75" s="1"/>
  <c r="AV558" i="79"/>
  <c r="V10" i="76" s="1"/>
  <c r="AV590" i="79"/>
  <c r="V42" i="76" s="1"/>
  <c r="L126" i="76"/>
  <c r="K45" i="41"/>
  <c r="P94" i="43"/>
  <c r="L78" i="68"/>
  <c r="P91" i="68"/>
  <c r="AE62" i="69"/>
  <c r="N99" i="69"/>
  <c r="N101" i="69"/>
  <c r="P72" i="70"/>
  <c r="N98" i="70"/>
  <c r="N103" i="70"/>
  <c r="H96" i="71"/>
  <c r="L98" i="71"/>
  <c r="Q125" i="71"/>
  <c r="L102" i="72"/>
  <c r="L116" i="74"/>
  <c r="T123" i="74"/>
  <c r="T107" i="75"/>
  <c r="L114" i="77"/>
  <c r="Q128" i="77"/>
  <c r="L66" i="67"/>
  <c r="AV393" i="79"/>
  <c r="V29" i="73" s="1"/>
  <c r="L76" i="43"/>
  <c r="Z60" i="68"/>
  <c r="I85" i="68"/>
  <c r="L113" i="68"/>
  <c r="L105" i="69"/>
  <c r="N106" i="70"/>
  <c r="P82" i="71"/>
  <c r="H85" i="71"/>
  <c r="L89" i="71"/>
  <c r="L92" i="71"/>
  <c r="L94" i="71"/>
  <c r="H103" i="71"/>
  <c r="H105" i="71"/>
  <c r="L112" i="71"/>
  <c r="N83" i="72"/>
  <c r="L70" i="72"/>
  <c r="L75" i="72"/>
  <c r="L97" i="72"/>
  <c r="N93" i="74"/>
  <c r="L55" i="75"/>
  <c r="F15" i="17" s="1"/>
  <c r="Z55" i="75"/>
  <c r="L87" i="75"/>
  <c r="L80" i="67"/>
  <c r="L85" i="67"/>
  <c r="L90" i="67"/>
  <c r="L105" i="67"/>
  <c r="T111" i="67"/>
  <c r="AV435" i="79"/>
  <c r="V10" i="74" s="1"/>
  <c r="AV515" i="79"/>
  <c r="V29" i="75" s="1"/>
  <c r="L86" i="76"/>
  <c r="I70" i="43"/>
  <c r="L95" i="43"/>
  <c r="L98" i="43"/>
  <c r="Q99" i="68"/>
  <c r="I108" i="68"/>
  <c r="N82" i="69"/>
  <c r="J62" i="69"/>
  <c r="D9" i="17" s="1"/>
  <c r="P79" i="70"/>
  <c r="Q89" i="71"/>
  <c r="I105" i="71"/>
  <c r="P112" i="71"/>
  <c r="Q115" i="71"/>
  <c r="I120" i="71"/>
  <c r="L100" i="72"/>
  <c r="L74" i="73"/>
  <c r="L80" i="73"/>
  <c r="AB68" i="74"/>
  <c r="L68" i="74"/>
  <c r="F14" i="17" s="1"/>
  <c r="L90" i="74"/>
  <c r="L106" i="74"/>
  <c r="T117" i="74"/>
  <c r="T122" i="74"/>
  <c r="L79" i="67"/>
  <c r="AV560" i="79"/>
  <c r="V12" i="76" s="1"/>
  <c r="P82" i="43"/>
  <c r="L87" i="43"/>
  <c r="H88" i="68"/>
  <c r="N66" i="70"/>
  <c r="L87" i="71"/>
  <c r="P94" i="71"/>
  <c r="L103" i="71"/>
  <c r="Q107" i="71"/>
  <c r="H110" i="71"/>
  <c r="L114" i="71"/>
  <c r="Q124" i="71"/>
  <c r="Q130" i="77"/>
  <c r="Q86" i="74"/>
  <c r="Q87" i="76"/>
  <c r="I84" i="76"/>
  <c r="O26" i="75"/>
  <c r="O36" i="76"/>
  <c r="O16" i="68"/>
  <c r="O45" i="68"/>
  <c r="O38" i="70"/>
  <c r="O18" i="71"/>
  <c r="O17" i="73"/>
  <c r="O10" i="76"/>
  <c r="O29" i="74"/>
  <c r="O41" i="75"/>
  <c r="P20" i="68"/>
  <c r="O16" i="76"/>
  <c r="O36" i="68"/>
  <c r="O38" i="75"/>
  <c r="O16" i="72"/>
  <c r="E120" i="18"/>
  <c r="E116" i="18"/>
  <c r="E112" i="18"/>
  <c r="E108" i="18"/>
  <c r="D124" i="18"/>
  <c r="F121" i="18" s="1"/>
  <c r="E110" i="18"/>
  <c r="E123" i="18"/>
  <c r="E119" i="18"/>
  <c r="E115" i="18"/>
  <c r="E111" i="18"/>
  <c r="E107" i="18"/>
  <c r="E122" i="18"/>
  <c r="E106" i="18"/>
  <c r="E118" i="18"/>
  <c r="E114" i="18"/>
  <c r="O13" i="68"/>
  <c r="O24" i="70"/>
  <c r="O34" i="70"/>
  <c r="O9" i="71"/>
  <c r="O20" i="71"/>
  <c r="O19" i="73"/>
  <c r="O11" i="75"/>
  <c r="E105" i="18"/>
  <c r="O37" i="68"/>
  <c r="O15" i="70"/>
  <c r="O37" i="71"/>
  <c r="O33" i="76"/>
  <c r="O47" i="72"/>
  <c r="O14" i="68"/>
  <c r="O27" i="68"/>
  <c r="O30" i="72"/>
  <c r="O20" i="73"/>
  <c r="O27" i="74"/>
  <c r="O29" i="75"/>
  <c r="O24" i="76"/>
  <c r="O14" i="70"/>
  <c r="W19" i="17"/>
  <c r="O18" i="68"/>
  <c r="O38" i="68"/>
  <c r="O10" i="70"/>
  <c r="O15" i="73"/>
  <c r="O35" i="75"/>
  <c r="O13" i="76"/>
  <c r="O34" i="76"/>
  <c r="E117" i="18"/>
  <c r="AG20" i="65"/>
  <c r="O21" i="43" s="1"/>
  <c r="O31" i="70"/>
  <c r="O9" i="74"/>
  <c r="O20" i="75"/>
  <c r="P15" i="68"/>
  <c r="P39" i="68"/>
  <c r="AG115" i="65"/>
  <c r="O27" i="73"/>
  <c r="O14" i="76"/>
  <c r="O41" i="76"/>
  <c r="O24" i="68"/>
  <c r="O21" i="75"/>
  <c r="P65" i="74"/>
  <c r="AI440" i="58"/>
  <c r="R26" i="68"/>
  <c r="AG310" i="65"/>
  <c r="O10" i="72" s="1"/>
  <c r="AG379" i="65"/>
  <c r="AT66" i="56"/>
  <c r="BH129" i="56"/>
  <c r="P8" i="69" s="1"/>
  <c r="P34" i="70"/>
  <c r="P15" i="71"/>
  <c r="P19" i="67"/>
  <c r="AI196" i="58"/>
  <c r="Q10" i="75"/>
  <c r="AG12" i="65"/>
  <c r="O13" i="43" s="1"/>
  <c r="AD56" i="73"/>
  <c r="O60" i="74"/>
  <c r="O66" i="74"/>
  <c r="AG498" i="65"/>
  <c r="BH25" i="56"/>
  <c r="P25" i="43" s="1"/>
  <c r="BH155" i="56"/>
  <c r="P34" i="69" s="1"/>
  <c r="P13" i="70"/>
  <c r="P25" i="70"/>
  <c r="P31" i="71"/>
  <c r="AD31" i="71" s="1"/>
  <c r="P15" i="75"/>
  <c r="P42" i="75"/>
  <c r="P12" i="76"/>
  <c r="AG187" i="65"/>
  <c r="AJ66" i="56"/>
  <c r="BH138" i="56"/>
  <c r="P17" i="69" s="1"/>
  <c r="P19" i="71"/>
  <c r="P49" i="72"/>
  <c r="P15" i="74"/>
  <c r="P20" i="74"/>
  <c r="P17" i="76"/>
  <c r="P24" i="77"/>
  <c r="P36" i="77"/>
  <c r="P61" i="77"/>
  <c r="O59" i="74"/>
  <c r="AG31" i="65"/>
  <c r="O32" i="43" s="1"/>
  <c r="AG433" i="65"/>
  <c r="O61" i="74"/>
  <c r="P43" i="70"/>
  <c r="P40" i="72"/>
  <c r="P16" i="75"/>
  <c r="H617" i="56"/>
  <c r="S617" i="56"/>
  <c r="S744" i="56" s="1"/>
  <c r="BH580" i="56"/>
  <c r="BH589" i="56"/>
  <c r="I617" i="56"/>
  <c r="Q20" i="68"/>
  <c r="Q57" i="77"/>
  <c r="P36" i="71"/>
  <c r="P21" i="75"/>
  <c r="P34" i="75"/>
  <c r="P50" i="75"/>
  <c r="O65" i="74"/>
  <c r="AG371" i="65"/>
  <c r="O62" i="74"/>
  <c r="AG510" i="65"/>
  <c r="BF184" i="56"/>
  <c r="P31" i="70"/>
  <c r="P59" i="74"/>
  <c r="BH503" i="56"/>
  <c r="I557" i="56"/>
  <c r="P44" i="75"/>
  <c r="BH134" i="56"/>
  <c r="P13" i="69" s="1"/>
  <c r="P39" i="75"/>
  <c r="P14" i="76"/>
  <c r="P20" i="77"/>
  <c r="P32" i="77"/>
  <c r="P57" i="77"/>
  <c r="P28" i="67"/>
  <c r="AI128" i="58"/>
  <c r="Q43" i="70"/>
  <c r="O63" i="74"/>
  <c r="AG494" i="65"/>
  <c r="P32" i="70"/>
  <c r="P11" i="72"/>
  <c r="P37" i="72"/>
  <c r="I494" i="56"/>
  <c r="BH438" i="56"/>
  <c r="P27" i="74"/>
  <c r="P42" i="76"/>
  <c r="AI209" i="58"/>
  <c r="Q26" i="74"/>
  <c r="R52" i="71"/>
  <c r="R58" i="71"/>
  <c r="AG381" i="65"/>
  <c r="P46" i="72"/>
  <c r="AD46" i="72" s="1"/>
  <c r="Q32" i="75"/>
  <c r="O64" i="74"/>
  <c r="P11" i="70"/>
  <c r="BH218" i="56"/>
  <c r="P372" i="56"/>
  <c r="BH322" i="56"/>
  <c r="Q55" i="68"/>
  <c r="R32" i="70"/>
  <c r="BH132" i="56"/>
  <c r="P11" i="69" s="1"/>
  <c r="AS184" i="56"/>
  <c r="BF245" i="56"/>
  <c r="BH227" i="56"/>
  <c r="P34" i="71"/>
  <c r="BH319" i="56"/>
  <c r="P55" i="72"/>
  <c r="P34" i="73"/>
  <c r="P46" i="75"/>
  <c r="P16" i="77"/>
  <c r="AD16" i="77" s="1"/>
  <c r="P28" i="77"/>
  <c r="P53" i="77"/>
  <c r="Q18" i="76"/>
  <c r="I372" i="56"/>
  <c r="P31" i="67"/>
  <c r="AI71" i="58"/>
  <c r="AI154" i="58"/>
  <c r="Q34" i="69" s="1"/>
  <c r="Q23" i="70"/>
  <c r="Q49" i="70"/>
  <c r="Q43" i="72"/>
  <c r="Q56" i="72"/>
  <c r="Q18" i="74"/>
  <c r="Q40" i="75"/>
  <c r="Q45" i="75"/>
  <c r="Q21" i="76"/>
  <c r="BH189" i="56"/>
  <c r="P64" i="74"/>
  <c r="L494" i="56"/>
  <c r="BH515" i="56"/>
  <c r="P27" i="67"/>
  <c r="AI27" i="58"/>
  <c r="Q29" i="43" s="1"/>
  <c r="Q53" i="69"/>
  <c r="AI214" i="58"/>
  <c r="Q39" i="70"/>
  <c r="AI227" i="58"/>
  <c r="AI255" i="58"/>
  <c r="AI443" i="58"/>
  <c r="AI496" i="58"/>
  <c r="Q31" i="75"/>
  <c r="Q32" i="77"/>
  <c r="AZ245" i="56"/>
  <c r="AZ744" i="56" s="1"/>
  <c r="BH255" i="56"/>
  <c r="I306" i="56"/>
  <c r="BH460" i="56"/>
  <c r="P31" i="74" s="1"/>
  <c r="P23" i="67"/>
  <c r="AI266" i="58"/>
  <c r="Q60" i="71"/>
  <c r="AI312" i="58"/>
  <c r="Q10" i="72" s="1"/>
  <c r="Q41" i="72"/>
  <c r="AI458" i="58"/>
  <c r="Q32" i="74" s="1"/>
  <c r="Q21" i="75"/>
  <c r="Q35" i="76"/>
  <c r="Q59" i="76"/>
  <c r="Q63" i="77"/>
  <c r="AD63" i="77" s="1"/>
  <c r="Z250" i="62"/>
  <c r="P15" i="67"/>
  <c r="AD23" i="43"/>
  <c r="Q24" i="68"/>
  <c r="AI158" i="58"/>
  <c r="Q38" i="69" s="1"/>
  <c r="Q56" i="71"/>
  <c r="Q18" i="72"/>
  <c r="Q37" i="75"/>
  <c r="Q26" i="76"/>
  <c r="R37" i="68"/>
  <c r="P60" i="74"/>
  <c r="P66" i="74"/>
  <c r="P494" i="56"/>
  <c r="P11" i="67"/>
  <c r="Q51" i="68"/>
  <c r="Q12" i="70"/>
  <c r="AI270" i="58"/>
  <c r="Q50" i="72"/>
  <c r="Q27" i="74"/>
  <c r="Q66" i="74"/>
  <c r="Q33" i="75"/>
  <c r="AI28" i="58"/>
  <c r="Q30" i="43" s="1"/>
  <c r="AI206" i="58"/>
  <c r="Q11" i="71"/>
  <c r="Q15" i="71"/>
  <c r="Q52" i="71"/>
  <c r="Q23" i="75"/>
  <c r="Q42" i="75"/>
  <c r="Q11" i="76"/>
  <c r="AI573" i="58"/>
  <c r="Q55" i="76"/>
  <c r="Q23" i="77"/>
  <c r="R33" i="68"/>
  <c r="P61" i="74"/>
  <c r="P617" i="56"/>
  <c r="AI18" i="58"/>
  <c r="Q20" i="43" s="1"/>
  <c r="AI143" i="58"/>
  <c r="Q23" i="69" s="1"/>
  <c r="AI168" i="58"/>
  <c r="Q11" i="74"/>
  <c r="G494" i="56"/>
  <c r="P8" i="67"/>
  <c r="Q52" i="68"/>
  <c r="Q13" i="70"/>
  <c r="Q8" i="71"/>
  <c r="Q12" i="71"/>
  <c r="Q38" i="71"/>
  <c r="Q15" i="75"/>
  <c r="Q34" i="75"/>
  <c r="AI526" i="58"/>
  <c r="Q43" i="75"/>
  <c r="R18" i="74"/>
  <c r="R25" i="74"/>
  <c r="P62" i="74"/>
  <c r="AI229" i="58"/>
  <c r="AI326" i="58"/>
  <c r="Q24" i="72" s="1"/>
  <c r="Q20" i="73"/>
  <c r="Q24" i="74"/>
  <c r="AD24" i="74" s="1"/>
  <c r="Q60" i="74"/>
  <c r="Q12" i="75"/>
  <c r="Q33" i="76"/>
  <c r="Q18" i="77"/>
  <c r="Q22" i="67"/>
  <c r="AD22" i="67" s="1"/>
  <c r="R8" i="71"/>
  <c r="BH315" i="56"/>
  <c r="Q42" i="70"/>
  <c r="Q25" i="71"/>
  <c r="AI343" i="58"/>
  <c r="Q54" i="72"/>
  <c r="Q29" i="74"/>
  <c r="Q27" i="75"/>
  <c r="Q44" i="75"/>
  <c r="AI588" i="58"/>
  <c r="Q51" i="76"/>
  <c r="R21" i="72"/>
  <c r="P63" i="74"/>
  <c r="Q49" i="68"/>
  <c r="Q19" i="71"/>
  <c r="Q46" i="71"/>
  <c r="AI452" i="58"/>
  <c r="Q50" i="75"/>
  <c r="Q29" i="76"/>
  <c r="Q59" i="74"/>
  <c r="Q65" i="74"/>
  <c r="Q22" i="77"/>
  <c r="Q8" i="67"/>
  <c r="R8" i="43"/>
  <c r="R19" i="70"/>
  <c r="AD19" i="70" s="1"/>
  <c r="R39" i="70"/>
  <c r="R43" i="72"/>
  <c r="R59" i="74"/>
  <c r="S31" i="70"/>
  <c r="T13" i="74"/>
  <c r="R27" i="68"/>
  <c r="R43" i="68"/>
  <c r="R24" i="70"/>
  <c r="R18" i="72"/>
  <c r="R44" i="72"/>
  <c r="AD44" i="72" s="1"/>
  <c r="R61" i="74"/>
  <c r="S26" i="68"/>
  <c r="S8" i="76"/>
  <c r="Q28" i="77"/>
  <c r="Q53" i="77"/>
  <c r="R9" i="71"/>
  <c r="R59" i="71"/>
  <c r="AD59" i="71" s="1"/>
  <c r="R11" i="72"/>
  <c r="R49" i="72"/>
  <c r="R13" i="73"/>
  <c r="R46" i="75"/>
  <c r="S55" i="68"/>
  <c r="T34" i="68"/>
  <c r="T52" i="68"/>
  <c r="Q61" i="74"/>
  <c r="Q38" i="77"/>
  <c r="R17" i="68"/>
  <c r="R44" i="68"/>
  <c r="R13" i="70"/>
  <c r="R16" i="70"/>
  <c r="R25" i="70"/>
  <c r="R9" i="73"/>
  <c r="R17" i="73"/>
  <c r="R17" i="76"/>
  <c r="R36" i="76"/>
  <c r="S50" i="68"/>
  <c r="S10" i="71"/>
  <c r="AI505" i="58"/>
  <c r="Q24" i="77"/>
  <c r="R14" i="68"/>
  <c r="R36" i="71"/>
  <c r="R54" i="71"/>
  <c r="AD54" i="71" s="1"/>
  <c r="R60" i="71"/>
  <c r="R50" i="72"/>
  <c r="R14" i="73"/>
  <c r="R16" i="75"/>
  <c r="R48" i="75"/>
  <c r="Q62" i="74"/>
  <c r="Q15" i="77"/>
  <c r="Q34" i="77"/>
  <c r="Q59" i="77"/>
  <c r="Q32" i="67"/>
  <c r="R17" i="70"/>
  <c r="R40" i="71"/>
  <c r="R39" i="72"/>
  <c r="R20" i="73"/>
  <c r="R27" i="73"/>
  <c r="S17" i="68"/>
  <c r="Q20" i="77"/>
  <c r="Q28" i="67"/>
  <c r="AK280" i="57"/>
  <c r="AK287" i="57"/>
  <c r="R55" i="71"/>
  <c r="AD55" i="71" s="1"/>
  <c r="R51" i="72"/>
  <c r="AD51" i="72" s="1"/>
  <c r="AK412" i="57"/>
  <c r="R48" i="73" s="1"/>
  <c r="AK469" i="57"/>
  <c r="R45" i="74" s="1"/>
  <c r="R17" i="75"/>
  <c r="S33" i="71"/>
  <c r="S45" i="71"/>
  <c r="S57" i="71"/>
  <c r="Z334" i="62"/>
  <c r="S34" i="72" s="1"/>
  <c r="Q63" i="74"/>
  <c r="Q30" i="77"/>
  <c r="Q55" i="77"/>
  <c r="Q24" i="67"/>
  <c r="R39" i="75"/>
  <c r="AK575" i="57"/>
  <c r="R43" i="76"/>
  <c r="AD43" i="76" s="1"/>
  <c r="Q20" i="67"/>
  <c r="R34" i="68"/>
  <c r="R38" i="68"/>
  <c r="AK189" i="57"/>
  <c r="R50" i="71"/>
  <c r="AD50" i="71" s="1"/>
  <c r="R56" i="71"/>
  <c r="AK398" i="57"/>
  <c r="AD54" i="74"/>
  <c r="S18" i="71"/>
  <c r="T23" i="68"/>
  <c r="Q64" i="74"/>
  <c r="Q26" i="77"/>
  <c r="Q51" i="77"/>
  <c r="Q16" i="67"/>
  <c r="AK318" i="57"/>
  <c r="R54" i="72"/>
  <c r="AK514" i="57"/>
  <c r="R35" i="75"/>
  <c r="R49" i="76"/>
  <c r="R55" i="76"/>
  <c r="R24" i="77"/>
  <c r="Z211" i="62"/>
  <c r="AD31" i="43"/>
  <c r="U51" i="68"/>
  <c r="Q36" i="77"/>
  <c r="Q61" i="77"/>
  <c r="Q12" i="67"/>
  <c r="R35" i="68"/>
  <c r="R47" i="70"/>
  <c r="AK278" i="57"/>
  <c r="R51" i="71"/>
  <c r="AD51" i="71" s="1"/>
  <c r="R37" i="72"/>
  <c r="R31" i="73"/>
  <c r="AK437" i="57"/>
  <c r="R11" i="75"/>
  <c r="R39" i="76"/>
  <c r="R60" i="74"/>
  <c r="AK517" i="57"/>
  <c r="R48" i="76"/>
  <c r="R54" i="76"/>
  <c r="AD54" i="76" s="1"/>
  <c r="R60" i="76"/>
  <c r="S45" i="72"/>
  <c r="T51" i="68"/>
  <c r="T16" i="70"/>
  <c r="T20" i="70"/>
  <c r="T38" i="72"/>
  <c r="AO280" i="60"/>
  <c r="U54" i="69"/>
  <c r="AD54" i="69" s="1"/>
  <c r="AK494" i="57"/>
  <c r="AK509" i="57"/>
  <c r="R47" i="75"/>
  <c r="R19" i="77"/>
  <c r="R25" i="77"/>
  <c r="AD25" i="77" s="1"/>
  <c r="S12" i="68"/>
  <c r="S22" i="68"/>
  <c r="S46" i="68"/>
  <c r="S11" i="70"/>
  <c r="S15" i="71"/>
  <c r="S34" i="71"/>
  <c r="S46" i="71"/>
  <c r="S18" i="72"/>
  <c r="S27" i="73"/>
  <c r="S57" i="77"/>
  <c r="S56" i="77"/>
  <c r="T22" i="68"/>
  <c r="AK372" i="57"/>
  <c r="AK438" i="57"/>
  <c r="AK440" i="57"/>
  <c r="R62" i="74"/>
  <c r="R20" i="77"/>
  <c r="R26" i="77"/>
  <c r="S13" i="68"/>
  <c r="S12" i="70"/>
  <c r="S16" i="71"/>
  <c r="S41" i="71"/>
  <c r="S53" i="71"/>
  <c r="AD53" i="71" s="1"/>
  <c r="T21" i="70"/>
  <c r="U14" i="68"/>
  <c r="R63" i="74"/>
  <c r="AK569" i="57"/>
  <c r="R50" i="76"/>
  <c r="R56" i="76"/>
  <c r="S41" i="72"/>
  <c r="S53" i="72"/>
  <c r="S23" i="73"/>
  <c r="T39" i="68"/>
  <c r="T51" i="69"/>
  <c r="R21" i="75"/>
  <c r="R33" i="75"/>
  <c r="R21" i="77"/>
  <c r="S8" i="68"/>
  <c r="S11" i="71"/>
  <c r="S17" i="71"/>
  <c r="AD17" i="71" s="1"/>
  <c r="S42" i="71"/>
  <c r="T31" i="68"/>
  <c r="T19" i="67"/>
  <c r="AO651" i="60"/>
  <c r="R64" i="74"/>
  <c r="R25" i="75"/>
  <c r="AK555" i="57"/>
  <c r="R51" i="76"/>
  <c r="R57" i="76"/>
  <c r="Z481" i="62"/>
  <c r="S9" i="75" s="1"/>
  <c r="T25" i="73"/>
  <c r="AM420" i="60"/>
  <c r="AD44" i="77"/>
  <c r="T56" i="77"/>
  <c r="AK433" i="57"/>
  <c r="AK519" i="57"/>
  <c r="R28" i="76"/>
  <c r="AD28" i="76" s="1"/>
  <c r="R22" i="77"/>
  <c r="S9" i="68"/>
  <c r="S8" i="70"/>
  <c r="S12" i="71"/>
  <c r="S37" i="71"/>
  <c r="S49" i="71"/>
  <c r="S61" i="71"/>
  <c r="AD61" i="71" s="1"/>
  <c r="S19" i="73"/>
  <c r="Z534" i="62"/>
  <c r="S12" i="76" s="1"/>
  <c r="T32" i="68"/>
  <c r="T49" i="68"/>
  <c r="T46" i="71"/>
  <c r="AO283" i="60"/>
  <c r="U11" i="68"/>
  <c r="AK439" i="57"/>
  <c r="AK441" i="57"/>
  <c r="R65" i="74"/>
  <c r="R37" i="75"/>
  <c r="R44" i="75"/>
  <c r="R52" i="76"/>
  <c r="R58" i="76"/>
  <c r="Z34" i="62"/>
  <c r="S37" i="43" s="1"/>
  <c r="S32" i="71"/>
  <c r="AD32" i="71" s="1"/>
  <c r="S37" i="72"/>
  <c r="S49" i="72"/>
  <c r="T14" i="70"/>
  <c r="AO247" i="60"/>
  <c r="AK458" i="57"/>
  <c r="R34" i="74" s="1"/>
  <c r="R66" i="74"/>
  <c r="AK553" i="57"/>
  <c r="AK570" i="57"/>
  <c r="R42" i="76"/>
  <c r="R23" i="77"/>
  <c r="S8" i="43"/>
  <c r="S16" i="68"/>
  <c r="S54" i="68"/>
  <c r="S29" i="70"/>
  <c r="AD29" i="70" s="1"/>
  <c r="S38" i="71"/>
  <c r="S22" i="72"/>
  <c r="T33" i="68"/>
  <c r="U21" i="70"/>
  <c r="R31" i="75"/>
  <c r="R45" i="75"/>
  <c r="R11" i="76"/>
  <c r="R22" i="76"/>
  <c r="R47" i="76"/>
  <c r="R53" i="76"/>
  <c r="R59" i="76"/>
  <c r="S19" i="71"/>
  <c r="S31" i="73"/>
  <c r="T60" i="69"/>
  <c r="T33" i="71"/>
  <c r="AO270" i="60"/>
  <c r="AO265" i="60"/>
  <c r="T48" i="72"/>
  <c r="T36" i="75"/>
  <c r="T39" i="77"/>
  <c r="T52" i="77"/>
  <c r="S59" i="74"/>
  <c r="S63" i="74"/>
  <c r="T37" i="70"/>
  <c r="T47" i="71"/>
  <c r="AO284" i="60"/>
  <c r="T47" i="72"/>
  <c r="T12" i="74"/>
  <c r="U13" i="73"/>
  <c r="W21" i="72"/>
  <c r="AD394" i="66"/>
  <c r="T12" i="70"/>
  <c r="T53" i="72"/>
  <c r="T30" i="73"/>
  <c r="T28" i="74"/>
  <c r="T31" i="75"/>
  <c r="T41" i="75"/>
  <c r="U26" i="68"/>
  <c r="O369" i="61"/>
  <c r="U12" i="76"/>
  <c r="U23" i="67"/>
  <c r="U29" i="67"/>
  <c r="W18" i="71"/>
  <c r="S60" i="74"/>
  <c r="S64" i="74"/>
  <c r="T14" i="73"/>
  <c r="T63" i="74"/>
  <c r="U43" i="71"/>
  <c r="U43" i="75"/>
  <c r="T52" i="69"/>
  <c r="T35" i="71"/>
  <c r="AO277" i="60"/>
  <c r="T44" i="71"/>
  <c r="AO281" i="60"/>
  <c r="T39" i="72"/>
  <c r="U40" i="70"/>
  <c r="U51" i="70"/>
  <c r="AD51" i="70" s="1"/>
  <c r="U32" i="75"/>
  <c r="U38" i="75"/>
  <c r="U48" i="76"/>
  <c r="T30" i="70"/>
  <c r="AO259" i="60"/>
  <c r="T49" i="72"/>
  <c r="T35" i="73"/>
  <c r="AO671" i="60"/>
  <c r="U34" i="68"/>
  <c r="U13" i="67"/>
  <c r="S61" i="74"/>
  <c r="S65" i="74"/>
  <c r="T53" i="69"/>
  <c r="T35" i="72"/>
  <c r="T35" i="77"/>
  <c r="AD35" i="77" s="1"/>
  <c r="T60" i="77"/>
  <c r="AD60" i="77" s="1"/>
  <c r="AO667" i="60"/>
  <c r="O204" i="61"/>
  <c r="X10" i="68"/>
  <c r="T36" i="73"/>
  <c r="T15" i="75"/>
  <c r="T25" i="75"/>
  <c r="U39" i="71"/>
  <c r="U45" i="72"/>
  <c r="T15" i="70"/>
  <c r="T47" i="70"/>
  <c r="AO269" i="60"/>
  <c r="T16" i="73"/>
  <c r="U36" i="70"/>
  <c r="U24" i="71"/>
  <c r="U17" i="75"/>
  <c r="U28" i="75"/>
  <c r="S62" i="74"/>
  <c r="S66" i="74"/>
  <c r="T11" i="75"/>
  <c r="AO643" i="60"/>
  <c r="AO659" i="60"/>
  <c r="O5" i="61"/>
  <c r="U30" i="68"/>
  <c r="U10" i="71"/>
  <c r="U39" i="67"/>
  <c r="AD39" i="67" s="1"/>
  <c r="V15" i="68"/>
  <c r="U48" i="70"/>
  <c r="U35" i="72"/>
  <c r="U28" i="73"/>
  <c r="W45" i="73"/>
  <c r="AD55" i="69"/>
  <c r="T24" i="70"/>
  <c r="T38" i="71"/>
  <c r="AO275" i="60"/>
  <c r="T52" i="72"/>
  <c r="T40" i="75"/>
  <c r="U47" i="71"/>
  <c r="U63" i="74"/>
  <c r="U33" i="76"/>
  <c r="U39" i="76"/>
  <c r="U14" i="77"/>
  <c r="U26" i="77"/>
  <c r="U38" i="77"/>
  <c r="U51" i="77"/>
  <c r="W8" i="43"/>
  <c r="W48" i="68"/>
  <c r="AD191" i="66"/>
  <c r="W11" i="77"/>
  <c r="AD11" i="77" s="1"/>
  <c r="X23" i="75"/>
  <c r="AO251" i="60"/>
  <c r="AO274" i="60"/>
  <c r="T59" i="74"/>
  <c r="T64" i="74"/>
  <c r="U18" i="72"/>
  <c r="U45" i="73"/>
  <c r="U44" i="76"/>
  <c r="U19" i="67"/>
  <c r="U35" i="67"/>
  <c r="AD35" i="67" s="1"/>
  <c r="AD86" i="66"/>
  <c r="W14" i="74"/>
  <c r="AO652" i="60"/>
  <c r="AO656" i="60"/>
  <c r="AO660" i="60"/>
  <c r="AO664" i="60"/>
  <c r="AO668" i="60"/>
  <c r="U41" i="72"/>
  <c r="O430" i="61"/>
  <c r="U8" i="76"/>
  <c r="U9" i="67"/>
  <c r="AD71" i="66"/>
  <c r="W14" i="71"/>
  <c r="AD14" i="71" s="1"/>
  <c r="W18" i="72"/>
  <c r="W56" i="72"/>
  <c r="W31" i="73"/>
  <c r="W64" i="74"/>
  <c r="W21" i="75"/>
  <c r="T65" i="74"/>
  <c r="U14" i="72"/>
  <c r="AD14" i="72" s="1"/>
  <c r="U14" i="74"/>
  <c r="U66" i="74"/>
  <c r="U13" i="75"/>
  <c r="U29" i="76"/>
  <c r="W24" i="68"/>
  <c r="W65" i="74"/>
  <c r="X29" i="72"/>
  <c r="X41" i="72"/>
  <c r="AV310" i="79"/>
  <c r="V10" i="72" s="1"/>
  <c r="M368" i="79"/>
  <c r="AO252" i="60"/>
  <c r="T60" i="74"/>
  <c r="U35" i="76"/>
  <c r="U10" i="77"/>
  <c r="U22" i="77"/>
  <c r="U34" i="77"/>
  <c r="U59" i="77"/>
  <c r="U15" i="67"/>
  <c r="U31" i="67"/>
  <c r="W30" i="68"/>
  <c r="W55" i="68"/>
  <c r="W27" i="73"/>
  <c r="W10" i="74"/>
  <c r="AO264" i="60"/>
  <c r="AO268" i="60"/>
  <c r="T66" i="74"/>
  <c r="AO641" i="60"/>
  <c r="AO653" i="60"/>
  <c r="AO657" i="60"/>
  <c r="U10" i="73"/>
  <c r="AD28" i="66"/>
  <c r="W29" i="43" s="1"/>
  <c r="W37" i="71"/>
  <c r="AD489" i="66"/>
  <c r="V50" i="76"/>
  <c r="O252" i="61"/>
  <c r="U32" i="73"/>
  <c r="U25" i="76"/>
  <c r="W10" i="71"/>
  <c r="V57" i="71"/>
  <c r="AO285" i="60"/>
  <c r="T61" i="74"/>
  <c r="U20" i="72"/>
  <c r="U56" i="72"/>
  <c r="U11" i="73"/>
  <c r="U37" i="73"/>
  <c r="U9" i="75"/>
  <c r="U36" i="75"/>
  <c r="U41" i="75"/>
  <c r="U47" i="75"/>
  <c r="O548" i="61"/>
  <c r="U11" i="67"/>
  <c r="U27" i="67"/>
  <c r="AD194" i="66"/>
  <c r="W43" i="70"/>
  <c r="W36" i="72"/>
  <c r="W8" i="75"/>
  <c r="W53" i="76"/>
  <c r="X9" i="67"/>
  <c r="V27" i="74"/>
  <c r="AO258" i="60"/>
  <c r="AO642" i="60"/>
  <c r="AO650" i="60"/>
  <c r="AO654" i="60"/>
  <c r="AO658" i="60"/>
  <c r="AO662" i="60"/>
  <c r="O73" i="61"/>
  <c r="U49" i="72"/>
  <c r="U60" i="74"/>
  <c r="U18" i="77"/>
  <c r="U30" i="77"/>
  <c r="U55" i="77"/>
  <c r="W26" i="68"/>
  <c r="W32" i="68"/>
  <c r="W17" i="74"/>
  <c r="X39" i="75"/>
  <c r="V17" i="74"/>
  <c r="AO246" i="60"/>
  <c r="T62" i="74"/>
  <c r="U39" i="72"/>
  <c r="U38" i="73"/>
  <c r="U21" i="76"/>
  <c r="AD204" i="66"/>
  <c r="W44" i="70"/>
  <c r="W243" i="79"/>
  <c r="AV190" i="79"/>
  <c r="U61" i="74"/>
  <c r="W29" i="74"/>
  <c r="W48" i="75"/>
  <c r="W48" i="76"/>
  <c r="X21" i="68"/>
  <c r="X24" i="72"/>
  <c r="K474" i="81"/>
  <c r="P439" i="81"/>
  <c r="X29" i="77"/>
  <c r="AD29" i="77" s="1"/>
  <c r="X33" i="67"/>
  <c r="AD33" i="67" s="1"/>
  <c r="V16" i="68"/>
  <c r="S181" i="79"/>
  <c r="AV125" i="79"/>
  <c r="V9" i="69" s="1"/>
  <c r="V11" i="74"/>
  <c r="V21" i="76"/>
  <c r="W66" i="74"/>
  <c r="W17" i="75"/>
  <c r="W35" i="76"/>
  <c r="W28" i="77"/>
  <c r="W53" i="77"/>
  <c r="AD118" i="79"/>
  <c r="AV69" i="79"/>
  <c r="W429" i="79"/>
  <c r="V8" i="75"/>
  <c r="U62" i="74"/>
  <c r="AD372" i="66"/>
  <c r="W59" i="74"/>
  <c r="W49" i="75"/>
  <c r="AD49" i="75" s="1"/>
  <c r="W13" i="76"/>
  <c r="W49" i="76"/>
  <c r="P178" i="81"/>
  <c r="X25" i="72"/>
  <c r="X37" i="72"/>
  <c r="X28" i="67"/>
  <c r="V43" i="71"/>
  <c r="AD8" i="66"/>
  <c r="W9" i="43" s="1"/>
  <c r="W44" i="75"/>
  <c r="W44" i="76"/>
  <c r="W60" i="76"/>
  <c r="W60" i="74"/>
  <c r="AD516" i="66"/>
  <c r="W14" i="76"/>
  <c r="AD572" i="66"/>
  <c r="X17" i="68"/>
  <c r="X29" i="68"/>
  <c r="X12" i="70"/>
  <c r="W8" i="74"/>
  <c r="W45" i="75"/>
  <c r="W45" i="76"/>
  <c r="W61" i="76"/>
  <c r="W36" i="77"/>
  <c r="W61" i="77"/>
  <c r="X8" i="70"/>
  <c r="P415" i="81"/>
  <c r="I416" i="81" s="1"/>
  <c r="X14" i="77"/>
  <c r="V35" i="70"/>
  <c r="U64" i="74"/>
  <c r="O499" i="61"/>
  <c r="AD487" i="66"/>
  <c r="W56" i="76"/>
  <c r="X33" i="72"/>
  <c r="X42" i="75"/>
  <c r="AD338" i="66"/>
  <c r="W29" i="75"/>
  <c r="X14" i="68"/>
  <c r="M350" i="81"/>
  <c r="M720" i="81" s="1"/>
  <c r="P310" i="81"/>
  <c r="X38" i="77"/>
  <c r="X19" i="67"/>
  <c r="V44" i="68"/>
  <c r="V30" i="70"/>
  <c r="U59" i="74"/>
  <c r="U65" i="74"/>
  <c r="W57" i="76"/>
  <c r="X25" i="68"/>
  <c r="X11" i="75"/>
  <c r="P536" i="81"/>
  <c r="K537" i="81" s="1"/>
  <c r="X43" i="75"/>
  <c r="Z63" i="79"/>
  <c r="AV22" i="79"/>
  <c r="V24" i="43" s="1"/>
  <c r="W25" i="75"/>
  <c r="AD515" i="66"/>
  <c r="W50" i="75"/>
  <c r="W52" i="76"/>
  <c r="W32" i="77"/>
  <c r="W57" i="77"/>
  <c r="X13" i="72"/>
  <c r="N552" i="79"/>
  <c r="AV506" i="79"/>
  <c r="X10" i="77"/>
  <c r="X34" i="77"/>
  <c r="X24" i="67"/>
  <c r="X29" i="67"/>
  <c r="AV18" i="79"/>
  <c r="V20" i="43" s="1"/>
  <c r="AV94" i="79"/>
  <c r="AV152" i="79"/>
  <c r="V36" i="69" s="1"/>
  <c r="V37" i="70"/>
  <c r="AE368" i="79"/>
  <c r="V21" i="72"/>
  <c r="W61" i="74"/>
  <c r="G291" i="81"/>
  <c r="G720" i="81" s="1"/>
  <c r="O536" i="81"/>
  <c r="V11" i="68"/>
  <c r="AV197" i="79"/>
  <c r="S243" i="79"/>
  <c r="V9" i="71"/>
  <c r="AV284" i="79"/>
  <c r="H303" i="79"/>
  <c r="V58" i="71"/>
  <c r="V11" i="72"/>
  <c r="V15" i="73"/>
  <c r="V19" i="74"/>
  <c r="V19" i="77"/>
  <c r="AD55" i="67"/>
  <c r="X30" i="77"/>
  <c r="X20" i="67"/>
  <c r="X25" i="67"/>
  <c r="K118" i="79"/>
  <c r="AV82" i="79"/>
  <c r="D181" i="79"/>
  <c r="AV162" i="79"/>
  <c r="V46" i="69" s="1"/>
  <c r="AI303" i="79"/>
  <c r="AT368" i="79"/>
  <c r="V9" i="77"/>
  <c r="AD9" i="77" s="1"/>
  <c r="W62" i="74"/>
  <c r="P36" i="81"/>
  <c r="R118" i="79"/>
  <c r="V43" i="72"/>
  <c r="V48" i="72"/>
  <c r="V29" i="74"/>
  <c r="V38" i="76"/>
  <c r="V56" i="77"/>
  <c r="O350" i="81"/>
  <c r="X26" i="77"/>
  <c r="X16" i="67"/>
  <c r="X21" i="67"/>
  <c r="AD21" i="67" s="1"/>
  <c r="X40" i="67"/>
  <c r="AD40" i="67" s="1"/>
  <c r="V18" i="68"/>
  <c r="AV92" i="79"/>
  <c r="AV134" i="79"/>
  <c r="V18" i="69" s="1"/>
  <c r="V243" i="79"/>
  <c r="V33" i="70"/>
  <c r="AV279" i="79"/>
  <c r="U368" i="79"/>
  <c r="O429" i="79"/>
  <c r="O736" i="79" s="1"/>
  <c r="S489" i="79"/>
  <c r="AV524" i="79"/>
  <c r="I552" i="79"/>
  <c r="I736" i="79" s="1"/>
  <c r="AV587" i="79"/>
  <c r="K612" i="79"/>
  <c r="AD46" i="77"/>
  <c r="W26" i="76"/>
  <c r="W63" i="74"/>
  <c r="AC63" i="79"/>
  <c r="AE118" i="79"/>
  <c r="AE181" i="79"/>
  <c r="AV130" i="79"/>
  <c r="V14" i="69" s="1"/>
  <c r="P181" i="79"/>
  <c r="P736" i="79" s="1"/>
  <c r="AV149" i="79"/>
  <c r="V33" i="69" s="1"/>
  <c r="Z243" i="79"/>
  <c r="V10" i="73"/>
  <c r="V22" i="74"/>
  <c r="V552" i="79"/>
  <c r="AV564" i="79"/>
  <c r="AV581" i="79"/>
  <c r="V13" i="67"/>
  <c r="AD561" i="66"/>
  <c r="X22" i="77"/>
  <c r="X12" i="67"/>
  <c r="X17" i="67"/>
  <c r="AD17" i="67" s="1"/>
  <c r="X36" i="67"/>
  <c r="AD36" i="67" s="1"/>
  <c r="D118" i="79"/>
  <c r="AV159" i="79"/>
  <c r="V43" i="69" s="1"/>
  <c r="AV194" i="79"/>
  <c r="V12" i="71"/>
  <c r="V52" i="71"/>
  <c r="E368" i="79"/>
  <c r="E736" i="79" s="1"/>
  <c r="AV346" i="79"/>
  <c r="F429" i="79"/>
  <c r="V18" i="75"/>
  <c r="P169" i="81"/>
  <c r="H170" i="81" s="1"/>
  <c r="U118" i="79"/>
  <c r="AV67" i="79"/>
  <c r="S368" i="79"/>
  <c r="AV456" i="79"/>
  <c r="V32" i="74" s="1"/>
  <c r="V58" i="76"/>
  <c r="X18" i="77"/>
  <c r="P657" i="81"/>
  <c r="O658" i="81" s="1"/>
  <c r="X8" i="67"/>
  <c r="X13" i="67"/>
  <c r="X32" i="67"/>
  <c r="AV225" i="79"/>
  <c r="V25" i="71"/>
  <c r="AV320" i="79"/>
  <c r="R429" i="79"/>
  <c r="V62" i="74"/>
  <c r="V13" i="75"/>
  <c r="V26" i="75"/>
  <c r="V33" i="75"/>
  <c r="V37" i="77"/>
  <c r="AD37" i="77" s="1"/>
  <c r="L71" i="76"/>
  <c r="F16" i="17" s="1"/>
  <c r="Q103" i="43"/>
  <c r="I103" i="43"/>
  <c r="P717" i="81"/>
  <c r="AV37" i="79"/>
  <c r="V39" i="43" s="1"/>
  <c r="S118" i="79"/>
  <c r="V14" i="68"/>
  <c r="AV84" i="79"/>
  <c r="AV109" i="79"/>
  <c r="AV260" i="79"/>
  <c r="R368" i="79"/>
  <c r="J368" i="79"/>
  <c r="AC489" i="79"/>
  <c r="V27" i="77"/>
  <c r="AD27" i="77" s="1"/>
  <c r="U429" i="79"/>
  <c r="V63" i="74"/>
  <c r="V39" i="75"/>
  <c r="V44" i="75"/>
  <c r="V25" i="67"/>
  <c r="I87" i="43"/>
  <c r="Q87" i="43"/>
  <c r="H79" i="43"/>
  <c r="AV526" i="79"/>
  <c r="J612" i="79"/>
  <c r="O7" i="80"/>
  <c r="I71" i="76"/>
  <c r="L1" i="80" s="1"/>
  <c r="Q86" i="68"/>
  <c r="I86" i="68"/>
  <c r="S303" i="79"/>
  <c r="B368" i="79"/>
  <c r="AV391" i="79"/>
  <c r="V27" i="73" s="1"/>
  <c r="V64" i="74"/>
  <c r="V52" i="76"/>
  <c r="V21" i="77"/>
  <c r="V39" i="77"/>
  <c r="AD37" i="67"/>
  <c r="L72" i="43"/>
  <c r="V29" i="76"/>
  <c r="E65" i="43"/>
  <c r="E72" i="43" s="1"/>
  <c r="AV433" i="79"/>
  <c r="V59" i="74"/>
  <c r="V65" i="74"/>
  <c r="S552" i="79"/>
  <c r="V49" i="67"/>
  <c r="AD49" i="67" s="1"/>
  <c r="L128" i="76"/>
  <c r="I69" i="69"/>
  <c r="Q69" i="69" s="1"/>
  <c r="D66" i="69"/>
  <c r="AV501" i="79"/>
  <c r="V24" i="76"/>
  <c r="V19" i="67"/>
  <c r="AE71" i="76"/>
  <c r="D65" i="43"/>
  <c r="I93" i="43"/>
  <c r="Q93" i="43"/>
  <c r="AV315" i="79"/>
  <c r="V60" i="74"/>
  <c r="V66" i="74"/>
  <c r="AV496" i="79"/>
  <c r="AV522" i="79"/>
  <c r="V48" i="75"/>
  <c r="V31" i="76"/>
  <c r="V15" i="77"/>
  <c r="V33" i="77"/>
  <c r="AD33" i="77" s="1"/>
  <c r="V52" i="77"/>
  <c r="AB71" i="76"/>
  <c r="V16" i="17" s="1"/>
  <c r="V31" i="67"/>
  <c r="Z71" i="76"/>
  <c r="T16" i="17" s="1"/>
  <c r="P85" i="43"/>
  <c r="H85" i="43"/>
  <c r="I116" i="68"/>
  <c r="Q116" i="68"/>
  <c r="V61" i="74"/>
  <c r="V11" i="75"/>
  <c r="S612" i="79"/>
  <c r="AV556" i="79"/>
  <c r="V37" i="76"/>
  <c r="AD37" i="76" s="1"/>
  <c r="Z61" i="43"/>
  <c r="C65" i="43"/>
  <c r="C72" i="43" s="1"/>
  <c r="Q90" i="43"/>
  <c r="I90" i="43"/>
  <c r="H60" i="68"/>
  <c r="V42" i="75"/>
  <c r="V9" i="76"/>
  <c r="AD48" i="67"/>
  <c r="AD54" i="67"/>
  <c r="I81" i="43"/>
  <c r="Q81" i="43"/>
  <c r="Q84" i="43"/>
  <c r="I84" i="43"/>
  <c r="H87" i="43"/>
  <c r="P87" i="43"/>
  <c r="P90" i="43"/>
  <c r="H90" i="43"/>
  <c r="H93" i="43"/>
  <c r="P93" i="43"/>
  <c r="H70" i="43"/>
  <c r="I72" i="43"/>
  <c r="Q76" i="43"/>
  <c r="Q100" i="43"/>
  <c r="AE60" i="68"/>
  <c r="P86" i="68"/>
  <c r="H86" i="68"/>
  <c r="H90" i="68"/>
  <c r="P90" i="68"/>
  <c r="I111" i="68"/>
  <c r="Q111" i="68"/>
  <c r="P74" i="68"/>
  <c r="K71" i="76"/>
  <c r="E16" i="17" s="1"/>
  <c r="J61" i="43"/>
  <c r="I69" i="43"/>
  <c r="P73" i="43"/>
  <c r="P74" i="43"/>
  <c r="Q75" i="43"/>
  <c r="P88" i="43"/>
  <c r="Q94" i="43"/>
  <c r="Q91" i="68"/>
  <c r="AD44" i="67"/>
  <c r="AD50" i="67"/>
  <c r="AD56" i="67"/>
  <c r="H101" i="43"/>
  <c r="P101" i="43"/>
  <c r="P104" i="43"/>
  <c r="H104" i="43"/>
  <c r="P71" i="43"/>
  <c r="Q73" i="43"/>
  <c r="Q74" i="43"/>
  <c r="P99" i="43"/>
  <c r="E64" i="68"/>
  <c r="E71" i="68" s="1"/>
  <c r="AD41" i="68"/>
  <c r="Q106" i="68"/>
  <c r="I106" i="68"/>
  <c r="I109" i="68"/>
  <c r="Q109" i="68"/>
  <c r="I63" i="68"/>
  <c r="L99" i="68"/>
  <c r="AV673" i="79"/>
  <c r="T674" i="79" s="1"/>
  <c r="M71" i="76"/>
  <c r="G16" i="17" s="1"/>
  <c r="P98" i="43"/>
  <c r="H98" i="43"/>
  <c r="I101" i="43"/>
  <c r="Q101" i="43"/>
  <c r="P105" i="43"/>
  <c r="H105" i="43"/>
  <c r="L61" i="43"/>
  <c r="Q71" i="43"/>
  <c r="P72" i="43"/>
  <c r="P77" i="43"/>
  <c r="Q79" i="43"/>
  <c r="H91" i="43"/>
  <c r="P103" i="43"/>
  <c r="H103" i="68"/>
  <c r="P103" i="68"/>
  <c r="C64" i="68"/>
  <c r="AD45" i="67"/>
  <c r="AD51" i="67"/>
  <c r="Q98" i="43"/>
  <c r="I98" i="43"/>
  <c r="Q105" i="43"/>
  <c r="I105" i="43"/>
  <c r="H76" i="43"/>
  <c r="L113" i="43"/>
  <c r="D64" i="68"/>
  <c r="H84" i="68"/>
  <c r="P84" i="68"/>
  <c r="H97" i="68"/>
  <c r="P97" i="68"/>
  <c r="P100" i="68"/>
  <c r="H100" i="68"/>
  <c r="I103" i="68"/>
  <c r="Q103" i="68"/>
  <c r="I68" i="68"/>
  <c r="I78" i="68"/>
  <c r="V59" i="76"/>
  <c r="Q95" i="43"/>
  <c r="I95" i="43"/>
  <c r="N61" i="43"/>
  <c r="Q83" i="43"/>
  <c r="L89" i="43"/>
  <c r="P95" i="43"/>
  <c r="H100" i="43"/>
  <c r="H102" i="43"/>
  <c r="Q94" i="68"/>
  <c r="I94" i="68"/>
  <c r="I97" i="68"/>
  <c r="Q97" i="68"/>
  <c r="Q100" i="68"/>
  <c r="I100" i="68"/>
  <c r="H105" i="68"/>
  <c r="P105" i="68"/>
  <c r="H108" i="68"/>
  <c r="P108" i="68"/>
  <c r="I82" i="68"/>
  <c r="T111" i="68"/>
  <c r="AC612" i="79"/>
  <c r="AD46" i="67"/>
  <c r="AD52" i="67"/>
  <c r="H80" i="43"/>
  <c r="P80" i="43"/>
  <c r="P83" i="43"/>
  <c r="H83" i="43"/>
  <c r="H86" i="43"/>
  <c r="P86" i="43"/>
  <c r="P89" i="43"/>
  <c r="H89" i="43"/>
  <c r="I64" i="43"/>
  <c r="H78" i="43"/>
  <c r="I80" i="43"/>
  <c r="Q85" i="43"/>
  <c r="Q89" i="43"/>
  <c r="R612" i="79"/>
  <c r="H92" i="43"/>
  <c r="P92" i="43"/>
  <c r="Q99" i="43"/>
  <c r="I99" i="43"/>
  <c r="I102" i="43"/>
  <c r="Q102" i="43"/>
  <c r="Q69" i="43"/>
  <c r="I82" i="43"/>
  <c r="Q91" i="43"/>
  <c r="I96" i="43"/>
  <c r="Q71" i="68"/>
  <c r="I71" i="68"/>
  <c r="H96" i="68"/>
  <c r="P96" i="68"/>
  <c r="P99" i="68"/>
  <c r="H99" i="68"/>
  <c r="L76" i="68"/>
  <c r="AD47" i="67"/>
  <c r="AD53" i="67"/>
  <c r="O6" i="80"/>
  <c r="AB60" i="68"/>
  <c r="P70" i="68"/>
  <c r="H70" i="68"/>
  <c r="P114" i="68"/>
  <c r="H114" i="68"/>
  <c r="P78" i="68"/>
  <c r="I65" i="69"/>
  <c r="Q78" i="43"/>
  <c r="I78" i="43"/>
  <c r="P84" i="43"/>
  <c r="H84" i="43"/>
  <c r="H96" i="43"/>
  <c r="P96" i="43"/>
  <c r="I86" i="43"/>
  <c r="I88" i="43"/>
  <c r="I92" i="43"/>
  <c r="L104" i="43"/>
  <c r="Q93" i="68"/>
  <c r="I93" i="68"/>
  <c r="P111" i="68"/>
  <c r="H111" i="68"/>
  <c r="Q68" i="68"/>
  <c r="C66" i="69"/>
  <c r="Z54" i="70"/>
  <c r="P97" i="70"/>
  <c r="L54" i="70"/>
  <c r="H72" i="68"/>
  <c r="H73" i="68"/>
  <c r="I74" i="68"/>
  <c r="P77" i="68"/>
  <c r="H80" i="68"/>
  <c r="I81" i="68"/>
  <c r="H87" i="68"/>
  <c r="I101" i="68"/>
  <c r="P104" i="68"/>
  <c r="I107" i="68"/>
  <c r="Q110" i="68"/>
  <c r="H113" i="68"/>
  <c r="P116" i="68"/>
  <c r="N91" i="69"/>
  <c r="AE54" i="70"/>
  <c r="P82" i="70"/>
  <c r="I70" i="68"/>
  <c r="H71" i="68"/>
  <c r="I72" i="68"/>
  <c r="I73" i="68"/>
  <c r="Q77" i="68"/>
  <c r="I80" i="68"/>
  <c r="P83" i="68"/>
  <c r="Q84" i="68"/>
  <c r="I87" i="68"/>
  <c r="Q90" i="68"/>
  <c r="H93" i="68"/>
  <c r="Q104" i="68"/>
  <c r="H106" i="68"/>
  <c r="I113" i="68"/>
  <c r="AB62" i="69"/>
  <c r="E58" i="70"/>
  <c r="H54" i="70"/>
  <c r="P73" i="70"/>
  <c r="I60" i="68"/>
  <c r="D4" i="80" s="1"/>
  <c r="H69" i="68"/>
  <c r="P76" i="68"/>
  <c r="H79" i="68"/>
  <c r="Q83" i="68"/>
  <c r="P89" i="68"/>
  <c r="P109" i="68"/>
  <c r="H112" i="68"/>
  <c r="P115" i="68"/>
  <c r="N107" i="69"/>
  <c r="I69" i="68"/>
  <c r="P75" i="68"/>
  <c r="Q76" i="68"/>
  <c r="I79" i="68"/>
  <c r="P82" i="68"/>
  <c r="Q89" i="68"/>
  <c r="H92" i="68"/>
  <c r="P95" i="68"/>
  <c r="Q96" i="68"/>
  <c r="P102" i="68"/>
  <c r="I112" i="68"/>
  <c r="Q115" i="68"/>
  <c r="H117" i="68"/>
  <c r="I62" i="69"/>
  <c r="D58" i="70"/>
  <c r="K62" i="70"/>
  <c r="S62" i="70" s="1"/>
  <c r="J54" i="70"/>
  <c r="I117" i="68"/>
  <c r="N96" i="69"/>
  <c r="P71" i="70"/>
  <c r="P76" i="70"/>
  <c r="M60" i="68"/>
  <c r="N71" i="69"/>
  <c r="L62" i="69"/>
  <c r="I54" i="70"/>
  <c r="F4" i="80" s="1"/>
  <c r="AD27" i="71"/>
  <c r="M62" i="69"/>
  <c r="K62" i="69"/>
  <c r="L71" i="69"/>
  <c r="N105" i="69"/>
  <c r="P85" i="70"/>
  <c r="M54" i="70"/>
  <c r="P68" i="70"/>
  <c r="P69" i="70"/>
  <c r="P99" i="70"/>
  <c r="AB54" i="70"/>
  <c r="P64" i="70"/>
  <c r="E67" i="71"/>
  <c r="T113" i="71"/>
  <c r="T116" i="71"/>
  <c r="I71" i="74"/>
  <c r="K54" i="70"/>
  <c r="D67" i="71"/>
  <c r="H91" i="71"/>
  <c r="I76" i="71"/>
  <c r="Q76" i="71"/>
  <c r="P95" i="71"/>
  <c r="H95" i="71"/>
  <c r="Q103" i="71"/>
  <c r="I103" i="71"/>
  <c r="N73" i="72"/>
  <c r="I81" i="71"/>
  <c r="Q81" i="71"/>
  <c r="AD30" i="71"/>
  <c r="H111" i="71"/>
  <c r="P111" i="71"/>
  <c r="AB63" i="71"/>
  <c r="N57" i="72"/>
  <c r="N91" i="70"/>
  <c r="N95" i="70"/>
  <c r="I73" i="71"/>
  <c r="Q73" i="71"/>
  <c r="K63" i="71"/>
  <c r="P90" i="71"/>
  <c r="H90" i="71"/>
  <c r="H98" i="71"/>
  <c r="L106" i="71"/>
  <c r="I111" i="71"/>
  <c r="AB57" i="72"/>
  <c r="Q90" i="71"/>
  <c r="I90" i="71"/>
  <c r="AE57" i="72"/>
  <c r="N93" i="72"/>
  <c r="Q92" i="73"/>
  <c r="I92" i="73"/>
  <c r="AE63" i="71"/>
  <c r="L71" i="72"/>
  <c r="I57" i="70"/>
  <c r="J63" i="71"/>
  <c r="P87" i="71"/>
  <c r="N90" i="72"/>
  <c r="C58" i="70"/>
  <c r="H107" i="71"/>
  <c r="P107" i="71"/>
  <c r="J57" i="72"/>
  <c r="I72" i="71"/>
  <c r="Q72" i="71"/>
  <c r="I86" i="71"/>
  <c r="L119" i="71"/>
  <c r="L122" i="71"/>
  <c r="I57" i="72"/>
  <c r="N95" i="72"/>
  <c r="P98" i="70"/>
  <c r="I94" i="71"/>
  <c r="Q94" i="71"/>
  <c r="I112" i="71"/>
  <c r="Q112" i="71"/>
  <c r="H78" i="71"/>
  <c r="I79" i="71"/>
  <c r="Q82" i="71"/>
  <c r="H84" i="71"/>
  <c r="Q88" i="71"/>
  <c r="I91" i="71"/>
  <c r="P93" i="71"/>
  <c r="I97" i="71"/>
  <c r="P100" i="71"/>
  <c r="Q101" i="71"/>
  <c r="H104" i="71"/>
  <c r="I110" i="71"/>
  <c r="Q113" i="71"/>
  <c r="I119" i="71"/>
  <c r="K68" i="74"/>
  <c r="H75" i="71"/>
  <c r="P76" i="71"/>
  <c r="H83" i="71"/>
  <c r="Q87" i="71"/>
  <c r="P92" i="71"/>
  <c r="I96" i="71"/>
  <c r="P99" i="71"/>
  <c r="P106" i="71"/>
  <c r="H109" i="71"/>
  <c r="I117" i="71"/>
  <c r="Q123" i="71"/>
  <c r="P71" i="71"/>
  <c r="H74" i="71"/>
  <c r="I75" i="71"/>
  <c r="P80" i="71"/>
  <c r="I83" i="71"/>
  <c r="P86" i="71"/>
  <c r="H89" i="71"/>
  <c r="Q92" i="71"/>
  <c r="Q99" i="71"/>
  <c r="H102" i="71"/>
  <c r="Q106" i="71"/>
  <c r="I109" i="71"/>
  <c r="I116" i="71"/>
  <c r="Q122" i="71"/>
  <c r="N77" i="72"/>
  <c r="Q71" i="71"/>
  <c r="I60" i="72"/>
  <c r="N87" i="72"/>
  <c r="Z61" i="73"/>
  <c r="I61" i="73"/>
  <c r="I4" i="80" s="1"/>
  <c r="H77" i="71"/>
  <c r="C61" i="72"/>
  <c r="AB61" i="73"/>
  <c r="I77" i="71"/>
  <c r="H57" i="72"/>
  <c r="P103" i="72"/>
  <c r="N61" i="73"/>
  <c r="N77" i="74"/>
  <c r="H68" i="74"/>
  <c r="L96" i="74"/>
  <c r="I64" i="73"/>
  <c r="Z68" i="74"/>
  <c r="J68" i="74"/>
  <c r="N75" i="74"/>
  <c r="N108" i="74"/>
  <c r="C65" i="73"/>
  <c r="H61" i="73"/>
  <c r="P124" i="77"/>
  <c r="H124" i="77"/>
  <c r="N69" i="75"/>
  <c r="AB55" i="75"/>
  <c r="P103" i="74"/>
  <c r="H103" i="74"/>
  <c r="J55" i="75"/>
  <c r="K61" i="73"/>
  <c r="I68" i="74"/>
  <c r="C72" i="74"/>
  <c r="N80" i="74"/>
  <c r="N64" i="75"/>
  <c r="L107" i="75"/>
  <c r="L87" i="77"/>
  <c r="AE70" i="77"/>
  <c r="L132" i="77"/>
  <c r="T116" i="74"/>
  <c r="L119" i="74"/>
  <c r="L77" i="75"/>
  <c r="AE55" i="75"/>
  <c r="L75" i="75"/>
  <c r="L83" i="75"/>
  <c r="L126" i="77"/>
  <c r="I107" i="75"/>
  <c r="Q107" i="75"/>
  <c r="L105" i="75"/>
  <c r="P78" i="77"/>
  <c r="H78" i="77"/>
  <c r="AA55" i="75"/>
  <c r="I124" i="77"/>
  <c r="Q124" i="77"/>
  <c r="C59" i="75"/>
  <c r="L109" i="77"/>
  <c r="I131" i="77"/>
  <c r="Q106" i="75"/>
  <c r="H55" i="75"/>
  <c r="I82" i="75"/>
  <c r="L131" i="77"/>
  <c r="Q73" i="75"/>
  <c r="L118" i="77"/>
  <c r="H125" i="77"/>
  <c r="Q67" i="75"/>
  <c r="L101" i="77"/>
  <c r="L125" i="77"/>
  <c r="I126" i="77"/>
  <c r="I132" i="77"/>
  <c r="I130" i="77"/>
  <c r="Q113" i="76"/>
  <c r="I93" i="76"/>
  <c r="P72" i="72"/>
  <c r="H86" i="72"/>
  <c r="I96" i="74"/>
  <c r="H65" i="75"/>
  <c r="Q111" i="74"/>
  <c r="I98" i="72"/>
  <c r="I88" i="73"/>
  <c r="Q79" i="75"/>
  <c r="P105" i="72"/>
  <c r="P83" i="75"/>
  <c r="H104" i="72"/>
  <c r="H70" i="75"/>
  <c r="H100" i="76"/>
  <c r="H82" i="74"/>
  <c r="P70" i="73"/>
  <c r="H84" i="74"/>
  <c r="I90" i="75"/>
  <c r="H80" i="73"/>
  <c r="H86" i="74"/>
  <c r="H92" i="75"/>
  <c r="V47" i="76"/>
  <c r="V46" i="76"/>
  <c r="O46" i="76"/>
  <c r="I67" i="72"/>
  <c r="H74" i="72"/>
  <c r="Q82" i="72"/>
  <c r="I89" i="72"/>
  <c r="I104" i="72"/>
  <c r="I82" i="74"/>
  <c r="Q71" i="75"/>
  <c r="P73" i="75"/>
  <c r="Q75" i="75"/>
  <c r="P100" i="75"/>
  <c r="H88" i="76"/>
  <c r="Q105" i="76"/>
  <c r="I109" i="76"/>
  <c r="I117" i="76"/>
  <c r="P88" i="74"/>
  <c r="H68" i="75"/>
  <c r="P97" i="75"/>
  <c r="I88" i="76"/>
  <c r="Q92" i="72"/>
  <c r="I80" i="73"/>
  <c r="H85" i="73"/>
  <c r="P100" i="73"/>
  <c r="P80" i="74"/>
  <c r="H102" i="74"/>
  <c r="Q106" i="74"/>
  <c r="I65" i="75"/>
  <c r="H82" i="75"/>
  <c r="I92" i="75"/>
  <c r="Q97" i="75"/>
  <c r="I92" i="76"/>
  <c r="P93" i="76"/>
  <c r="P107" i="76"/>
  <c r="H111" i="76"/>
  <c r="P84" i="72"/>
  <c r="P83" i="76"/>
  <c r="Q107" i="76"/>
  <c r="I111" i="76"/>
  <c r="Q115" i="76"/>
  <c r="Q84" i="72"/>
  <c r="P96" i="72"/>
  <c r="Q70" i="73"/>
  <c r="H75" i="73"/>
  <c r="Q90" i="73"/>
  <c r="P93" i="73"/>
  <c r="P96" i="74"/>
  <c r="P108" i="74"/>
  <c r="H80" i="76"/>
  <c r="Q83" i="76"/>
  <c r="Q99" i="76"/>
  <c r="H103" i="76"/>
  <c r="Q96" i="72"/>
  <c r="Q99" i="72"/>
  <c r="I75" i="73"/>
  <c r="H78" i="74"/>
  <c r="Q108" i="74"/>
  <c r="H66" i="67"/>
  <c r="I80" i="76"/>
  <c r="P109" i="76"/>
  <c r="H113" i="76"/>
  <c r="Q91" i="72"/>
  <c r="P72" i="73"/>
  <c r="H79" i="73"/>
  <c r="I84" i="73"/>
  <c r="Q97" i="73"/>
  <c r="I78" i="74"/>
  <c r="Q87" i="74"/>
  <c r="H101" i="74"/>
  <c r="H64" i="75"/>
  <c r="H84" i="75"/>
  <c r="I66" i="67"/>
  <c r="P85" i="76"/>
  <c r="Q86" i="72"/>
  <c r="H90" i="72"/>
  <c r="Q72" i="73"/>
  <c r="P98" i="74"/>
  <c r="I101" i="74"/>
  <c r="P87" i="75"/>
  <c r="Q89" i="75"/>
  <c r="Q85" i="76"/>
  <c r="P88" i="72"/>
  <c r="P98" i="72"/>
  <c r="H102" i="72"/>
  <c r="P92" i="73"/>
  <c r="Q91" i="74"/>
  <c r="H106" i="74"/>
  <c r="H77" i="72"/>
  <c r="Q88" i="72"/>
  <c r="H92" i="72"/>
  <c r="I86" i="73"/>
  <c r="I100" i="73"/>
  <c r="H77" i="74"/>
  <c r="P104" i="74"/>
  <c r="P67" i="75"/>
  <c r="I77" i="72"/>
  <c r="H94" i="72"/>
  <c r="H73" i="73"/>
  <c r="H90" i="75"/>
  <c r="I73" i="73"/>
  <c r="P74" i="73"/>
  <c r="Q91" i="75"/>
  <c r="P45" i="76"/>
  <c r="O45" i="76"/>
  <c r="Q45" i="76"/>
  <c r="I97" i="76"/>
  <c r="P71" i="72"/>
  <c r="Q78" i="72"/>
  <c r="H90" i="73"/>
  <c r="Q94" i="73"/>
  <c r="P76" i="72"/>
  <c r="P99" i="73"/>
  <c r="H76" i="74"/>
  <c r="H83" i="74"/>
  <c r="H90" i="76"/>
  <c r="Q76" i="72"/>
  <c r="Q99" i="73"/>
  <c r="I76" i="74"/>
  <c r="Q85" i="74"/>
  <c r="Q95" i="74"/>
  <c r="P110" i="74"/>
  <c r="I70" i="75"/>
  <c r="Q83" i="75"/>
  <c r="H102" i="75"/>
  <c r="P87" i="76"/>
  <c r="I90" i="76"/>
  <c r="I95" i="76"/>
  <c r="H105" i="76"/>
  <c r="H67" i="72"/>
  <c r="H82" i="72"/>
  <c r="H101" i="72"/>
  <c r="H95" i="73"/>
  <c r="Q110" i="74"/>
  <c r="H76" i="75"/>
  <c r="P78" i="75"/>
  <c r="P99" i="75"/>
  <c r="I102" i="75"/>
  <c r="I106" i="72"/>
  <c r="P95" i="76"/>
  <c r="Q103" i="72"/>
  <c r="H83" i="73"/>
  <c r="H98" i="73"/>
  <c r="H91" i="74"/>
  <c r="I109" i="74"/>
  <c r="H98" i="75"/>
  <c r="P102" i="75"/>
  <c r="I98" i="76"/>
  <c r="Q101" i="72"/>
  <c r="Q95" i="73"/>
  <c r="I98" i="73"/>
  <c r="I84" i="74"/>
  <c r="H94" i="74"/>
  <c r="I98" i="75"/>
  <c r="Q102" i="75"/>
  <c r="H86" i="76"/>
  <c r="I91" i="76"/>
  <c r="I97" i="72"/>
  <c r="H86" i="73"/>
  <c r="I94" i="74"/>
  <c r="I102" i="74"/>
  <c r="H66" i="75"/>
  <c r="P97" i="76"/>
  <c r="Q82" i="73"/>
  <c r="Q90" i="74"/>
  <c r="Q72" i="72"/>
  <c r="H96" i="76"/>
  <c r="I101" i="76"/>
  <c r="P106" i="72"/>
  <c r="I71" i="73"/>
  <c r="I81" i="73"/>
  <c r="H96" i="73"/>
  <c r="I77" i="74"/>
  <c r="I100" i="74"/>
  <c r="E59" i="75"/>
  <c r="I96" i="76"/>
  <c r="Q108" i="76"/>
  <c r="H78" i="72"/>
  <c r="I83" i="72"/>
  <c r="I90" i="72"/>
  <c r="I102" i="72"/>
  <c r="I79" i="73"/>
  <c r="H89" i="73"/>
  <c r="H94" i="73"/>
  <c r="I64" i="75"/>
  <c r="P71" i="75"/>
  <c r="Q87" i="75"/>
  <c r="H96" i="75"/>
  <c r="P82" i="73"/>
  <c r="H95" i="72"/>
  <c r="H71" i="73"/>
  <c r="H81" i="73"/>
  <c r="H105" i="74"/>
  <c r="Q81" i="76"/>
  <c r="P91" i="76"/>
  <c r="I71" i="72"/>
  <c r="Q85" i="72"/>
  <c r="P97" i="72"/>
  <c r="D65" i="73"/>
  <c r="E65" i="73"/>
  <c r="I105" i="74"/>
  <c r="Q77" i="75"/>
  <c r="P90" i="74"/>
  <c r="Q78" i="75"/>
  <c r="I94" i="76"/>
  <c r="Q89" i="74"/>
  <c r="I72" i="75"/>
  <c r="H88" i="75"/>
  <c r="E61" i="72"/>
  <c r="H100" i="74"/>
  <c r="I66" i="75"/>
  <c r="P101" i="76"/>
  <c r="P68" i="72"/>
  <c r="P80" i="75"/>
  <c r="P85" i="75"/>
  <c r="I78" i="77"/>
  <c r="P81" i="76"/>
  <c r="H75" i="74"/>
  <c r="H82" i="76"/>
  <c r="Q68" i="72"/>
  <c r="Q69" i="75"/>
  <c r="Q85" i="75"/>
  <c r="P93" i="75"/>
  <c r="Q66" i="67"/>
  <c r="I86" i="76"/>
  <c r="P77" i="75"/>
  <c r="P89" i="76"/>
  <c r="H92" i="76"/>
  <c r="H112" i="76"/>
  <c r="P75" i="75"/>
  <c r="Q93" i="75"/>
  <c r="Q101" i="75"/>
  <c r="K49" i="41"/>
  <c r="K43" i="41"/>
  <c r="K44" i="41"/>
  <c r="E12" i="55"/>
  <c r="I69" i="72"/>
  <c r="I93" i="74"/>
  <c r="Q93" i="74"/>
  <c r="I98" i="74"/>
  <c r="Q68" i="75"/>
  <c r="I68" i="75"/>
  <c r="Q94" i="75"/>
  <c r="I94" i="75"/>
  <c r="H102" i="76"/>
  <c r="P87" i="72"/>
  <c r="H87" i="72"/>
  <c r="D61" i="72"/>
  <c r="P114" i="76"/>
  <c r="H114" i="76"/>
  <c r="I87" i="72"/>
  <c r="Q87" i="72"/>
  <c r="P81" i="74"/>
  <c r="H81" i="74"/>
  <c r="I114" i="76"/>
  <c r="Q114" i="76"/>
  <c r="Q75" i="72"/>
  <c r="I75" i="72"/>
  <c r="P93" i="72"/>
  <c r="H93" i="72"/>
  <c r="P81" i="72"/>
  <c r="H81" i="72"/>
  <c r="Q93" i="72"/>
  <c r="I93" i="72"/>
  <c r="H98" i="76"/>
  <c r="I100" i="72"/>
  <c r="Q74" i="72"/>
  <c r="I74" i="72"/>
  <c r="H107" i="72"/>
  <c r="P108" i="72"/>
  <c r="P69" i="73"/>
  <c r="H69" i="73"/>
  <c r="Q85" i="73"/>
  <c r="I85" i="73"/>
  <c r="I93" i="73"/>
  <c r="Q93" i="73"/>
  <c r="H88" i="73"/>
  <c r="I80" i="74"/>
  <c r="P91" i="75"/>
  <c r="I103" i="76"/>
  <c r="H75" i="72"/>
  <c r="P63" i="75"/>
  <c r="I84" i="75"/>
  <c r="P70" i="72"/>
  <c r="P107" i="72"/>
  <c r="P78" i="73"/>
  <c r="H92" i="74"/>
  <c r="P89" i="75"/>
  <c r="D64" i="67"/>
  <c r="H100" i="72"/>
  <c r="P79" i="74"/>
  <c r="H79" i="74"/>
  <c r="I97" i="74"/>
  <c r="Q97" i="74"/>
  <c r="I107" i="72"/>
  <c r="Q108" i="72"/>
  <c r="Q69" i="73"/>
  <c r="I69" i="73"/>
  <c r="Q78" i="73"/>
  <c r="I78" i="73"/>
  <c r="H97" i="73"/>
  <c r="P97" i="73"/>
  <c r="Q70" i="72"/>
  <c r="I94" i="72"/>
  <c r="Q107" i="72"/>
  <c r="P84" i="73"/>
  <c r="H84" i="73"/>
  <c r="I92" i="74"/>
  <c r="H94" i="76"/>
  <c r="H80" i="72"/>
  <c r="Q76" i="75"/>
  <c r="I76" i="75"/>
  <c r="H101" i="75"/>
  <c r="P101" i="75"/>
  <c r="I80" i="72"/>
  <c r="D59" i="75"/>
  <c r="Q63" i="75"/>
  <c r="I63" i="75"/>
  <c r="P86" i="75"/>
  <c r="H86" i="75"/>
  <c r="I100" i="76"/>
  <c r="Q100" i="76"/>
  <c r="P110" i="76"/>
  <c r="H110" i="76"/>
  <c r="P79" i="76"/>
  <c r="H73" i="72"/>
  <c r="Q105" i="72"/>
  <c r="Q83" i="73"/>
  <c r="I83" i="73"/>
  <c r="Q86" i="75"/>
  <c r="I86" i="75"/>
  <c r="Q96" i="75"/>
  <c r="I96" i="75"/>
  <c r="P84" i="76"/>
  <c r="H84" i="76"/>
  <c r="Q110" i="76"/>
  <c r="I110" i="76"/>
  <c r="Q79" i="76"/>
  <c r="Q89" i="76"/>
  <c r="P66" i="72"/>
  <c r="P91" i="73"/>
  <c r="H91" i="73"/>
  <c r="P76" i="73"/>
  <c r="E72" i="74"/>
  <c r="P74" i="75"/>
  <c r="H74" i="75"/>
  <c r="I80" i="75"/>
  <c r="I116" i="76"/>
  <c r="Q116" i="76"/>
  <c r="Q66" i="72"/>
  <c r="I88" i="74"/>
  <c r="I100" i="75"/>
  <c r="P104" i="76"/>
  <c r="H104" i="76"/>
  <c r="H77" i="73"/>
  <c r="I96" i="73"/>
  <c r="Q75" i="74"/>
  <c r="I75" i="74"/>
  <c r="D72" i="74"/>
  <c r="Q99" i="74"/>
  <c r="I99" i="74"/>
  <c r="P95" i="75"/>
  <c r="P65" i="72"/>
  <c r="H65" i="72"/>
  <c r="I81" i="72"/>
  <c r="Q81" i="72"/>
  <c r="P97" i="74"/>
  <c r="H97" i="74"/>
  <c r="I103" i="74"/>
  <c r="Q103" i="74"/>
  <c r="Q104" i="76"/>
  <c r="I104" i="76"/>
  <c r="P99" i="76"/>
  <c r="H69" i="72"/>
  <c r="I77" i="73"/>
  <c r="H93" i="74"/>
  <c r="P93" i="74"/>
  <c r="Q104" i="74"/>
  <c r="I104" i="74"/>
  <c r="P94" i="75"/>
  <c r="H94" i="75"/>
  <c r="P69" i="75"/>
  <c r="Q95" i="75"/>
  <c r="Q91" i="73"/>
  <c r="Q79" i="74"/>
  <c r="Q81" i="74"/>
  <c r="P87" i="74"/>
  <c r="P111" i="74"/>
  <c r="P79" i="75"/>
  <c r="P81" i="75"/>
  <c r="P99" i="72"/>
  <c r="I76" i="73"/>
  <c r="Q83" i="74"/>
  <c r="P89" i="74"/>
  <c r="Q81" i="75"/>
  <c r="I82" i="76"/>
  <c r="I65" i="72"/>
  <c r="H72" i="75"/>
  <c r="I74" i="75"/>
  <c r="I88" i="75"/>
  <c r="I73" i="72"/>
  <c r="H87" i="73"/>
  <c r="H107" i="74"/>
  <c r="I106" i="76"/>
  <c r="H108" i="76"/>
  <c r="I112" i="76"/>
  <c r="I79" i="72"/>
  <c r="H83" i="72"/>
  <c r="H85" i="72"/>
  <c r="H89" i="72"/>
  <c r="H91" i="72"/>
  <c r="I95" i="72"/>
  <c r="I87" i="73"/>
  <c r="I89" i="73"/>
  <c r="H85" i="74"/>
  <c r="H95" i="74"/>
  <c r="H99" i="74"/>
  <c r="I107" i="74"/>
  <c r="H109" i="74"/>
  <c r="H79" i="72"/>
  <c r="H106" i="76"/>
  <c r="Q102" i="76"/>
  <c r="K4" i="80" l="1"/>
  <c r="J5" i="80"/>
  <c r="K5" i="80"/>
  <c r="T15" i="17"/>
  <c r="T8" i="74"/>
  <c r="AN475" i="60"/>
  <c r="AO475" i="60" s="1"/>
  <c r="J4" i="80"/>
  <c r="AD36" i="74"/>
  <c r="AD32" i="74"/>
  <c r="AD45" i="74"/>
  <c r="I5" i="80"/>
  <c r="V14" i="17"/>
  <c r="AD59" i="73"/>
  <c r="AD55" i="73"/>
  <c r="AD38" i="73"/>
  <c r="F13" i="17"/>
  <c r="X61" i="73"/>
  <c r="R13" i="17" s="1"/>
  <c r="BH433" i="56"/>
  <c r="D13" i="17"/>
  <c r="H4" i="80"/>
  <c r="V4" i="80" s="1"/>
  <c r="B11" i="17"/>
  <c r="G5" i="80"/>
  <c r="H5" i="80"/>
  <c r="V5" i="80" s="1"/>
  <c r="T12" i="17"/>
  <c r="X63" i="71"/>
  <c r="R11" i="17" s="1"/>
  <c r="AD9" i="72"/>
  <c r="AD10" i="72"/>
  <c r="U739" i="58"/>
  <c r="AO260" i="60"/>
  <c r="T18" i="72"/>
  <c r="AO263" i="60"/>
  <c r="T21" i="72"/>
  <c r="AD21" i="72" s="1"/>
  <c r="F5" i="80"/>
  <c r="E5" i="80"/>
  <c r="T11" i="17"/>
  <c r="K36" i="41"/>
  <c r="K52" i="41"/>
  <c r="AD59" i="69"/>
  <c r="E4" i="80"/>
  <c r="AD20" i="69"/>
  <c r="T9" i="17"/>
  <c r="B9" i="17"/>
  <c r="AD55" i="72"/>
  <c r="C723" i="61"/>
  <c r="AH744" i="56"/>
  <c r="O542" i="61"/>
  <c r="P488" i="61" s="1"/>
  <c r="T8" i="17"/>
  <c r="D5" i="80"/>
  <c r="AD61" i="76"/>
  <c r="BB744" i="56"/>
  <c r="O602" i="61"/>
  <c r="P548" i="61" s="1"/>
  <c r="S43" i="43"/>
  <c r="AD43" i="43" s="1"/>
  <c r="V7" i="17"/>
  <c r="C5" i="80"/>
  <c r="B736" i="79"/>
  <c r="AT736" i="79"/>
  <c r="AH736" i="79"/>
  <c r="AC723" i="57"/>
  <c r="AD9" i="43"/>
  <c r="N736" i="79"/>
  <c r="F736" i="79"/>
  <c r="H736" i="79"/>
  <c r="P596" i="81"/>
  <c r="M728" i="66"/>
  <c r="AD21" i="71"/>
  <c r="AD19" i="43"/>
  <c r="AO267" i="60"/>
  <c r="AO273" i="60"/>
  <c r="S646" i="62"/>
  <c r="O646" i="62"/>
  <c r="T646" i="62"/>
  <c r="U646" i="62"/>
  <c r="N646" i="62"/>
  <c r="Q646" i="62"/>
  <c r="P646" i="62"/>
  <c r="W646" i="62"/>
  <c r="R646" i="62"/>
  <c r="S55" i="75"/>
  <c r="I477" i="62"/>
  <c r="R58" i="67"/>
  <c r="L18" i="17" s="1"/>
  <c r="L723" i="57"/>
  <c r="AD723" i="57"/>
  <c r="AD52" i="72"/>
  <c r="O70" i="77"/>
  <c r="I17" i="17" s="1"/>
  <c r="AD9" i="76"/>
  <c r="L744" i="56"/>
  <c r="J744" i="56"/>
  <c r="AJ744" i="56"/>
  <c r="K41" i="41"/>
  <c r="M736" i="79"/>
  <c r="AD38" i="67"/>
  <c r="P733" i="65"/>
  <c r="V723" i="57"/>
  <c r="O67" i="61"/>
  <c r="P5" i="61" s="1"/>
  <c r="AD23" i="71"/>
  <c r="Y728" i="66"/>
  <c r="O425" i="61"/>
  <c r="C4" i="80"/>
  <c r="AD65" i="66"/>
  <c r="P66" i="66" s="1"/>
  <c r="J736" i="79"/>
  <c r="AO276" i="60"/>
  <c r="AF736" i="79"/>
  <c r="AC728" i="66"/>
  <c r="K720" i="81"/>
  <c r="AG744" i="56"/>
  <c r="AI736" i="79"/>
  <c r="M739" i="58"/>
  <c r="B744" i="56"/>
  <c r="K42" i="41"/>
  <c r="K736" i="79"/>
  <c r="AC736" i="79"/>
  <c r="V736" i="79"/>
  <c r="AE736" i="79"/>
  <c r="AK62" i="57"/>
  <c r="AL20" i="57" s="1"/>
  <c r="S736" i="79"/>
  <c r="AD736" i="79"/>
  <c r="R736" i="79"/>
  <c r="Y733" i="65"/>
  <c r="B728" i="66"/>
  <c r="O720" i="81"/>
  <c r="AD534" i="66"/>
  <c r="P535" i="66" s="1"/>
  <c r="Z736" i="79"/>
  <c r="AD596" i="66"/>
  <c r="X597" i="66" s="1"/>
  <c r="AD423" i="66"/>
  <c r="Z424" i="66" s="1"/>
  <c r="AD8" i="77"/>
  <c r="O303" i="61"/>
  <c r="P294" i="61" s="1"/>
  <c r="U736" i="79"/>
  <c r="W736" i="79"/>
  <c r="O366" i="61"/>
  <c r="P322" i="61" s="1"/>
  <c r="D736" i="79"/>
  <c r="W8" i="70"/>
  <c r="AD242" i="66"/>
  <c r="E243" i="66" s="1"/>
  <c r="H656" i="66"/>
  <c r="X656" i="66"/>
  <c r="U656" i="66"/>
  <c r="I656" i="66"/>
  <c r="V656" i="66"/>
  <c r="Z656" i="66"/>
  <c r="F656" i="66"/>
  <c r="G656" i="66"/>
  <c r="W656" i="66"/>
  <c r="AA656" i="66"/>
  <c r="C656" i="66"/>
  <c r="N656" i="66"/>
  <c r="P656" i="66"/>
  <c r="S656" i="66"/>
  <c r="R656" i="66"/>
  <c r="O656" i="66"/>
  <c r="Y656" i="66"/>
  <c r="Q656" i="66"/>
  <c r="M656" i="66"/>
  <c r="AB656" i="66"/>
  <c r="T656" i="66"/>
  <c r="D656" i="66"/>
  <c r="K656" i="66"/>
  <c r="J656" i="66"/>
  <c r="L656" i="66"/>
  <c r="E656" i="66"/>
  <c r="O183" i="61"/>
  <c r="B184" i="61" s="1"/>
  <c r="AK121" i="57"/>
  <c r="N728" i="66"/>
  <c r="W728" i="66"/>
  <c r="AD479" i="66"/>
  <c r="D480" i="66" s="1"/>
  <c r="AK369" i="57"/>
  <c r="E728" i="66"/>
  <c r="AK306" i="57"/>
  <c r="AL273" i="57" s="1"/>
  <c r="AK245" i="57"/>
  <c r="B246" i="57" s="1"/>
  <c r="AD302" i="66"/>
  <c r="AD120" i="66"/>
  <c r="U8" i="71"/>
  <c r="O483" i="61"/>
  <c r="P459" i="61" s="1"/>
  <c r="AK607" i="57"/>
  <c r="S608" i="57" s="1"/>
  <c r="AK183" i="57"/>
  <c r="AD182" i="66"/>
  <c r="AE322" i="66" s="1"/>
  <c r="AD365" i="66"/>
  <c r="K39" i="41"/>
  <c r="AK488" i="57"/>
  <c r="F489" i="57" s="1"/>
  <c r="X733" i="65"/>
  <c r="J728" i="66"/>
  <c r="D728" i="66"/>
  <c r="O243" i="61"/>
  <c r="B244" i="61" s="1"/>
  <c r="AH739" i="58"/>
  <c r="O121" i="61"/>
  <c r="I122" i="61" s="1"/>
  <c r="AK428" i="57"/>
  <c r="AL387" i="57" s="1"/>
  <c r="AK549" i="57"/>
  <c r="F550" i="57" s="1"/>
  <c r="AA739" i="58"/>
  <c r="B723" i="61"/>
  <c r="AD32" i="67"/>
  <c r="I744" i="56"/>
  <c r="AD25" i="67"/>
  <c r="AS744" i="56"/>
  <c r="AU744" i="56"/>
  <c r="AT744" i="56"/>
  <c r="AD43" i="68"/>
  <c r="P744" i="56"/>
  <c r="B733" i="65"/>
  <c r="AK744" i="56"/>
  <c r="BF744" i="56"/>
  <c r="AV744" i="56"/>
  <c r="T723" i="57"/>
  <c r="K739" i="58"/>
  <c r="H744" i="56"/>
  <c r="BE744" i="56"/>
  <c r="B695" i="60"/>
  <c r="C739" i="58"/>
  <c r="T733" i="65"/>
  <c r="G744" i="56"/>
  <c r="D723" i="61"/>
  <c r="AD45" i="70"/>
  <c r="AD18" i="76"/>
  <c r="AG368" i="65"/>
  <c r="AH323" i="65" s="1"/>
  <c r="AI67" i="58"/>
  <c r="AJ32" i="58" s="1"/>
  <c r="BH66" i="56"/>
  <c r="AU67" i="56" s="1"/>
  <c r="AG489" i="65"/>
  <c r="P490" i="65" s="1"/>
  <c r="AI121" i="58"/>
  <c r="AG243" i="65"/>
  <c r="AH187" i="65" s="1"/>
  <c r="BH123" i="56"/>
  <c r="BI87" i="56" s="1"/>
  <c r="N739" i="58"/>
  <c r="AA723" i="57"/>
  <c r="BH617" i="56"/>
  <c r="BB618" i="56" s="1"/>
  <c r="V742" i="56"/>
  <c r="AQ742" i="56"/>
  <c r="AP742" i="56"/>
  <c r="AR742" i="56"/>
  <c r="D742" i="56"/>
  <c r="AT742" i="56"/>
  <c r="AS742" i="56"/>
  <c r="F742" i="56"/>
  <c r="AU742" i="56"/>
  <c r="AV742" i="56"/>
  <c r="AX742" i="56"/>
  <c r="C742" i="56"/>
  <c r="Y742" i="56"/>
  <c r="E742" i="56"/>
  <c r="W742" i="56"/>
  <c r="X742" i="56"/>
  <c r="J742" i="56"/>
  <c r="T742" i="56"/>
  <c r="AH742" i="56"/>
  <c r="AF742" i="56"/>
  <c r="Z742" i="56"/>
  <c r="AO742" i="56"/>
  <c r="BB742" i="56"/>
  <c r="N742" i="56"/>
  <c r="H742" i="56"/>
  <c r="AM742" i="56"/>
  <c r="AJ742" i="56"/>
  <c r="L742" i="56"/>
  <c r="BG742" i="56"/>
  <c r="AY742" i="56"/>
  <c r="O742" i="56"/>
  <c r="BD742" i="56"/>
  <c r="AG742" i="56"/>
  <c r="G742" i="56"/>
  <c r="AD742" i="56"/>
  <c r="AN742" i="56"/>
  <c r="S742" i="56"/>
  <c r="BA742" i="56"/>
  <c r="AE742" i="56"/>
  <c r="AA742" i="56"/>
  <c r="M742" i="56"/>
  <c r="Q742" i="56"/>
  <c r="AW742" i="56"/>
  <c r="I742" i="56"/>
  <c r="AZ742" i="56"/>
  <c r="AB742" i="56"/>
  <c r="BC742" i="56"/>
  <c r="BF742" i="56"/>
  <c r="K742" i="56"/>
  <c r="R742" i="56"/>
  <c r="BE742" i="56"/>
  <c r="AL742" i="56"/>
  <c r="AK742" i="56"/>
  <c r="U742" i="56"/>
  <c r="AC742" i="56"/>
  <c r="AI742" i="56"/>
  <c r="P742" i="56"/>
  <c r="AI553" i="58"/>
  <c r="W554" i="58" s="1"/>
  <c r="Y723" i="57"/>
  <c r="AD33" i="69"/>
  <c r="AI305" i="58"/>
  <c r="S306" i="58" s="1"/>
  <c r="AD739" i="58"/>
  <c r="G723" i="57"/>
  <c r="AG182" i="65"/>
  <c r="N183" i="65" s="1"/>
  <c r="AG550" i="65"/>
  <c r="C551" i="65" s="1"/>
  <c r="I739" i="58"/>
  <c r="O8" i="76"/>
  <c r="O71" i="76" s="1"/>
  <c r="I16" i="17" s="1"/>
  <c r="AG607" i="65"/>
  <c r="N608" i="65" s="1"/>
  <c r="Q8" i="70"/>
  <c r="AI245" i="58"/>
  <c r="H246" i="58" s="1"/>
  <c r="K709" i="62"/>
  <c r="AI370" i="58"/>
  <c r="U371" i="58" s="1"/>
  <c r="P695" i="60"/>
  <c r="AE695" i="60"/>
  <c r="O8" i="71"/>
  <c r="O739" i="58"/>
  <c r="Q8" i="73"/>
  <c r="AI430" i="58"/>
  <c r="U431" i="58" s="1"/>
  <c r="AI613" i="58"/>
  <c r="D614" i="58" s="1"/>
  <c r="O723" i="57"/>
  <c r="I695" i="60"/>
  <c r="T70" i="77"/>
  <c r="C723" i="57"/>
  <c r="P723" i="57"/>
  <c r="AI184" i="58"/>
  <c r="AJ388" i="58" s="1"/>
  <c r="AG428" i="65"/>
  <c r="AN584" i="60"/>
  <c r="AD28" i="67"/>
  <c r="K40" i="41"/>
  <c r="E695" i="60"/>
  <c r="B723" i="57"/>
  <c r="Y739" i="58"/>
  <c r="AD53" i="68"/>
  <c r="K733" i="65"/>
  <c r="AG123" i="65"/>
  <c r="K124" i="65" s="1"/>
  <c r="AI491" i="58"/>
  <c r="C492" i="58" s="1"/>
  <c r="AG68" i="65"/>
  <c r="M69" i="65" s="1"/>
  <c r="F723" i="57"/>
  <c r="S733" i="65"/>
  <c r="AL695" i="60"/>
  <c r="AN301" i="60"/>
  <c r="AO245" i="60" s="1"/>
  <c r="AA695" i="60"/>
  <c r="R695" i="60"/>
  <c r="AD29" i="67"/>
  <c r="AD31" i="67"/>
  <c r="AD27" i="67"/>
  <c r="R8" i="75"/>
  <c r="AD8" i="75" s="1"/>
  <c r="R8" i="68"/>
  <c r="AD695" i="60"/>
  <c r="B709" i="62"/>
  <c r="AO262" i="60"/>
  <c r="F695" i="60"/>
  <c r="Z695" i="60"/>
  <c r="Z526" i="62"/>
  <c r="D695" i="60"/>
  <c r="Z585" i="62"/>
  <c r="Z184" i="62"/>
  <c r="Z68" i="62"/>
  <c r="AA47" i="62" s="1"/>
  <c r="AM695" i="60"/>
  <c r="AN524" i="60"/>
  <c r="AO502" i="60" s="1"/>
  <c r="AO449" i="60"/>
  <c r="C695" i="60"/>
  <c r="N709" i="62"/>
  <c r="Z361" i="62"/>
  <c r="I709" i="62"/>
  <c r="AD38" i="70"/>
  <c r="T8" i="70"/>
  <c r="AN241" i="60"/>
  <c r="C242" i="60" s="1"/>
  <c r="Z304" i="62"/>
  <c r="P291" i="81"/>
  <c r="Q268" i="81" s="1"/>
  <c r="Z123" i="62"/>
  <c r="Z244" i="62"/>
  <c r="B245" i="62" s="1"/>
  <c r="T58" i="67"/>
  <c r="N18" i="17" s="1"/>
  <c r="AD19" i="67"/>
  <c r="AD22" i="76"/>
  <c r="AN121" i="60"/>
  <c r="AI692" i="60"/>
  <c r="AJ692" i="60"/>
  <c r="AK692" i="60"/>
  <c r="AL692" i="60"/>
  <c r="B692" i="60"/>
  <c r="AN182" i="60"/>
  <c r="E183" i="60" s="1"/>
  <c r="AN67" i="60"/>
  <c r="Y675" i="58"/>
  <c r="AF675" i="58"/>
  <c r="AE675" i="58"/>
  <c r="AD675" i="58"/>
  <c r="AC675" i="58"/>
  <c r="AD29" i="71"/>
  <c r="AD20" i="67"/>
  <c r="AD17" i="43"/>
  <c r="P52" i="81"/>
  <c r="Q45" i="81" s="1"/>
  <c r="AO255" i="60"/>
  <c r="K32" i="41"/>
  <c r="K33" i="41"/>
  <c r="P350" i="81"/>
  <c r="AD26" i="76"/>
  <c r="K34" i="41"/>
  <c r="AD10" i="69"/>
  <c r="AD20" i="70"/>
  <c r="P474" i="81"/>
  <c r="N475" i="81" s="1"/>
  <c r="AO272" i="60"/>
  <c r="AD48" i="68"/>
  <c r="AD21" i="77"/>
  <c r="K38" i="41"/>
  <c r="AI680" i="56"/>
  <c r="AF680" i="56"/>
  <c r="AD26" i="69"/>
  <c r="AD49" i="70"/>
  <c r="W680" i="56"/>
  <c r="AX680" i="56"/>
  <c r="AS680" i="56"/>
  <c r="AJ680" i="56"/>
  <c r="X680" i="56"/>
  <c r="BG680" i="56"/>
  <c r="AU680" i="56"/>
  <c r="K680" i="56"/>
  <c r="BE680" i="56"/>
  <c r="L680" i="56"/>
  <c r="BB680" i="56"/>
  <c r="BC680" i="56"/>
  <c r="AD680" i="56"/>
  <c r="R680" i="56"/>
  <c r="F680" i="56"/>
  <c r="AG680" i="56"/>
  <c r="AE680" i="56"/>
  <c r="BF680" i="56"/>
  <c r="AL680" i="56"/>
  <c r="Z680" i="56"/>
  <c r="N680" i="56"/>
  <c r="AC680" i="56"/>
  <c r="AW680" i="56"/>
  <c r="D680" i="56"/>
  <c r="AP680" i="56"/>
  <c r="C680" i="56"/>
  <c r="AV680" i="56"/>
  <c r="AO680" i="56"/>
  <c r="AT680" i="56"/>
  <c r="AN680" i="56"/>
  <c r="M680" i="56"/>
  <c r="U680" i="56"/>
  <c r="B680" i="56"/>
  <c r="H680" i="56"/>
  <c r="AQ680" i="56"/>
  <c r="AD22" i="71"/>
  <c r="I680" i="56"/>
  <c r="G680" i="56"/>
  <c r="AD36" i="73"/>
  <c r="AD20" i="76"/>
  <c r="AD34" i="72"/>
  <c r="AD21" i="75"/>
  <c r="P107" i="81"/>
  <c r="Q56" i="81" s="1"/>
  <c r="AD45" i="75"/>
  <c r="AD13" i="76"/>
  <c r="AD46" i="73"/>
  <c r="AD19" i="68"/>
  <c r="AD49" i="71"/>
  <c r="AD42" i="73"/>
  <c r="AD11" i="69"/>
  <c r="AD43" i="70"/>
  <c r="AD44" i="73"/>
  <c r="AD48" i="72"/>
  <c r="AD30" i="75"/>
  <c r="P680" i="56"/>
  <c r="T680" i="56"/>
  <c r="AD41" i="43"/>
  <c r="AD44" i="75"/>
  <c r="BD680" i="56"/>
  <c r="AD11" i="43"/>
  <c r="AD33" i="73"/>
  <c r="AO282" i="60"/>
  <c r="Y680" i="56"/>
  <c r="Q123" i="81"/>
  <c r="P695" i="61"/>
  <c r="AD24" i="70"/>
  <c r="P691" i="61"/>
  <c r="AD35" i="72"/>
  <c r="P708" i="61"/>
  <c r="T71" i="76"/>
  <c r="N16" i="17" s="1"/>
  <c r="AD16" i="75"/>
  <c r="AD26" i="72"/>
  <c r="AD35" i="74"/>
  <c r="AD58" i="71"/>
  <c r="P626" i="61"/>
  <c r="Q15" i="73"/>
  <c r="P636" i="61"/>
  <c r="AD35" i="73"/>
  <c r="AD9" i="73"/>
  <c r="AD43" i="69"/>
  <c r="AD27" i="75"/>
  <c r="H416" i="81"/>
  <c r="AD47" i="72"/>
  <c r="AD48" i="73"/>
  <c r="AD26" i="74"/>
  <c r="P653" i="61"/>
  <c r="P699" i="61"/>
  <c r="P672" i="61"/>
  <c r="AD18" i="71"/>
  <c r="AD16" i="68"/>
  <c r="Q120" i="81"/>
  <c r="AD43" i="72"/>
  <c r="AD13" i="70"/>
  <c r="AD42" i="76"/>
  <c r="P648" i="61"/>
  <c r="AD47" i="69"/>
  <c r="Q154" i="81"/>
  <c r="AD26" i="70"/>
  <c r="AD44" i="76"/>
  <c r="AD33" i="75"/>
  <c r="K416" i="81"/>
  <c r="P687" i="61"/>
  <c r="B721" i="61"/>
  <c r="AD16" i="71"/>
  <c r="AA680" i="56"/>
  <c r="Q680" i="56"/>
  <c r="AR680" i="56"/>
  <c r="P675" i="61"/>
  <c r="P711" i="61"/>
  <c r="AY680" i="56"/>
  <c r="O680" i="56"/>
  <c r="AK680" i="56"/>
  <c r="J680" i="56"/>
  <c r="M669" i="65"/>
  <c r="AD25" i="72"/>
  <c r="AD14" i="75"/>
  <c r="P715" i="61"/>
  <c r="AD13" i="72"/>
  <c r="J74" i="77"/>
  <c r="AV303" i="79"/>
  <c r="AW263" i="79" s="1"/>
  <c r="M416" i="81"/>
  <c r="AD36" i="71"/>
  <c r="L720" i="57"/>
  <c r="AD23" i="70"/>
  <c r="AD28" i="73"/>
  <c r="AM680" i="56"/>
  <c r="V680" i="56"/>
  <c r="AD10" i="43"/>
  <c r="AD14" i="73"/>
  <c r="AD33" i="71"/>
  <c r="AD39" i="72"/>
  <c r="P657" i="61"/>
  <c r="AD37" i="72"/>
  <c r="AD55" i="68"/>
  <c r="AD49" i="69"/>
  <c r="AD34" i="68"/>
  <c r="S680" i="56"/>
  <c r="AH680" i="56"/>
  <c r="AB680" i="56"/>
  <c r="AD13" i="69"/>
  <c r="E666" i="57"/>
  <c r="AD47" i="73"/>
  <c r="AD34" i="76"/>
  <c r="AD22" i="74"/>
  <c r="AD16" i="69"/>
  <c r="AD42" i="75"/>
  <c r="AK674" i="79"/>
  <c r="AD22" i="43"/>
  <c r="AD29" i="74"/>
  <c r="AD38" i="71"/>
  <c r="AV368" i="79"/>
  <c r="O537" i="81"/>
  <c r="AD36" i="68"/>
  <c r="AD22" i="69"/>
  <c r="Q131" i="81"/>
  <c r="AD44" i="68"/>
  <c r="AJ720" i="57"/>
  <c r="AD35" i="43"/>
  <c r="AD20" i="68"/>
  <c r="AD34" i="74"/>
  <c r="AD60" i="71"/>
  <c r="E736" i="58"/>
  <c r="AZ680" i="56"/>
  <c r="BA680" i="56"/>
  <c r="AD26" i="43"/>
  <c r="AD30" i="69"/>
  <c r="AD26" i="75"/>
  <c r="AC669" i="65"/>
  <c r="AD15" i="43"/>
  <c r="AD42" i="72"/>
  <c r="AD37" i="68"/>
  <c r="AD27" i="72"/>
  <c r="AD20" i="74"/>
  <c r="AD28" i="75"/>
  <c r="M674" i="79"/>
  <c r="AD14" i="68"/>
  <c r="P640" i="61"/>
  <c r="D537" i="81"/>
  <c r="P654" i="61"/>
  <c r="AD17" i="74"/>
  <c r="AD42" i="43"/>
  <c r="I720" i="57"/>
  <c r="AD42" i="71"/>
  <c r="AD19" i="71"/>
  <c r="V58" i="67"/>
  <c r="P18" i="17" s="1"/>
  <c r="AD32" i="76"/>
  <c r="P628" i="61"/>
  <c r="P622" i="61"/>
  <c r="AD17" i="69"/>
  <c r="J736" i="58"/>
  <c r="AD24" i="77"/>
  <c r="AD21" i="76"/>
  <c r="K35" i="41"/>
  <c r="W674" i="79"/>
  <c r="AR674" i="79"/>
  <c r="AD28" i="43"/>
  <c r="P624" i="61"/>
  <c r="P618" i="61"/>
  <c r="AD11" i="74"/>
  <c r="G674" i="79"/>
  <c r="AM674" i="79"/>
  <c r="P612" i="61"/>
  <c r="P655" i="61"/>
  <c r="P610" i="61"/>
  <c r="AD22" i="73"/>
  <c r="AD18" i="43"/>
  <c r="AA736" i="58"/>
  <c r="AD55" i="76"/>
  <c r="AD20" i="77"/>
  <c r="AD30" i="72"/>
  <c r="AD41" i="71"/>
  <c r="Q124" i="81"/>
  <c r="AD40" i="73"/>
  <c r="P608" i="61"/>
  <c r="P639" i="61"/>
  <c r="AD47" i="68"/>
  <c r="Y736" i="58"/>
  <c r="X736" i="58"/>
  <c r="BH184" i="56"/>
  <c r="BI166" i="56" s="1"/>
  <c r="F111" i="18"/>
  <c r="P627" i="61"/>
  <c r="AD34" i="43"/>
  <c r="S736" i="58"/>
  <c r="Z736" i="58"/>
  <c r="F115" i="18"/>
  <c r="P623" i="61"/>
  <c r="J416" i="81"/>
  <c r="AD36" i="43"/>
  <c r="F736" i="58"/>
  <c r="AD52" i="68"/>
  <c r="K1" i="80"/>
  <c r="C15" i="17"/>
  <c r="E674" i="79"/>
  <c r="P619" i="61"/>
  <c r="F123" i="18"/>
  <c r="AD41" i="69"/>
  <c r="P656" i="61"/>
  <c r="X55" i="75"/>
  <c r="R15" i="17" s="1"/>
  <c r="P615" i="61"/>
  <c r="X60" i="68"/>
  <c r="R8" i="17" s="1"/>
  <c r="AN360" i="60"/>
  <c r="AO253" i="60"/>
  <c r="AD52" i="76"/>
  <c r="AD21" i="70"/>
  <c r="F117" i="18"/>
  <c r="P652" i="61"/>
  <c r="P607" i="61"/>
  <c r="AD17" i="73"/>
  <c r="AD26" i="68"/>
  <c r="AD57" i="69"/>
  <c r="AD736" i="58"/>
  <c r="AD38" i="68"/>
  <c r="AD44" i="69"/>
  <c r="S674" i="79"/>
  <c r="AD43" i="77"/>
  <c r="U58" i="67"/>
  <c r="O18" i="17" s="1"/>
  <c r="W19" i="73"/>
  <c r="AD19" i="73" s="1"/>
  <c r="T20" i="71"/>
  <c r="AO257" i="60"/>
  <c r="U62" i="69"/>
  <c r="O9" i="17" s="1"/>
  <c r="AV243" i="79"/>
  <c r="W244" i="79" s="1"/>
  <c r="X70" i="77"/>
  <c r="R17" i="17" s="1"/>
  <c r="P651" i="61"/>
  <c r="Q146" i="81"/>
  <c r="P679" i="61"/>
  <c r="Y674" i="79"/>
  <c r="AU674" i="79"/>
  <c r="AD31" i="69"/>
  <c r="Q139" i="81"/>
  <c r="P625" i="61"/>
  <c r="K661" i="61"/>
  <c r="B661" i="61"/>
  <c r="P634" i="61"/>
  <c r="P631" i="61"/>
  <c r="P616" i="61"/>
  <c r="P638" i="61"/>
  <c r="P635" i="61"/>
  <c r="P620" i="61"/>
  <c r="P658" i="61"/>
  <c r="P642" i="61"/>
  <c r="P617" i="61"/>
  <c r="P646" i="61"/>
  <c r="P643" i="61"/>
  <c r="P650" i="61"/>
  <c r="P647" i="61"/>
  <c r="P632" i="61"/>
  <c r="P633" i="61"/>
  <c r="P629" i="61"/>
  <c r="F661" i="61"/>
  <c r="C661" i="61"/>
  <c r="P641" i="61"/>
  <c r="P614" i="61"/>
  <c r="P611" i="61"/>
  <c r="P644" i="61"/>
  <c r="P613" i="61"/>
  <c r="O718" i="81"/>
  <c r="I718" i="81"/>
  <c r="Q159" i="81"/>
  <c r="J75" i="76"/>
  <c r="AD49" i="68"/>
  <c r="AD29" i="68"/>
  <c r="AV429" i="79"/>
  <c r="AG430" i="79" s="1"/>
  <c r="Q138" i="81"/>
  <c r="Q119" i="81"/>
  <c r="N170" i="81"/>
  <c r="Q162" i="81"/>
  <c r="L170" i="81"/>
  <c r="Q143" i="81"/>
  <c r="Q151" i="81"/>
  <c r="J170" i="81"/>
  <c r="Q135" i="81"/>
  <c r="Q116" i="81"/>
  <c r="Q115" i="81"/>
  <c r="AD28" i="77"/>
  <c r="AD12" i="76"/>
  <c r="AO674" i="79"/>
  <c r="AF674" i="79"/>
  <c r="K674" i="79"/>
  <c r="AD31" i="76"/>
  <c r="AV181" i="79"/>
  <c r="AD182" i="79" s="1"/>
  <c r="AQ674" i="79"/>
  <c r="J718" i="81"/>
  <c r="K170" i="81"/>
  <c r="F721" i="61"/>
  <c r="H721" i="61"/>
  <c r="P688" i="61"/>
  <c r="K721" i="61"/>
  <c r="P684" i="61"/>
  <c r="N721" i="61"/>
  <c r="P674" i="61"/>
  <c r="I721" i="61"/>
  <c r="J721" i="61"/>
  <c r="P716" i="61"/>
  <c r="P717" i="61"/>
  <c r="P690" i="61"/>
  <c r="P696" i="61"/>
  <c r="P667" i="61"/>
  <c r="P671" i="61"/>
  <c r="E721" i="61"/>
  <c r="P683" i="61"/>
  <c r="AD31" i="75"/>
  <c r="AD53" i="72"/>
  <c r="AD59" i="76"/>
  <c r="F119" i="18"/>
  <c r="R70" i="77"/>
  <c r="L17" i="17" s="1"/>
  <c r="AD47" i="70"/>
  <c r="AD49" i="77"/>
  <c r="AD50" i="72"/>
  <c r="AD37" i="75"/>
  <c r="AD39" i="68"/>
  <c r="AD40" i="74"/>
  <c r="W70" i="77"/>
  <c r="Q17" i="17" s="1"/>
  <c r="E416" i="81"/>
  <c r="AD39" i="73"/>
  <c r="X720" i="57"/>
  <c r="AD41" i="72"/>
  <c r="R736" i="58"/>
  <c r="AD39" i="70"/>
  <c r="F110" i="18"/>
  <c r="AD45" i="68"/>
  <c r="AO250" i="60"/>
  <c r="AD46" i="69"/>
  <c r="AD26" i="77"/>
  <c r="AD48" i="75"/>
  <c r="L736" i="58"/>
  <c r="AD54" i="72"/>
  <c r="K736" i="58"/>
  <c r="P736" i="58"/>
  <c r="O62" i="69"/>
  <c r="I9" i="17" s="1"/>
  <c r="F108" i="18"/>
  <c r="AD32" i="72"/>
  <c r="U70" i="77"/>
  <c r="O17" i="17" s="1"/>
  <c r="AD51" i="76"/>
  <c r="AD32" i="70"/>
  <c r="F109" i="18"/>
  <c r="F113" i="18"/>
  <c r="F114" i="18"/>
  <c r="F112" i="18"/>
  <c r="AD36" i="70"/>
  <c r="F118" i="18"/>
  <c r="F116" i="18"/>
  <c r="W63" i="71"/>
  <c r="Q11" i="17" s="1"/>
  <c r="AD16" i="70"/>
  <c r="AD34" i="71"/>
  <c r="AD43" i="74"/>
  <c r="F106" i="18"/>
  <c r="F120" i="18"/>
  <c r="AD49" i="72"/>
  <c r="AD52" i="77"/>
  <c r="AD23" i="74"/>
  <c r="BH372" i="56"/>
  <c r="AD43" i="75"/>
  <c r="AD56" i="71"/>
  <c r="F105" i="18"/>
  <c r="F122" i="18"/>
  <c r="AD31" i="72"/>
  <c r="AD58" i="76"/>
  <c r="AE736" i="58"/>
  <c r="AD27" i="69"/>
  <c r="BH557" i="56"/>
  <c r="AA558" i="56" s="1"/>
  <c r="P70" i="77"/>
  <c r="J17" i="17" s="1"/>
  <c r="B730" i="65"/>
  <c r="Y730" i="65"/>
  <c r="F107" i="18"/>
  <c r="AD40" i="69"/>
  <c r="AD46" i="76"/>
  <c r="X11" i="70"/>
  <c r="X54" i="70" s="1"/>
  <c r="P231" i="81"/>
  <c r="Q178" i="81" s="1"/>
  <c r="I1" i="80"/>
  <c r="C13" i="17"/>
  <c r="I75" i="76"/>
  <c r="I74" i="77"/>
  <c r="AV552" i="79"/>
  <c r="N553" i="79" s="1"/>
  <c r="B15" i="17"/>
  <c r="AC656" i="66"/>
  <c r="AV63" i="79"/>
  <c r="Z64" i="79" s="1"/>
  <c r="AD24" i="43"/>
  <c r="AD39" i="43"/>
  <c r="Z692" i="60"/>
  <c r="N692" i="60"/>
  <c r="AM692" i="60"/>
  <c r="Y692" i="60"/>
  <c r="M692" i="60"/>
  <c r="W692" i="60"/>
  <c r="K692" i="60"/>
  <c r="AH692" i="60"/>
  <c r="V692" i="60"/>
  <c r="J692" i="60"/>
  <c r="AF692" i="60"/>
  <c r="T692" i="60"/>
  <c r="H692" i="60"/>
  <c r="AE692" i="60"/>
  <c r="S692" i="60"/>
  <c r="G692" i="60"/>
  <c r="AA692" i="60"/>
  <c r="P692" i="60"/>
  <c r="O692" i="60"/>
  <c r="C692" i="60"/>
  <c r="D692" i="60"/>
  <c r="E692" i="60"/>
  <c r="AC692" i="60"/>
  <c r="AB692" i="60"/>
  <c r="R692" i="60"/>
  <c r="U692" i="60"/>
  <c r="AD692" i="60"/>
  <c r="X692" i="60"/>
  <c r="I692" i="60"/>
  <c r="L692" i="60"/>
  <c r="Q692" i="60"/>
  <c r="AG692" i="60"/>
  <c r="AO640" i="60"/>
  <c r="F692" i="60"/>
  <c r="V10" i="17"/>
  <c r="V8" i="76"/>
  <c r="AV612" i="79"/>
  <c r="H613" i="79" s="1"/>
  <c r="AD41" i="74"/>
  <c r="V36" i="75"/>
  <c r="AD36" i="75" s="1"/>
  <c r="T10" i="17"/>
  <c r="X62" i="69"/>
  <c r="M18" i="17"/>
  <c r="V8" i="74"/>
  <c r="AV489" i="79"/>
  <c r="AC490" i="79" s="1"/>
  <c r="X58" i="67"/>
  <c r="V33" i="76"/>
  <c r="AD33" i="76" s="1"/>
  <c r="Y724" i="66"/>
  <c r="T15" i="73"/>
  <c r="B12" i="17"/>
  <c r="D11" i="17"/>
  <c r="F9" i="17"/>
  <c r="B8" i="17"/>
  <c r="V46" i="70"/>
  <c r="X61" i="43"/>
  <c r="V35" i="68"/>
  <c r="AD35" i="68" s="1"/>
  <c r="I170" i="81"/>
  <c r="E537" i="81"/>
  <c r="Q122" i="81"/>
  <c r="V11" i="70"/>
  <c r="U10" i="68"/>
  <c r="U60" i="68" s="1"/>
  <c r="Q155" i="81"/>
  <c r="H646" i="62"/>
  <c r="E646" i="62"/>
  <c r="B646" i="62"/>
  <c r="F646" i="62"/>
  <c r="L646" i="62"/>
  <c r="M646" i="62"/>
  <c r="K646" i="62"/>
  <c r="D646" i="62"/>
  <c r="J646" i="62"/>
  <c r="U25" i="70"/>
  <c r="U54" i="70" s="1"/>
  <c r="E706" i="62"/>
  <c r="AD53" i="76"/>
  <c r="AD53" i="69"/>
  <c r="AD52" i="69"/>
  <c r="U720" i="57"/>
  <c r="R8" i="74"/>
  <c r="AD50" i="76"/>
  <c r="AD56" i="77"/>
  <c r="S70" i="77"/>
  <c r="AD38" i="74"/>
  <c r="AD48" i="76"/>
  <c r="AD12" i="67"/>
  <c r="AD16" i="67"/>
  <c r="Y646" i="62"/>
  <c r="AD30" i="77"/>
  <c r="AD57" i="73"/>
  <c r="AD29" i="76"/>
  <c r="AD32" i="77"/>
  <c r="AD35" i="70"/>
  <c r="O8" i="70"/>
  <c r="T9" i="68"/>
  <c r="R24" i="76"/>
  <c r="AD24" i="76" s="1"/>
  <c r="R9" i="70"/>
  <c r="AD9" i="70" s="1"/>
  <c r="AH675" i="58"/>
  <c r="N675" i="58"/>
  <c r="M675" i="58"/>
  <c r="AA675" i="58"/>
  <c r="I675" i="58"/>
  <c r="Z675" i="58"/>
  <c r="G675" i="58"/>
  <c r="V675" i="58"/>
  <c r="E675" i="58"/>
  <c r="R675" i="58"/>
  <c r="D675" i="58"/>
  <c r="C675" i="58"/>
  <c r="U675" i="58"/>
  <c r="T675" i="58"/>
  <c r="K675" i="58"/>
  <c r="F675" i="58"/>
  <c r="X675" i="58"/>
  <c r="S675" i="58"/>
  <c r="J675" i="58"/>
  <c r="B675" i="58"/>
  <c r="O675" i="58"/>
  <c r="AG675" i="58"/>
  <c r="W675" i="58"/>
  <c r="AB675" i="58"/>
  <c r="P675" i="58"/>
  <c r="L675" i="58"/>
  <c r="H675" i="58"/>
  <c r="AD49" i="76"/>
  <c r="AD51" i="77"/>
  <c r="Q33" i="70"/>
  <c r="AD33" i="70" s="1"/>
  <c r="T14" i="17"/>
  <c r="T13" i="17"/>
  <c r="H12" i="17"/>
  <c r="G8" i="17"/>
  <c r="AP674" i="79"/>
  <c r="AD674" i="79"/>
  <c r="R674" i="79"/>
  <c r="F674" i="79"/>
  <c r="AN674" i="79"/>
  <c r="AB674" i="79"/>
  <c r="P674" i="79"/>
  <c r="D674" i="79"/>
  <c r="AL674" i="79"/>
  <c r="Z674" i="79"/>
  <c r="N674" i="79"/>
  <c r="B674" i="79"/>
  <c r="AJ674" i="79"/>
  <c r="X674" i="79"/>
  <c r="L674" i="79"/>
  <c r="J674" i="79"/>
  <c r="I674" i="79"/>
  <c r="AT674" i="79"/>
  <c r="AS674" i="79"/>
  <c r="AH674" i="79"/>
  <c r="AG674" i="79"/>
  <c r="V674" i="79"/>
  <c r="U674" i="79"/>
  <c r="AI674" i="79"/>
  <c r="D72" i="43"/>
  <c r="D67" i="43"/>
  <c r="V15" i="75"/>
  <c r="AD15" i="75" s="1"/>
  <c r="W30" i="76"/>
  <c r="Q127" i="81"/>
  <c r="Q166" i="81"/>
  <c r="W39" i="75"/>
  <c r="X22" i="72"/>
  <c r="AD22" i="72" s="1"/>
  <c r="Q147" i="81"/>
  <c r="W38" i="72"/>
  <c r="AD38" i="72" s="1"/>
  <c r="AB724" i="66"/>
  <c r="W40" i="75"/>
  <c r="AA724" i="66"/>
  <c r="E718" i="81"/>
  <c r="B170" i="81"/>
  <c r="W15" i="70"/>
  <c r="P645" i="61"/>
  <c r="M721" i="61"/>
  <c r="P713" i="61"/>
  <c r="P709" i="61"/>
  <c r="P705" i="61"/>
  <c r="P701" i="61"/>
  <c r="P697" i="61"/>
  <c r="P693" i="61"/>
  <c r="P689" i="61"/>
  <c r="P685" i="61"/>
  <c r="P681" i="61"/>
  <c r="P677" i="61"/>
  <c r="P673" i="61"/>
  <c r="P669" i="61"/>
  <c r="P665" i="61"/>
  <c r="G721" i="61"/>
  <c r="P703" i="61"/>
  <c r="C721" i="61"/>
  <c r="P710" i="61"/>
  <c r="P694" i="61"/>
  <c r="P678" i="61"/>
  <c r="P714" i="61"/>
  <c r="P698" i="61"/>
  <c r="P682" i="61"/>
  <c r="D721" i="61"/>
  <c r="P680" i="61"/>
  <c r="P706" i="61"/>
  <c r="P692" i="61"/>
  <c r="AD43" i="71"/>
  <c r="P686" i="61"/>
  <c r="I646" i="62"/>
  <c r="R16" i="74"/>
  <c r="AD57" i="76"/>
  <c r="AD61" i="77"/>
  <c r="AD59" i="77"/>
  <c r="Q70" i="77"/>
  <c r="AD24" i="69"/>
  <c r="AD23" i="77"/>
  <c r="AD21" i="69"/>
  <c r="V10" i="75"/>
  <c r="AD10" i="75" s="1"/>
  <c r="R14" i="74"/>
  <c r="AD14" i="74" s="1"/>
  <c r="AD34" i="77"/>
  <c r="AD18" i="77"/>
  <c r="Q8" i="68"/>
  <c r="V11" i="17"/>
  <c r="E9" i="17"/>
  <c r="V20" i="71"/>
  <c r="I658" i="81"/>
  <c r="B658" i="81"/>
  <c r="N658" i="81"/>
  <c r="M658" i="81"/>
  <c r="L658" i="81"/>
  <c r="K658" i="81"/>
  <c r="J658" i="81"/>
  <c r="E658" i="81"/>
  <c r="C658" i="81"/>
  <c r="V16" i="76"/>
  <c r="AD16" i="76" s="1"/>
  <c r="V39" i="71"/>
  <c r="AD39" i="71" s="1"/>
  <c r="AA674" i="79"/>
  <c r="Q142" i="81"/>
  <c r="G658" i="81"/>
  <c r="D724" i="66"/>
  <c r="C537" i="81"/>
  <c r="C724" i="66"/>
  <c r="F718" i="81"/>
  <c r="Q150" i="81"/>
  <c r="M724" i="66"/>
  <c r="U10" i="76"/>
  <c r="U71" i="76" s="1"/>
  <c r="O16" i="17" s="1"/>
  <c r="W13" i="75"/>
  <c r="J661" i="61"/>
  <c r="P676" i="61"/>
  <c r="P649" i="61"/>
  <c r="P712" i="61"/>
  <c r="T13" i="73"/>
  <c r="AD13" i="73" s="1"/>
  <c r="AD42" i="74"/>
  <c r="AD36" i="77"/>
  <c r="AD17" i="75"/>
  <c r="AD15" i="77"/>
  <c r="AD36" i="69"/>
  <c r="AD35" i="76"/>
  <c r="AD56" i="72"/>
  <c r="AD45" i="77"/>
  <c r="AD21" i="73"/>
  <c r="V8" i="17"/>
  <c r="O724" i="66"/>
  <c r="R25" i="76"/>
  <c r="AD25" i="76" s="1"/>
  <c r="G9" i="17"/>
  <c r="D66" i="68"/>
  <c r="D71" i="68"/>
  <c r="D7" i="17"/>
  <c r="AC674" i="79"/>
  <c r="V50" i="68"/>
  <c r="AD50" i="68" s="1"/>
  <c r="D658" i="81"/>
  <c r="V39" i="76"/>
  <c r="AD39" i="76" s="1"/>
  <c r="O674" i="79"/>
  <c r="V18" i="70"/>
  <c r="AD18" i="70" s="1"/>
  <c r="H718" i="81"/>
  <c r="Q130" i="81"/>
  <c r="W11" i="75"/>
  <c r="AD11" i="75" s="1"/>
  <c r="Z724" i="66"/>
  <c r="W12" i="73"/>
  <c r="M537" i="81"/>
  <c r="P670" i="61"/>
  <c r="AD39" i="77"/>
  <c r="AD32" i="68"/>
  <c r="H666" i="57"/>
  <c r="T11" i="70"/>
  <c r="AD19" i="77"/>
  <c r="AD43" i="73"/>
  <c r="AD17" i="68"/>
  <c r="AD11" i="76"/>
  <c r="AD10" i="71"/>
  <c r="P27" i="68"/>
  <c r="AD27" i="68" s="1"/>
  <c r="AD37" i="69"/>
  <c r="AD8" i="67"/>
  <c r="Q25" i="70"/>
  <c r="AD57" i="77"/>
  <c r="U15" i="17"/>
  <c r="J1" i="80"/>
  <c r="C14" i="17"/>
  <c r="H13" i="17"/>
  <c r="E11" i="17"/>
  <c r="D10" i="17"/>
  <c r="C71" i="68"/>
  <c r="T7" i="17"/>
  <c r="C16" i="17"/>
  <c r="Q674" i="79"/>
  <c r="V25" i="68"/>
  <c r="V20" i="72"/>
  <c r="AD20" i="72" s="1"/>
  <c r="O170" i="81"/>
  <c r="C170" i="81"/>
  <c r="Q165" i="81"/>
  <c r="Q161" i="81"/>
  <c r="Q157" i="81"/>
  <c r="Q153" i="81"/>
  <c r="Q149" i="81"/>
  <c r="Q145" i="81"/>
  <c r="Q141" i="81"/>
  <c r="Q137" i="81"/>
  <c r="Q133" i="81"/>
  <c r="Q129" i="81"/>
  <c r="Q125" i="81"/>
  <c r="Q121" i="81"/>
  <c r="Q117" i="81"/>
  <c r="Q113" i="81"/>
  <c r="M170" i="81"/>
  <c r="Q164" i="81"/>
  <c r="Q160" i="81"/>
  <c r="Q156" i="81"/>
  <c r="Q152" i="81"/>
  <c r="Q148" i="81"/>
  <c r="Q144" i="81"/>
  <c r="Q140" i="81"/>
  <c r="Q136" i="81"/>
  <c r="Q132" i="81"/>
  <c r="Q167" i="81"/>
  <c r="E170" i="81"/>
  <c r="D170" i="81"/>
  <c r="V33" i="68"/>
  <c r="AD33" i="68" s="1"/>
  <c r="C674" i="79"/>
  <c r="R724" i="66"/>
  <c r="D416" i="81"/>
  <c r="O416" i="81"/>
  <c r="C416" i="81"/>
  <c r="N416" i="81"/>
  <c r="B416" i="81"/>
  <c r="L416" i="81"/>
  <c r="G416" i="81"/>
  <c r="F416" i="81"/>
  <c r="F170" i="81"/>
  <c r="N724" i="66"/>
  <c r="X724" i="66"/>
  <c r="P700" i="61"/>
  <c r="L721" i="61"/>
  <c r="P704" i="61"/>
  <c r="P621" i="61"/>
  <c r="I661" i="61"/>
  <c r="P637" i="61"/>
  <c r="U8" i="43"/>
  <c r="U61" i="43" s="1"/>
  <c r="T44" i="70"/>
  <c r="D706" i="62"/>
  <c r="T706" i="62"/>
  <c r="K706" i="62"/>
  <c r="X706" i="62"/>
  <c r="C706" i="62"/>
  <c r="P706" i="62"/>
  <c r="H706" i="62"/>
  <c r="O706" i="62"/>
  <c r="G706" i="62"/>
  <c r="I706" i="62"/>
  <c r="F706" i="62"/>
  <c r="S706" i="62"/>
  <c r="U706" i="62"/>
  <c r="R706" i="62"/>
  <c r="L706" i="62"/>
  <c r="N706" i="62"/>
  <c r="J706" i="62"/>
  <c r="Y706" i="62"/>
  <c r="AD13" i="67"/>
  <c r="AO254" i="60"/>
  <c r="G646" i="62"/>
  <c r="AD37" i="43"/>
  <c r="W706" i="62"/>
  <c r="AD38" i="77"/>
  <c r="AD12" i="43"/>
  <c r="AD23" i="73"/>
  <c r="AD33" i="43"/>
  <c r="AD49" i="74"/>
  <c r="AD14" i="76"/>
  <c r="P724" i="66"/>
  <c r="V13" i="17"/>
  <c r="D12" i="17"/>
  <c r="D1" i="80"/>
  <c r="C8" i="17"/>
  <c r="H7" i="17"/>
  <c r="D68" i="69"/>
  <c r="AD27" i="73"/>
  <c r="K718" i="81"/>
  <c r="N718" i="81"/>
  <c r="M718" i="81"/>
  <c r="L718" i="81"/>
  <c r="G718" i="81"/>
  <c r="C718" i="81"/>
  <c r="B718" i="81"/>
  <c r="V23" i="68"/>
  <c r="V20" i="75"/>
  <c r="AD20" i="75" s="1"/>
  <c r="Q118" i="81"/>
  <c r="F724" i="66"/>
  <c r="G170" i="81"/>
  <c r="B724" i="66"/>
  <c r="Q126" i="81"/>
  <c r="L724" i="66"/>
  <c r="T36" i="72"/>
  <c r="AD36" i="72" s="1"/>
  <c r="T38" i="75"/>
  <c r="AD11" i="68"/>
  <c r="T30" i="68"/>
  <c r="AD30" i="68" s="1"/>
  <c r="AD31" i="73"/>
  <c r="R8" i="69"/>
  <c r="AD23" i="75"/>
  <c r="AD47" i="71"/>
  <c r="AD23" i="67"/>
  <c r="AD41" i="75"/>
  <c r="V15" i="17"/>
  <c r="AD9" i="67"/>
  <c r="E13" i="17"/>
  <c r="E14" i="17"/>
  <c r="G10" i="17"/>
  <c r="V70" i="77"/>
  <c r="AD25" i="73"/>
  <c r="V15" i="72"/>
  <c r="AD15" i="72" s="1"/>
  <c r="V8" i="68"/>
  <c r="AV118" i="79"/>
  <c r="AW92" i="79" s="1"/>
  <c r="U19" i="75"/>
  <c r="U55" i="75" s="1"/>
  <c r="Q158" i="81"/>
  <c r="W41" i="76"/>
  <c r="AD41" i="76" s="1"/>
  <c r="Q163" i="81"/>
  <c r="L537" i="81"/>
  <c r="N661" i="61"/>
  <c r="D718" i="81"/>
  <c r="P609" i="61"/>
  <c r="P666" i="61"/>
  <c r="W8" i="68"/>
  <c r="P707" i="61"/>
  <c r="U8" i="73"/>
  <c r="U61" i="73" s="1"/>
  <c r="AD22" i="68"/>
  <c r="AD47" i="75"/>
  <c r="AD41" i="77"/>
  <c r="AD57" i="71"/>
  <c r="AD40" i="71"/>
  <c r="AD39" i="69"/>
  <c r="AD52" i="71"/>
  <c r="AD46" i="68"/>
  <c r="AD30" i="73"/>
  <c r="T28" i="68"/>
  <c r="AD28" i="68" s="1"/>
  <c r="B14" i="17"/>
  <c r="V12" i="17"/>
  <c r="D60" i="70"/>
  <c r="F7" i="17"/>
  <c r="V40" i="75"/>
  <c r="V38" i="75"/>
  <c r="F658" i="81"/>
  <c r="Q114" i="81"/>
  <c r="AD10" i="77"/>
  <c r="U9" i="74"/>
  <c r="AD9" i="74" s="1"/>
  <c r="T24" i="73"/>
  <c r="AD24" i="73" s="1"/>
  <c r="AD29" i="72"/>
  <c r="AO271" i="60"/>
  <c r="AD15" i="68"/>
  <c r="R34" i="75"/>
  <c r="AD34" i="75" s="1"/>
  <c r="C646" i="62"/>
  <c r="AD56" i="69"/>
  <c r="AD54" i="68"/>
  <c r="AD15" i="67"/>
  <c r="AD15" i="71"/>
  <c r="AD14" i="70"/>
  <c r="U724" i="66"/>
  <c r="I724" i="66"/>
  <c r="T724" i="66"/>
  <c r="H724" i="66"/>
  <c r="AC724" i="66"/>
  <c r="Q724" i="66"/>
  <c r="E724" i="66"/>
  <c r="W724" i="66"/>
  <c r="V724" i="66"/>
  <c r="K724" i="66"/>
  <c r="J724" i="66"/>
  <c r="D15" i="17"/>
  <c r="H1" i="80"/>
  <c r="C12" i="17"/>
  <c r="D69" i="71"/>
  <c r="F1" i="80"/>
  <c r="C10" i="17"/>
  <c r="E1" i="80"/>
  <c r="C9" i="17"/>
  <c r="H674" i="79"/>
  <c r="AE674" i="79"/>
  <c r="V45" i="72"/>
  <c r="AD45" i="72" s="1"/>
  <c r="Q128" i="81"/>
  <c r="G724" i="66"/>
  <c r="Q134" i="81"/>
  <c r="U12" i="71"/>
  <c r="AD12" i="71" s="1"/>
  <c r="W23" i="68"/>
  <c r="T18" i="73"/>
  <c r="T21" i="74"/>
  <c r="AD21" i="74" s="1"/>
  <c r="W18" i="74"/>
  <c r="AD18" i="74" s="1"/>
  <c r="U666" i="57"/>
  <c r="S666" i="57"/>
  <c r="AJ666" i="57"/>
  <c r="O666" i="57"/>
  <c r="AH666" i="57"/>
  <c r="M666" i="57"/>
  <c r="AG666" i="57"/>
  <c r="L666" i="57"/>
  <c r="AE666" i="57"/>
  <c r="AB666" i="57"/>
  <c r="I666" i="57"/>
  <c r="Y666" i="57"/>
  <c r="X666" i="57"/>
  <c r="C666" i="57"/>
  <c r="AA666" i="57"/>
  <c r="V666" i="57"/>
  <c r="G666" i="57"/>
  <c r="AC666" i="57"/>
  <c r="D666" i="57"/>
  <c r="P666" i="57"/>
  <c r="J666" i="57"/>
  <c r="F666" i="57"/>
  <c r="T666" i="57"/>
  <c r="W666" i="57"/>
  <c r="R666" i="57"/>
  <c r="AF666" i="57"/>
  <c r="AI666" i="57"/>
  <c r="B666" i="57"/>
  <c r="N666" i="57"/>
  <c r="Z666" i="57"/>
  <c r="Q666" i="57"/>
  <c r="R15" i="74"/>
  <c r="AD15" i="74" s="1"/>
  <c r="R24" i="75"/>
  <c r="AD60" i="76"/>
  <c r="AD24" i="67"/>
  <c r="AD47" i="77"/>
  <c r="AD46" i="71"/>
  <c r="AD48" i="77"/>
  <c r="AD11" i="72"/>
  <c r="AD37" i="74"/>
  <c r="AD16" i="43"/>
  <c r="AD17" i="76"/>
  <c r="V9" i="17"/>
  <c r="H74" i="77"/>
  <c r="H75" i="76"/>
  <c r="B13" i="17"/>
  <c r="D14" i="17"/>
  <c r="E10" i="17"/>
  <c r="B10" i="17"/>
  <c r="F10" i="17"/>
  <c r="V15" i="70"/>
  <c r="H658" i="81"/>
  <c r="H537" i="81"/>
  <c r="G537" i="81"/>
  <c r="F537" i="81"/>
  <c r="N537" i="81"/>
  <c r="B537" i="81"/>
  <c r="J537" i="81"/>
  <c r="I537" i="81"/>
  <c r="W27" i="74"/>
  <c r="AD27" i="74" s="1"/>
  <c r="V10" i="68"/>
  <c r="X28" i="74"/>
  <c r="W25" i="70"/>
  <c r="E661" i="61"/>
  <c r="D661" i="61"/>
  <c r="H661" i="61"/>
  <c r="G661" i="61"/>
  <c r="M661" i="61"/>
  <c r="AO261" i="60"/>
  <c r="L661" i="61"/>
  <c r="Q168" i="81"/>
  <c r="T10" i="73"/>
  <c r="AD10" i="73" s="1"/>
  <c r="AN420" i="60"/>
  <c r="W12" i="70"/>
  <c r="AD12" i="70" s="1"/>
  <c r="AD14" i="77"/>
  <c r="U57" i="72"/>
  <c r="P702" i="61"/>
  <c r="T10" i="74"/>
  <c r="AD10" i="74" s="1"/>
  <c r="AO278" i="60"/>
  <c r="S720" i="57"/>
  <c r="P720" i="57"/>
  <c r="AH720" i="57"/>
  <c r="N720" i="57"/>
  <c r="AF720" i="57"/>
  <c r="K720" i="57"/>
  <c r="AE720" i="57"/>
  <c r="J720" i="57"/>
  <c r="H720" i="57"/>
  <c r="Z720" i="57"/>
  <c r="W720" i="57"/>
  <c r="D720" i="57"/>
  <c r="AB720" i="57"/>
  <c r="V720" i="57"/>
  <c r="G720" i="57"/>
  <c r="B720" i="57"/>
  <c r="F720" i="57"/>
  <c r="AG720" i="57"/>
  <c r="E720" i="57"/>
  <c r="R720" i="57"/>
  <c r="Q720" i="57"/>
  <c r="T720" i="57"/>
  <c r="AD720" i="57"/>
  <c r="AC720" i="57"/>
  <c r="M720" i="57"/>
  <c r="C720" i="57"/>
  <c r="Y720" i="57"/>
  <c r="AA720" i="57"/>
  <c r="AI720" i="57"/>
  <c r="AD40" i="70"/>
  <c r="Q706" i="62"/>
  <c r="M706" i="62"/>
  <c r="AD56" i="76"/>
  <c r="AD666" i="57"/>
  <c r="AD55" i="77"/>
  <c r="AD22" i="77"/>
  <c r="AD14" i="43"/>
  <c r="AD11" i="67"/>
  <c r="AD19" i="74"/>
  <c r="AD12" i="68"/>
  <c r="R16" i="72"/>
  <c r="Q48" i="70"/>
  <c r="AD48" i="70" s="1"/>
  <c r="P16" i="72"/>
  <c r="P11" i="73"/>
  <c r="AD11" i="73" s="1"/>
  <c r="AD32" i="43"/>
  <c r="AD60" i="74"/>
  <c r="O51" i="68"/>
  <c r="AD51" i="68" s="1"/>
  <c r="I669" i="65"/>
  <c r="H730" i="65"/>
  <c r="G730" i="65"/>
  <c r="AD45" i="73"/>
  <c r="Y669" i="65"/>
  <c r="X669" i="65"/>
  <c r="R12" i="74"/>
  <c r="AD12" i="74" s="1"/>
  <c r="R44" i="71"/>
  <c r="R25" i="68"/>
  <c r="Q18" i="75"/>
  <c r="AD18" i="75" s="1"/>
  <c r="R42" i="70"/>
  <c r="AD42" i="70" s="1"/>
  <c r="Q58" i="67"/>
  <c r="AD30" i="43"/>
  <c r="Q24" i="71"/>
  <c r="AD24" i="71" s="1"/>
  <c r="P26" i="73"/>
  <c r="AD26" i="73" s="1"/>
  <c r="AD62" i="74"/>
  <c r="AD53" i="73"/>
  <c r="M730" i="65"/>
  <c r="Q669" i="65"/>
  <c r="R37" i="71"/>
  <c r="AD25" i="69"/>
  <c r="AD51" i="74"/>
  <c r="AD54" i="73"/>
  <c r="P9" i="68"/>
  <c r="P36" i="76"/>
  <c r="AD36" i="76" s="1"/>
  <c r="P24" i="68"/>
  <c r="AD24" i="68" s="1"/>
  <c r="AD46" i="74"/>
  <c r="AD28" i="69"/>
  <c r="AD34" i="70"/>
  <c r="AD13" i="68"/>
  <c r="AD39" i="74"/>
  <c r="AD17" i="70"/>
  <c r="T8" i="68"/>
  <c r="AD15" i="69"/>
  <c r="AD64" i="74"/>
  <c r="AD58" i="73"/>
  <c r="P27" i="76"/>
  <c r="AD27" i="76" s="1"/>
  <c r="AD59" i="74"/>
  <c r="O16" i="73"/>
  <c r="AD16" i="73" s="1"/>
  <c r="R30" i="76"/>
  <c r="Q38" i="76"/>
  <c r="AD38" i="76" s="1"/>
  <c r="Q39" i="75"/>
  <c r="P37" i="70"/>
  <c r="AD37" i="70" s="1"/>
  <c r="P12" i="75"/>
  <c r="AD12" i="75" s="1"/>
  <c r="AD53" i="77"/>
  <c r="I18" i="17"/>
  <c r="Q15" i="70"/>
  <c r="AD40" i="43"/>
  <c r="AD10" i="70"/>
  <c r="AD18" i="68"/>
  <c r="V730" i="65"/>
  <c r="AD669" i="65"/>
  <c r="Z669" i="65"/>
  <c r="T11" i="71"/>
  <c r="AO248" i="60"/>
  <c r="W34" i="73"/>
  <c r="R10" i="76"/>
  <c r="R9" i="75"/>
  <c r="AD19" i="69"/>
  <c r="R32" i="75"/>
  <c r="AD32" i="75" s="1"/>
  <c r="R8" i="70"/>
  <c r="R42" i="68"/>
  <c r="AD42" i="68" s="1"/>
  <c r="B742" i="56"/>
  <c r="AD12" i="69"/>
  <c r="P8" i="74"/>
  <c r="BH494" i="56"/>
  <c r="X730" i="65"/>
  <c r="F730" i="65"/>
  <c r="AC730" i="65"/>
  <c r="Q730" i="65"/>
  <c r="E730" i="65"/>
  <c r="AD50" i="75"/>
  <c r="AD13" i="43"/>
  <c r="Z730" i="65"/>
  <c r="O669" i="65"/>
  <c r="AD21" i="43"/>
  <c r="J730" i="65"/>
  <c r="AD52" i="73"/>
  <c r="AD730" i="65"/>
  <c r="R669" i="65"/>
  <c r="B669" i="65"/>
  <c r="C730" i="65"/>
  <c r="AD46" i="75"/>
  <c r="T29" i="73"/>
  <c r="AD29" i="73" s="1"/>
  <c r="S32" i="73"/>
  <c r="R35" i="71"/>
  <c r="AD35" i="71" s="1"/>
  <c r="AD27" i="43"/>
  <c r="P12" i="72"/>
  <c r="AD12" i="72" s="1"/>
  <c r="P58" i="67"/>
  <c r="Q23" i="76"/>
  <c r="AD23" i="76" s="1"/>
  <c r="Q28" i="71"/>
  <c r="AD28" i="71" s="1"/>
  <c r="P13" i="71"/>
  <c r="BH306" i="56"/>
  <c r="BF307" i="56" s="1"/>
  <c r="Q9" i="75"/>
  <c r="P19" i="72"/>
  <c r="AD51" i="69"/>
  <c r="Q28" i="70"/>
  <c r="AD28" i="70" s="1"/>
  <c r="O8" i="73"/>
  <c r="AD65" i="74"/>
  <c r="AD48" i="74"/>
  <c r="O13" i="75"/>
  <c r="N730" i="65"/>
  <c r="J669" i="65"/>
  <c r="R46" i="70"/>
  <c r="Q40" i="72"/>
  <c r="AD40" i="72" s="1"/>
  <c r="Q13" i="71"/>
  <c r="P8" i="70"/>
  <c r="BH245" i="56"/>
  <c r="AD50" i="69"/>
  <c r="O9" i="75"/>
  <c r="AD52" i="74"/>
  <c r="AD61" i="74"/>
  <c r="AD28" i="72"/>
  <c r="AD31" i="70"/>
  <c r="G669" i="65"/>
  <c r="AD25" i="71"/>
  <c r="AD31" i="68"/>
  <c r="L669" i="65"/>
  <c r="AD29" i="69"/>
  <c r="T16" i="74"/>
  <c r="AD24" i="72"/>
  <c r="AO266" i="60"/>
  <c r="T22" i="75"/>
  <c r="AD22" i="75" s="1"/>
  <c r="R13" i="74"/>
  <c r="R29" i="75"/>
  <c r="AD29" i="75" s="1"/>
  <c r="R34" i="73"/>
  <c r="AD33" i="72"/>
  <c r="R44" i="70"/>
  <c r="AD23" i="72"/>
  <c r="AD23" i="69"/>
  <c r="AD30" i="74"/>
  <c r="O18" i="73"/>
  <c r="AD50" i="74"/>
  <c r="AD66" i="74"/>
  <c r="W669" i="65"/>
  <c r="L730" i="65"/>
  <c r="W730" i="65"/>
  <c r="R730" i="65"/>
  <c r="AB730" i="65"/>
  <c r="R8" i="76"/>
  <c r="S60" i="68"/>
  <c r="S30" i="70"/>
  <c r="AD30" i="70" s="1"/>
  <c r="R21" i="68"/>
  <c r="AD21" i="68" s="1"/>
  <c r="Q25" i="74"/>
  <c r="AD25" i="74" s="1"/>
  <c r="P37" i="73"/>
  <c r="AD37" i="73" s="1"/>
  <c r="AD38" i="69"/>
  <c r="S9" i="71"/>
  <c r="AD9" i="71" s="1"/>
  <c r="Q16" i="74"/>
  <c r="Q46" i="70"/>
  <c r="P24" i="75"/>
  <c r="Q8" i="69"/>
  <c r="O8" i="74"/>
  <c r="AD53" i="74"/>
  <c r="K669" i="65"/>
  <c r="K730" i="65"/>
  <c r="AD20" i="73"/>
  <c r="U730" i="65"/>
  <c r="AF730" i="65"/>
  <c r="AE730" i="65"/>
  <c r="P730" i="65"/>
  <c r="O730" i="65"/>
  <c r="R8" i="73"/>
  <c r="S71" i="76"/>
  <c r="M16" i="17" s="1"/>
  <c r="AB736" i="58"/>
  <c r="O736" i="58"/>
  <c r="C736" i="58"/>
  <c r="AH736" i="58"/>
  <c r="N736" i="58"/>
  <c r="AG736" i="58"/>
  <c r="M736" i="58"/>
  <c r="AF736" i="58"/>
  <c r="I736" i="58"/>
  <c r="AC736" i="58"/>
  <c r="H736" i="58"/>
  <c r="G736" i="58"/>
  <c r="V736" i="58"/>
  <c r="D736" i="58"/>
  <c r="U736" i="58"/>
  <c r="T736" i="58"/>
  <c r="B736" i="58"/>
  <c r="AD34" i="69"/>
  <c r="P46" i="70"/>
  <c r="AB669" i="65"/>
  <c r="P669" i="65"/>
  <c r="D669" i="65"/>
  <c r="S669" i="65"/>
  <c r="V669" i="65"/>
  <c r="AF669" i="65"/>
  <c r="T669" i="65"/>
  <c r="F669" i="65"/>
  <c r="AE669" i="65"/>
  <c r="O25" i="75"/>
  <c r="AD25" i="75" s="1"/>
  <c r="AD47" i="74"/>
  <c r="Q13" i="74"/>
  <c r="U669" i="65"/>
  <c r="AD35" i="75"/>
  <c r="AD56" i="68"/>
  <c r="I730" i="65"/>
  <c r="T730" i="65"/>
  <c r="S730" i="65"/>
  <c r="AA669" i="65"/>
  <c r="D730" i="65"/>
  <c r="D67" i="73"/>
  <c r="AD47" i="76"/>
  <c r="AD45" i="76"/>
  <c r="E69" i="67"/>
  <c r="K37" i="41"/>
  <c r="E27" i="55"/>
  <c r="D61" i="75"/>
  <c r="D69" i="67"/>
  <c r="D63" i="72"/>
  <c r="D74" i="74"/>
  <c r="M15" i="17" l="1"/>
  <c r="AW463" i="79"/>
  <c r="AW464" i="79"/>
  <c r="I362" i="62"/>
  <c r="V362" i="62"/>
  <c r="AA415" i="62"/>
  <c r="AA414" i="62"/>
  <c r="AA416" i="62"/>
  <c r="AA418" i="62"/>
  <c r="AA419" i="62"/>
  <c r="AA417" i="62"/>
  <c r="AA420" i="62"/>
  <c r="AO407" i="60"/>
  <c r="AO417" i="60"/>
  <c r="AO408" i="60"/>
  <c r="AO418" i="60"/>
  <c r="AO411" i="60"/>
  <c r="AO412" i="60"/>
  <c r="AO413" i="60"/>
  <c r="AO414" i="60"/>
  <c r="AO415" i="60"/>
  <c r="AO416" i="60"/>
  <c r="AO409" i="60"/>
  <c r="AO410" i="60"/>
  <c r="AO419" i="60"/>
  <c r="Q311" i="81"/>
  <c r="Q383" i="81"/>
  <c r="Q384" i="81"/>
  <c r="Q385" i="81"/>
  <c r="Q386" i="81"/>
  <c r="AW408" i="79"/>
  <c r="AW406" i="79"/>
  <c r="AW407" i="79"/>
  <c r="AW394" i="79"/>
  <c r="AW403" i="79"/>
  <c r="AW387" i="79"/>
  <c r="AW386" i="79"/>
  <c r="AW389" i="79"/>
  <c r="AW388" i="79"/>
  <c r="BI326" i="56"/>
  <c r="BI389" i="56"/>
  <c r="BI390" i="56"/>
  <c r="B429" i="57"/>
  <c r="AL386" i="57"/>
  <c r="AJ310" i="58"/>
  <c r="AJ325" i="58"/>
  <c r="AA308" i="62"/>
  <c r="AA323" i="62"/>
  <c r="AW324" i="79"/>
  <c r="AW325" i="79"/>
  <c r="AW323" i="79"/>
  <c r="AL310" i="57"/>
  <c r="AL325" i="57"/>
  <c r="AO306" i="60"/>
  <c r="AO321" i="60"/>
  <c r="U5" i="80"/>
  <c r="AD18" i="72"/>
  <c r="AH700" i="65"/>
  <c r="AH308" i="65"/>
  <c r="I373" i="56"/>
  <c r="BI311" i="56"/>
  <c r="P330" i="61"/>
  <c r="P307" i="61"/>
  <c r="N183" i="66"/>
  <c r="AE307" i="66"/>
  <c r="Q452" i="81"/>
  <c r="Q296" i="81"/>
  <c r="AW648" i="79"/>
  <c r="AW308" i="79"/>
  <c r="AP304" i="79"/>
  <c r="AW264" i="79"/>
  <c r="AW265" i="79"/>
  <c r="C15" i="55"/>
  <c r="K23" i="55"/>
  <c r="K8" i="55"/>
  <c r="K17" i="55"/>
  <c r="K5" i="55"/>
  <c r="K12" i="55"/>
  <c r="K25" i="55"/>
  <c r="K10" i="55"/>
  <c r="K24" i="55"/>
  <c r="K7" i="55"/>
  <c r="K20" i="55"/>
  <c r="K22" i="55"/>
  <c r="K15" i="55"/>
  <c r="K19" i="55"/>
  <c r="K14" i="55"/>
  <c r="K13" i="55"/>
  <c r="K11" i="55"/>
  <c r="K16" i="55"/>
  <c r="K6" i="55"/>
  <c r="K26" i="55"/>
  <c r="K18" i="55"/>
  <c r="K9" i="55"/>
  <c r="C9" i="55"/>
  <c r="AO72" i="60"/>
  <c r="AO154" i="60"/>
  <c r="AO155" i="60"/>
  <c r="AO158" i="60"/>
  <c r="AO157" i="60"/>
  <c r="AO156" i="60"/>
  <c r="AW127" i="79"/>
  <c r="AW146" i="79"/>
  <c r="P503" i="61"/>
  <c r="N543" i="61"/>
  <c r="P533" i="61"/>
  <c r="K543" i="61"/>
  <c r="P498" i="61"/>
  <c r="P494" i="61"/>
  <c r="P490" i="61"/>
  <c r="H543" i="61"/>
  <c r="P520" i="61"/>
  <c r="P505" i="61"/>
  <c r="P501" i="61"/>
  <c r="P506" i="61"/>
  <c r="P500" i="61"/>
  <c r="P504" i="61"/>
  <c r="P529" i="61"/>
  <c r="P507" i="61"/>
  <c r="P499" i="61"/>
  <c r="L597" i="81"/>
  <c r="M597" i="81"/>
  <c r="P535" i="61"/>
  <c r="P519" i="61"/>
  <c r="P541" i="61"/>
  <c r="B543" i="61"/>
  <c r="P518" i="61"/>
  <c r="P497" i="61"/>
  <c r="P536" i="61"/>
  <c r="P516" i="61"/>
  <c r="P496" i="61"/>
  <c r="P531" i="61"/>
  <c r="F543" i="61"/>
  <c r="P491" i="61"/>
  <c r="P512" i="61"/>
  <c r="P508" i="61"/>
  <c r="P493" i="61"/>
  <c r="M543" i="61"/>
  <c r="P540" i="61"/>
  <c r="P517" i="61"/>
  <c r="P537" i="61"/>
  <c r="P528" i="61"/>
  <c r="I543" i="61"/>
  <c r="P489" i="61"/>
  <c r="P530" i="61"/>
  <c r="P492" i="61"/>
  <c r="P524" i="61"/>
  <c r="D543" i="61"/>
  <c r="J543" i="61"/>
  <c r="E543" i="61"/>
  <c r="P502" i="61"/>
  <c r="AD44" i="74"/>
  <c r="P511" i="61"/>
  <c r="P523" i="61"/>
  <c r="P521" i="61"/>
  <c r="P495" i="61"/>
  <c r="P515" i="61"/>
  <c r="C543" i="61"/>
  <c r="P522" i="61"/>
  <c r="G543" i="61"/>
  <c r="P532" i="61"/>
  <c r="P527" i="61"/>
  <c r="P510" i="61"/>
  <c r="P526" i="61"/>
  <c r="P538" i="61"/>
  <c r="P539" i="61"/>
  <c r="P509" i="61"/>
  <c r="P514" i="61"/>
  <c r="L543" i="61"/>
  <c r="P534" i="61"/>
  <c r="P513" i="61"/>
  <c r="P525" i="61"/>
  <c r="D597" i="81"/>
  <c r="N597" i="81"/>
  <c r="C597" i="81"/>
  <c r="O597" i="81"/>
  <c r="E597" i="81"/>
  <c r="G597" i="81"/>
  <c r="H597" i="81"/>
  <c r="F597" i="81"/>
  <c r="K597" i="81"/>
  <c r="I597" i="81"/>
  <c r="J597" i="81"/>
  <c r="B597" i="81"/>
  <c r="AO530" i="60"/>
  <c r="AO552" i="60"/>
  <c r="AA156" i="62"/>
  <c r="AA374" i="62"/>
  <c r="AA283" i="62"/>
  <c r="AA237" i="62"/>
  <c r="M305" i="62"/>
  <c r="AA116" i="62"/>
  <c r="AA85" i="62"/>
  <c r="AA271" i="62"/>
  <c r="AA377" i="62"/>
  <c r="AA191" i="62"/>
  <c r="AA411" i="62"/>
  <c r="C305" i="62"/>
  <c r="AA255" i="62"/>
  <c r="AA329" i="62"/>
  <c r="AA289" i="62"/>
  <c r="AA263" i="62"/>
  <c r="E351" i="81"/>
  <c r="AL278" i="57"/>
  <c r="AO493" i="60"/>
  <c r="Q464" i="81"/>
  <c r="Q365" i="81"/>
  <c r="Q318" i="81"/>
  <c r="Q664" i="81"/>
  <c r="C525" i="60"/>
  <c r="M614" i="58"/>
  <c r="V614" i="58"/>
  <c r="P363" i="61"/>
  <c r="L484" i="61"/>
  <c r="P450" i="61"/>
  <c r="Q367" i="81"/>
  <c r="Q389" i="81"/>
  <c r="Q645" i="81"/>
  <c r="AA278" i="62"/>
  <c r="X185" i="62"/>
  <c r="AA392" i="62"/>
  <c r="AA133" i="62"/>
  <c r="AA231" i="62"/>
  <c r="AA202" i="62"/>
  <c r="AA235" i="62"/>
  <c r="AA315" i="62"/>
  <c r="AA354" i="62"/>
  <c r="AA389" i="62"/>
  <c r="J185" i="62"/>
  <c r="AA203" i="62"/>
  <c r="AA401" i="62"/>
  <c r="AA404" i="62"/>
  <c r="AA160" i="62"/>
  <c r="AA213" i="62"/>
  <c r="AA246" i="62"/>
  <c r="C185" i="62"/>
  <c r="AA318" i="62"/>
  <c r="AA253" i="62"/>
  <c r="AA380" i="62"/>
  <c r="R185" i="62"/>
  <c r="AA395" i="62"/>
  <c r="AA298" i="62"/>
  <c r="AA211" i="62"/>
  <c r="P185" i="62"/>
  <c r="AA207" i="62"/>
  <c r="AA234" i="62"/>
  <c r="AA227" i="62"/>
  <c r="AA406" i="62"/>
  <c r="H53" i="81"/>
  <c r="AA146" i="62"/>
  <c r="AA369" i="62"/>
  <c r="F305" i="62"/>
  <c r="AA277" i="62"/>
  <c r="AA366" i="62"/>
  <c r="AA225" i="62"/>
  <c r="AA326" i="62"/>
  <c r="AA281" i="62"/>
  <c r="AA370" i="62"/>
  <c r="AA174" i="62"/>
  <c r="AA161" i="62"/>
  <c r="AA226" i="62"/>
  <c r="AA218" i="62"/>
  <c r="AA321" i="62"/>
  <c r="AA413" i="62"/>
  <c r="AA275" i="62"/>
  <c r="P286" i="61"/>
  <c r="AH185" i="56"/>
  <c r="O185" i="62"/>
  <c r="AA157" i="62"/>
  <c r="AA412" i="62"/>
  <c r="AA400" i="62"/>
  <c r="AA337" i="62"/>
  <c r="H305" i="62"/>
  <c r="P255" i="61"/>
  <c r="AA259" i="62"/>
  <c r="AA332" i="62"/>
  <c r="AA334" i="62"/>
  <c r="AA143" i="62"/>
  <c r="AA408" i="62"/>
  <c r="AA199" i="62"/>
  <c r="AA349" i="62"/>
  <c r="AA383" i="62"/>
  <c r="P260" i="61"/>
  <c r="AA164" i="62"/>
  <c r="AA230" i="62"/>
  <c r="AA391" i="62"/>
  <c r="AA223" i="62"/>
  <c r="AA387" i="62"/>
  <c r="I304" i="61"/>
  <c r="AA238" i="62"/>
  <c r="Q31" i="81"/>
  <c r="AA381" i="62"/>
  <c r="Q79" i="81"/>
  <c r="C108" i="81"/>
  <c r="Q85" i="81"/>
  <c r="Q61" i="73"/>
  <c r="Q65" i="73" s="1"/>
  <c r="BI41" i="56"/>
  <c r="Q67" i="56"/>
  <c r="AW515" i="79"/>
  <c r="AW665" i="79"/>
  <c r="AW678" i="79"/>
  <c r="AW688" i="79"/>
  <c r="AW698" i="79"/>
  <c r="AW708" i="79"/>
  <c r="AW718" i="79"/>
  <c r="AW728" i="79"/>
  <c r="AW680" i="79"/>
  <c r="AW700" i="79"/>
  <c r="AW710" i="79"/>
  <c r="AW720" i="79"/>
  <c r="AW730" i="79"/>
  <c r="AW681" i="79"/>
  <c r="AW701" i="79"/>
  <c r="AW711" i="79"/>
  <c r="AW721" i="79"/>
  <c r="AW731" i="79"/>
  <c r="AW682" i="79"/>
  <c r="AW702" i="79"/>
  <c r="AW712" i="79"/>
  <c r="AW732" i="79"/>
  <c r="AW705" i="79"/>
  <c r="AW679" i="79"/>
  <c r="AW689" i="79"/>
  <c r="AW699" i="79"/>
  <c r="AW709" i="79"/>
  <c r="AW719" i="79"/>
  <c r="AW729" i="79"/>
  <c r="AW690" i="79"/>
  <c r="AW691" i="79"/>
  <c r="AW692" i="79"/>
  <c r="AW722" i="79"/>
  <c r="AW684" i="79"/>
  <c r="AW694" i="79"/>
  <c r="AW704" i="79"/>
  <c r="AW714" i="79"/>
  <c r="AW724" i="79"/>
  <c r="AW685" i="79"/>
  <c r="AW695" i="79"/>
  <c r="AW715" i="79"/>
  <c r="AW687" i="79"/>
  <c r="AW697" i="79"/>
  <c r="AW707" i="79"/>
  <c r="AW717" i="79"/>
  <c r="AW727" i="79"/>
  <c r="AW725" i="79"/>
  <c r="AW713" i="79"/>
  <c r="AW693" i="79"/>
  <c r="AW726" i="79"/>
  <c r="AW706" i="79"/>
  <c r="AW686" i="79"/>
  <c r="AW723" i="79"/>
  <c r="AW703" i="79"/>
  <c r="AW683" i="79"/>
  <c r="AW716" i="79"/>
  <c r="AW696" i="79"/>
  <c r="Q65" i="81"/>
  <c r="I108" i="81"/>
  <c r="Q78" i="81"/>
  <c r="Q21" i="81"/>
  <c r="K53" i="81"/>
  <c r="Q30" i="81"/>
  <c r="Q59" i="81"/>
  <c r="Q94" i="81"/>
  <c r="Q90" i="81"/>
  <c r="Q89" i="81"/>
  <c r="Q281" i="81"/>
  <c r="O292" i="81"/>
  <c r="Q265" i="81"/>
  <c r="Q252" i="81"/>
  <c r="Q247" i="81"/>
  <c r="Q271" i="81"/>
  <c r="Q263" i="81"/>
  <c r="X66" i="66"/>
  <c r="AE32" i="66"/>
  <c r="AE464" i="66"/>
  <c r="B66" i="66"/>
  <c r="AA66" i="66"/>
  <c r="AE35" i="66"/>
  <c r="Q66" i="66"/>
  <c r="AE39" i="66"/>
  <c r="M66" i="66"/>
  <c r="C66" i="66"/>
  <c r="AE685" i="66"/>
  <c r="AE30" i="66"/>
  <c r="N66" i="66"/>
  <c r="P446" i="61"/>
  <c r="P435" i="61"/>
  <c r="P442" i="61"/>
  <c r="P453" i="61"/>
  <c r="K484" i="61"/>
  <c r="P466" i="61"/>
  <c r="P447" i="61"/>
  <c r="P473" i="61"/>
  <c r="P458" i="61"/>
  <c r="P471" i="61"/>
  <c r="P454" i="61"/>
  <c r="C484" i="61"/>
  <c r="P430" i="61"/>
  <c r="P429" i="61"/>
  <c r="P467" i="61"/>
  <c r="P465" i="61"/>
  <c r="P469" i="61"/>
  <c r="P455" i="61"/>
  <c r="P460" i="61"/>
  <c r="P462" i="61"/>
  <c r="P445" i="61"/>
  <c r="M484" i="61"/>
  <c r="P451" i="61"/>
  <c r="P437" i="61"/>
  <c r="P464" i="61"/>
  <c r="AO488" i="60"/>
  <c r="AO566" i="60"/>
  <c r="AO560" i="60"/>
  <c r="AO553" i="60"/>
  <c r="AO538" i="60"/>
  <c r="AO583" i="60"/>
  <c r="AG585" i="60"/>
  <c r="AO546" i="60"/>
  <c r="AJ585" i="60"/>
  <c r="K585" i="60"/>
  <c r="AO564" i="60"/>
  <c r="AO540" i="60"/>
  <c r="AO555" i="60"/>
  <c r="AM585" i="60"/>
  <c r="AO559" i="60"/>
  <c r="T586" i="62"/>
  <c r="W586" i="62"/>
  <c r="O586" i="62"/>
  <c r="P586" i="62"/>
  <c r="X586" i="62"/>
  <c r="S586" i="62"/>
  <c r="R586" i="62"/>
  <c r="N586" i="62"/>
  <c r="U586" i="62"/>
  <c r="Q586" i="62"/>
  <c r="G527" i="62"/>
  <c r="N527" i="62"/>
  <c r="W527" i="62"/>
  <c r="AA350" i="62"/>
  <c r="AA368" i="62"/>
  <c r="AA239" i="62"/>
  <c r="AA301" i="62"/>
  <c r="AA393" i="62"/>
  <c r="K421" i="62"/>
  <c r="X421" i="62"/>
  <c r="N421" i="62"/>
  <c r="W421" i="62"/>
  <c r="AA265" i="62"/>
  <c r="AA267" i="62"/>
  <c r="AA317" i="62"/>
  <c r="AA397" i="62"/>
  <c r="AA250" i="62"/>
  <c r="AA359" i="62"/>
  <c r="AA313" i="62"/>
  <c r="AA233" i="62"/>
  <c r="AA341" i="62"/>
  <c r="N305" i="62"/>
  <c r="AA242" i="62"/>
  <c r="AA338" i="62"/>
  <c r="AA228" i="62"/>
  <c r="AA407" i="62"/>
  <c r="AA403" i="62"/>
  <c r="J305" i="62"/>
  <c r="AA345" i="62"/>
  <c r="AA351" i="62"/>
  <c r="AA347" i="62"/>
  <c r="U305" i="62"/>
  <c r="AA217" i="62"/>
  <c r="AA272" i="62"/>
  <c r="AA224" i="62"/>
  <c r="AA282" i="62"/>
  <c r="AA309" i="62"/>
  <c r="R305" i="62"/>
  <c r="D305" i="62"/>
  <c r="AA385" i="62"/>
  <c r="AA236" i="62"/>
  <c r="AA399" i="62"/>
  <c r="AA396" i="62"/>
  <c r="AA208" i="62"/>
  <c r="P305" i="62"/>
  <c r="AA261" i="62"/>
  <c r="AA353" i="62"/>
  <c r="S305" i="62"/>
  <c r="AA294" i="62"/>
  <c r="AA198" i="62"/>
  <c r="AA229" i="62"/>
  <c r="AA215" i="62"/>
  <c r="AA375" i="62"/>
  <c r="AA214" i="62"/>
  <c r="AA196" i="62"/>
  <c r="AA256" i="62"/>
  <c r="AA222" i="62"/>
  <c r="AA372" i="62"/>
  <c r="AA219" i="62"/>
  <c r="AA379" i="62"/>
  <c r="AA149" i="62"/>
  <c r="AA145" i="62"/>
  <c r="AA168" i="62"/>
  <c r="AA172" i="62"/>
  <c r="AA139" i="62"/>
  <c r="AA137" i="62"/>
  <c r="AA135" i="62"/>
  <c r="AA162" i="62"/>
  <c r="F185" i="62"/>
  <c r="AA144" i="62"/>
  <c r="AA176" i="62"/>
  <c r="AA180" i="62"/>
  <c r="AA154" i="62"/>
  <c r="M185" i="62"/>
  <c r="D185" i="62"/>
  <c r="AA89" i="62"/>
  <c r="AA91" i="62"/>
  <c r="AA93" i="62"/>
  <c r="B370" i="57"/>
  <c r="AL357" i="57"/>
  <c r="AL358" i="57"/>
  <c r="AL356" i="57"/>
  <c r="AL361" i="57"/>
  <c r="AL359" i="57"/>
  <c r="AL360" i="57"/>
  <c r="AL362" i="57"/>
  <c r="AL363" i="57"/>
  <c r="AL364" i="57"/>
  <c r="AL367" i="57"/>
  <c r="AL352" i="57"/>
  <c r="AL365" i="57"/>
  <c r="AL354" i="57"/>
  <c r="AL355" i="57"/>
  <c r="AL368" i="57"/>
  <c r="AL353" i="57"/>
  <c r="AL366" i="57"/>
  <c r="AJ71" i="58"/>
  <c r="AE122" i="58"/>
  <c r="AD122" i="58"/>
  <c r="AC122" i="58"/>
  <c r="AF122" i="58"/>
  <c r="AQ495" i="56"/>
  <c r="AP495" i="56"/>
  <c r="BA495" i="56"/>
  <c r="BB495" i="56"/>
  <c r="AZ495" i="56"/>
  <c r="AU495" i="56"/>
  <c r="AT495" i="56"/>
  <c r="AR495" i="56"/>
  <c r="AY495" i="56"/>
  <c r="AW495" i="56"/>
  <c r="AX495" i="56"/>
  <c r="AS495" i="56"/>
  <c r="AV495" i="56"/>
  <c r="BG495" i="56"/>
  <c r="BE495" i="56"/>
  <c r="BF495" i="56"/>
  <c r="BC495" i="56"/>
  <c r="BD495" i="56"/>
  <c r="I434" i="56"/>
  <c r="AQ434" i="56"/>
  <c r="AW434" i="56"/>
  <c r="AX434" i="56"/>
  <c r="AP434" i="56"/>
  <c r="AV434" i="56"/>
  <c r="BB434" i="56"/>
  <c r="AU434" i="56"/>
  <c r="BA434" i="56"/>
  <c r="AT434" i="56"/>
  <c r="BG434" i="56"/>
  <c r="AS434" i="56"/>
  <c r="BF434" i="56"/>
  <c r="AR434" i="56"/>
  <c r="BC434" i="56"/>
  <c r="AY434" i="56"/>
  <c r="BE434" i="56"/>
  <c r="BD434" i="56"/>
  <c r="AZ434" i="56"/>
  <c r="J246" i="56"/>
  <c r="G246" i="56"/>
  <c r="I246" i="56"/>
  <c r="M246" i="56"/>
  <c r="K246" i="56"/>
  <c r="F246" i="56"/>
  <c r="Q246" i="56"/>
  <c r="P246" i="56"/>
  <c r="L246" i="56"/>
  <c r="H246" i="56"/>
  <c r="S246" i="56"/>
  <c r="T246" i="56"/>
  <c r="R246" i="56"/>
  <c r="N246" i="56"/>
  <c r="O246" i="56"/>
  <c r="BI17" i="56"/>
  <c r="BI13" i="56"/>
  <c r="BI59" i="56"/>
  <c r="BI11" i="56"/>
  <c r="AH40" i="65"/>
  <c r="V69" i="65"/>
  <c r="AH113" i="65"/>
  <c r="BD67" i="56"/>
  <c r="W525" i="60"/>
  <c r="AH525" i="60"/>
  <c r="AO512" i="60"/>
  <c r="S66" i="66"/>
  <c r="Q513" i="81"/>
  <c r="L66" i="66"/>
  <c r="R66" i="66"/>
  <c r="Q289" i="81"/>
  <c r="Q290" i="81"/>
  <c r="Q239" i="81"/>
  <c r="E292" i="81"/>
  <c r="Q242" i="81"/>
  <c r="Q286" i="81"/>
  <c r="K183" i="60"/>
  <c r="Q262" i="81"/>
  <c r="Q277" i="81"/>
  <c r="Z66" i="66"/>
  <c r="Q273" i="81"/>
  <c r="Q285" i="81"/>
  <c r="Q287" i="81"/>
  <c r="I292" i="81"/>
  <c r="Q274" i="81"/>
  <c r="L292" i="81"/>
  <c r="Q267" i="81"/>
  <c r="F66" i="66"/>
  <c r="AB66" i="66"/>
  <c r="Q240" i="81"/>
  <c r="N597" i="66"/>
  <c r="Y66" i="66"/>
  <c r="Q280" i="81"/>
  <c r="Q284" i="81"/>
  <c r="I66" i="66"/>
  <c r="U66" i="66"/>
  <c r="G66" i="66"/>
  <c r="K66" i="66"/>
  <c r="J66" i="66"/>
  <c r="W66" i="66"/>
  <c r="H66" i="66"/>
  <c r="E66" i="66"/>
  <c r="AC66" i="66"/>
  <c r="O66" i="66"/>
  <c r="AL14" i="57"/>
  <c r="AL47" i="57"/>
  <c r="P269" i="61"/>
  <c r="AL26" i="57"/>
  <c r="M424" i="66"/>
  <c r="E424" i="66"/>
  <c r="AL39" i="57"/>
  <c r="AL59" i="57"/>
  <c r="P250" i="61"/>
  <c r="P296" i="61"/>
  <c r="AL27" i="57"/>
  <c r="AL9" i="57"/>
  <c r="AL38" i="57"/>
  <c r="AL33" i="57"/>
  <c r="AL36" i="57"/>
  <c r="AL7" i="57"/>
  <c r="P301" i="61"/>
  <c r="AL8" i="57"/>
  <c r="N424" i="66"/>
  <c r="AL30" i="57"/>
  <c r="L424" i="66"/>
  <c r="P282" i="61"/>
  <c r="AL50" i="57"/>
  <c r="R424" i="66"/>
  <c r="AL61" i="57"/>
  <c r="K424" i="66"/>
  <c r="P278" i="61"/>
  <c r="AL32" i="57"/>
  <c r="S424" i="66"/>
  <c r="P295" i="61"/>
  <c r="AL31" i="57"/>
  <c r="AL41" i="57"/>
  <c r="P291" i="61"/>
  <c r="P265" i="61"/>
  <c r="AL17" i="57"/>
  <c r="AL58" i="57"/>
  <c r="C304" i="61"/>
  <c r="D66" i="66"/>
  <c r="V66" i="66"/>
  <c r="AL13" i="57"/>
  <c r="AL5" i="57"/>
  <c r="J597" i="66"/>
  <c r="T66" i="66"/>
  <c r="AL18" i="57"/>
  <c r="AL44" i="57"/>
  <c r="AB424" i="66"/>
  <c r="U424" i="66"/>
  <c r="Q424" i="66"/>
  <c r="AL21" i="57"/>
  <c r="AL42" i="57"/>
  <c r="W424" i="66"/>
  <c r="AL12" i="57"/>
  <c r="AL24" i="57"/>
  <c r="AL51" i="57"/>
  <c r="X614" i="58"/>
  <c r="AA614" i="58"/>
  <c r="J614" i="58"/>
  <c r="O614" i="58"/>
  <c r="AF614" i="58"/>
  <c r="AD614" i="58"/>
  <c r="O369" i="79"/>
  <c r="P350" i="61"/>
  <c r="K614" i="58"/>
  <c r="E614" i="58"/>
  <c r="Y614" i="58"/>
  <c r="F614" i="58"/>
  <c r="N614" i="58"/>
  <c r="AW321" i="79"/>
  <c r="AG302" i="60"/>
  <c r="Z614" i="58"/>
  <c r="AH614" i="58"/>
  <c r="AC608" i="65"/>
  <c r="AW397" i="79"/>
  <c r="AL22" i="57"/>
  <c r="AL54" i="57"/>
  <c r="AL25" i="57"/>
  <c r="P424" i="66"/>
  <c r="AG614" i="58"/>
  <c r="P614" i="58"/>
  <c r="AW422" i="79"/>
  <c r="AL57" i="57"/>
  <c r="AW586" i="79"/>
  <c r="H614" i="58"/>
  <c r="E369" i="79"/>
  <c r="AL15" i="57"/>
  <c r="AL6" i="57"/>
  <c r="AL60" i="57"/>
  <c r="AA424" i="66"/>
  <c r="I614" i="58"/>
  <c r="Q614" i="58"/>
  <c r="AL52" i="57"/>
  <c r="AB614" i="58"/>
  <c r="AC614" i="58"/>
  <c r="R614" i="58"/>
  <c r="AL29" i="57"/>
  <c r="AL11" i="57"/>
  <c r="AL19" i="57"/>
  <c r="AL49" i="57"/>
  <c r="V424" i="66"/>
  <c r="L614" i="58"/>
  <c r="T614" i="58"/>
  <c r="AW625" i="79"/>
  <c r="AL10" i="57"/>
  <c r="AL16" i="57"/>
  <c r="AL23" i="57"/>
  <c r="I424" i="66"/>
  <c r="AB597" i="66"/>
  <c r="L597" i="66"/>
  <c r="AH111" i="65"/>
  <c r="B525" i="60"/>
  <c r="Q103" i="81"/>
  <c r="P441" i="61"/>
  <c r="Q77" i="81"/>
  <c r="Q76" i="81"/>
  <c r="AW377" i="79"/>
  <c r="P440" i="61"/>
  <c r="P432" i="61"/>
  <c r="F108" i="81"/>
  <c r="N484" i="61"/>
  <c r="P431" i="61"/>
  <c r="P443" i="61"/>
  <c r="Q37" i="81"/>
  <c r="Q43" i="81"/>
  <c r="AA134" i="62"/>
  <c r="AA140" i="62"/>
  <c r="AH117" i="65"/>
  <c r="AA284" i="62"/>
  <c r="E185" i="62"/>
  <c r="B185" i="62"/>
  <c r="AH25" i="65"/>
  <c r="W480" i="66"/>
  <c r="Q42" i="81"/>
  <c r="Q238" i="81"/>
  <c r="Q8" i="81"/>
  <c r="AA292" i="62"/>
  <c r="AA183" i="62"/>
  <c r="G292" i="81"/>
  <c r="AL28" i="57"/>
  <c r="AL40" i="57"/>
  <c r="O424" i="66"/>
  <c r="AA121" i="62"/>
  <c r="BI14" i="56"/>
  <c r="BI45" i="56"/>
  <c r="T67" i="56"/>
  <c r="AZ67" i="56"/>
  <c r="AW618" i="79"/>
  <c r="AF525" i="60"/>
  <c r="P436" i="61"/>
  <c r="AW539" i="79"/>
  <c r="E484" i="61"/>
  <c r="P449" i="61"/>
  <c r="N53" i="81"/>
  <c r="Q24" i="81"/>
  <c r="K305" i="62"/>
  <c r="Q244" i="81"/>
  <c r="Q7" i="81"/>
  <c r="F53" i="81"/>
  <c r="AL53" i="57"/>
  <c r="T424" i="66"/>
  <c r="H424" i="66"/>
  <c r="D484" i="61"/>
  <c r="AW511" i="79"/>
  <c r="Q96" i="81"/>
  <c r="P452" i="61"/>
  <c r="P461" i="61"/>
  <c r="Q48" i="81"/>
  <c r="Q10" i="81"/>
  <c r="AA346" i="62"/>
  <c r="AC480" i="66"/>
  <c r="P433" i="61"/>
  <c r="J484" i="61"/>
  <c r="Q47" i="81"/>
  <c r="Q14" i="81"/>
  <c r="AA270" i="62"/>
  <c r="AA302" i="62"/>
  <c r="AA390" i="62"/>
  <c r="Q249" i="81"/>
  <c r="AD8" i="71"/>
  <c r="Q100" i="81"/>
  <c r="P438" i="61"/>
  <c r="X424" i="66"/>
  <c r="D108" i="81"/>
  <c r="Q67" i="81"/>
  <c r="P468" i="61"/>
  <c r="P448" i="61"/>
  <c r="BI48" i="56"/>
  <c r="BG67" i="56"/>
  <c r="AH120" i="65"/>
  <c r="AH104" i="65"/>
  <c r="B484" i="61"/>
  <c r="Q75" i="81"/>
  <c r="Q60" i="81"/>
  <c r="G484" i="61"/>
  <c r="P470" i="61"/>
  <c r="Q35" i="81"/>
  <c r="L305" i="62"/>
  <c r="L185" i="62"/>
  <c r="AA175" i="62"/>
  <c r="AA344" i="62"/>
  <c r="D597" i="66"/>
  <c r="AL43" i="57"/>
  <c r="AL37" i="57"/>
  <c r="AL46" i="57"/>
  <c r="AL35" i="57"/>
  <c r="AL45" i="57"/>
  <c r="K535" i="66"/>
  <c r="AA320" i="62"/>
  <c r="AA324" i="62"/>
  <c r="AA147" i="62"/>
  <c r="W535" i="66"/>
  <c r="Q41" i="81"/>
  <c r="D53" i="81"/>
  <c r="Q17" i="81"/>
  <c r="Q12" i="81"/>
  <c r="Q18" i="81"/>
  <c r="O305" i="62"/>
  <c r="AA165" i="62"/>
  <c r="AA264" i="62"/>
  <c r="AA179" i="62"/>
  <c r="AA398" i="62"/>
  <c r="AA340" i="62"/>
  <c r="X535" i="66"/>
  <c r="BI130" i="56"/>
  <c r="AQ185" i="56"/>
  <c r="AP185" i="56"/>
  <c r="AW525" i="79"/>
  <c r="Q9" i="81"/>
  <c r="Q49" i="81"/>
  <c r="G53" i="81"/>
  <c r="Q16" i="81"/>
  <c r="Q22" i="81"/>
  <c r="O53" i="81"/>
  <c r="K185" i="62"/>
  <c r="AA376" i="62"/>
  <c r="AA167" i="62"/>
  <c r="T305" i="62"/>
  <c r="AA192" i="62"/>
  <c r="AA295" i="62"/>
  <c r="H185" i="56"/>
  <c r="BI134" i="56"/>
  <c r="AI185" i="56"/>
  <c r="Y185" i="56"/>
  <c r="AB185" i="56"/>
  <c r="P463" i="61"/>
  <c r="P456" i="61"/>
  <c r="P439" i="61"/>
  <c r="Q36" i="81"/>
  <c r="I484" i="61"/>
  <c r="B53" i="81"/>
  <c r="Q23" i="81"/>
  <c r="Q13" i="81"/>
  <c r="Q20" i="81"/>
  <c r="Q26" i="81"/>
  <c r="AA130" i="62"/>
  <c r="AA249" i="62"/>
  <c r="AA177" i="62"/>
  <c r="AA296" i="62"/>
  <c r="AA193" i="62"/>
  <c r="U185" i="62"/>
  <c r="AA300" i="62"/>
  <c r="H183" i="65"/>
  <c r="BI132" i="56"/>
  <c r="AA185" i="56"/>
  <c r="BI146" i="56"/>
  <c r="AA181" i="62"/>
  <c r="AA138" i="62"/>
  <c r="AA158" i="62"/>
  <c r="AA273" i="62"/>
  <c r="AA206" i="62"/>
  <c r="AA262" i="62"/>
  <c r="AA247" i="62"/>
  <c r="AA195" i="62"/>
  <c r="AA285" i="62"/>
  <c r="AA358" i="62"/>
  <c r="AA311" i="62"/>
  <c r="AA355" i="62"/>
  <c r="AA410" i="62"/>
  <c r="AW330" i="79"/>
  <c r="AW328" i="79"/>
  <c r="Q40" i="81"/>
  <c r="Q29" i="81"/>
  <c r="Q38" i="81"/>
  <c r="Q28" i="81"/>
  <c r="Q34" i="81"/>
  <c r="AA279" i="62"/>
  <c r="AA155" i="62"/>
  <c r="AA132" i="62"/>
  <c r="AA356" i="62"/>
  <c r="AC424" i="66"/>
  <c r="F424" i="66"/>
  <c r="Q39" i="81"/>
  <c r="Q15" i="81"/>
  <c r="Q50" i="81"/>
  <c r="Q32" i="81"/>
  <c r="I53" i="81"/>
  <c r="AA286" i="62"/>
  <c r="AA405" i="62"/>
  <c r="AA260" i="62"/>
  <c r="AA287" i="62"/>
  <c r="AA171" i="62"/>
  <c r="AA257" i="62"/>
  <c r="AA173" i="62"/>
  <c r="AA312" i="62"/>
  <c r="AA163" i="62"/>
  <c r="BD185" i="56"/>
  <c r="BI144" i="56"/>
  <c r="AA251" i="62"/>
  <c r="AJ185" i="56"/>
  <c r="AA136" i="62"/>
  <c r="AA153" i="62"/>
  <c r="AA182" i="62"/>
  <c r="AA266" i="62"/>
  <c r="AA373" i="62"/>
  <c r="AA314" i="62"/>
  <c r="I305" i="62"/>
  <c r="AA241" i="62"/>
  <c r="AA293" i="62"/>
  <c r="AA200" i="62"/>
  <c r="AA327" i="62"/>
  <c r="AA245" i="62"/>
  <c r="AA248" i="62"/>
  <c r="AW310" i="79"/>
  <c r="AW524" i="79"/>
  <c r="AW561" i="79"/>
  <c r="F484" i="61"/>
  <c r="P434" i="61"/>
  <c r="P472" i="61"/>
  <c r="M53" i="81"/>
  <c r="E53" i="81"/>
  <c r="J53" i="81"/>
  <c r="C53" i="81"/>
  <c r="AA151" i="62"/>
  <c r="AA343" i="62"/>
  <c r="Q185" i="62"/>
  <c r="AA386" i="62"/>
  <c r="S185" i="62"/>
  <c r="D424" i="66"/>
  <c r="C424" i="66"/>
  <c r="BI172" i="56"/>
  <c r="BI170" i="56"/>
  <c r="BB185" i="56"/>
  <c r="M185" i="56"/>
  <c r="E185" i="56"/>
  <c r="I185" i="62"/>
  <c r="AA131" i="62"/>
  <c r="N185" i="62"/>
  <c r="AA325" i="62"/>
  <c r="AA221" i="62"/>
  <c r="AA365" i="62"/>
  <c r="AA310" i="62"/>
  <c r="AA357" i="62"/>
  <c r="AA297" i="62"/>
  <c r="AA204" i="62"/>
  <c r="AA360" i="62"/>
  <c r="AA268" i="62"/>
  <c r="P444" i="61"/>
  <c r="P457" i="61"/>
  <c r="Q44" i="81"/>
  <c r="Q27" i="81"/>
  <c r="Q19" i="81"/>
  <c r="Q33" i="81"/>
  <c r="L53" i="81"/>
  <c r="AA335" i="62"/>
  <c r="AA189" i="62"/>
  <c r="AA232" i="62"/>
  <c r="AA209" i="62"/>
  <c r="AA152" i="62"/>
  <c r="AA194" i="62"/>
  <c r="E535" i="66"/>
  <c r="I535" i="66"/>
  <c r="BI143" i="56"/>
  <c r="BI159" i="56"/>
  <c r="BC185" i="56"/>
  <c r="AL56" i="57"/>
  <c r="Y424" i="66"/>
  <c r="G424" i="66"/>
  <c r="S535" i="66"/>
  <c r="AT185" i="56"/>
  <c r="K185" i="56"/>
  <c r="BI140" i="56"/>
  <c r="Q11" i="81"/>
  <c r="Q25" i="81"/>
  <c r="Q46" i="81"/>
  <c r="Q6" i="81"/>
  <c r="AA258" i="62"/>
  <c r="AA402" i="62"/>
  <c r="AA316" i="62"/>
  <c r="AA148" i="62"/>
  <c r="AA303" i="62"/>
  <c r="AA150" i="62"/>
  <c r="AA328" i="62"/>
  <c r="Y305" i="62"/>
  <c r="AA166" i="62"/>
  <c r="AL34" i="57"/>
  <c r="AL48" i="57"/>
  <c r="AL55" i="57"/>
  <c r="J424" i="66"/>
  <c r="F535" i="66"/>
  <c r="R597" i="66"/>
  <c r="P597" i="66"/>
  <c r="C597" i="66"/>
  <c r="T597" i="66"/>
  <c r="V597" i="66"/>
  <c r="Q535" i="66"/>
  <c r="V535" i="66"/>
  <c r="Z535" i="66"/>
  <c r="M597" i="66"/>
  <c r="O597" i="66"/>
  <c r="J535" i="66"/>
  <c r="D535" i="66"/>
  <c r="N535" i="66"/>
  <c r="K597" i="66"/>
  <c r="G597" i="66"/>
  <c r="AB535" i="66"/>
  <c r="U535" i="66"/>
  <c r="AC597" i="66"/>
  <c r="W597" i="66"/>
  <c r="AC535" i="66"/>
  <c r="T535" i="66"/>
  <c r="S597" i="66"/>
  <c r="I597" i="66"/>
  <c r="L535" i="66"/>
  <c r="R535" i="66"/>
  <c r="E597" i="66"/>
  <c r="F597" i="66"/>
  <c r="AA597" i="66"/>
  <c r="Y535" i="66"/>
  <c r="M535" i="66"/>
  <c r="U597" i="66"/>
  <c r="Q597" i="66"/>
  <c r="H535" i="66"/>
  <c r="O535" i="66"/>
  <c r="D554" i="58"/>
  <c r="Z597" i="66"/>
  <c r="H597" i="66"/>
  <c r="C535" i="66"/>
  <c r="AA535" i="66"/>
  <c r="J554" i="58"/>
  <c r="Y597" i="66"/>
  <c r="G535" i="66"/>
  <c r="Q585" i="81"/>
  <c r="AE353" i="66"/>
  <c r="Q551" i="81"/>
  <c r="Q253" i="81"/>
  <c r="Q278" i="81"/>
  <c r="K121" i="66"/>
  <c r="W121" i="66"/>
  <c r="F121" i="66"/>
  <c r="R121" i="66"/>
  <c r="I121" i="66"/>
  <c r="U121" i="66"/>
  <c r="S121" i="66"/>
  <c r="G121" i="66"/>
  <c r="X121" i="66"/>
  <c r="V121" i="66"/>
  <c r="C121" i="66"/>
  <c r="N121" i="66"/>
  <c r="O121" i="66"/>
  <c r="AC121" i="66"/>
  <c r="H121" i="66"/>
  <c r="P121" i="66"/>
  <c r="Z121" i="66"/>
  <c r="AA121" i="66"/>
  <c r="J121" i="66"/>
  <c r="Q121" i="66"/>
  <c r="AB121" i="66"/>
  <c r="D121" i="66"/>
  <c r="M121" i="66"/>
  <c r="T121" i="66"/>
  <c r="E121" i="66"/>
  <c r="Y121" i="66"/>
  <c r="Q257" i="81"/>
  <c r="AE446" i="66"/>
  <c r="Q270" i="81"/>
  <c r="AE587" i="66"/>
  <c r="J292" i="81"/>
  <c r="Q87" i="81"/>
  <c r="AJ18" i="58"/>
  <c r="Q57" i="81"/>
  <c r="Q577" i="81"/>
  <c r="C292" i="81"/>
  <c r="Q255" i="81"/>
  <c r="Q260" i="81"/>
  <c r="Q236" i="81"/>
  <c r="Y554" i="58"/>
  <c r="J366" i="66"/>
  <c r="W366" i="66"/>
  <c r="K366" i="66"/>
  <c r="AA366" i="66"/>
  <c r="AC366" i="66"/>
  <c r="P366" i="66"/>
  <c r="O366" i="66"/>
  <c r="AB366" i="66"/>
  <c r="S366" i="66"/>
  <c r="U366" i="66"/>
  <c r="R366" i="66"/>
  <c r="Z366" i="66"/>
  <c r="C366" i="66"/>
  <c r="I366" i="66"/>
  <c r="Q366" i="66"/>
  <c r="F366" i="66"/>
  <c r="L366" i="66"/>
  <c r="X366" i="66"/>
  <c r="G366" i="66"/>
  <c r="M366" i="66"/>
  <c r="Y366" i="66"/>
  <c r="D366" i="66"/>
  <c r="H366" i="66"/>
  <c r="V366" i="66"/>
  <c r="E366" i="66"/>
  <c r="N366" i="66"/>
  <c r="C183" i="66"/>
  <c r="O183" i="66"/>
  <c r="AA183" i="66"/>
  <c r="K183" i="66"/>
  <c r="W183" i="66"/>
  <c r="L183" i="66"/>
  <c r="Q183" i="66"/>
  <c r="I183" i="66"/>
  <c r="AB183" i="66"/>
  <c r="S183" i="66"/>
  <c r="R183" i="66"/>
  <c r="T183" i="66"/>
  <c r="G183" i="66"/>
  <c r="X183" i="66"/>
  <c r="Z183" i="66"/>
  <c r="AC183" i="66"/>
  <c r="P183" i="66"/>
  <c r="F183" i="66"/>
  <c r="U183" i="66"/>
  <c r="M183" i="66"/>
  <c r="H183" i="66"/>
  <c r="D183" i="66"/>
  <c r="V183" i="66"/>
  <c r="AD728" i="66"/>
  <c r="W729" i="66" s="1"/>
  <c r="Q269" i="81"/>
  <c r="R303" i="66"/>
  <c r="I303" i="66"/>
  <c r="U303" i="66"/>
  <c r="F303" i="66"/>
  <c r="S303" i="66"/>
  <c r="G303" i="66"/>
  <c r="H303" i="66"/>
  <c r="Y303" i="66"/>
  <c r="C303" i="66"/>
  <c r="E303" i="66"/>
  <c r="O303" i="66"/>
  <c r="P303" i="66"/>
  <c r="M303" i="66"/>
  <c r="Q303" i="66"/>
  <c r="AB303" i="66"/>
  <c r="AA303" i="66"/>
  <c r="Z303" i="66"/>
  <c r="T303" i="66"/>
  <c r="W303" i="66"/>
  <c r="D303" i="66"/>
  <c r="X303" i="66"/>
  <c r="V303" i="66"/>
  <c r="L303" i="66"/>
  <c r="N303" i="66"/>
  <c r="K303" i="66"/>
  <c r="Q279" i="81"/>
  <c r="Q282" i="81"/>
  <c r="Z183" i="60"/>
  <c r="Q266" i="81"/>
  <c r="Q246" i="81"/>
  <c r="Q261" i="81"/>
  <c r="Q237" i="81"/>
  <c r="Q507" i="81"/>
  <c r="Q241" i="81"/>
  <c r="Q379" i="81"/>
  <c r="Q288" i="81"/>
  <c r="AB554" i="58"/>
  <c r="J183" i="66"/>
  <c r="Y183" i="66"/>
  <c r="H292" i="81"/>
  <c r="B292" i="81"/>
  <c r="Q250" i="81"/>
  <c r="AE257" i="66"/>
  <c r="AE457" i="66"/>
  <c r="Q525" i="81"/>
  <c r="O108" i="81"/>
  <c r="Q582" i="81"/>
  <c r="AH340" i="65"/>
  <c r="Q245" i="81"/>
  <c r="Q248" i="81"/>
  <c r="N554" i="58"/>
  <c r="M292" i="81"/>
  <c r="Q254" i="81"/>
  <c r="Q70" i="81"/>
  <c r="L421" i="62"/>
  <c r="Q344" i="81"/>
  <c r="Q243" i="81"/>
  <c r="P720" i="81"/>
  <c r="T480" i="66"/>
  <c r="G480" i="66"/>
  <c r="H480" i="66"/>
  <c r="S480" i="66"/>
  <c r="AA480" i="66"/>
  <c r="I480" i="66"/>
  <c r="P480" i="66"/>
  <c r="AB480" i="66"/>
  <c r="L480" i="66"/>
  <c r="C480" i="66"/>
  <c r="R480" i="66"/>
  <c r="U480" i="66"/>
  <c r="F480" i="66"/>
  <c r="Z480" i="66"/>
  <c r="X480" i="66"/>
  <c r="Q480" i="66"/>
  <c r="O480" i="66"/>
  <c r="Y480" i="66"/>
  <c r="M480" i="66"/>
  <c r="V480" i="66"/>
  <c r="N480" i="66"/>
  <c r="J480" i="66"/>
  <c r="K480" i="66"/>
  <c r="Q102" i="81"/>
  <c r="Q264" i="81"/>
  <c r="N292" i="81"/>
  <c r="Q258" i="81"/>
  <c r="Q63" i="81"/>
  <c r="AE337" i="66"/>
  <c r="K292" i="81"/>
  <c r="Q663" i="81"/>
  <c r="Q312" i="81"/>
  <c r="Q391" i="81"/>
  <c r="Q276" i="81"/>
  <c r="Q259" i="81"/>
  <c r="Y183" i="65"/>
  <c r="AD554" i="58"/>
  <c r="F554" i="58"/>
  <c r="AC303" i="66"/>
  <c r="F292" i="81"/>
  <c r="B108" i="81"/>
  <c r="Q404" i="81"/>
  <c r="Q390" i="81"/>
  <c r="Q272" i="81"/>
  <c r="T554" i="58"/>
  <c r="T366" i="66"/>
  <c r="E183" i="66"/>
  <c r="J303" i="66"/>
  <c r="AE709" i="66"/>
  <c r="Q251" i="81"/>
  <c r="Q700" i="81"/>
  <c r="Q319" i="81"/>
  <c r="M183" i="60"/>
  <c r="Q256" i="81"/>
  <c r="D292" i="81"/>
  <c r="U554" i="58"/>
  <c r="AV736" i="79"/>
  <c r="AR737" i="79" s="1"/>
  <c r="L121" i="66"/>
  <c r="E480" i="66"/>
  <c r="G243" i="66"/>
  <c r="Z243" i="66"/>
  <c r="AA243" i="66"/>
  <c r="O243" i="66"/>
  <c r="C243" i="66"/>
  <c r="Y243" i="66"/>
  <c r="F243" i="66"/>
  <c r="P243" i="66"/>
  <c r="R243" i="66"/>
  <c r="L243" i="66"/>
  <c r="K243" i="66"/>
  <c r="S243" i="66"/>
  <c r="AB243" i="66"/>
  <c r="U243" i="66"/>
  <c r="W243" i="66"/>
  <c r="X243" i="66"/>
  <c r="H243" i="66"/>
  <c r="V243" i="66"/>
  <c r="I243" i="66"/>
  <c r="T243" i="66"/>
  <c r="D243" i="66"/>
  <c r="N243" i="66"/>
  <c r="AC243" i="66"/>
  <c r="M243" i="66"/>
  <c r="Q243" i="66"/>
  <c r="J243" i="66"/>
  <c r="Q275" i="81"/>
  <c r="Q283" i="81"/>
  <c r="Q82" i="81"/>
  <c r="Q58" i="81"/>
  <c r="V554" i="58"/>
  <c r="Y431" i="58"/>
  <c r="S124" i="65"/>
  <c r="O554" i="58"/>
  <c r="AA554" i="58"/>
  <c r="L554" i="58"/>
  <c r="AE554" i="58"/>
  <c r="AC554" i="58"/>
  <c r="I554" i="58"/>
  <c r="G554" i="58"/>
  <c r="K183" i="65"/>
  <c r="Z183" i="65"/>
  <c r="J183" i="65"/>
  <c r="E183" i="65"/>
  <c r="O723" i="61"/>
  <c r="J724" i="61" s="1"/>
  <c r="S554" i="58"/>
  <c r="X554" i="58"/>
  <c r="H554" i="58"/>
  <c r="BH744" i="56"/>
  <c r="BF745" i="56" s="1"/>
  <c r="AE61" i="66"/>
  <c r="AE58" i="66"/>
  <c r="L302" i="60"/>
  <c r="AE31" i="66"/>
  <c r="AE19" i="66"/>
  <c r="C554" i="58"/>
  <c r="P554" i="58"/>
  <c r="R183" i="65"/>
  <c r="K554" i="58"/>
  <c r="AF554" i="58"/>
  <c r="AP307" i="56"/>
  <c r="AT307" i="56"/>
  <c r="BC307" i="56"/>
  <c r="AM307" i="56"/>
  <c r="BB307" i="56"/>
  <c r="AJ307" i="56"/>
  <c r="AL307" i="56"/>
  <c r="AR307" i="56"/>
  <c r="AO307" i="56"/>
  <c r="BD307" i="56"/>
  <c r="BA307" i="56"/>
  <c r="AZ307" i="56"/>
  <c r="AY307" i="56"/>
  <c r="AX307" i="56"/>
  <c r="AW307" i="56"/>
  <c r="AI307" i="56"/>
  <c r="AS307" i="56"/>
  <c r="BE307" i="56"/>
  <c r="AH307" i="56"/>
  <c r="BG307" i="56"/>
  <c r="AK307" i="56"/>
  <c r="AN307" i="56"/>
  <c r="AU307" i="56"/>
  <c r="AQ307" i="56"/>
  <c r="AV307" i="56"/>
  <c r="AH302" i="60"/>
  <c r="AF183" i="65"/>
  <c r="M554" i="58"/>
  <c r="Q554" i="58"/>
  <c r="H484" i="61"/>
  <c r="AE183" i="65"/>
  <c r="AG554" i="58"/>
  <c r="E554" i="58"/>
  <c r="I183" i="65"/>
  <c r="Z554" i="58"/>
  <c r="R554" i="58"/>
  <c r="AD183" i="65"/>
  <c r="AH554" i="58"/>
  <c r="AA65" i="62"/>
  <c r="AA290" i="62"/>
  <c r="AA142" i="62"/>
  <c r="AA159" i="62"/>
  <c r="AA330" i="62"/>
  <c r="AA367" i="62"/>
  <c r="AA322" i="62"/>
  <c r="AI739" i="58"/>
  <c r="H740" i="58" s="1"/>
  <c r="M183" i="65"/>
  <c r="AA348" i="62"/>
  <c r="AA212" i="62"/>
  <c r="Q305" i="62"/>
  <c r="AA382" i="62"/>
  <c r="AA331" i="62"/>
  <c r="AE431" i="58"/>
  <c r="O431" i="58"/>
  <c r="X183" i="65"/>
  <c r="O183" i="65"/>
  <c r="AC183" i="65"/>
  <c r="AA210" i="62"/>
  <c r="AA333" i="62"/>
  <c r="AA384" i="62"/>
  <c r="T183" i="65"/>
  <c r="S183" i="65"/>
  <c r="W183" i="65"/>
  <c r="E305" i="62"/>
  <c r="AA190" i="62"/>
  <c r="AA274" i="62"/>
  <c r="AA169" i="62"/>
  <c r="AB183" i="65"/>
  <c r="AA183" i="65"/>
  <c r="U183" i="65"/>
  <c r="G183" i="65"/>
  <c r="L183" i="65"/>
  <c r="AA170" i="62"/>
  <c r="AA299" i="62"/>
  <c r="AA269" i="62"/>
  <c r="AA352" i="62"/>
  <c r="T185" i="62"/>
  <c r="C183" i="65"/>
  <c r="F183" i="65"/>
  <c r="AA178" i="62"/>
  <c r="H185" i="62"/>
  <c r="AA388" i="62"/>
  <c r="AA280" i="62"/>
  <c r="AA220" i="62"/>
  <c r="AA141" i="62"/>
  <c r="P183" i="65"/>
  <c r="D183" i="65"/>
  <c r="V183" i="65"/>
  <c r="G185" i="62"/>
  <c r="AA252" i="62"/>
  <c r="B305" i="62"/>
  <c r="AA240" i="62"/>
  <c r="AA276" i="62"/>
  <c r="AA339" i="62"/>
  <c r="Q183" i="65"/>
  <c r="AA244" i="62"/>
  <c r="Y362" i="62"/>
  <c r="N124" i="65"/>
  <c r="Z124" i="65"/>
  <c r="C124" i="65"/>
  <c r="O124" i="65"/>
  <c r="AA124" i="65"/>
  <c r="E124" i="65"/>
  <c r="Q124" i="65"/>
  <c r="AC124" i="65"/>
  <c r="F124" i="65"/>
  <c r="R124" i="65"/>
  <c r="AD124" i="65"/>
  <c r="H124" i="65"/>
  <c r="AF124" i="65"/>
  <c r="W124" i="65"/>
  <c r="L124" i="65"/>
  <c r="X124" i="65"/>
  <c r="AE124" i="65"/>
  <c r="G124" i="65"/>
  <c r="J124" i="65"/>
  <c r="U124" i="65"/>
  <c r="I124" i="65"/>
  <c r="V124" i="65"/>
  <c r="Y124" i="65"/>
  <c r="D124" i="65"/>
  <c r="AB124" i="65"/>
  <c r="M124" i="65"/>
  <c r="P124" i="65"/>
  <c r="T124" i="65"/>
  <c r="X431" i="58"/>
  <c r="AG431" i="58"/>
  <c r="AH431" i="58"/>
  <c r="E431" i="58"/>
  <c r="F431" i="58"/>
  <c r="G431" i="58"/>
  <c r="Z431" i="58"/>
  <c r="C431" i="58"/>
  <c r="AC431" i="58"/>
  <c r="AB431" i="58"/>
  <c r="R431" i="58"/>
  <c r="W431" i="58"/>
  <c r="AF431" i="58"/>
  <c r="V431" i="58"/>
  <c r="M431" i="58"/>
  <c r="L431" i="58"/>
  <c r="B431" i="58"/>
  <c r="P431" i="58"/>
  <c r="J431" i="58"/>
  <c r="T431" i="58"/>
  <c r="S431" i="58"/>
  <c r="K431" i="58"/>
  <c r="D431" i="58"/>
  <c r="N431" i="58"/>
  <c r="H431" i="58"/>
  <c r="AA431" i="58"/>
  <c r="AD431" i="58"/>
  <c r="Q431" i="58"/>
  <c r="I431" i="58"/>
  <c r="E304" i="61"/>
  <c r="P299" i="61"/>
  <c r="AH178" i="65"/>
  <c r="AH163" i="65"/>
  <c r="AH147" i="65"/>
  <c r="AH136" i="65"/>
  <c r="AH152" i="65"/>
  <c r="AH140" i="65"/>
  <c r="AH156" i="65"/>
  <c r="AH172" i="65"/>
  <c r="AH158" i="65"/>
  <c r="AH148" i="65"/>
  <c r="AH175" i="65"/>
  <c r="AH173" i="65"/>
  <c r="AH134" i="65"/>
  <c r="AH145" i="65"/>
  <c r="AH151" i="65"/>
  <c r="AH157" i="65"/>
  <c r="AH177" i="65"/>
  <c r="AH155" i="65"/>
  <c r="AH162" i="65"/>
  <c r="AD70" i="77"/>
  <c r="J71" i="77" s="1"/>
  <c r="P325" i="61"/>
  <c r="P308" i="61"/>
  <c r="AN695" i="60"/>
  <c r="T696" i="60" s="1"/>
  <c r="Q428" i="81"/>
  <c r="AA288" i="62"/>
  <c r="AA243" i="62"/>
  <c r="Q634" i="81"/>
  <c r="Q647" i="81"/>
  <c r="O245" i="62"/>
  <c r="P245" i="62"/>
  <c r="D245" i="62"/>
  <c r="R245" i="62"/>
  <c r="F245" i="62"/>
  <c r="X245" i="62"/>
  <c r="G245" i="62"/>
  <c r="H245" i="62"/>
  <c r="I245" i="62"/>
  <c r="J245" i="62"/>
  <c r="M245" i="62"/>
  <c r="S245" i="62"/>
  <c r="E245" i="62"/>
  <c r="K245" i="62"/>
  <c r="Q245" i="62"/>
  <c r="U245" i="62"/>
  <c r="C245" i="62"/>
  <c r="T245" i="62"/>
  <c r="W245" i="62"/>
  <c r="L245" i="62"/>
  <c r="Q579" i="81"/>
  <c r="X305" i="62"/>
  <c r="W305" i="62"/>
  <c r="I124" i="62"/>
  <c r="J124" i="62"/>
  <c r="N124" i="62"/>
  <c r="P124" i="62"/>
  <c r="C124" i="62"/>
  <c r="Q124" i="62"/>
  <c r="D124" i="62"/>
  <c r="F124" i="62"/>
  <c r="X124" i="62"/>
  <c r="H124" i="62"/>
  <c r="T124" i="62"/>
  <c r="G124" i="62"/>
  <c r="R124" i="62"/>
  <c r="E124" i="62"/>
  <c r="W124" i="62"/>
  <c r="L124" i="62"/>
  <c r="U124" i="62"/>
  <c r="M124" i="62"/>
  <c r="S124" i="62"/>
  <c r="O124" i="62"/>
  <c r="K124" i="62"/>
  <c r="B124" i="62"/>
  <c r="Z709" i="62"/>
  <c r="P314" i="61"/>
  <c r="AA197" i="62"/>
  <c r="AA371" i="62"/>
  <c r="AA342" i="62"/>
  <c r="AA216" i="62"/>
  <c r="N245" i="62"/>
  <c r="AA111" i="62"/>
  <c r="P326" i="61"/>
  <c r="AA336" i="62"/>
  <c r="AA394" i="62"/>
  <c r="AA409" i="62"/>
  <c r="AA378" i="62"/>
  <c r="AA205" i="62"/>
  <c r="E362" i="62"/>
  <c r="X362" i="62"/>
  <c r="F362" i="62"/>
  <c r="G362" i="62"/>
  <c r="J362" i="62"/>
  <c r="N362" i="62"/>
  <c r="C362" i="62"/>
  <c r="Q362" i="62"/>
  <c r="H362" i="62"/>
  <c r="S362" i="62"/>
  <c r="D362" i="62"/>
  <c r="L362" i="62"/>
  <c r="O362" i="62"/>
  <c r="M362" i="62"/>
  <c r="W362" i="62"/>
  <c r="R362" i="62"/>
  <c r="U362" i="62"/>
  <c r="P362" i="62"/>
  <c r="T362" i="62"/>
  <c r="B362" i="62"/>
  <c r="K362" i="62"/>
  <c r="P323" i="61"/>
  <c r="BI566" i="56"/>
  <c r="Q589" i="81"/>
  <c r="AA201" i="62"/>
  <c r="AA291" i="62"/>
  <c r="AA254" i="62"/>
  <c r="G305" i="62"/>
  <c r="AA319" i="62"/>
  <c r="F183" i="60"/>
  <c r="AB183" i="60"/>
  <c r="H183" i="60"/>
  <c r="U183" i="60"/>
  <c r="AO523" i="60"/>
  <c r="AO495" i="60"/>
  <c r="AO373" i="60"/>
  <c r="AI421" i="60"/>
  <c r="AH421" i="60"/>
  <c r="AJ421" i="60"/>
  <c r="AK421" i="60"/>
  <c r="AL421" i="60"/>
  <c r="J525" i="60"/>
  <c r="AF302" i="60"/>
  <c r="X525" i="60"/>
  <c r="AG183" i="60"/>
  <c r="AJ183" i="60"/>
  <c r="AI183" i="60"/>
  <c r="AK183" i="60"/>
  <c r="AH183" i="60"/>
  <c r="AL183" i="60"/>
  <c r="Z302" i="60"/>
  <c r="P525" i="60"/>
  <c r="AO514" i="60"/>
  <c r="AJ122" i="60"/>
  <c r="AH122" i="60"/>
  <c r="AL122" i="60"/>
  <c r="AK122" i="60"/>
  <c r="AI122" i="60"/>
  <c r="AO496" i="60"/>
  <c r="AO487" i="60"/>
  <c r="H302" i="60"/>
  <c r="AO333" i="60"/>
  <c r="AH361" i="60"/>
  <c r="AI361" i="60"/>
  <c r="AL361" i="60"/>
  <c r="AK361" i="60"/>
  <c r="AJ361" i="60"/>
  <c r="AG361" i="60"/>
  <c r="B302" i="60"/>
  <c r="G302" i="60"/>
  <c r="AJ302" i="60"/>
  <c r="AL302" i="60"/>
  <c r="AI302" i="60"/>
  <c r="AK302" i="60"/>
  <c r="V302" i="60"/>
  <c r="Y302" i="60"/>
  <c r="AM302" i="60"/>
  <c r="K302" i="60"/>
  <c r="R302" i="60"/>
  <c r="W302" i="60"/>
  <c r="Q302" i="60"/>
  <c r="D302" i="60"/>
  <c r="AC302" i="60"/>
  <c r="N302" i="60"/>
  <c r="I302" i="60"/>
  <c r="F302" i="60"/>
  <c r="AB302" i="60"/>
  <c r="J302" i="60"/>
  <c r="C302" i="60"/>
  <c r="AK68" i="60"/>
  <c r="O608" i="65"/>
  <c r="BI343" i="56"/>
  <c r="BI487" i="56"/>
  <c r="BI404" i="56"/>
  <c r="BI724" i="56"/>
  <c r="BI515" i="56"/>
  <c r="E608" i="65"/>
  <c r="BI350" i="56"/>
  <c r="H608" i="65"/>
  <c r="F608" i="65"/>
  <c r="S608" i="65"/>
  <c r="R608" i="65"/>
  <c r="J608" i="65"/>
  <c r="AD608" i="65"/>
  <c r="Y608" i="65"/>
  <c r="T608" i="65"/>
  <c r="AB608" i="65"/>
  <c r="Z608" i="65"/>
  <c r="I608" i="65"/>
  <c r="D608" i="65"/>
  <c r="K608" i="65"/>
  <c r="B608" i="65"/>
  <c r="X608" i="65"/>
  <c r="U608" i="65"/>
  <c r="W608" i="65"/>
  <c r="V608" i="65"/>
  <c r="G608" i="65"/>
  <c r="C608" i="65"/>
  <c r="Q608" i="65"/>
  <c r="AA608" i="65"/>
  <c r="AW197" i="79"/>
  <c r="W183" i="60"/>
  <c r="AC183" i="60"/>
  <c r="AH352" i="65"/>
  <c r="AH678" i="65"/>
  <c r="AH677" i="65"/>
  <c r="AH679" i="65"/>
  <c r="AH680" i="65"/>
  <c r="Q703" i="81"/>
  <c r="Q670" i="81"/>
  <c r="Q669" i="81"/>
  <c r="Q667" i="81"/>
  <c r="Q668" i="81"/>
  <c r="AJ196" i="58"/>
  <c r="AJ684" i="58"/>
  <c r="AJ686" i="58"/>
  <c r="AJ687" i="58"/>
  <c r="AJ685" i="58"/>
  <c r="AE666" i="66"/>
  <c r="AE667" i="66"/>
  <c r="AE668" i="66"/>
  <c r="AE665" i="66"/>
  <c r="AL441" i="57"/>
  <c r="AL677" i="57"/>
  <c r="AL674" i="57"/>
  <c r="AL676" i="57"/>
  <c r="AL675" i="57"/>
  <c r="AH31" i="65"/>
  <c r="AO501" i="60"/>
  <c r="AO503" i="60"/>
  <c r="F69" i="65"/>
  <c r="AL525" i="60"/>
  <c r="AO504" i="60"/>
  <c r="AH42" i="65"/>
  <c r="R525" i="60"/>
  <c r="AC525" i="60"/>
  <c r="AO486" i="60"/>
  <c r="AB525" i="60"/>
  <c r="AO509" i="60"/>
  <c r="AH26" i="65"/>
  <c r="AO494" i="60"/>
  <c r="AO522" i="60"/>
  <c r="AO518" i="60"/>
  <c r="H525" i="60"/>
  <c r="AO507" i="60"/>
  <c r="AO505" i="60"/>
  <c r="T525" i="60"/>
  <c r="F525" i="60"/>
  <c r="U525" i="60"/>
  <c r="B554" i="58"/>
  <c r="AJ525" i="60"/>
  <c r="AE182" i="79"/>
  <c r="AH8" i="65"/>
  <c r="V525" i="60"/>
  <c r="AH35" i="65"/>
  <c r="P342" i="61"/>
  <c r="C367" i="61"/>
  <c r="P349" i="61"/>
  <c r="P333" i="61"/>
  <c r="P328" i="61"/>
  <c r="D367" i="61"/>
  <c r="P332" i="61"/>
  <c r="G367" i="61"/>
  <c r="P313" i="61"/>
  <c r="P310" i="61"/>
  <c r="P336" i="61"/>
  <c r="P329" i="61"/>
  <c r="P316" i="61"/>
  <c r="P324" i="61"/>
  <c r="P348" i="61"/>
  <c r="P320" i="61"/>
  <c r="J367" i="61"/>
  <c r="P335" i="61"/>
  <c r="H367" i="61"/>
  <c r="M367" i="61"/>
  <c r="P327" i="61"/>
  <c r="P317" i="61"/>
  <c r="P321" i="61"/>
  <c r="K367" i="61"/>
  <c r="P347" i="61"/>
  <c r="P331" i="61"/>
  <c r="P334" i="61"/>
  <c r="I367" i="61"/>
  <c r="L367" i="61"/>
  <c r="P346" i="61"/>
  <c r="P338" i="61"/>
  <c r="F367" i="61"/>
  <c r="P318" i="61"/>
  <c r="N367" i="61"/>
  <c r="P315" i="61"/>
  <c r="T185" i="56"/>
  <c r="AA67" i="56"/>
  <c r="AW185" i="56"/>
  <c r="AH67" i="56"/>
  <c r="BA67" i="56"/>
  <c r="BI169" i="56"/>
  <c r="BI164" i="56"/>
  <c r="BI174" i="56"/>
  <c r="BI150" i="56"/>
  <c r="BI156" i="56"/>
  <c r="AH650" i="65"/>
  <c r="BI64" i="56"/>
  <c r="R67" i="56"/>
  <c r="BI49" i="56"/>
  <c r="BI38" i="56"/>
  <c r="F185" i="56"/>
  <c r="Y67" i="56"/>
  <c r="AX185" i="56"/>
  <c r="BI145" i="56"/>
  <c r="AH516" i="65"/>
  <c r="BA185" i="56"/>
  <c r="BI149" i="56"/>
  <c r="BI176" i="56"/>
  <c r="BI179" i="56"/>
  <c r="BI154" i="56"/>
  <c r="AL185" i="56"/>
  <c r="L67" i="56"/>
  <c r="O185" i="56"/>
  <c r="AF185" i="56"/>
  <c r="BI162" i="56"/>
  <c r="BI35" i="56"/>
  <c r="BI62" i="56"/>
  <c r="BI183" i="56"/>
  <c r="W185" i="56"/>
  <c r="BI51" i="56"/>
  <c r="BI168" i="56"/>
  <c r="AQ67" i="56"/>
  <c r="BI52" i="56"/>
  <c r="BI157" i="56"/>
  <c r="S492" i="58"/>
  <c r="BI37" i="56"/>
  <c r="BI180" i="56"/>
  <c r="AK185" i="56"/>
  <c r="BI178" i="56"/>
  <c r="BI148" i="56"/>
  <c r="X183" i="60"/>
  <c r="AM185" i="56"/>
  <c r="BI155" i="56"/>
  <c r="BI161" i="56"/>
  <c r="BI167" i="56"/>
  <c r="BI32" i="56"/>
  <c r="AT67" i="56"/>
  <c r="BI131" i="56"/>
  <c r="BI177" i="56"/>
  <c r="I185" i="56"/>
  <c r="B185" i="56"/>
  <c r="X185" i="56"/>
  <c r="BI138" i="56"/>
  <c r="BI171" i="56"/>
  <c r="BI182" i="56"/>
  <c r="BI133" i="56"/>
  <c r="BI139" i="56"/>
  <c r="AE185" i="56"/>
  <c r="BI151" i="56"/>
  <c r="BI163" i="56"/>
  <c r="BI31" i="56"/>
  <c r="P185" i="56"/>
  <c r="AM67" i="56"/>
  <c r="AN185" i="56"/>
  <c r="BF185" i="56"/>
  <c r="BI129" i="56"/>
  <c r="AI67" i="56"/>
  <c r="S185" i="56"/>
  <c r="G185" i="56"/>
  <c r="M67" i="56"/>
  <c r="BI173" i="56"/>
  <c r="BI142" i="56"/>
  <c r="AS185" i="56"/>
  <c r="S67" i="56"/>
  <c r="BI30" i="56"/>
  <c r="C185" i="56"/>
  <c r="BI141" i="56"/>
  <c r="BI165" i="56"/>
  <c r="AC185" i="56"/>
  <c r="AO67" i="56"/>
  <c r="BI137" i="56"/>
  <c r="BI46" i="56"/>
  <c r="BI158" i="56"/>
  <c r="AE67" i="56"/>
  <c r="BI152" i="56"/>
  <c r="BI136" i="56"/>
  <c r="AH343" i="65"/>
  <c r="AH656" i="65"/>
  <c r="AE544" i="66"/>
  <c r="AE641" i="66"/>
  <c r="AE629" i="66"/>
  <c r="AE643" i="66"/>
  <c r="AE649" i="66"/>
  <c r="AE626" i="66"/>
  <c r="AE633" i="66"/>
  <c r="AE646" i="66"/>
  <c r="AE653" i="66"/>
  <c r="AE606" i="66"/>
  <c r="AE651" i="66"/>
  <c r="AE654" i="66"/>
  <c r="AE644" i="66"/>
  <c r="AE637" i="66"/>
  <c r="AE634" i="66"/>
  <c r="AE648" i="66"/>
  <c r="AE621" i="66"/>
  <c r="AE640" i="66"/>
  <c r="AE620" i="66"/>
  <c r="AE647" i="66"/>
  <c r="AE652" i="66"/>
  <c r="AE603" i="66"/>
  <c r="AE607" i="66"/>
  <c r="AE613" i="66"/>
  <c r="AE631" i="66"/>
  <c r="AE645" i="66"/>
  <c r="AE632" i="66"/>
  <c r="AE614" i="66"/>
  <c r="AE609" i="66"/>
  <c r="AE635" i="66"/>
  <c r="AE617" i="66"/>
  <c r="AE650" i="66"/>
  <c r="AE615" i="66"/>
  <c r="AE623" i="66"/>
  <c r="AE642" i="66"/>
  <c r="AE639" i="66"/>
  <c r="AE638" i="66"/>
  <c r="AE636" i="66"/>
  <c r="AE630" i="66"/>
  <c r="AE628" i="66"/>
  <c r="AE627" i="66"/>
  <c r="AE625" i="66"/>
  <c r="AE624" i="66"/>
  <c r="AE622" i="66"/>
  <c r="AE619" i="66"/>
  <c r="AE618" i="66"/>
  <c r="AE616" i="66"/>
  <c r="AE612" i="66"/>
  <c r="AE611" i="66"/>
  <c r="AE610" i="66"/>
  <c r="AE608" i="66"/>
  <c r="AE605" i="66"/>
  <c r="AE604" i="66"/>
  <c r="AE602" i="66"/>
  <c r="BI160" i="56"/>
  <c r="Z185" i="56"/>
  <c r="BI153" i="56"/>
  <c r="AH613" i="65"/>
  <c r="AW152" i="79"/>
  <c r="Q302" i="81"/>
  <c r="Q626" i="81"/>
  <c r="Q487" i="81"/>
  <c r="Q309" i="81"/>
  <c r="Q342" i="81"/>
  <c r="Q572" i="81"/>
  <c r="Q685" i="81"/>
  <c r="AW67" i="56"/>
  <c r="D67" i="56"/>
  <c r="B124" i="65"/>
  <c r="BI28" i="56"/>
  <c r="BI29" i="56"/>
  <c r="BI55" i="56"/>
  <c r="AH82" i="65"/>
  <c r="BI43" i="56"/>
  <c r="AC67" i="56"/>
  <c r="AD183" i="60"/>
  <c r="O183" i="60"/>
  <c r="AH356" i="65"/>
  <c r="AH328" i="65"/>
  <c r="T183" i="60"/>
  <c r="Q526" i="81"/>
  <c r="V183" i="60"/>
  <c r="Q557" i="81"/>
  <c r="Q355" i="81"/>
  <c r="Q565" i="81"/>
  <c r="Q347" i="81"/>
  <c r="Q338" i="81"/>
  <c r="Q524" i="81"/>
  <c r="Q372" i="81"/>
  <c r="Q491" i="81"/>
  <c r="Q566" i="81"/>
  <c r="Q633" i="81"/>
  <c r="Q433" i="81"/>
  <c r="Q328" i="81"/>
  <c r="Q422" i="81"/>
  <c r="Q601" i="81"/>
  <c r="Q317" i="81"/>
  <c r="P297" i="61"/>
  <c r="P289" i="61"/>
  <c r="P249" i="61"/>
  <c r="P253" i="61"/>
  <c r="P288" i="61"/>
  <c r="Q679" i="81"/>
  <c r="Q301" i="81"/>
  <c r="Q705" i="81"/>
  <c r="Q361" i="81"/>
  <c r="Q394" i="81"/>
  <c r="Q485" i="81"/>
  <c r="Q493" i="81"/>
  <c r="Q440" i="81"/>
  <c r="Q681" i="81"/>
  <c r="Q381" i="81"/>
  <c r="Q505" i="81"/>
  <c r="Q327" i="81"/>
  <c r="Q454" i="81"/>
  <c r="Q611" i="81"/>
  <c r="Q316" i="81"/>
  <c r="AH115" i="65"/>
  <c r="Q362" i="81"/>
  <c r="B369" i="65"/>
  <c r="AH568" i="65"/>
  <c r="Q310" i="81"/>
  <c r="G351" i="81"/>
  <c r="Q400" i="81"/>
  <c r="Q701" i="81"/>
  <c r="Q518" i="81"/>
  <c r="Q368" i="81"/>
  <c r="Q562" i="81"/>
  <c r="Q693" i="81"/>
  <c r="Q429" i="81"/>
  <c r="Q324" i="81"/>
  <c r="Q358" i="81"/>
  <c r="Q533" i="81"/>
  <c r="Q678" i="81"/>
  <c r="Q631" i="81"/>
  <c r="Q704" i="81"/>
  <c r="Q639" i="81"/>
  <c r="Q607" i="81"/>
  <c r="Q617" i="81"/>
  <c r="Q609" i="81"/>
  <c r="Q638" i="81"/>
  <c r="Q463" i="81"/>
  <c r="Q635" i="81"/>
  <c r="BI8" i="56"/>
  <c r="BI40" i="56"/>
  <c r="BI27" i="56"/>
  <c r="BF67" i="56"/>
  <c r="J67" i="56"/>
  <c r="BI39" i="56"/>
  <c r="C246" i="58"/>
  <c r="AH86" i="65"/>
  <c r="AH80" i="65"/>
  <c r="AR67" i="56"/>
  <c r="C67" i="56"/>
  <c r="Q377" i="81"/>
  <c r="I183" i="60"/>
  <c r="Q396" i="81"/>
  <c r="AH531" i="65"/>
  <c r="AH435" i="65"/>
  <c r="Q183" i="60"/>
  <c r="Q541" i="81"/>
  <c r="Q535" i="81"/>
  <c r="Q581" i="81"/>
  <c r="Q453" i="81"/>
  <c r="Q360" i="81"/>
  <c r="Q530" i="81"/>
  <c r="Q376" i="81"/>
  <c r="Q495" i="81"/>
  <c r="Q570" i="81"/>
  <c r="Q655" i="81"/>
  <c r="Q451" i="81"/>
  <c r="Q345" i="81"/>
  <c r="Q426" i="81"/>
  <c r="Q625" i="81"/>
  <c r="Q321" i="81"/>
  <c r="P273" i="61"/>
  <c r="P281" i="61"/>
  <c r="P259" i="61"/>
  <c r="P290" i="61"/>
  <c r="P292" i="61"/>
  <c r="E244" i="79"/>
  <c r="Q443" i="81"/>
  <c r="Q702" i="81"/>
  <c r="Q371" i="81"/>
  <c r="Q356" i="81"/>
  <c r="Q395" i="81"/>
  <c r="Q560" i="81"/>
  <c r="Q322" i="81"/>
  <c r="Q568" i="81"/>
  <c r="Q713" i="81"/>
  <c r="Q399" i="81"/>
  <c r="Q437" i="81"/>
  <c r="Q548" i="81"/>
  <c r="H351" i="81"/>
  <c r="Q671" i="81"/>
  <c r="Q612" i="81"/>
  <c r="Q406" i="81"/>
  <c r="Q553" i="81"/>
  <c r="Q641" i="81"/>
  <c r="Q545" i="81"/>
  <c r="Q420" i="81"/>
  <c r="Q613" i="81"/>
  <c r="Q380" i="81"/>
  <c r="Q499" i="81"/>
  <c r="Q574" i="81"/>
  <c r="Q335" i="81"/>
  <c r="Q480" i="81"/>
  <c r="B351" i="81"/>
  <c r="Q430" i="81"/>
  <c r="Q650" i="81"/>
  <c r="Q325" i="81"/>
  <c r="Q694" i="81"/>
  <c r="Q662" i="81"/>
  <c r="M351" i="81"/>
  <c r="Q620" i="81"/>
  <c r="Q628" i="81"/>
  <c r="Q470" i="81"/>
  <c r="Q441" i="81"/>
  <c r="Q496" i="81"/>
  <c r="Q501" i="81"/>
  <c r="Q563" i="81"/>
  <c r="Q564" i="81"/>
  <c r="P67" i="56"/>
  <c r="BI10" i="56"/>
  <c r="BI53" i="56"/>
  <c r="BI24" i="56"/>
  <c r="AH116" i="65"/>
  <c r="BI25" i="56"/>
  <c r="X67" i="56"/>
  <c r="BI34" i="56"/>
  <c r="BI54" i="56"/>
  <c r="Q439" i="81"/>
  <c r="Q622" i="81"/>
  <c r="Q370" i="81"/>
  <c r="Q330" i="81"/>
  <c r="AH467" i="65"/>
  <c r="AH436" i="65"/>
  <c r="AF183" i="60"/>
  <c r="Q306" i="81"/>
  <c r="Q569" i="81"/>
  <c r="Q677" i="81"/>
  <c r="Q561" i="81"/>
  <c r="Q424" i="81"/>
  <c r="Q637" i="81"/>
  <c r="Q503" i="81"/>
  <c r="Q578" i="81"/>
  <c r="Q339" i="81"/>
  <c r="Q304" i="81"/>
  <c r="N351" i="81"/>
  <c r="Q434" i="81"/>
  <c r="Q676" i="81"/>
  <c r="Q329" i="81"/>
  <c r="P272" i="61"/>
  <c r="P293" i="61"/>
  <c r="P276" i="61"/>
  <c r="P279" i="61"/>
  <c r="P275" i="61"/>
  <c r="P300" i="61"/>
  <c r="Q473" i="81"/>
  <c r="Q460" i="81"/>
  <c r="Q683" i="81"/>
  <c r="Q621" i="81"/>
  <c r="Q531" i="81"/>
  <c r="Q616" i="81"/>
  <c r="K351" i="81"/>
  <c r="Q458" i="81"/>
  <c r="Q673" i="81"/>
  <c r="Q710" i="81"/>
  <c r="Q665" i="81"/>
  <c r="Q690" i="81"/>
  <c r="Q696" i="81"/>
  <c r="AH73" i="65"/>
  <c r="AH88" i="65"/>
  <c r="AH89" i="65"/>
  <c r="AH91" i="65"/>
  <c r="P252" i="61"/>
  <c r="AH562" i="65"/>
  <c r="AH592" i="65"/>
  <c r="AH314" i="65"/>
  <c r="Q375" i="81"/>
  <c r="Q337" i="81"/>
  <c r="Q593" i="81"/>
  <c r="Q432" i="81"/>
  <c r="Q688" i="81"/>
  <c r="Q393" i="81"/>
  <c r="Q511" i="81"/>
  <c r="Q586" i="81"/>
  <c r="L351" i="81"/>
  <c r="Q587" i="81"/>
  <c r="Q410" i="81"/>
  <c r="Q456" i="81"/>
  <c r="Q576" i="81"/>
  <c r="Q644" i="81"/>
  <c r="J304" i="61"/>
  <c r="P262" i="61"/>
  <c r="P270" i="61"/>
  <c r="K304" i="61"/>
  <c r="P254" i="61"/>
  <c r="P285" i="61"/>
  <c r="Q684" i="81"/>
  <c r="Q707" i="81"/>
  <c r="Q608" i="81"/>
  <c r="Q331" i="81"/>
  <c r="Q369" i="81"/>
  <c r="Q366" i="81"/>
  <c r="Q697" i="81"/>
  <c r="Q522" i="81"/>
  <c r="Q315" i="81"/>
  <c r="Q632" i="81"/>
  <c r="AH672" i="65"/>
  <c r="AH357" i="65"/>
  <c r="AH709" i="65"/>
  <c r="Q549" i="81"/>
  <c r="C183" i="60"/>
  <c r="Q573" i="81"/>
  <c r="Q419" i="81"/>
  <c r="Q333" i="81"/>
  <c r="Q602" i="81"/>
  <c r="Q436" i="81"/>
  <c r="Q712" i="81"/>
  <c r="Q397" i="81"/>
  <c r="Q542" i="81"/>
  <c r="Q590" i="81"/>
  <c r="Q357" i="81"/>
  <c r="Q591" i="81"/>
  <c r="Q444" i="81"/>
  <c r="Q462" i="81"/>
  <c r="Q580" i="81"/>
  <c r="Q716" i="81"/>
  <c r="P268" i="61"/>
  <c r="P280" i="61"/>
  <c r="P277" i="61"/>
  <c r="B304" i="61"/>
  <c r="F304" i="61"/>
  <c r="P274" i="61"/>
  <c r="Q687" i="81"/>
  <c r="Q698" i="81"/>
  <c r="Q691" i="81"/>
  <c r="Q455" i="81"/>
  <c r="Q405" i="81"/>
  <c r="Q627" i="81"/>
  <c r="Q398" i="81"/>
  <c r="Q610" i="81"/>
  <c r="Q469" i="81"/>
  <c r="Q457" i="81"/>
  <c r="AH114" i="65"/>
  <c r="AH76" i="65"/>
  <c r="Q387" i="81"/>
  <c r="D351" i="81"/>
  <c r="Q692" i="81"/>
  <c r="AH322" i="65"/>
  <c r="AH601" i="65"/>
  <c r="AH713" i="65"/>
  <c r="Q359" i="81"/>
  <c r="Q435" i="81"/>
  <c r="Q412" i="81"/>
  <c r="F351" i="81"/>
  <c r="Q459" i="81"/>
  <c r="Q303" i="81"/>
  <c r="Q402" i="81"/>
  <c r="Q546" i="81"/>
  <c r="Q594" i="81"/>
  <c r="Q403" i="81"/>
  <c r="Q595" i="81"/>
  <c r="Q448" i="81"/>
  <c r="Q468" i="81"/>
  <c r="Q584" i="81"/>
  <c r="P283" i="61"/>
  <c r="P287" i="61"/>
  <c r="M304" i="61"/>
  <c r="P271" i="61"/>
  <c r="P251" i="61"/>
  <c r="P302" i="61"/>
  <c r="Q711" i="81"/>
  <c r="Q313" i="81"/>
  <c r="Q323" i="81"/>
  <c r="Q543" i="81"/>
  <c r="Q447" i="81"/>
  <c r="Q413" i="81"/>
  <c r="Q603" i="81"/>
  <c r="Q623" i="81"/>
  <c r="Q509" i="81"/>
  <c r="Q653" i="81"/>
  <c r="Q630" i="81"/>
  <c r="Q305" i="81"/>
  <c r="C351" i="81"/>
  <c r="Q297" i="81"/>
  <c r="Y183" i="60"/>
  <c r="Q382" i="81"/>
  <c r="D304" i="61"/>
  <c r="AH575" i="65"/>
  <c r="AH698" i="65"/>
  <c r="Q401" i="81"/>
  <c r="D183" i="60"/>
  <c r="Q652" i="81"/>
  <c r="Q490" i="81"/>
  <c r="Q431" i="81"/>
  <c r="Q427" i="81"/>
  <c r="Q465" i="81"/>
  <c r="Q343" i="81"/>
  <c r="Q408" i="81"/>
  <c r="Q550" i="81"/>
  <c r="Q618" i="81"/>
  <c r="Q409" i="81"/>
  <c r="Q605" i="81"/>
  <c r="Q332" i="81"/>
  <c r="Q481" i="81"/>
  <c r="Q588" i="81"/>
  <c r="P261" i="61"/>
  <c r="P264" i="61"/>
  <c r="H304" i="61"/>
  <c r="P256" i="61"/>
  <c r="P284" i="61"/>
  <c r="N304" i="61"/>
  <c r="I351" i="81"/>
  <c r="Q643" i="81"/>
  <c r="Q651" i="81"/>
  <c r="Q466" i="81"/>
  <c r="Q614" i="81"/>
  <c r="Q619" i="81"/>
  <c r="Q540" i="81"/>
  <c r="Q575" i="81"/>
  <c r="Q699" i="81"/>
  <c r="K67" i="56"/>
  <c r="BI42" i="56"/>
  <c r="AD42" i="69"/>
  <c r="BI21" i="56"/>
  <c r="AD67" i="56"/>
  <c r="BI60" i="56"/>
  <c r="BB67" i="56"/>
  <c r="AH108" i="65"/>
  <c r="AH121" i="65"/>
  <c r="H67" i="56"/>
  <c r="BE67" i="56"/>
  <c r="AH109" i="65"/>
  <c r="G183" i="60"/>
  <c r="Q450" i="81"/>
  <c r="Q392" i="81"/>
  <c r="Q363" i="81"/>
  <c r="O475" i="81"/>
  <c r="Y369" i="65"/>
  <c r="AH427" i="65"/>
  <c r="S62" i="69"/>
  <c r="M9" i="17" s="1"/>
  <c r="L183" i="60"/>
  <c r="Q341" i="81"/>
  <c r="Q506" i="81"/>
  <c r="Q502" i="81"/>
  <c r="Q482" i="81"/>
  <c r="Q471" i="81"/>
  <c r="Q349" i="81"/>
  <c r="Q414" i="81"/>
  <c r="Q554" i="81"/>
  <c r="Q642" i="81"/>
  <c r="Q421" i="81"/>
  <c r="Q649" i="81"/>
  <c r="Q336" i="81"/>
  <c r="Q521" i="81"/>
  <c r="Q592" i="81"/>
  <c r="K475" i="81"/>
  <c r="L304" i="61"/>
  <c r="P248" i="61"/>
  <c r="P263" i="61"/>
  <c r="P298" i="61"/>
  <c r="P258" i="61"/>
  <c r="Q346" i="81"/>
  <c r="Q326" i="81"/>
  <c r="Q512" i="81"/>
  <c r="Q314" i="81"/>
  <c r="Q308" i="81"/>
  <c r="Q484" i="81"/>
  <c r="Q492" i="81"/>
  <c r="Q552" i="81"/>
  <c r="Q516" i="81"/>
  <c r="Q706" i="81"/>
  <c r="Q449" i="81"/>
  <c r="AH102" i="65"/>
  <c r="Q534" i="81"/>
  <c r="AH95" i="65"/>
  <c r="AV67" i="56"/>
  <c r="AH79" i="65"/>
  <c r="BC67" i="56"/>
  <c r="AH87" i="65"/>
  <c r="R183" i="60"/>
  <c r="N183" i="60"/>
  <c r="F67" i="56"/>
  <c r="B67" i="56"/>
  <c r="U67" i="56"/>
  <c r="BI15" i="56"/>
  <c r="AA183" i="60"/>
  <c r="AH118" i="65"/>
  <c r="AH122" i="65"/>
  <c r="I67" i="56"/>
  <c r="BI33" i="56"/>
  <c r="AX67" i="56"/>
  <c r="AH92" i="65"/>
  <c r="AK67" i="56"/>
  <c r="AN67" i="56"/>
  <c r="Q646" i="81"/>
  <c r="AE183" i="60"/>
  <c r="J184" i="61"/>
  <c r="H475" i="81"/>
  <c r="AH434" i="65"/>
  <c r="AH631" i="65"/>
  <c r="P183" i="60"/>
  <c r="Q407" i="81"/>
  <c r="J183" i="60"/>
  <c r="Q523" i="81"/>
  <c r="Q423" i="81"/>
  <c r="Q517" i="81"/>
  <c r="Q529" i="81"/>
  <c r="Q498" i="81"/>
  <c r="Q479" i="81"/>
  <c r="Q364" i="81"/>
  <c r="Q483" i="81"/>
  <c r="Q558" i="81"/>
  <c r="Q425" i="81"/>
  <c r="Q656" i="81"/>
  <c r="Q340" i="81"/>
  <c r="Q527" i="81"/>
  <c r="Q298" i="81"/>
  <c r="G304" i="61"/>
  <c r="P257" i="61"/>
  <c r="P266" i="61"/>
  <c r="P267" i="61"/>
  <c r="Q442" i="81"/>
  <c r="Q378" i="81"/>
  <c r="Q494" i="81"/>
  <c r="Q680" i="81"/>
  <c r="Q411" i="81"/>
  <c r="Q666" i="81"/>
  <c r="Q497" i="81"/>
  <c r="Q559" i="81"/>
  <c r="Q615" i="81"/>
  <c r="Q629" i="81"/>
  <c r="Q636" i="81"/>
  <c r="J351" i="81"/>
  <c r="N184" i="61"/>
  <c r="P143" i="61"/>
  <c r="P168" i="61"/>
  <c r="W67" i="56"/>
  <c r="BI47" i="56"/>
  <c r="BI18" i="56"/>
  <c r="BI22" i="56"/>
  <c r="BI65" i="56"/>
  <c r="BI9" i="56"/>
  <c r="BI23" i="56"/>
  <c r="BI26" i="56"/>
  <c r="Z67" i="56"/>
  <c r="BI50" i="56"/>
  <c r="P172" i="61"/>
  <c r="AW255" i="79"/>
  <c r="BI36" i="56"/>
  <c r="P482" i="61"/>
  <c r="G475" i="81"/>
  <c r="D475" i="81"/>
  <c r="BI44" i="56"/>
  <c r="AS67" i="56"/>
  <c r="C475" i="81"/>
  <c r="BI58" i="56"/>
  <c r="BI16" i="56"/>
  <c r="AP67" i="56"/>
  <c r="V67" i="56"/>
  <c r="BI12" i="56"/>
  <c r="AB67" i="56"/>
  <c r="BI57" i="56"/>
  <c r="BI20" i="56"/>
  <c r="E475" i="81"/>
  <c r="AG67" i="56"/>
  <c r="I475" i="81"/>
  <c r="AY67" i="56"/>
  <c r="BI56" i="56"/>
  <c r="AF67" i="56"/>
  <c r="O67" i="56"/>
  <c r="AJ67" i="56"/>
  <c r="BI63" i="56"/>
  <c r="E67" i="56"/>
  <c r="BI61" i="56"/>
  <c r="AL67" i="56"/>
  <c r="N67" i="56"/>
  <c r="L475" i="81"/>
  <c r="F475" i="81"/>
  <c r="G67" i="56"/>
  <c r="G184" i="61"/>
  <c r="W304" i="79"/>
  <c r="P154" i="61"/>
  <c r="AD63" i="74"/>
  <c r="J475" i="81"/>
  <c r="M475" i="81"/>
  <c r="B475" i="81"/>
  <c r="AL514" i="57"/>
  <c r="AM183" i="60"/>
  <c r="B184" i="57"/>
  <c r="B367" i="61"/>
  <c r="E367" i="61"/>
  <c r="D306" i="58"/>
  <c r="AH112" i="65"/>
  <c r="AD38" i="43"/>
  <c r="P421" i="62"/>
  <c r="AE191" i="66"/>
  <c r="AE276" i="66"/>
  <c r="AE230" i="66"/>
  <c r="AE579" i="66"/>
  <c r="AE269" i="66"/>
  <c r="AE575" i="66"/>
  <c r="AE503" i="66"/>
  <c r="AE179" i="66"/>
  <c r="AE156" i="66"/>
  <c r="F421" i="62"/>
  <c r="AE150" i="66"/>
  <c r="AE708" i="66"/>
  <c r="AE394" i="66"/>
  <c r="AE484" i="66"/>
  <c r="AE456" i="66"/>
  <c r="AE583" i="66"/>
  <c r="E421" i="62"/>
  <c r="AE143" i="66"/>
  <c r="AE138" i="66"/>
  <c r="AE324" i="66"/>
  <c r="Q567" i="81"/>
  <c r="Q675" i="81"/>
  <c r="Q532" i="81"/>
  <c r="Q604" i="81"/>
  <c r="Q486" i="81"/>
  <c r="Q519" i="81"/>
  <c r="Q467" i="81"/>
  <c r="Q640" i="81"/>
  <c r="Q438" i="81"/>
  <c r="Q555" i="81"/>
  <c r="Q445" i="81"/>
  <c r="AE404" i="66"/>
  <c r="AE141" i="66"/>
  <c r="AE559" i="66"/>
  <c r="AE436" i="66"/>
  <c r="AE340" i="66"/>
  <c r="AE683" i="66"/>
  <c r="AE239" i="66"/>
  <c r="AE213" i="66"/>
  <c r="B421" i="62"/>
  <c r="AE684" i="66"/>
  <c r="AE311" i="66"/>
  <c r="AE285" i="66"/>
  <c r="AE379" i="66"/>
  <c r="AE223" i="66"/>
  <c r="AE202" i="66"/>
  <c r="T421" i="62"/>
  <c r="M421" i="62"/>
  <c r="O421" i="62"/>
  <c r="Q334" i="81"/>
  <c r="Q508" i="81"/>
  <c r="AE222" i="66"/>
  <c r="AE437" i="66"/>
  <c r="AE205" i="66"/>
  <c r="AE165" i="66"/>
  <c r="AE407" i="66"/>
  <c r="AE158" i="66"/>
  <c r="AE519" i="66"/>
  <c r="AE172" i="66"/>
  <c r="AE187" i="66"/>
  <c r="S421" i="62"/>
  <c r="D421" i="62"/>
  <c r="AE466" i="66"/>
  <c r="AE576" i="66"/>
  <c r="AE283" i="66"/>
  <c r="AE409" i="66"/>
  <c r="Q320" i="81"/>
  <c r="Q515" i="81"/>
  <c r="Q556" i="81"/>
  <c r="Q500" i="81"/>
  <c r="Q544" i="81"/>
  <c r="Q300" i="81"/>
  <c r="Q489" i="81"/>
  <c r="Q714" i="81"/>
  <c r="Q624" i="81"/>
  <c r="Q689" i="81"/>
  <c r="AE155" i="66"/>
  <c r="AE675" i="66"/>
  <c r="AE357" i="66"/>
  <c r="AE233" i="66"/>
  <c r="AE521" i="66"/>
  <c r="AE568" i="66"/>
  <c r="U421" i="62"/>
  <c r="Q421" i="62"/>
  <c r="AE272" i="66"/>
  <c r="AE570" i="66"/>
  <c r="AE281" i="66"/>
  <c r="AE204" i="66"/>
  <c r="AE149" i="66"/>
  <c r="AE249" i="66"/>
  <c r="H421" i="62"/>
  <c r="AE370" i="66"/>
  <c r="AE721" i="66"/>
  <c r="G421" i="62"/>
  <c r="AE275" i="66"/>
  <c r="AE250" i="66"/>
  <c r="Q504" i="81"/>
  <c r="Q715" i="81"/>
  <c r="Q388" i="81"/>
  <c r="Q307" i="81"/>
  <c r="Q528" i="81"/>
  <c r="Q606" i="81"/>
  <c r="Q299" i="81"/>
  <c r="AA361" i="62"/>
  <c r="AE309" i="66"/>
  <c r="AE427" i="66"/>
  <c r="AE292" i="66"/>
  <c r="AE545" i="66"/>
  <c r="AE253" i="66"/>
  <c r="I421" i="62"/>
  <c r="AE343" i="66"/>
  <c r="AE592" i="66"/>
  <c r="AE159" i="66"/>
  <c r="L608" i="65"/>
  <c r="Q461" i="81"/>
  <c r="Q446" i="81"/>
  <c r="Q348" i="81"/>
  <c r="Q686" i="81"/>
  <c r="Q571" i="81"/>
  <c r="O351" i="81"/>
  <c r="Q648" i="81"/>
  <c r="Q514" i="81"/>
  <c r="Q488" i="81"/>
  <c r="Q695" i="81"/>
  <c r="Q654" i="81"/>
  <c r="Q682" i="81"/>
  <c r="Q520" i="81"/>
  <c r="Q709" i="81"/>
  <c r="AE171" i="66"/>
  <c r="AE399" i="66"/>
  <c r="AE362" i="66"/>
  <c r="AE354" i="66"/>
  <c r="AE677" i="66"/>
  <c r="AE671" i="66"/>
  <c r="AE452" i="66"/>
  <c r="AE284" i="66"/>
  <c r="AE478" i="66"/>
  <c r="AE344" i="66"/>
  <c r="AE525" i="66"/>
  <c r="AE200" i="66"/>
  <c r="AE440" i="66"/>
  <c r="Q547" i="81"/>
  <c r="Q373" i="81"/>
  <c r="Q708" i="81"/>
  <c r="Q674" i="81"/>
  <c r="Q583" i="81"/>
  <c r="Q472" i="81"/>
  <c r="Q672" i="81"/>
  <c r="Q374" i="81"/>
  <c r="Q510" i="81"/>
  <c r="Y185" i="62"/>
  <c r="AE145" i="66"/>
  <c r="AE567" i="66"/>
  <c r="AE588" i="66"/>
  <c r="AE360" i="66"/>
  <c r="AE198" i="66"/>
  <c r="AE681" i="66"/>
  <c r="AE215" i="66"/>
  <c r="AE472" i="66"/>
  <c r="AE267" i="66"/>
  <c r="J421" i="62"/>
  <c r="AE372" i="66"/>
  <c r="AE227" i="66"/>
  <c r="AE274" i="66"/>
  <c r="AE136" i="66"/>
  <c r="AE502" i="66"/>
  <c r="AE144" i="66"/>
  <c r="AE220" i="66"/>
  <c r="R421" i="62"/>
  <c r="Y421" i="62"/>
  <c r="AE234" i="66"/>
  <c r="AE387" i="66"/>
  <c r="AE248" i="66"/>
  <c r="C421" i="62"/>
  <c r="AE416" i="66"/>
  <c r="J306" i="58"/>
  <c r="AE133" i="66"/>
  <c r="AE554" i="66"/>
  <c r="AE412" i="66"/>
  <c r="AL128" i="57"/>
  <c r="B307" i="57"/>
  <c r="O306" i="58"/>
  <c r="AI307" i="57"/>
  <c r="AE540" i="66"/>
  <c r="AE565" i="66"/>
  <c r="AE264" i="66"/>
  <c r="AE224" i="66"/>
  <c r="AE582" i="66"/>
  <c r="AE662" i="66"/>
  <c r="U306" i="58"/>
  <c r="AE262" i="66"/>
  <c r="AE710" i="66"/>
  <c r="AH37" i="65"/>
  <c r="Z69" i="65"/>
  <c r="AH50" i="65"/>
  <c r="AH20" i="65"/>
  <c r="AH12" i="65"/>
  <c r="L69" i="65"/>
  <c r="AH17" i="65"/>
  <c r="AH54" i="65"/>
  <c r="W69" i="65"/>
  <c r="AH66" i="65"/>
  <c r="AH16" i="65"/>
  <c r="AH10" i="65"/>
  <c r="AH11" i="65"/>
  <c r="AH44" i="65"/>
  <c r="AH22" i="65"/>
  <c r="AH18" i="65"/>
  <c r="AH62" i="65"/>
  <c r="AH60" i="65"/>
  <c r="AH43" i="65"/>
  <c r="AH24" i="65"/>
  <c r="AH36" i="65"/>
  <c r="AH30" i="65"/>
  <c r="AH55" i="65"/>
  <c r="AH57" i="65"/>
  <c r="Y69" i="65"/>
  <c r="O69" i="65"/>
  <c r="P69" i="65"/>
  <c r="AE69" i="65"/>
  <c r="X69" i="65"/>
  <c r="E69" i="65"/>
  <c r="AH47" i="65"/>
  <c r="AH39" i="65"/>
  <c r="AH23" i="65"/>
  <c r="D69" i="65"/>
  <c r="AH67" i="65"/>
  <c r="AH63" i="65"/>
  <c r="AH21" i="65"/>
  <c r="AH446" i="65"/>
  <c r="AH401" i="65"/>
  <c r="AH422" i="65"/>
  <c r="AH600" i="65"/>
  <c r="B183" i="60"/>
  <c r="AW249" i="79"/>
  <c r="AH644" i="65"/>
  <c r="AH408" i="65"/>
  <c r="AH390" i="65"/>
  <c r="BI450" i="56"/>
  <c r="AH621" i="65"/>
  <c r="AH372" i="65"/>
  <c r="AH503" i="65"/>
  <c r="AH101" i="65"/>
  <c r="AH306" i="58"/>
  <c r="AA306" i="58"/>
  <c r="K306" i="58"/>
  <c r="M306" i="58"/>
  <c r="C369" i="79"/>
  <c r="AW393" i="79"/>
  <c r="AW483" i="79"/>
  <c r="AW590" i="79"/>
  <c r="AW343" i="79"/>
  <c r="AW506" i="79"/>
  <c r="AW318" i="79"/>
  <c r="AF69" i="65"/>
  <c r="AH15" i="65"/>
  <c r="AH53" i="65"/>
  <c r="AH48" i="65"/>
  <c r="R69" i="65"/>
  <c r="AB69" i="65"/>
  <c r="AH65" i="65"/>
  <c r="AW497" i="79"/>
  <c r="AW385" i="79"/>
  <c r="AW488" i="79"/>
  <c r="K69" i="65"/>
  <c r="AW363" i="79"/>
  <c r="AW434" i="79"/>
  <c r="AW345" i="79"/>
  <c r="AH49" i="65"/>
  <c r="U69" i="65"/>
  <c r="AH27" i="65"/>
  <c r="AH33" i="65"/>
  <c r="AD69" i="65"/>
  <c r="AH32" i="65"/>
  <c r="AW421" i="79"/>
  <c r="AW589" i="79"/>
  <c r="AH369" i="79"/>
  <c r="AW336" i="79"/>
  <c r="AW566" i="79"/>
  <c r="AW563" i="79"/>
  <c r="AW462" i="79"/>
  <c r="AW329" i="79"/>
  <c r="U369" i="79"/>
  <c r="AW447" i="79"/>
  <c r="AW545" i="79"/>
  <c r="AW379" i="79"/>
  <c r="AW357" i="79"/>
  <c r="AH19" i="65"/>
  <c r="AH61" i="65"/>
  <c r="I69" i="65"/>
  <c r="J69" i="65"/>
  <c r="AH52" i="65"/>
  <c r="AA69" i="65"/>
  <c r="C69" i="65"/>
  <c r="AW627" i="79"/>
  <c r="N369" i="79"/>
  <c r="AW617" i="79"/>
  <c r="AW503" i="79"/>
  <c r="AW332" i="79"/>
  <c r="AW595" i="79"/>
  <c r="AK369" i="79"/>
  <c r="AW546" i="79"/>
  <c r="AW628" i="79"/>
  <c r="AW594" i="79"/>
  <c r="AU369" i="79"/>
  <c r="AW576" i="79"/>
  <c r="F369" i="79"/>
  <c r="Z369" i="79"/>
  <c r="G369" i="79"/>
  <c r="AW623" i="79"/>
  <c r="AW558" i="79"/>
  <c r="AW358" i="79"/>
  <c r="AW548" i="79"/>
  <c r="AW598" i="79"/>
  <c r="AW415" i="79"/>
  <c r="AW663" i="79"/>
  <c r="AW570" i="79"/>
  <c r="AW651" i="79"/>
  <c r="AW666" i="79"/>
  <c r="AW457" i="79"/>
  <c r="AW456" i="79"/>
  <c r="AW452" i="79"/>
  <c r="AW399" i="79"/>
  <c r="AW344" i="79"/>
  <c r="AW391" i="79"/>
  <c r="AG369" i="79"/>
  <c r="S369" i="79"/>
  <c r="T69" i="65"/>
  <c r="AH45" i="65"/>
  <c r="AH41" i="65"/>
  <c r="AH56" i="65"/>
  <c r="B69" i="65"/>
  <c r="AH46" i="65"/>
  <c r="AH64" i="65"/>
  <c r="AW582" i="79"/>
  <c r="AW312" i="79"/>
  <c r="AW621" i="79"/>
  <c r="AW672" i="79"/>
  <c r="AW577" i="79"/>
  <c r="AW333" i="79"/>
  <c r="AW346" i="79"/>
  <c r="AS369" i="79"/>
  <c r="AW499" i="79"/>
  <c r="AE369" i="79"/>
  <c r="AW351" i="79"/>
  <c r="AW420" i="79"/>
  <c r="AW541" i="79"/>
  <c r="AW619" i="79"/>
  <c r="AW320" i="79"/>
  <c r="AW337" i="79"/>
  <c r="AW359" i="79"/>
  <c r="AW639" i="79"/>
  <c r="AW478" i="79"/>
  <c r="AW632" i="79"/>
  <c r="K369" i="79"/>
  <c r="AF369" i="79"/>
  <c r="AW542" i="79"/>
  <c r="AW339" i="79"/>
  <c r="AA369" i="79"/>
  <c r="T369" i="79"/>
  <c r="AW578" i="79"/>
  <c r="AW374" i="79"/>
  <c r="AW565" i="79"/>
  <c r="AW532" i="79"/>
  <c r="AW350" i="79"/>
  <c r="AW573" i="79"/>
  <c r="AW656" i="79"/>
  <c r="AW654" i="79"/>
  <c r="AD8" i="69"/>
  <c r="AW646" i="79"/>
  <c r="M369" i="79"/>
  <c r="AW549" i="79"/>
  <c r="AW510" i="79"/>
  <c r="AW486" i="79"/>
  <c r="AW334" i="79"/>
  <c r="AW526" i="79"/>
  <c r="AW460" i="79"/>
  <c r="AW384" i="79"/>
  <c r="AW315" i="79"/>
  <c r="AW410" i="79"/>
  <c r="H69" i="65"/>
  <c r="AH7" i="65"/>
  <c r="S69" i="65"/>
  <c r="N69" i="65"/>
  <c r="Q69" i="65"/>
  <c r="AH58" i="65"/>
  <c r="AH51" i="65"/>
  <c r="AW349" i="79"/>
  <c r="AW400" i="79"/>
  <c r="AW409" i="79"/>
  <c r="AB369" i="79"/>
  <c r="AW584" i="79"/>
  <c r="AW662" i="79"/>
  <c r="AW426" i="79"/>
  <c r="AW467" i="79"/>
  <c r="AW529" i="79"/>
  <c r="AO369" i="79"/>
  <c r="AW453" i="79"/>
  <c r="AW347" i="79"/>
  <c r="AW580" i="79"/>
  <c r="AW364" i="79"/>
  <c r="AW512" i="79"/>
  <c r="AW540" i="79"/>
  <c r="AW396" i="79"/>
  <c r="G69" i="65"/>
  <c r="AH28" i="65"/>
  <c r="AH29" i="65"/>
  <c r="AH14" i="65"/>
  <c r="AC69" i="65"/>
  <c r="AH9" i="65"/>
  <c r="AH59" i="65"/>
  <c r="AW438" i="79"/>
  <c r="AI369" i="79"/>
  <c r="AW353" i="79"/>
  <c r="AW470" i="79"/>
  <c r="AW535" i="79"/>
  <c r="AW581" i="79"/>
  <c r="AW547" i="79"/>
  <c r="AW380" i="79"/>
  <c r="AW468" i="79"/>
  <c r="AW624" i="79"/>
  <c r="AW354" i="79"/>
  <c r="W369" i="79"/>
  <c r="AW476" i="79"/>
  <c r="AW652" i="79"/>
  <c r="AW444" i="79"/>
  <c r="AW376" i="79"/>
  <c r="AW414" i="79"/>
  <c r="AW398" i="79"/>
  <c r="AW591" i="79"/>
  <c r="AW538" i="79"/>
  <c r="P369" i="79"/>
  <c r="AW516" i="79"/>
  <c r="AW472" i="79"/>
  <c r="AW517" i="79"/>
  <c r="AW669" i="79"/>
  <c r="AW659" i="79"/>
  <c r="AW626" i="79"/>
  <c r="Y369" i="79"/>
  <c r="BI377" i="56"/>
  <c r="Q369" i="79"/>
  <c r="AW327" i="79"/>
  <c r="AW402" i="79"/>
  <c r="AW498" i="79"/>
  <c r="AW355" i="79"/>
  <c r="AN369" i="79"/>
  <c r="AW583" i="79"/>
  <c r="AW567" i="79"/>
  <c r="AW484" i="79"/>
  <c r="AW543" i="79"/>
  <c r="AW599" i="79"/>
  <c r="AW671" i="79"/>
  <c r="AW638" i="79"/>
  <c r="F527" i="62"/>
  <c r="AW458" i="79"/>
  <c r="AW522" i="79"/>
  <c r="AW664" i="79"/>
  <c r="AW631" i="79"/>
  <c r="AW326" i="79"/>
  <c r="AW365" i="79"/>
  <c r="AW502" i="79"/>
  <c r="AW518" i="79"/>
  <c r="AW361" i="79"/>
  <c r="AW559" i="79"/>
  <c r="AW373" i="79"/>
  <c r="AW603" i="79"/>
  <c r="AW509" i="79"/>
  <c r="AW562" i="79"/>
  <c r="AW605" i="79"/>
  <c r="AW644" i="79"/>
  <c r="I527" i="62"/>
  <c r="AW649" i="79"/>
  <c r="AW442" i="79"/>
  <c r="BI403" i="56"/>
  <c r="AW513" i="79"/>
  <c r="AW587" i="79"/>
  <c r="AW564" i="79"/>
  <c r="AJ369" i="79"/>
  <c r="AW523" i="79"/>
  <c r="AW645" i="79"/>
  <c r="AW367" i="79"/>
  <c r="AW609" i="79"/>
  <c r="AW378" i="79"/>
  <c r="AW521" i="79"/>
  <c r="AW633" i="79"/>
  <c r="AW550" i="79"/>
  <c r="AW634" i="79"/>
  <c r="AW611" i="79"/>
  <c r="AW650" i="79"/>
  <c r="AW496" i="79"/>
  <c r="Q527" i="62"/>
  <c r="AW446" i="79"/>
  <c r="AW314" i="79"/>
  <c r="AW533" i="79"/>
  <c r="BI379" i="56"/>
  <c r="BI608" i="56"/>
  <c r="AW597" i="79"/>
  <c r="AW382" i="79"/>
  <c r="AW425" i="79"/>
  <c r="AW375" i="79"/>
  <c r="AL369" i="79"/>
  <c r="AW657" i="79"/>
  <c r="AW482" i="79"/>
  <c r="AQ369" i="79"/>
  <c r="AW395" i="79"/>
  <c r="AW418" i="79"/>
  <c r="AW405" i="79"/>
  <c r="AW629" i="79"/>
  <c r="AW667" i="79"/>
  <c r="AW668" i="79"/>
  <c r="W551" i="65"/>
  <c r="AW439" i="79"/>
  <c r="AW569" i="79"/>
  <c r="U373" i="56"/>
  <c r="AW417" i="79"/>
  <c r="AW401" i="79"/>
  <c r="AW424" i="79"/>
  <c r="AW413" i="79"/>
  <c r="AW635" i="79"/>
  <c r="AW596" i="79"/>
  <c r="L551" i="65"/>
  <c r="AW610" i="79"/>
  <c r="AW556" i="79"/>
  <c r="R373" i="56"/>
  <c r="AW519" i="79"/>
  <c r="AW473" i="79"/>
  <c r="AW390" i="79"/>
  <c r="AW342" i="79"/>
  <c r="AW348" i="79"/>
  <c r="AW313" i="79"/>
  <c r="AW544" i="79"/>
  <c r="AW475" i="79"/>
  <c r="AW356" i="79"/>
  <c r="AW507" i="79"/>
  <c r="AW423" i="79"/>
  <c r="AW412" i="79"/>
  <c r="AW451" i="79"/>
  <c r="AW568" i="79"/>
  <c r="AW641" i="79"/>
  <c r="AW602" i="79"/>
  <c r="S551" i="65"/>
  <c r="AW501" i="79"/>
  <c r="AW640" i="79"/>
  <c r="BI691" i="56"/>
  <c r="AW335" i="79"/>
  <c r="AW480" i="79"/>
  <c r="B369" i="79"/>
  <c r="V369" i="79"/>
  <c r="AP369" i="79"/>
  <c r="AW338" i="79"/>
  <c r="AW381" i="79"/>
  <c r="AW636" i="79"/>
  <c r="AW527" i="79"/>
  <c r="AT369" i="79"/>
  <c r="AW319" i="79"/>
  <c r="AW366" i="79"/>
  <c r="AW360" i="79"/>
  <c r="X369" i="79"/>
  <c r="AW481" i="79"/>
  <c r="AW362" i="79"/>
  <c r="AW520" i="79"/>
  <c r="AW450" i="79"/>
  <c r="AW440" i="79"/>
  <c r="AW455" i="79"/>
  <c r="AW574" i="79"/>
  <c r="AW647" i="79"/>
  <c r="AW608" i="79"/>
  <c r="U551" i="65"/>
  <c r="AW411" i="79"/>
  <c r="AW433" i="79"/>
  <c r="AH96" i="65"/>
  <c r="BI652" i="56"/>
  <c r="AW469" i="79"/>
  <c r="AW670" i="79"/>
  <c r="AW593" i="79"/>
  <c r="AD369" i="79"/>
  <c r="AW331" i="79"/>
  <c r="AW392" i="79"/>
  <c r="L369" i="79"/>
  <c r="AW419" i="79"/>
  <c r="AW487" i="79"/>
  <c r="D369" i="79"/>
  <c r="AW588" i="79"/>
  <c r="AW445" i="79"/>
  <c r="AW459" i="79"/>
  <c r="AW653" i="79"/>
  <c r="AW620" i="79"/>
  <c r="O551" i="65"/>
  <c r="AW477" i="79"/>
  <c r="AW316" i="79"/>
  <c r="AE608" i="65"/>
  <c r="AW637" i="79"/>
  <c r="AW317" i="79"/>
  <c r="AF608" i="65"/>
  <c r="AO497" i="60"/>
  <c r="P312" i="61"/>
  <c r="AW404" i="79"/>
  <c r="AW485" i="79"/>
  <c r="AW495" i="79"/>
  <c r="AW571" i="79"/>
  <c r="AW461" i="79"/>
  <c r="AW575" i="79"/>
  <c r="AW604" i="79"/>
  <c r="AW557" i="79"/>
  <c r="AW428" i="79"/>
  <c r="BI19" i="56"/>
  <c r="AC369" i="79"/>
  <c r="AW660" i="79"/>
  <c r="H369" i="79"/>
  <c r="AW466" i="79"/>
  <c r="AW661" i="79"/>
  <c r="AW622" i="79"/>
  <c r="AW630" i="79"/>
  <c r="AO516" i="60"/>
  <c r="AE525" i="60"/>
  <c r="AO520" i="60"/>
  <c r="AA525" i="60"/>
  <c r="B306" i="58"/>
  <c r="Z306" i="58"/>
  <c r="P306" i="58"/>
  <c r="M525" i="60"/>
  <c r="Y306" i="58"/>
  <c r="E306" i="58"/>
  <c r="AB306" i="58"/>
  <c r="Y525" i="60"/>
  <c r="AO481" i="60"/>
  <c r="AO500" i="60"/>
  <c r="AO498" i="60"/>
  <c r="BB124" i="56"/>
  <c r="AE306" i="58"/>
  <c r="N306" i="58"/>
  <c r="C306" i="58"/>
  <c r="Q306" i="58"/>
  <c r="AD306" i="58"/>
  <c r="L525" i="60"/>
  <c r="AG525" i="60"/>
  <c r="AO508" i="60"/>
  <c r="AO492" i="60"/>
  <c r="AO511" i="60"/>
  <c r="AO490" i="60"/>
  <c r="AO482" i="60"/>
  <c r="AO517" i="60"/>
  <c r="P124" i="56"/>
  <c r="BI72" i="56"/>
  <c r="X306" i="58"/>
  <c r="T306" i="58"/>
  <c r="AK525" i="60"/>
  <c r="AI525" i="60"/>
  <c r="AO499" i="60"/>
  <c r="G525" i="60"/>
  <c r="L306" i="58"/>
  <c r="AF306" i="58"/>
  <c r="AO491" i="60"/>
  <c r="O525" i="60"/>
  <c r="AO485" i="60"/>
  <c r="S525" i="60"/>
  <c r="K525" i="60"/>
  <c r="AO483" i="60"/>
  <c r="AC306" i="58"/>
  <c r="AG306" i="58"/>
  <c r="AO521" i="60"/>
  <c r="AO519" i="60"/>
  <c r="AO506" i="60"/>
  <c r="AO479" i="60"/>
  <c r="V306" i="58"/>
  <c r="F306" i="58"/>
  <c r="G306" i="58"/>
  <c r="AM525" i="60"/>
  <c r="D525" i="60"/>
  <c r="N525" i="60"/>
  <c r="AO515" i="60"/>
  <c r="Q525" i="60"/>
  <c r="AO480" i="60"/>
  <c r="AD525" i="60"/>
  <c r="R306" i="58"/>
  <c r="H306" i="58"/>
  <c r="Z525" i="60"/>
  <c r="AO489" i="60"/>
  <c r="I525" i="60"/>
  <c r="I306" i="58"/>
  <c r="AO510" i="60"/>
  <c r="E525" i="60"/>
  <c r="L527" i="62"/>
  <c r="E527" i="62"/>
  <c r="Q91" i="81"/>
  <c r="Q66" i="81"/>
  <c r="Q98" i="81"/>
  <c r="AD39" i="75"/>
  <c r="AO317" i="60"/>
  <c r="AA63" i="62"/>
  <c r="Q80" i="81"/>
  <c r="E108" i="81"/>
  <c r="Q105" i="81"/>
  <c r="Y527" i="62"/>
  <c r="R527" i="62"/>
  <c r="K108" i="81"/>
  <c r="M108" i="81"/>
  <c r="Q69" i="81"/>
  <c r="Q92" i="81"/>
  <c r="Q61" i="81"/>
  <c r="Q74" i="81"/>
  <c r="C527" i="62"/>
  <c r="W61" i="43"/>
  <c r="Q7" i="17" s="1"/>
  <c r="Q88" i="81"/>
  <c r="Q64" i="81"/>
  <c r="Y245" i="62"/>
  <c r="H527" i="62"/>
  <c r="Q95" i="81"/>
  <c r="G108" i="81"/>
  <c r="Q68" i="81"/>
  <c r="K527" i="62"/>
  <c r="Q84" i="81"/>
  <c r="Q72" i="81"/>
  <c r="J527" i="62"/>
  <c r="U527" i="62"/>
  <c r="X527" i="62"/>
  <c r="M527" i="62"/>
  <c r="Q97" i="81"/>
  <c r="H108" i="81"/>
  <c r="Q104" i="81"/>
  <c r="J108" i="81"/>
  <c r="Q99" i="81"/>
  <c r="AD20" i="71"/>
  <c r="S527" i="62"/>
  <c r="B527" i="62"/>
  <c r="Q86" i="81"/>
  <c r="L108" i="81"/>
  <c r="T527" i="62"/>
  <c r="O527" i="62"/>
  <c r="N108" i="81"/>
  <c r="Q71" i="81"/>
  <c r="Q101" i="81"/>
  <c r="Q62" i="81"/>
  <c r="Q106" i="81"/>
  <c r="P527" i="62"/>
  <c r="D527" i="62"/>
  <c r="Q81" i="81"/>
  <c r="AH386" i="65"/>
  <c r="AH471" i="65"/>
  <c r="AH725" i="65"/>
  <c r="AH563" i="65"/>
  <c r="V369" i="65"/>
  <c r="AH98" i="65"/>
  <c r="AD30" i="76"/>
  <c r="W306" i="58"/>
  <c r="AA34" i="62"/>
  <c r="AH712" i="65"/>
  <c r="AH515" i="65"/>
  <c r="AH624" i="65"/>
  <c r="AH727" i="65"/>
  <c r="AH524" i="65"/>
  <c r="AH100" i="65"/>
  <c r="AH83" i="65"/>
  <c r="AH97" i="65"/>
  <c r="AH683" i="65"/>
  <c r="AH710" i="65"/>
  <c r="AH388" i="65"/>
  <c r="AH566" i="65"/>
  <c r="R369" i="65"/>
  <c r="AH309" i="65"/>
  <c r="AH569" i="65"/>
  <c r="AH454" i="65"/>
  <c r="AH596" i="65"/>
  <c r="AH642" i="65"/>
  <c r="AH548" i="65"/>
  <c r="AH318" i="65"/>
  <c r="AH513" i="65"/>
  <c r="AH405" i="65"/>
  <c r="AH598" i="65"/>
  <c r="AH383" i="65"/>
  <c r="AH578" i="65"/>
  <c r="AH466" i="65"/>
  <c r="G430" i="79"/>
  <c r="AE174" i="66"/>
  <c r="AE494" i="66"/>
  <c r="AE287" i="66"/>
  <c r="AE566" i="66"/>
  <c r="AJ68" i="60"/>
  <c r="AO531" i="60"/>
  <c r="AO557" i="60"/>
  <c r="AO539" i="60"/>
  <c r="X585" i="60"/>
  <c r="AK585" i="60"/>
  <c r="AA585" i="60"/>
  <c r="AB585" i="60"/>
  <c r="AD585" i="60"/>
  <c r="AO545" i="60"/>
  <c r="I585" i="60"/>
  <c r="AO550" i="60"/>
  <c r="AO536" i="60"/>
  <c r="AO547" i="60"/>
  <c r="AO537" i="60"/>
  <c r="AO541" i="60"/>
  <c r="F585" i="60"/>
  <c r="AO549" i="60"/>
  <c r="U585" i="60"/>
  <c r="AO554" i="60"/>
  <c r="AO543" i="60"/>
  <c r="AO551" i="60"/>
  <c r="AO544" i="60"/>
  <c r="AO548" i="60"/>
  <c r="AO27" i="60"/>
  <c r="AO562" i="60"/>
  <c r="AO567" i="60"/>
  <c r="AO574" i="60"/>
  <c r="H585" i="60"/>
  <c r="AO571" i="60"/>
  <c r="AI585" i="60"/>
  <c r="AO572" i="60"/>
  <c r="N585" i="60"/>
  <c r="AO569" i="60"/>
  <c r="E585" i="60"/>
  <c r="AO25" i="60"/>
  <c r="AO570" i="60"/>
  <c r="B585" i="60"/>
  <c r="AO578" i="60"/>
  <c r="T585" i="60"/>
  <c r="AO575" i="60"/>
  <c r="AO529" i="60"/>
  <c r="AO576" i="60"/>
  <c r="Z585" i="60"/>
  <c r="AO573" i="60"/>
  <c r="Q585" i="60"/>
  <c r="AO563" i="60"/>
  <c r="W585" i="60"/>
  <c r="AO568" i="60"/>
  <c r="AO565" i="60"/>
  <c r="AC585" i="60"/>
  <c r="I68" i="60"/>
  <c r="AO582" i="60"/>
  <c r="AF585" i="60"/>
  <c r="AO579" i="60"/>
  <c r="AO532" i="60"/>
  <c r="AL585" i="60"/>
  <c r="AO577" i="60"/>
  <c r="M68" i="60"/>
  <c r="G585" i="60"/>
  <c r="AO528" i="60"/>
  <c r="J585" i="60"/>
  <c r="AO558" i="60"/>
  <c r="AO584" i="60"/>
  <c r="AO533" i="60"/>
  <c r="AO581" i="60"/>
  <c r="AO534" i="60"/>
  <c r="V585" i="60"/>
  <c r="AO556" i="60"/>
  <c r="AH106" i="65"/>
  <c r="S585" i="60"/>
  <c r="AO535" i="60"/>
  <c r="AO561" i="60"/>
  <c r="M585" i="60"/>
  <c r="C585" i="60"/>
  <c r="D585" i="60"/>
  <c r="AE585" i="60"/>
  <c r="AO542" i="60"/>
  <c r="AH585" i="60"/>
  <c r="L585" i="60"/>
  <c r="Y585" i="60"/>
  <c r="O585" i="60"/>
  <c r="P585" i="60"/>
  <c r="R585" i="60"/>
  <c r="AE55" i="66"/>
  <c r="AE38" i="66"/>
  <c r="AE24" i="66"/>
  <c r="AE54" i="66"/>
  <c r="AE60" i="66"/>
  <c r="AE47" i="66"/>
  <c r="AW271" i="79"/>
  <c r="AE40" i="66"/>
  <c r="AW272" i="79"/>
  <c r="AE29" i="66"/>
  <c r="V553" i="79"/>
  <c r="AE63" i="66"/>
  <c r="AW274" i="79"/>
  <c r="I553" i="79"/>
  <c r="AK304" i="79"/>
  <c r="AE20" i="66"/>
  <c r="AE43" i="66"/>
  <c r="AE8" i="66"/>
  <c r="AW302" i="79"/>
  <c r="AE16" i="66"/>
  <c r="AE21" i="66"/>
  <c r="AE9" i="66"/>
  <c r="AE64" i="66"/>
  <c r="AO432" i="60"/>
  <c r="AE26" i="66"/>
  <c r="AE62" i="66"/>
  <c r="AE12" i="66"/>
  <c r="AE11" i="66"/>
  <c r="AE13" i="66"/>
  <c r="G244" i="79"/>
  <c r="AE36" i="66"/>
  <c r="AE57" i="66"/>
  <c r="AE17" i="66"/>
  <c r="AE15" i="66"/>
  <c r="AE23" i="66"/>
  <c r="AE22" i="66"/>
  <c r="AW209" i="79"/>
  <c r="AE28" i="66"/>
  <c r="AE33" i="66"/>
  <c r="S553" i="79"/>
  <c r="AE53" i="66"/>
  <c r="AE18" i="66"/>
  <c r="AE37" i="66"/>
  <c r="AS244" i="79"/>
  <c r="AE27" i="66"/>
  <c r="AE14" i="66"/>
  <c r="AE25" i="66"/>
  <c r="AE44" i="66"/>
  <c r="AW241" i="79"/>
  <c r="AE59" i="66"/>
  <c r="AE49" i="66"/>
  <c r="AE42" i="66"/>
  <c r="AE48" i="66"/>
  <c r="AE41" i="66"/>
  <c r="AH38" i="65"/>
  <c r="AE34" i="66"/>
  <c r="AE46" i="66"/>
  <c r="AE52" i="66"/>
  <c r="AE7" i="66"/>
  <c r="AW287" i="79"/>
  <c r="AO244" i="79"/>
  <c r="AE45" i="66"/>
  <c r="AI304" i="79"/>
  <c r="AE51" i="66"/>
  <c r="AW256" i="79"/>
  <c r="AE10" i="66"/>
  <c r="AE50" i="66"/>
  <c r="AE56" i="66"/>
  <c r="E304" i="79"/>
  <c r="BI346" i="56"/>
  <c r="BI375" i="56"/>
  <c r="BI408" i="56"/>
  <c r="AO484" i="60"/>
  <c r="P339" i="61"/>
  <c r="BI365" i="56"/>
  <c r="BI690" i="56"/>
  <c r="AW227" i="79"/>
  <c r="AO513" i="60"/>
  <c r="P341" i="61"/>
  <c r="Y244" i="79"/>
  <c r="BI731" i="56"/>
  <c r="BI633" i="56"/>
  <c r="BI718" i="56"/>
  <c r="AW218" i="79"/>
  <c r="BI396" i="56"/>
  <c r="BI640" i="56"/>
  <c r="BI692" i="56"/>
  <c r="BE373" i="56"/>
  <c r="BI415" i="56"/>
  <c r="BI380" i="56"/>
  <c r="AW215" i="79"/>
  <c r="P311" i="61"/>
  <c r="BI319" i="56"/>
  <c r="BI342" i="56"/>
  <c r="BI387" i="56"/>
  <c r="BI572" i="56"/>
  <c r="H244" i="79"/>
  <c r="P343" i="61"/>
  <c r="P337" i="61"/>
  <c r="P345" i="61"/>
  <c r="L244" i="79"/>
  <c r="P319" i="61"/>
  <c r="P344" i="61"/>
  <c r="D307" i="57"/>
  <c r="AA87" i="62"/>
  <c r="AW479" i="79"/>
  <c r="AW311" i="79"/>
  <c r="AW530" i="79"/>
  <c r="AA102" i="62"/>
  <c r="AL299" i="57"/>
  <c r="AW454" i="79"/>
  <c r="AW500" i="79"/>
  <c r="AW607" i="79"/>
  <c r="AW494" i="79"/>
  <c r="AW372" i="79"/>
  <c r="AL254" i="57"/>
  <c r="AA307" i="57"/>
  <c r="Q307" i="57"/>
  <c r="J307" i="57"/>
  <c r="AW601" i="79"/>
  <c r="AW592" i="79"/>
  <c r="AW465" i="79"/>
  <c r="AW471" i="79"/>
  <c r="AW536" i="79"/>
  <c r="AW643" i="79"/>
  <c r="AW514" i="79"/>
  <c r="B551" i="65"/>
  <c r="AL161" i="57"/>
  <c r="AL437" i="57"/>
  <c r="Q83" i="81"/>
  <c r="F122" i="57"/>
  <c r="AL144" i="57"/>
  <c r="AW441" i="79"/>
  <c r="AW352" i="79"/>
  <c r="I369" i="79"/>
  <c r="AM369" i="79"/>
  <c r="R369" i="79"/>
  <c r="AL553" i="57"/>
  <c r="AL469" i="57"/>
  <c r="AW534" i="79"/>
  <c r="AW448" i="79"/>
  <c r="AW528" i="79"/>
  <c r="AW642" i="79"/>
  <c r="AW504" i="79"/>
  <c r="AW537" i="79"/>
  <c r="AW560" i="79"/>
  <c r="AW341" i="79"/>
  <c r="AW585" i="79"/>
  <c r="AW443" i="79"/>
  <c r="Q93" i="81"/>
  <c r="AL438" i="57"/>
  <c r="S183" i="60"/>
  <c r="AW135" i="79"/>
  <c r="AW162" i="79"/>
  <c r="AM361" i="60"/>
  <c r="AW159" i="79"/>
  <c r="AW128" i="79"/>
  <c r="S490" i="79"/>
  <c r="AH182" i="79"/>
  <c r="BI438" i="56"/>
  <c r="BI427" i="56"/>
  <c r="BI660" i="56"/>
  <c r="BI526" i="56"/>
  <c r="BI458" i="56"/>
  <c r="BI416" i="56"/>
  <c r="BI455" i="56"/>
  <c r="P182" i="79"/>
  <c r="AH107" i="65"/>
  <c r="AH94" i="65"/>
  <c r="AF373" i="56"/>
  <c r="BI537" i="56"/>
  <c r="BI392" i="56"/>
  <c r="BI703" i="56"/>
  <c r="BI440" i="56"/>
  <c r="BI601" i="56"/>
  <c r="J361" i="60"/>
  <c r="AO338" i="60"/>
  <c r="AO185" i="56"/>
  <c r="BI479" i="56"/>
  <c r="BI471" i="56"/>
  <c r="BI554" i="56"/>
  <c r="BI428" i="56"/>
  <c r="BI508" i="56"/>
  <c r="BI631" i="56"/>
  <c r="AO347" i="60"/>
  <c r="AW130" i="79"/>
  <c r="BI638" i="56"/>
  <c r="C430" i="79"/>
  <c r="BI175" i="56"/>
  <c r="AW579" i="79"/>
  <c r="B373" i="56"/>
  <c r="BI577" i="56"/>
  <c r="BI361" i="56"/>
  <c r="BI391" i="56"/>
  <c r="BI584" i="56"/>
  <c r="BI547" i="56"/>
  <c r="BI647" i="56"/>
  <c r="S361" i="60"/>
  <c r="AW125" i="79"/>
  <c r="BI511" i="56"/>
  <c r="AW149" i="79"/>
  <c r="AW435" i="79"/>
  <c r="J369" i="79"/>
  <c r="S182" i="79"/>
  <c r="BI716" i="56"/>
  <c r="BI336" i="56"/>
  <c r="BI477" i="56"/>
  <c r="BI696" i="56"/>
  <c r="BI338" i="56"/>
  <c r="BI693" i="56"/>
  <c r="AO331" i="60"/>
  <c r="AB492" i="58"/>
  <c r="Y430" i="79"/>
  <c r="AH90" i="65"/>
  <c r="AW437" i="79"/>
  <c r="AD18" i="73"/>
  <c r="BI689" i="56"/>
  <c r="BI543" i="56"/>
  <c r="BI446" i="56"/>
  <c r="BI737" i="56"/>
  <c r="BI347" i="56"/>
  <c r="BI610" i="56"/>
  <c r="D361" i="60"/>
  <c r="H430" i="79"/>
  <c r="M608" i="65"/>
  <c r="AW427" i="79"/>
  <c r="BI591" i="56"/>
  <c r="BI501" i="56"/>
  <c r="BI654" i="56"/>
  <c r="BI441" i="56"/>
  <c r="BI516" i="56"/>
  <c r="P608" i="65"/>
  <c r="AW551" i="79"/>
  <c r="AH81" i="65"/>
  <c r="D182" i="79"/>
  <c r="AW147" i="79"/>
  <c r="AY185" i="56"/>
  <c r="AL182" i="79"/>
  <c r="L185" i="56"/>
  <c r="E182" i="79"/>
  <c r="AG185" i="56"/>
  <c r="AD13" i="74"/>
  <c r="AW157" i="79"/>
  <c r="AW600" i="79"/>
  <c r="W182" i="79"/>
  <c r="M182" i="79"/>
  <c r="B303" i="66"/>
  <c r="AW655" i="79"/>
  <c r="AN182" i="79"/>
  <c r="AW170" i="79"/>
  <c r="AW165" i="79"/>
  <c r="Q73" i="81"/>
  <c r="AW134" i="79"/>
  <c r="AG182" i="79"/>
  <c r="AR185" i="56"/>
  <c r="AC304" i="79"/>
  <c r="AW254" i="79"/>
  <c r="BA558" i="56"/>
  <c r="AW269" i="79"/>
  <c r="V304" i="79"/>
  <c r="AW281" i="79"/>
  <c r="P174" i="61"/>
  <c r="P136" i="61"/>
  <c r="P165" i="61"/>
  <c r="P476" i="61"/>
  <c r="AG492" i="58"/>
  <c r="G492" i="58"/>
  <c r="X551" i="65"/>
  <c r="T551" i="65"/>
  <c r="AF551" i="65"/>
  <c r="AF304" i="79"/>
  <c r="AW286" i="79"/>
  <c r="AS304" i="79"/>
  <c r="AW296" i="79"/>
  <c r="AW198" i="79"/>
  <c r="AW226" i="79"/>
  <c r="AF244" i="79"/>
  <c r="K244" i="79"/>
  <c r="AW235" i="79"/>
  <c r="AW221" i="79"/>
  <c r="AH128" i="65"/>
  <c r="AA103" i="62"/>
  <c r="AQ304" i="79"/>
  <c r="J492" i="58"/>
  <c r="AA86" i="62"/>
  <c r="AA80" i="62"/>
  <c r="AA115" i="62"/>
  <c r="AA88" i="62"/>
  <c r="AA97" i="62"/>
  <c r="AD13" i="75"/>
  <c r="U492" i="58"/>
  <c r="P138" i="61"/>
  <c r="P147" i="61"/>
  <c r="P176" i="61"/>
  <c r="P478" i="61"/>
  <c r="K304" i="79"/>
  <c r="AW251" i="79"/>
  <c r="AH492" i="58"/>
  <c r="T492" i="58"/>
  <c r="AW299" i="79"/>
  <c r="F551" i="65"/>
  <c r="Q551" i="65"/>
  <c r="Z551" i="65"/>
  <c r="AW297" i="79"/>
  <c r="P304" i="79"/>
  <c r="O304" i="79"/>
  <c r="AW295" i="79"/>
  <c r="AW214" i="79"/>
  <c r="AW223" i="79"/>
  <c r="AW213" i="79"/>
  <c r="AT244" i="79"/>
  <c r="X244" i="79"/>
  <c r="AW205" i="79"/>
  <c r="AA73" i="62"/>
  <c r="N304" i="79"/>
  <c r="AA77" i="62"/>
  <c r="AR304" i="79"/>
  <c r="AH167" i="65"/>
  <c r="AW383" i="79"/>
  <c r="N246" i="58"/>
  <c r="AH135" i="65"/>
  <c r="AA104" i="62"/>
  <c r="AA112" i="62"/>
  <c r="AA101" i="62"/>
  <c r="B183" i="65"/>
  <c r="AH141" i="65"/>
  <c r="O246" i="58"/>
  <c r="AN558" i="56"/>
  <c r="AD33" i="74"/>
  <c r="E184" i="61"/>
  <c r="AW277" i="79"/>
  <c r="AW300" i="79"/>
  <c r="P145" i="61"/>
  <c r="P151" i="61"/>
  <c r="P180" i="61"/>
  <c r="P364" i="61"/>
  <c r="R492" i="58"/>
  <c r="L492" i="58"/>
  <c r="AW279" i="79"/>
  <c r="K551" i="65"/>
  <c r="G551" i="65"/>
  <c r="AH304" i="79"/>
  <c r="Q304" i="79"/>
  <c r="AW280" i="79"/>
  <c r="AW301" i="79"/>
  <c r="O244" i="79"/>
  <c r="R244" i="79"/>
  <c r="AW201" i="79"/>
  <c r="AW189" i="79"/>
  <c r="AJ244" i="79"/>
  <c r="AH174" i="65"/>
  <c r="AA72" i="62"/>
  <c r="AW292" i="79"/>
  <c r="T304" i="79"/>
  <c r="AH143" i="65"/>
  <c r="M304" i="79"/>
  <c r="AB558" i="56"/>
  <c r="F304" i="79"/>
  <c r="AM304" i="79"/>
  <c r="V244" i="79"/>
  <c r="P160" i="61"/>
  <c r="C184" i="61"/>
  <c r="P134" i="61"/>
  <c r="F492" i="58"/>
  <c r="X492" i="58"/>
  <c r="W62" i="69"/>
  <c r="Q9" i="17" s="1"/>
  <c r="I551" i="65"/>
  <c r="AC551" i="65"/>
  <c r="I304" i="79"/>
  <c r="AW266" i="79"/>
  <c r="AW288" i="79"/>
  <c r="L304" i="79"/>
  <c r="AW191" i="79"/>
  <c r="AW219" i="79"/>
  <c r="AW234" i="79"/>
  <c r="I244" i="79"/>
  <c r="AW242" i="79"/>
  <c r="D184" i="61"/>
  <c r="AH131" i="65"/>
  <c r="AD34" i="73"/>
  <c r="AA109" i="62"/>
  <c r="AH180" i="65"/>
  <c r="AH150" i="65"/>
  <c r="AW289" i="79"/>
  <c r="AT558" i="56"/>
  <c r="J304" i="79"/>
  <c r="AB304" i="79"/>
  <c r="P139" i="61"/>
  <c r="AA304" i="79"/>
  <c r="I184" i="61"/>
  <c r="P353" i="61"/>
  <c r="P159" i="61"/>
  <c r="D304" i="79"/>
  <c r="I492" i="58"/>
  <c r="K492" i="58"/>
  <c r="M492" i="58"/>
  <c r="AW250" i="79"/>
  <c r="AE551" i="65"/>
  <c r="Y551" i="65"/>
  <c r="H184" i="61"/>
  <c r="AW267" i="79"/>
  <c r="G304" i="79"/>
  <c r="X304" i="79"/>
  <c r="AW228" i="79"/>
  <c r="AW212" i="79"/>
  <c r="AW238" i="79"/>
  <c r="J244" i="79"/>
  <c r="B244" i="79"/>
  <c r="AA94" i="62"/>
  <c r="AW658" i="79"/>
  <c r="AH179" i="65"/>
  <c r="AH138" i="65"/>
  <c r="AH132" i="65"/>
  <c r="AA99" i="62"/>
  <c r="AA113" i="62"/>
  <c r="K246" i="58"/>
  <c r="AE558" i="56"/>
  <c r="AD38" i="75"/>
  <c r="P131" i="61"/>
  <c r="P474" i="61"/>
  <c r="P141" i="61"/>
  <c r="Z492" i="58"/>
  <c r="Q492" i="58"/>
  <c r="B492" i="58"/>
  <c r="J551" i="65"/>
  <c r="D551" i="65"/>
  <c r="AO304" i="79"/>
  <c r="AE304" i="79"/>
  <c r="AJ304" i="79"/>
  <c r="AW216" i="79"/>
  <c r="AR244" i="79"/>
  <c r="AW211" i="79"/>
  <c r="AW193" i="79"/>
  <c r="AW208" i="79"/>
  <c r="AA83" i="62"/>
  <c r="AW258" i="79"/>
  <c r="AA74" i="62"/>
  <c r="AA90" i="62"/>
  <c r="AH154" i="65"/>
  <c r="AA108" i="62"/>
  <c r="AD15" i="73"/>
  <c r="AE492" i="58"/>
  <c r="AH139" i="65"/>
  <c r="AA96" i="62"/>
  <c r="AA75" i="62"/>
  <c r="AA117" i="62"/>
  <c r="Y246" i="58"/>
  <c r="AA81" i="62"/>
  <c r="AU558" i="56"/>
  <c r="Y304" i="79"/>
  <c r="Z244" i="79"/>
  <c r="AW294" i="79"/>
  <c r="R304" i="79"/>
  <c r="AN304" i="79"/>
  <c r="P142" i="61"/>
  <c r="P359" i="61"/>
  <c r="P140" i="61"/>
  <c r="P354" i="61"/>
  <c r="V492" i="58"/>
  <c r="W492" i="58"/>
  <c r="N492" i="58"/>
  <c r="V551" i="65"/>
  <c r="P551" i="65"/>
  <c r="B304" i="79"/>
  <c r="AD304" i="79"/>
  <c r="AW275" i="79"/>
  <c r="AW257" i="79"/>
  <c r="AW278" i="79"/>
  <c r="AN244" i="79"/>
  <c r="AW195" i="79"/>
  <c r="AI244" i="79"/>
  <c r="AW240" i="79"/>
  <c r="AW231" i="79"/>
  <c r="AA98" i="62"/>
  <c r="AW270" i="79"/>
  <c r="AW291" i="79"/>
  <c r="AH137" i="65"/>
  <c r="AA119" i="62"/>
  <c r="O492" i="58"/>
  <c r="AA105" i="62"/>
  <c r="AA100" i="62"/>
  <c r="AH169" i="65"/>
  <c r="AH142" i="65"/>
  <c r="AH144" i="65"/>
  <c r="AH149" i="65"/>
  <c r="AH161" i="65"/>
  <c r="AA76" i="62"/>
  <c r="AA79" i="62"/>
  <c r="AA122" i="62"/>
  <c r="AH165" i="65"/>
  <c r="AA107" i="62"/>
  <c r="AH164" i="65"/>
  <c r="AA492" i="58"/>
  <c r="AD18" i="69"/>
  <c r="AA95" i="62"/>
  <c r="BG558" i="56"/>
  <c r="P135" i="61"/>
  <c r="P153" i="61"/>
  <c r="P158" i="61"/>
  <c r="P360" i="61"/>
  <c r="P492" i="58"/>
  <c r="AC492" i="58"/>
  <c r="AW260" i="79"/>
  <c r="M551" i="65"/>
  <c r="AB551" i="65"/>
  <c r="AT304" i="79"/>
  <c r="AW190" i="79"/>
  <c r="C304" i="79"/>
  <c r="AW261" i="79"/>
  <c r="AW285" i="79"/>
  <c r="AW220" i="79"/>
  <c r="AA244" i="79"/>
  <c r="AW196" i="79"/>
  <c r="AQ244" i="79"/>
  <c r="AH244" i="79"/>
  <c r="AW237" i="79"/>
  <c r="AH171" i="65"/>
  <c r="AA82" i="62"/>
  <c r="AU304" i="79"/>
  <c r="AH153" i="65"/>
  <c r="AA106" i="62"/>
  <c r="AH168" i="65"/>
  <c r="H492" i="58"/>
  <c r="N551" i="65"/>
  <c r="AA120" i="62"/>
  <c r="P355" i="61"/>
  <c r="AW298" i="79"/>
  <c r="D492" i="58"/>
  <c r="AD492" i="58"/>
  <c r="S244" i="79"/>
  <c r="H551" i="65"/>
  <c r="AD551" i="65"/>
  <c r="AA551" i="65"/>
  <c r="AW225" i="79"/>
  <c r="AW259" i="79"/>
  <c r="U304" i="79"/>
  <c r="AW282" i="79"/>
  <c r="AW207" i="79"/>
  <c r="P244" i="79"/>
  <c r="N244" i="79"/>
  <c r="AB244" i="79"/>
  <c r="AW233" i="79"/>
  <c r="AW192" i="79"/>
  <c r="AH159" i="65"/>
  <c r="AW508" i="79"/>
  <c r="AA78" i="62"/>
  <c r="AA84" i="62"/>
  <c r="AH160" i="65"/>
  <c r="AH129" i="65"/>
  <c r="Y124" i="62"/>
  <c r="N558" i="56"/>
  <c r="AW283" i="79"/>
  <c r="AW252" i="79"/>
  <c r="AW253" i="79"/>
  <c r="P170" i="61"/>
  <c r="P149" i="61"/>
  <c r="P155" i="61"/>
  <c r="AH181" i="65"/>
  <c r="AH133" i="65"/>
  <c r="AD8" i="76"/>
  <c r="AA92" i="62"/>
  <c r="AH146" i="65"/>
  <c r="AA110" i="62"/>
  <c r="Y492" i="58"/>
  <c r="AW194" i="79"/>
  <c r="Z558" i="56"/>
  <c r="AW273" i="79"/>
  <c r="AW284" i="79"/>
  <c r="H304" i="79"/>
  <c r="AW248" i="79"/>
  <c r="R551" i="65"/>
  <c r="L184" i="61"/>
  <c r="P480" i="61"/>
  <c r="P162" i="61"/>
  <c r="P361" i="61"/>
  <c r="AW268" i="79"/>
  <c r="AW293" i="79"/>
  <c r="AF492" i="58"/>
  <c r="E492" i="58"/>
  <c r="Z304" i="79"/>
  <c r="E551" i="65"/>
  <c r="AL304" i="79"/>
  <c r="AW262" i="79"/>
  <c r="AW276" i="79"/>
  <c r="AG304" i="79"/>
  <c r="AW290" i="79"/>
  <c r="AU244" i="79"/>
  <c r="AW217" i="79"/>
  <c r="AW210" i="79"/>
  <c r="AW202" i="79"/>
  <c r="AW229" i="79"/>
  <c r="AW204" i="79"/>
  <c r="AH170" i="65"/>
  <c r="AH166" i="65"/>
  <c r="AA118" i="62"/>
  <c r="AA114" i="62"/>
  <c r="AH130" i="65"/>
  <c r="AW606" i="79"/>
  <c r="AH176" i="65"/>
  <c r="AE336" i="66"/>
  <c r="AE562" i="66"/>
  <c r="AE447" i="66"/>
  <c r="AE277" i="66"/>
  <c r="AE153" i="66"/>
  <c r="AE498" i="66"/>
  <c r="AE238" i="66"/>
  <c r="AE214" i="66"/>
  <c r="AE414" i="66"/>
  <c r="AE207" i="66"/>
  <c r="AE217" i="66"/>
  <c r="AE543" i="66"/>
  <c r="AE441" i="66"/>
  <c r="AE197" i="66"/>
  <c r="AE321" i="66"/>
  <c r="AE315" i="66"/>
  <c r="AE189" i="66"/>
  <c r="AE672" i="66"/>
  <c r="AE453" i="66"/>
  <c r="AE517" i="66"/>
  <c r="AE496" i="66"/>
  <c r="AE508" i="66"/>
  <c r="AE690" i="66"/>
  <c r="AE571" i="66"/>
  <c r="AE385" i="66"/>
  <c r="AE160" i="66"/>
  <c r="AE293" i="66"/>
  <c r="AE591" i="66"/>
  <c r="AE476" i="66"/>
  <c r="AE687" i="66"/>
  <c r="AE348" i="66"/>
  <c r="AE715" i="66"/>
  <c r="AE216" i="66"/>
  <c r="AE699" i="66"/>
  <c r="AE541" i="66"/>
  <c r="AE506" i="66"/>
  <c r="AE342" i="66"/>
  <c r="AE328" i="66"/>
  <c r="AE221" i="66"/>
  <c r="AE288" i="66"/>
  <c r="AE664" i="66"/>
  <c r="AE445" i="66"/>
  <c r="AE201" i="66"/>
  <c r="AE326" i="66"/>
  <c r="AE330" i="66"/>
  <c r="AE195" i="66"/>
  <c r="AE688" i="66"/>
  <c r="AE500" i="66"/>
  <c r="AE569" i="66"/>
  <c r="AE510" i="66"/>
  <c r="AE549" i="66"/>
  <c r="AE694" i="66"/>
  <c r="AE707" i="66"/>
  <c r="AW168" i="79"/>
  <c r="AW139" i="79"/>
  <c r="AW126" i="79"/>
  <c r="AE663" i="66"/>
  <c r="AE551" i="66"/>
  <c r="AW18" i="79"/>
  <c r="AE697" i="66"/>
  <c r="AE469" i="66"/>
  <c r="AE531" i="66"/>
  <c r="AE695" i="66"/>
  <c r="AE524" i="66"/>
  <c r="AE147" i="66"/>
  <c r="AE166" i="66"/>
  <c r="B183" i="66"/>
  <c r="AE170" i="66"/>
  <c r="AE258" i="66"/>
  <c r="AE402" i="66"/>
  <c r="AE139" i="66"/>
  <c r="AE241" i="66"/>
  <c r="AE400" i="66"/>
  <c r="AE350" i="66"/>
  <c r="AE346" i="66"/>
  <c r="AE680" i="66"/>
  <c r="AE485" i="66"/>
  <c r="AE212" i="66"/>
  <c r="AE333" i="66"/>
  <c r="AE660" i="66"/>
  <c r="AE369" i="66"/>
  <c r="AE260" i="66"/>
  <c r="AE704" i="66"/>
  <c r="AE514" i="66"/>
  <c r="AE717" i="66"/>
  <c r="AE556" i="66"/>
  <c r="AE698" i="66"/>
  <c r="AE711" i="66"/>
  <c r="AW155" i="79"/>
  <c r="Z182" i="79"/>
  <c r="AR182" i="79"/>
  <c r="AW144" i="79"/>
  <c r="AH34" i="65"/>
  <c r="AE669" i="66"/>
  <c r="AE501" i="66"/>
  <c r="AE438" i="66"/>
  <c r="AE210" i="66"/>
  <c r="AE363" i="66"/>
  <c r="AE325" i="66"/>
  <c r="AE585" i="66"/>
  <c r="AE208" i="66"/>
  <c r="AE490" i="66"/>
  <c r="AE358" i="66"/>
  <c r="AE713" i="66"/>
  <c r="AE689" i="66"/>
  <c r="AE320" i="66"/>
  <c r="AE448" i="66"/>
  <c r="AE199" i="66"/>
  <c r="AE130" i="66"/>
  <c r="AE475" i="66"/>
  <c r="C244" i="61"/>
  <c r="AE164" i="66"/>
  <c r="AE487" i="66"/>
  <c r="AE347" i="66"/>
  <c r="AE282" i="66"/>
  <c r="AE564" i="66"/>
  <c r="AE520" i="66"/>
  <c r="AE290" i="66"/>
  <c r="AE561" i="66"/>
  <c r="AE580" i="66"/>
  <c r="AE256" i="66"/>
  <c r="AE673" i="66"/>
  <c r="AE332" i="66"/>
  <c r="AE380" i="66"/>
  <c r="AE444" i="66"/>
  <c r="AE410" i="66"/>
  <c r="AE361" i="66"/>
  <c r="AE696" i="66"/>
  <c r="AE590" i="66"/>
  <c r="AE266" i="66"/>
  <c r="AE392" i="66"/>
  <c r="AE676" i="66"/>
  <c r="AE376" i="66"/>
  <c r="AE323" i="66"/>
  <c r="AE167" i="66"/>
  <c r="AE527" i="66"/>
  <c r="AE702" i="66"/>
  <c r="AE539" i="66"/>
  <c r="Y182" i="79"/>
  <c r="AW154" i="79"/>
  <c r="AB182" i="79"/>
  <c r="AM182" i="79"/>
  <c r="AE341" i="66"/>
  <c r="AE327" i="66"/>
  <c r="AE313" i="66"/>
  <c r="AE513" i="66"/>
  <c r="AE435" i="66"/>
  <c r="AD40" i="75"/>
  <c r="AE317" i="66"/>
  <c r="AE403" i="66"/>
  <c r="AE271" i="66"/>
  <c r="AE433" i="66"/>
  <c r="AE584" i="66"/>
  <c r="AE701" i="66"/>
  <c r="AE408" i="66"/>
  <c r="AE163" i="66"/>
  <c r="AE530" i="66"/>
  <c r="AE431" i="66"/>
  <c r="AE705" i="66"/>
  <c r="AE261" i="66"/>
  <c r="AE450" i="66"/>
  <c r="AE555" i="66"/>
  <c r="AE371" i="66"/>
  <c r="AE451" i="66"/>
  <c r="AE523" i="66"/>
  <c r="AE374" i="66"/>
  <c r="AE142" i="66"/>
  <c r="AE712" i="66"/>
  <c r="AE129" i="66"/>
  <c r="AE270" i="66"/>
  <c r="AE405" i="66"/>
  <c r="AE692" i="66"/>
  <c r="AE386" i="66"/>
  <c r="AE334" i="66"/>
  <c r="AE235" i="66"/>
  <c r="AE560" i="66"/>
  <c r="AE190" i="66"/>
  <c r="AE706" i="66"/>
  <c r="AE550" i="66"/>
  <c r="Q182" i="79"/>
  <c r="AW163" i="79"/>
  <c r="AW160" i="79"/>
  <c r="AE294" i="66"/>
  <c r="AE471" i="66"/>
  <c r="E184" i="57"/>
  <c r="AE176" i="66"/>
  <c r="AE429" i="66"/>
  <c r="AE255" i="66"/>
  <c r="AE383" i="66"/>
  <c r="AE593" i="66"/>
  <c r="AE206" i="66"/>
  <c r="AE225" i="66"/>
  <c r="AE533" i="66"/>
  <c r="AE316" i="66"/>
  <c r="AE137" i="66"/>
  <c r="AE229" i="66"/>
  <c r="AE691" i="66"/>
  <c r="AE505" i="66"/>
  <c r="AE553" i="66"/>
  <c r="AE489" i="66"/>
  <c r="AE209" i="66"/>
  <c r="AE331" i="66"/>
  <c r="AE251" i="66"/>
  <c r="AE345" i="66"/>
  <c r="AE355" i="66"/>
  <c r="AE196" i="66"/>
  <c r="AE462" i="66"/>
  <c r="AE273" i="66"/>
  <c r="AE351" i="66"/>
  <c r="AE140" i="66"/>
  <c r="AE310" i="66"/>
  <c r="AE422" i="66"/>
  <c r="AE192" i="66"/>
  <c r="AE417" i="66"/>
  <c r="AE359" i="66"/>
  <c r="AE349" i="66"/>
  <c r="AE240" i="66"/>
  <c r="AE335" i="66"/>
  <c r="AE700" i="66"/>
  <c r="AE714" i="66"/>
  <c r="AE558" i="66"/>
  <c r="AW140" i="79"/>
  <c r="B182" i="79"/>
  <c r="AI182" i="79"/>
  <c r="AW176" i="79"/>
  <c r="AE219" i="66"/>
  <c r="AE265" i="66"/>
  <c r="AE546" i="66"/>
  <c r="AE203" i="66"/>
  <c r="AE154" i="66"/>
  <c r="AE477" i="66"/>
  <c r="AE135" i="66"/>
  <c r="AE231" i="66"/>
  <c r="AE395" i="66"/>
  <c r="AE529" i="66"/>
  <c r="AE226" i="66"/>
  <c r="AE162" i="66"/>
  <c r="AE236" i="66"/>
  <c r="AE132" i="66"/>
  <c r="AE384" i="66"/>
  <c r="AE381" i="66"/>
  <c r="AE146" i="66"/>
  <c r="AE314" i="66"/>
  <c r="AE430" i="66"/>
  <c r="AE263" i="66"/>
  <c r="AE474" i="66"/>
  <c r="AE373" i="66"/>
  <c r="AE396" i="66"/>
  <c r="AE295" i="66"/>
  <c r="AE390" i="66"/>
  <c r="AE507" i="66"/>
  <c r="AE670" i="66"/>
  <c r="AE720" i="66"/>
  <c r="AE574" i="66"/>
  <c r="AW167" i="79"/>
  <c r="AW164" i="79"/>
  <c r="AW178" i="79"/>
  <c r="AE279" i="66"/>
  <c r="AE703" i="66"/>
  <c r="AE526" i="66"/>
  <c r="AE491" i="66"/>
  <c r="AE254" i="66"/>
  <c r="AE148" i="66"/>
  <c r="AE718" i="66"/>
  <c r="AE168" i="66"/>
  <c r="AE259" i="66"/>
  <c r="AE589" i="66"/>
  <c r="AE289" i="66"/>
  <c r="AE175" i="66"/>
  <c r="AE679" i="66"/>
  <c r="AE572" i="66"/>
  <c r="AE237" i="66"/>
  <c r="AE512" i="66"/>
  <c r="AE470" i="66"/>
  <c r="AE368" i="66"/>
  <c r="AE356" i="66"/>
  <c r="AE352" i="66"/>
  <c r="AE375" i="66"/>
  <c r="AE542" i="66"/>
  <c r="AE194" i="66"/>
  <c r="AE516" i="66"/>
  <c r="AE442" i="66"/>
  <c r="AE211" i="66"/>
  <c r="AE492" i="66"/>
  <c r="AE232" i="66"/>
  <c r="AE420" i="66"/>
  <c r="AE398" i="66"/>
  <c r="AE169" i="66"/>
  <c r="AE329" i="66"/>
  <c r="AE434" i="66"/>
  <c r="AE364" i="66"/>
  <c r="AE504" i="66"/>
  <c r="AE389" i="66"/>
  <c r="AE406" i="66"/>
  <c r="AE308" i="66"/>
  <c r="AE419" i="66"/>
  <c r="AE511" i="66"/>
  <c r="AE674" i="66"/>
  <c r="AE594" i="66"/>
  <c r="X182" i="79"/>
  <c r="AW131" i="79"/>
  <c r="AW133" i="79"/>
  <c r="AP182" i="79"/>
  <c r="AE131" i="66"/>
  <c r="AE577" i="66"/>
  <c r="AE495" i="66"/>
  <c r="AE228" i="66"/>
  <c r="AE280" i="66"/>
  <c r="AE547" i="66"/>
  <c r="AE397" i="66"/>
  <c r="AE401" i="66"/>
  <c r="AE173" i="66"/>
  <c r="AE455" i="66"/>
  <c r="AE449" i="66"/>
  <c r="AE486" i="66"/>
  <c r="AE563" i="66"/>
  <c r="AE393" i="66"/>
  <c r="AE418" i="66"/>
  <c r="AE312" i="66"/>
  <c r="AE428" i="66"/>
  <c r="AE548" i="66"/>
  <c r="AE678" i="66"/>
  <c r="AE460" i="66"/>
  <c r="AE252" i="66"/>
  <c r="AE573" i="66"/>
  <c r="AE382" i="66"/>
  <c r="AJ27" i="58"/>
  <c r="AE388" i="66"/>
  <c r="AE218" i="66"/>
  <c r="AE377" i="66"/>
  <c r="AE532" i="66"/>
  <c r="AE297" i="66"/>
  <c r="AE693" i="66"/>
  <c r="AE463" i="66"/>
  <c r="AE458" i="66"/>
  <c r="AE518" i="66"/>
  <c r="AE378" i="66"/>
  <c r="AE493" i="66"/>
  <c r="AE268" i="66"/>
  <c r="AE522" i="66"/>
  <c r="AE557" i="66"/>
  <c r="AE515" i="66"/>
  <c r="AE193" i="66"/>
  <c r="AE291" i="66"/>
  <c r="AE581" i="66"/>
  <c r="AE454" i="66"/>
  <c r="AE296" i="66"/>
  <c r="AE552" i="66"/>
  <c r="AE578" i="66"/>
  <c r="AE415" i="66"/>
  <c r="AE177" i="66"/>
  <c r="AE278" i="66"/>
  <c r="AE465" i="66"/>
  <c r="AE586" i="66"/>
  <c r="AE601" i="66"/>
  <c r="AE467" i="66"/>
  <c r="AE439" i="66"/>
  <c r="AE413" i="66"/>
  <c r="AE432" i="66"/>
  <c r="AE682" i="66"/>
  <c r="AE716" i="66"/>
  <c r="AE499" i="66"/>
  <c r="AE661" i="66"/>
  <c r="AE161" i="66"/>
  <c r="AE157" i="66"/>
  <c r="AE319" i="66"/>
  <c r="AE134" i="66"/>
  <c r="AE461" i="66"/>
  <c r="AE497" i="66"/>
  <c r="AE180" i="66"/>
  <c r="AE411" i="66"/>
  <c r="AE338" i="66"/>
  <c r="AE178" i="66"/>
  <c r="AE528" i="66"/>
  <c r="AE152" i="66"/>
  <c r="AE339" i="66"/>
  <c r="AE595" i="66"/>
  <c r="AE459" i="66"/>
  <c r="AE421" i="66"/>
  <c r="AE181" i="66"/>
  <c r="AE318" i="66"/>
  <c r="AE473" i="66"/>
  <c r="AE298" i="66"/>
  <c r="AE151" i="66"/>
  <c r="AE443" i="66"/>
  <c r="AE468" i="66"/>
  <c r="AE488" i="66"/>
  <c r="AE719" i="66"/>
  <c r="AE686" i="66"/>
  <c r="AE509" i="66"/>
  <c r="AE722" i="66"/>
  <c r="AW124" i="79"/>
  <c r="AW173" i="79"/>
  <c r="AW143" i="79"/>
  <c r="AE391" i="66"/>
  <c r="AE286" i="66"/>
  <c r="AE188" i="66"/>
  <c r="S614" i="58"/>
  <c r="U614" i="58"/>
  <c r="G614" i="58"/>
  <c r="AE614" i="58"/>
  <c r="B614" i="58"/>
  <c r="C614" i="58"/>
  <c r="W614" i="58"/>
  <c r="AX618" i="56"/>
  <c r="B618" i="56"/>
  <c r="E618" i="56"/>
  <c r="AR369" i="79"/>
  <c r="AL517" i="57"/>
  <c r="C184" i="57"/>
  <c r="V184" i="57"/>
  <c r="S304" i="79"/>
  <c r="AL494" i="57"/>
  <c r="AL167" i="57"/>
  <c r="AB618" i="56"/>
  <c r="AF618" i="56"/>
  <c r="AN618" i="56"/>
  <c r="AU618" i="56"/>
  <c r="AQ618" i="56"/>
  <c r="AG618" i="56"/>
  <c r="AE618" i="56"/>
  <c r="P618" i="56"/>
  <c r="F618" i="56"/>
  <c r="AO618" i="56"/>
  <c r="AC618" i="56"/>
  <c r="AR618" i="56"/>
  <c r="AI618" i="56"/>
  <c r="BC618" i="56"/>
  <c r="V618" i="56"/>
  <c r="R618" i="56"/>
  <c r="AW618" i="56"/>
  <c r="BF618" i="56"/>
  <c r="BA618" i="56"/>
  <c r="D618" i="56"/>
  <c r="AJ618" i="56"/>
  <c r="C618" i="56"/>
  <c r="AL618" i="56"/>
  <c r="AM618" i="56"/>
  <c r="BG618" i="56"/>
  <c r="AP618" i="56"/>
  <c r="AD618" i="56"/>
  <c r="BI322" i="56"/>
  <c r="AL251" i="57"/>
  <c r="K69" i="62"/>
  <c r="BI598" i="56"/>
  <c r="BI358" i="56"/>
  <c r="BI565" i="56"/>
  <c r="BI317" i="56"/>
  <c r="BI535" i="56"/>
  <c r="BI448" i="56"/>
  <c r="AZ373" i="56"/>
  <c r="BI356" i="56"/>
  <c r="BI527" i="56"/>
  <c r="BI432" i="56"/>
  <c r="BI656" i="56"/>
  <c r="G373" i="56"/>
  <c r="BI579" i="56"/>
  <c r="BI344" i="56"/>
  <c r="AB373" i="56"/>
  <c r="BI519" i="56"/>
  <c r="AS373" i="56"/>
  <c r="BI536" i="56"/>
  <c r="BI407" i="56"/>
  <c r="BI636" i="56"/>
  <c r="AE373" i="56"/>
  <c r="AM373" i="56"/>
  <c r="BI417" i="56"/>
  <c r="BI576" i="56"/>
  <c r="BI357" i="56"/>
  <c r="BI443" i="56"/>
  <c r="BI553" i="56"/>
  <c r="BI493" i="56"/>
  <c r="BI354" i="56"/>
  <c r="BI612" i="56"/>
  <c r="BI705" i="56"/>
  <c r="BI710" i="56"/>
  <c r="BI651" i="56"/>
  <c r="BI399" i="56"/>
  <c r="BI614" i="56"/>
  <c r="AE307" i="57"/>
  <c r="AL255" i="57"/>
  <c r="AL283" i="57"/>
  <c r="AL258" i="57"/>
  <c r="AL260" i="57"/>
  <c r="V307" i="57"/>
  <c r="R430" i="79"/>
  <c r="AS182" i="79"/>
  <c r="AW175" i="79"/>
  <c r="AJ182" i="79"/>
  <c r="G182" i="79"/>
  <c r="AW141" i="79"/>
  <c r="AW132" i="79"/>
  <c r="S430" i="79"/>
  <c r="BI147" i="56"/>
  <c r="J185" i="56"/>
  <c r="P373" i="56"/>
  <c r="F307" i="57"/>
  <c r="BI694" i="56"/>
  <c r="BI470" i="56"/>
  <c r="BI668" i="56"/>
  <c r="BI461" i="56"/>
  <c r="BI539" i="56"/>
  <c r="BI595" i="56"/>
  <c r="BI719" i="56"/>
  <c r="AL373" i="56"/>
  <c r="BI332" i="56"/>
  <c r="BI585" i="56"/>
  <c r="BI364" i="56"/>
  <c r="BI449" i="56"/>
  <c r="BI661" i="56"/>
  <c r="BI678" i="56"/>
  <c r="BI382" i="56"/>
  <c r="BI629" i="56"/>
  <c r="BI542" i="56"/>
  <c r="BI386" i="56"/>
  <c r="BG373" i="56"/>
  <c r="BI383" i="56"/>
  <c r="BI398" i="56"/>
  <c r="N373" i="56"/>
  <c r="M373" i="56"/>
  <c r="BI686" i="56"/>
  <c r="BI363" i="56"/>
  <c r="BI452" i="56"/>
  <c r="BI602" i="56"/>
  <c r="BI499" i="56"/>
  <c r="C373" i="56"/>
  <c r="BI621" i="56"/>
  <c r="BI728" i="56"/>
  <c r="BI385" i="56"/>
  <c r="BI655" i="56"/>
  <c r="BI402" i="56"/>
  <c r="BI623" i="56"/>
  <c r="E69" i="62"/>
  <c r="BI463" i="56"/>
  <c r="AL279" i="57"/>
  <c r="AL272" i="57"/>
  <c r="U307" i="57"/>
  <c r="AJ307" i="57"/>
  <c r="AL271" i="57"/>
  <c r="AH307" i="57"/>
  <c r="C476" i="60"/>
  <c r="AW179" i="79"/>
  <c r="L182" i="79"/>
  <c r="AF182" i="79"/>
  <c r="J182" i="79"/>
  <c r="AW172" i="79"/>
  <c r="AW142" i="79"/>
  <c r="AW136" i="79"/>
  <c r="AO430" i="79"/>
  <c r="J430" i="79"/>
  <c r="AZ185" i="56"/>
  <c r="AD24" i="75"/>
  <c r="BI189" i="56"/>
  <c r="BI580" i="56"/>
  <c r="BI378" i="56"/>
  <c r="AL297" i="57"/>
  <c r="AA54" i="62"/>
  <c r="BI360" i="56"/>
  <c r="BI628" i="56"/>
  <c r="D373" i="56"/>
  <c r="BI594" i="56"/>
  <c r="AI373" i="56"/>
  <c r="BI348" i="56"/>
  <c r="BI384" i="56"/>
  <c r="BI514" i="56"/>
  <c r="BI447" i="56"/>
  <c r="BI597" i="56"/>
  <c r="BI472" i="56"/>
  <c r="BI335" i="56"/>
  <c r="BI707" i="56"/>
  <c r="BI506" i="56"/>
  <c r="BI397" i="56"/>
  <c r="BI684" i="56"/>
  <c r="BI371" i="56"/>
  <c r="BI649" i="56"/>
  <c r="BI359" i="56"/>
  <c r="AR373" i="56"/>
  <c r="BI573" i="56"/>
  <c r="AP373" i="56"/>
  <c r="BI314" i="56"/>
  <c r="BI603" i="56"/>
  <c r="BI465" i="56"/>
  <c r="BI369" i="56"/>
  <c r="BI456" i="56"/>
  <c r="BI676" i="56"/>
  <c r="BI607" i="56"/>
  <c r="O373" i="56"/>
  <c r="BI625" i="56"/>
  <c r="BI688" i="56"/>
  <c r="BI394" i="56"/>
  <c r="BI659" i="56"/>
  <c r="BI405" i="56"/>
  <c r="BI702" i="56"/>
  <c r="U430" i="79"/>
  <c r="L476" i="60"/>
  <c r="I307" i="57"/>
  <c r="AL284" i="57"/>
  <c r="AB307" i="57"/>
  <c r="C307" i="57"/>
  <c r="AL275" i="57"/>
  <c r="AL259" i="57"/>
  <c r="AT182" i="79"/>
  <c r="AW169" i="79"/>
  <c r="AW151" i="79"/>
  <c r="AW156" i="79"/>
  <c r="V182" i="79"/>
  <c r="AW150" i="79"/>
  <c r="P430" i="79"/>
  <c r="AC430" i="79"/>
  <c r="S122" i="58"/>
  <c r="AL287" i="57"/>
  <c r="BI349" i="56"/>
  <c r="BD373" i="56"/>
  <c r="BI313" i="56"/>
  <c r="BI425" i="56"/>
  <c r="BI630" i="56"/>
  <c r="BI530" i="56"/>
  <c r="BI345" i="56"/>
  <c r="BI657" i="56"/>
  <c r="BI352" i="56"/>
  <c r="BB373" i="56"/>
  <c r="BI641" i="56"/>
  <c r="BI551" i="56"/>
  <c r="L373" i="56"/>
  <c r="BI622" i="56"/>
  <c r="BI563" i="56"/>
  <c r="BI464" i="56"/>
  <c r="BA373" i="56"/>
  <c r="BI695" i="56"/>
  <c r="BI548" i="56"/>
  <c r="BI540" i="56"/>
  <c r="BI323" i="56"/>
  <c r="BI316" i="56"/>
  <c r="BI521" i="56"/>
  <c r="J373" i="56"/>
  <c r="BI480" i="56"/>
  <c r="BI685" i="56"/>
  <c r="BI611" i="56"/>
  <c r="AA373" i="56"/>
  <c r="BI700" i="56"/>
  <c r="BI714" i="56"/>
  <c r="BI578" i="56"/>
  <c r="BI663" i="56"/>
  <c r="BI413" i="56"/>
  <c r="AL285" i="57"/>
  <c r="W430" i="79"/>
  <c r="Z476" i="60"/>
  <c r="D476" i="60"/>
  <c r="AL276" i="57"/>
  <c r="AL282" i="57"/>
  <c r="Y307" i="57"/>
  <c r="AL256" i="57"/>
  <c r="AL277" i="57"/>
  <c r="AL270" i="57"/>
  <c r="AJ430" i="79"/>
  <c r="AR430" i="79"/>
  <c r="AL280" i="57"/>
  <c r="BI411" i="56"/>
  <c r="BI370" i="56"/>
  <c r="BI592" i="56"/>
  <c r="BI665" i="56"/>
  <c r="AG373" i="56"/>
  <c r="BI561" i="56"/>
  <c r="W373" i="56"/>
  <c r="BI626" i="56"/>
  <c r="AX373" i="56"/>
  <c r="BI419" i="56"/>
  <c r="BI329" i="56"/>
  <c r="AV373" i="56"/>
  <c r="AO373" i="56"/>
  <c r="BI550" i="56"/>
  <c r="K373" i="56"/>
  <c r="BI484" i="56"/>
  <c r="BI491" i="56"/>
  <c r="BI715" i="56"/>
  <c r="H373" i="56"/>
  <c r="BI482" i="56"/>
  <c r="AN373" i="56"/>
  <c r="BI605" i="56"/>
  <c r="BI476" i="56"/>
  <c r="BI325" i="56"/>
  <c r="BI400" i="56"/>
  <c r="V373" i="56"/>
  <c r="BI486" i="56"/>
  <c r="BI698" i="56"/>
  <c r="BI615" i="56"/>
  <c r="AY373" i="56"/>
  <c r="BI713" i="56"/>
  <c r="BI740" i="56"/>
  <c r="BI590" i="56"/>
  <c r="BI667" i="56"/>
  <c r="BI459" i="56"/>
  <c r="BI600" i="56"/>
  <c r="AL291" i="57"/>
  <c r="AL265" i="57"/>
  <c r="AD307" i="57"/>
  <c r="AL295" i="57"/>
  <c r="AG307" i="57"/>
  <c r="L307" i="57"/>
  <c r="AL290" i="57"/>
  <c r="AL274" i="57"/>
  <c r="B430" i="79"/>
  <c r="AS430" i="79"/>
  <c r="N185" i="56"/>
  <c r="BI393" i="56"/>
  <c r="BI532" i="56"/>
  <c r="BI429" i="56"/>
  <c r="Q373" i="56"/>
  <c r="BI431" i="56"/>
  <c r="E373" i="56"/>
  <c r="BI312" i="56"/>
  <c r="BI469" i="56"/>
  <c r="BI538" i="56"/>
  <c r="BI366" i="56"/>
  <c r="BI701" i="56"/>
  <c r="Z373" i="56"/>
  <c r="BI328" i="56"/>
  <c r="BI717" i="56"/>
  <c r="BI697" i="56"/>
  <c r="BI525" i="56"/>
  <c r="BI658" i="56"/>
  <c r="BI331" i="56"/>
  <c r="BI613" i="56"/>
  <c r="BI341" i="56"/>
  <c r="BC373" i="56"/>
  <c r="BI324" i="56"/>
  <c r="BI439" i="56"/>
  <c r="BI512" i="56"/>
  <c r="Y373" i="56"/>
  <c r="BI421" i="56"/>
  <c r="AH373" i="56"/>
  <c r="BI492" i="56"/>
  <c r="BI730" i="56"/>
  <c r="BI624" i="56"/>
  <c r="BI500" i="56"/>
  <c r="BI732" i="56"/>
  <c r="BI318" i="56"/>
  <c r="BI593" i="56"/>
  <c r="BI671" i="56"/>
  <c r="BI462" i="56"/>
  <c r="AQ373" i="56"/>
  <c r="BI490" i="56"/>
  <c r="AL298" i="57"/>
  <c r="AL294" i="57"/>
  <c r="AL266" i="57"/>
  <c r="AL288" i="57"/>
  <c r="O307" i="57"/>
  <c r="N307" i="57"/>
  <c r="AL286" i="57"/>
  <c r="AN430" i="79"/>
  <c r="I430" i="79"/>
  <c r="AO437" i="60"/>
  <c r="BI581" i="56"/>
  <c r="BI704" i="56"/>
  <c r="BI711" i="56"/>
  <c r="BI531" i="56"/>
  <c r="BI552" i="56"/>
  <c r="BI664" i="56"/>
  <c r="BI395" i="56"/>
  <c r="BI727" i="56"/>
  <c r="BI555" i="56"/>
  <c r="BI504" i="56"/>
  <c r="BI586" i="56"/>
  <c r="BI729" i="56"/>
  <c r="BI568" i="56"/>
  <c r="BI662" i="56"/>
  <c r="BI333" i="56"/>
  <c r="BI739" i="56"/>
  <c r="BI368" i="56"/>
  <c r="BI478" i="56"/>
  <c r="BI334" i="56"/>
  <c r="BI609" i="56"/>
  <c r="BI546" i="56"/>
  <c r="BI646" i="56"/>
  <c r="BI507" i="56"/>
  <c r="BI414" i="56"/>
  <c r="BI509" i="56"/>
  <c r="AT373" i="56"/>
  <c r="BI505" i="56"/>
  <c r="BI735" i="56"/>
  <c r="BI677" i="56"/>
  <c r="BI513" i="56"/>
  <c r="BI738" i="56"/>
  <c r="BI320" i="56"/>
  <c r="BI627" i="56"/>
  <c r="BI675" i="56"/>
  <c r="BI467" i="56"/>
  <c r="BI544" i="56"/>
  <c r="H307" i="57"/>
  <c r="AL268" i="57"/>
  <c r="AL261" i="57"/>
  <c r="AL293" i="57"/>
  <c r="AL253" i="57"/>
  <c r="Z307" i="57"/>
  <c r="AL289" i="57"/>
  <c r="AW174" i="79"/>
  <c r="R182" i="79"/>
  <c r="N182" i="79"/>
  <c r="T182" i="79"/>
  <c r="AW137" i="79"/>
  <c r="AK182" i="79"/>
  <c r="F182" i="79"/>
  <c r="T430" i="79"/>
  <c r="K430" i="79"/>
  <c r="AV185" i="56"/>
  <c r="AL269" i="57"/>
  <c r="B424" i="66"/>
  <c r="E307" i="57"/>
  <c r="AL264" i="57"/>
  <c r="AL292" i="57"/>
  <c r="AL267" i="57"/>
  <c r="R307" i="57"/>
  <c r="AL262" i="57"/>
  <c r="K307" i="57"/>
  <c r="AM430" i="79"/>
  <c r="AU430" i="79"/>
  <c r="AU373" i="56"/>
  <c r="BI571" i="56"/>
  <c r="BI353" i="56"/>
  <c r="AJ373" i="56"/>
  <c r="BI483" i="56"/>
  <c r="BI723" i="56"/>
  <c r="BI418" i="56"/>
  <c r="BI420" i="56"/>
  <c r="BI528" i="56"/>
  <c r="BI523" i="56"/>
  <c r="BI706" i="56"/>
  <c r="T373" i="56"/>
  <c r="G307" i="57"/>
  <c r="AL302" i="57"/>
  <c r="AC307" i="57"/>
  <c r="M307" i="57"/>
  <c r="AL257" i="57"/>
  <c r="AL296" i="57"/>
  <c r="W307" i="57"/>
  <c r="BI642" i="56"/>
  <c r="AD373" i="56"/>
  <c r="F373" i="56"/>
  <c r="BI489" i="56"/>
  <c r="BI381" i="56"/>
  <c r="O122" i="58"/>
  <c r="BI460" i="56"/>
  <c r="BI589" i="56"/>
  <c r="T69" i="62"/>
  <c r="BI570" i="56"/>
  <c r="BI604" i="56"/>
  <c r="BI388" i="56"/>
  <c r="BI355" i="56"/>
  <c r="BI669" i="56"/>
  <c r="BI583" i="56"/>
  <c r="BI401" i="56"/>
  <c r="BI533" i="56"/>
  <c r="BI475" i="56"/>
  <c r="BI673" i="56"/>
  <c r="BI522" i="56"/>
  <c r="BI442" i="56"/>
  <c r="BI596" i="56"/>
  <c r="X373" i="56"/>
  <c r="BI648" i="56"/>
  <c r="BI410" i="56"/>
  <c r="BI736" i="56"/>
  <c r="BI367" i="56"/>
  <c r="BI454" i="56"/>
  <c r="BI720" i="56"/>
  <c r="BI709" i="56"/>
  <c r="BI488" i="56"/>
  <c r="BI632" i="56"/>
  <c r="S373" i="56"/>
  <c r="AK373" i="56"/>
  <c r="BI518" i="56"/>
  <c r="BI424" i="56"/>
  <c r="BI524" i="56"/>
  <c r="BI406" i="56"/>
  <c r="BI726" i="56"/>
  <c r="BI534" i="56"/>
  <c r="BI670" i="56"/>
  <c r="BI562" i="56"/>
  <c r="BI639" i="56"/>
  <c r="BI734" i="56"/>
  <c r="BI582" i="56"/>
  <c r="F430" i="79"/>
  <c r="O430" i="79"/>
  <c r="BI473" i="56"/>
  <c r="AA26" i="62"/>
  <c r="AF307" i="57"/>
  <c r="AL301" i="57"/>
  <c r="AL252" i="57"/>
  <c r="AL303" i="57"/>
  <c r="AL305" i="57"/>
  <c r="AL300" i="57"/>
  <c r="AW158" i="79"/>
  <c r="AW138" i="79"/>
  <c r="AW145" i="79"/>
  <c r="AQ182" i="79"/>
  <c r="AW161" i="79"/>
  <c r="C182" i="79"/>
  <c r="AW171" i="79"/>
  <c r="AD430" i="79"/>
  <c r="N430" i="79"/>
  <c r="BG185" i="56"/>
  <c r="P309" i="61"/>
  <c r="P340" i="61"/>
  <c r="BI556" i="56"/>
  <c r="BI457" i="56"/>
  <c r="BI549" i="56"/>
  <c r="BI588" i="56"/>
  <c r="BI733" i="56"/>
  <c r="BI666" i="56"/>
  <c r="BI645" i="56"/>
  <c r="BI485" i="56"/>
  <c r="BI468" i="56"/>
  <c r="BI517" i="56"/>
  <c r="BI650" i="56"/>
  <c r="BI567" i="56"/>
  <c r="BI474" i="56"/>
  <c r="BI708" i="56"/>
  <c r="BI453" i="56"/>
  <c r="BI520" i="56"/>
  <c r="BI712" i="56"/>
  <c r="BI351" i="56"/>
  <c r="BI635" i="56"/>
  <c r="BI575" i="56"/>
  <c r="BI412" i="56"/>
  <c r="AJ154" i="58"/>
  <c r="S307" i="57"/>
  <c r="BI315" i="56"/>
  <c r="BI503" i="56"/>
  <c r="AO426" i="60"/>
  <c r="AA48" i="62"/>
  <c r="BI409" i="56"/>
  <c r="BI616" i="56"/>
  <c r="BI634" i="56"/>
  <c r="BI545" i="56"/>
  <c r="BI339" i="56"/>
  <c r="BI466" i="56"/>
  <c r="BI444" i="56"/>
  <c r="BI653" i="56"/>
  <c r="BI423" i="56"/>
  <c r="BI687" i="56"/>
  <c r="BI327" i="56"/>
  <c r="BI510" i="56"/>
  <c r="BI451" i="56"/>
  <c r="BI569" i="56"/>
  <c r="BI330" i="56"/>
  <c r="BI644" i="56"/>
  <c r="BI426" i="56"/>
  <c r="BI721" i="56"/>
  <c r="BI529" i="56"/>
  <c r="BI422" i="56"/>
  <c r="BI637" i="56"/>
  <c r="BI502" i="56"/>
  <c r="AC373" i="56"/>
  <c r="AW373" i="56"/>
  <c r="BI340" i="56"/>
  <c r="BI430" i="56"/>
  <c r="BI541" i="56"/>
  <c r="BI481" i="56"/>
  <c r="BI722" i="56"/>
  <c r="BI564" i="56"/>
  <c r="BI674" i="56"/>
  <c r="BI587" i="56"/>
  <c r="BI643" i="56"/>
  <c r="BI337" i="56"/>
  <c r="BI606" i="56"/>
  <c r="BI699" i="56"/>
  <c r="BI321" i="56"/>
  <c r="AL263" i="57"/>
  <c r="T307" i="57"/>
  <c r="P307" i="57"/>
  <c r="AL281" i="57"/>
  <c r="X307" i="57"/>
  <c r="AL304" i="57"/>
  <c r="AW148" i="79"/>
  <c r="I182" i="79"/>
  <c r="AW180" i="79"/>
  <c r="AW129" i="79"/>
  <c r="AU182" i="79"/>
  <c r="AA182" i="79"/>
  <c r="AW177" i="79"/>
  <c r="AA430" i="79"/>
  <c r="AL430" i="79"/>
  <c r="X618" i="56"/>
  <c r="AJ613" i="79"/>
  <c r="E613" i="79"/>
  <c r="U613" i="79"/>
  <c r="M613" i="79"/>
  <c r="Q613" i="79"/>
  <c r="AG613" i="79"/>
  <c r="Y613" i="79"/>
  <c r="AC613" i="79"/>
  <c r="AS613" i="79"/>
  <c r="V613" i="79"/>
  <c r="AO613" i="79"/>
  <c r="AH613" i="79"/>
  <c r="AK613" i="79"/>
  <c r="AD613" i="79"/>
  <c r="J613" i="79"/>
  <c r="C613" i="79"/>
  <c r="F613" i="79"/>
  <c r="O613" i="79"/>
  <c r="R613" i="79"/>
  <c r="AA613" i="79"/>
  <c r="AT613" i="79"/>
  <c r="AM613" i="79"/>
  <c r="AP613" i="79"/>
  <c r="K613" i="79"/>
  <c r="D613" i="79"/>
  <c r="T613" i="79"/>
  <c r="W613" i="79"/>
  <c r="P613" i="79"/>
  <c r="AI613" i="79"/>
  <c r="L613" i="79"/>
  <c r="AB613" i="79"/>
  <c r="AR613" i="79"/>
  <c r="AU613" i="79"/>
  <c r="S613" i="79"/>
  <c r="AF613" i="79"/>
  <c r="X613" i="79"/>
  <c r="AN613" i="79"/>
  <c r="I613" i="79"/>
  <c r="Z618" i="56"/>
  <c r="M618" i="56"/>
  <c r="AT618" i="56"/>
  <c r="AS618" i="56"/>
  <c r="AH618" i="56"/>
  <c r="W618" i="56"/>
  <c r="G618" i="56"/>
  <c r="AA618" i="56"/>
  <c r="J618" i="56"/>
  <c r="BE618" i="56"/>
  <c r="H618" i="56"/>
  <c r="AY618" i="56"/>
  <c r="N618" i="56"/>
  <c r="O618" i="56"/>
  <c r="K618" i="56"/>
  <c r="T618" i="56"/>
  <c r="Y618" i="56"/>
  <c r="S618" i="56"/>
  <c r="BD618" i="56"/>
  <c r="AK618" i="56"/>
  <c r="V61" i="73"/>
  <c r="P13" i="17" s="1"/>
  <c r="BI227" i="56"/>
  <c r="V185" i="56"/>
  <c r="AH85" i="65"/>
  <c r="AH72" i="65"/>
  <c r="U122" i="58"/>
  <c r="AH77" i="65"/>
  <c r="AH75" i="65"/>
  <c r="AD10" i="76"/>
  <c r="AD185" i="56"/>
  <c r="BI135" i="56"/>
  <c r="AH84" i="65"/>
  <c r="AW222" i="79"/>
  <c r="AW232" i="79"/>
  <c r="C244" i="79"/>
  <c r="AE244" i="79"/>
  <c r="U244" i="79"/>
  <c r="AW239" i="79"/>
  <c r="AW230" i="79"/>
  <c r="Q244" i="79"/>
  <c r="T244" i="79"/>
  <c r="M244" i="79"/>
  <c r="AW199" i="79"/>
  <c r="AW188" i="79"/>
  <c r="AK244" i="79"/>
  <c r="AW206" i="79"/>
  <c r="AW236" i="79"/>
  <c r="AC244" i="79"/>
  <c r="R185" i="56"/>
  <c r="AH119" i="65"/>
  <c r="AH110" i="65"/>
  <c r="AD244" i="79"/>
  <c r="F244" i="79"/>
  <c r="AW187" i="79"/>
  <c r="AP244" i="79"/>
  <c r="AG244" i="79"/>
  <c r="AW200" i="79"/>
  <c r="AL244" i="79"/>
  <c r="AW224" i="79"/>
  <c r="AH105" i="65"/>
  <c r="AH103" i="65"/>
  <c r="AH99" i="65"/>
  <c r="AH93" i="65"/>
  <c r="I618" i="56"/>
  <c r="AZ618" i="56"/>
  <c r="Q618" i="56"/>
  <c r="U618" i="56"/>
  <c r="AV618" i="56"/>
  <c r="L618" i="56"/>
  <c r="T54" i="70"/>
  <c r="N10" i="17" s="1"/>
  <c r="S302" i="60"/>
  <c r="AW449" i="79"/>
  <c r="AE302" i="60"/>
  <c r="O302" i="60"/>
  <c r="M302" i="60"/>
  <c r="Q63" i="71"/>
  <c r="K11" i="17" s="1"/>
  <c r="P302" i="60"/>
  <c r="AA302" i="60"/>
  <c r="BI574" i="56"/>
  <c r="E302" i="60"/>
  <c r="D185" i="56"/>
  <c r="U185" i="56"/>
  <c r="AU185" i="56"/>
  <c r="AW416" i="79"/>
  <c r="AW572" i="79"/>
  <c r="AW322" i="79"/>
  <c r="AW340" i="79"/>
  <c r="AW531" i="79"/>
  <c r="V19" i="17"/>
  <c r="AH13" i="65"/>
  <c r="AW436" i="79"/>
  <c r="AW309" i="79"/>
  <c r="AL372" i="57"/>
  <c r="AL412" i="57"/>
  <c r="F184" i="57"/>
  <c r="T302" i="60"/>
  <c r="BF373" i="56"/>
  <c r="I371" i="58"/>
  <c r="AD32" i="69"/>
  <c r="AW505" i="79"/>
  <c r="AW474" i="79"/>
  <c r="F608" i="57"/>
  <c r="L608" i="57"/>
  <c r="AF608" i="57"/>
  <c r="D608" i="57"/>
  <c r="Y608" i="57"/>
  <c r="T608" i="57"/>
  <c r="G608" i="57"/>
  <c r="O608" i="57"/>
  <c r="X608" i="57"/>
  <c r="AA608" i="57"/>
  <c r="AI608" i="57"/>
  <c r="Z608" i="57"/>
  <c r="H608" i="57"/>
  <c r="P608" i="57"/>
  <c r="U608" i="57"/>
  <c r="AB608" i="57"/>
  <c r="AJ608" i="57"/>
  <c r="AG608" i="57"/>
  <c r="I608" i="57"/>
  <c r="Q608" i="57"/>
  <c r="AH608" i="57"/>
  <c r="AC608" i="57"/>
  <c r="R608" i="57"/>
  <c r="V608" i="57"/>
  <c r="J608" i="57"/>
  <c r="E608" i="57"/>
  <c r="C608" i="57"/>
  <c r="AD608" i="57"/>
  <c r="M608" i="57"/>
  <c r="W608" i="57"/>
  <c r="K608" i="57"/>
  <c r="N608" i="57"/>
  <c r="B608" i="57"/>
  <c r="AE608" i="57"/>
  <c r="V54" i="70"/>
  <c r="P10" i="17" s="1"/>
  <c r="B242" i="60"/>
  <c r="U63" i="71"/>
  <c r="O11" i="17" s="1"/>
  <c r="AO337" i="60"/>
  <c r="AO308" i="60"/>
  <c r="U119" i="79"/>
  <c r="X361" i="60"/>
  <c r="AO320" i="60"/>
  <c r="AH321" i="65"/>
  <c r="AH630" i="65"/>
  <c r="U369" i="65"/>
  <c r="AH619" i="65"/>
  <c r="AH487" i="65"/>
  <c r="AH674" i="65"/>
  <c r="AH720" i="65"/>
  <c r="AH330" i="65"/>
  <c r="AH618" i="65"/>
  <c r="AH699" i="65"/>
  <c r="AH614" i="65"/>
  <c r="N369" i="65"/>
  <c r="AH389" i="65"/>
  <c r="AE369" i="65"/>
  <c r="AH473" i="65"/>
  <c r="Z369" i="65"/>
  <c r="AH375" i="65"/>
  <c r="AH586" i="65"/>
  <c r="O369" i="65"/>
  <c r="AH692" i="65"/>
  <c r="AH497" i="65"/>
  <c r="AH681" i="65"/>
  <c r="AH410" i="65"/>
  <c r="AH690" i="65"/>
  <c r="AH589" i="65"/>
  <c r="AH703" i="65"/>
  <c r="G369" i="65"/>
  <c r="AH649" i="65"/>
  <c r="AH335" i="65"/>
  <c r="AD369" i="65"/>
  <c r="AH701" i="65"/>
  <c r="AH571" i="65"/>
  <c r="AH394" i="65"/>
  <c r="AH707" i="65"/>
  <c r="AO324" i="60"/>
  <c r="G361" i="60"/>
  <c r="R361" i="60"/>
  <c r="AH332" i="65"/>
  <c r="AH395" i="65"/>
  <c r="AH526" i="65"/>
  <c r="AH338" i="65"/>
  <c r="AH359" i="65"/>
  <c r="AH591" i="65"/>
  <c r="AH580" i="65"/>
  <c r="AH556" i="65"/>
  <c r="AH521" i="65"/>
  <c r="AH704" i="65"/>
  <c r="AH402" i="65"/>
  <c r="AH632" i="65"/>
  <c r="AC369" i="65"/>
  <c r="AH628" i="65"/>
  <c r="AH376" i="65"/>
  <c r="AH403" i="65"/>
  <c r="AH354" i="65"/>
  <c r="AH347" i="65"/>
  <c r="AH588" i="65"/>
  <c r="AH573" i="65"/>
  <c r="E369" i="65"/>
  <c r="AH532" i="65"/>
  <c r="AH505" i="65"/>
  <c r="AH450" i="65"/>
  <c r="AA369" i="65"/>
  <c r="AH728" i="65"/>
  <c r="AH344" i="65"/>
  <c r="AH439" i="65"/>
  <c r="AH572" i="65"/>
  <c r="AH327" i="65"/>
  <c r="AH717" i="65"/>
  <c r="AH325" i="65"/>
  <c r="AH620" i="65"/>
  <c r="AO307" i="60"/>
  <c r="F361" i="60"/>
  <c r="AO315" i="60"/>
  <c r="AH510" i="65"/>
  <c r="AO323" i="60"/>
  <c r="P61" i="73"/>
  <c r="J13" i="17" s="1"/>
  <c r="AH478" i="65"/>
  <c r="B361" i="60"/>
  <c r="AD361" i="60"/>
  <c r="K119" i="79"/>
  <c r="AO309" i="60"/>
  <c r="AH673" i="65"/>
  <c r="AH560" i="65"/>
  <c r="AH425" i="65"/>
  <c r="AH622" i="65"/>
  <c r="Q369" i="65"/>
  <c r="AH615" i="65"/>
  <c r="AH378" i="65"/>
  <c r="AH380" i="65"/>
  <c r="AH365" i="65"/>
  <c r="AH404" i="65"/>
  <c r="AH617" i="65"/>
  <c r="AH475" i="65"/>
  <c r="AH702" i="65"/>
  <c r="AH417" i="65"/>
  <c r="AH606" i="65"/>
  <c r="AH519" i="65"/>
  <c r="AH689" i="65"/>
  <c r="AH535" i="65"/>
  <c r="AH355" i="65"/>
  <c r="AH351" i="65"/>
  <c r="AH547" i="65"/>
  <c r="AH317" i="65"/>
  <c r="AH520" i="65"/>
  <c r="AH336" i="65"/>
  <c r="AH726" i="65"/>
  <c r="AH625" i="65"/>
  <c r="AH415" i="65"/>
  <c r="AH442" i="65"/>
  <c r="AH641" i="65"/>
  <c r="AH342" i="65"/>
  <c r="AH721" i="65"/>
  <c r="AH384" i="65"/>
  <c r="AH488" i="65"/>
  <c r="AO342" i="60"/>
  <c r="AH664" i="65"/>
  <c r="L430" i="79"/>
  <c r="AB430" i="79"/>
  <c r="AH430" i="79"/>
  <c r="M430" i="79"/>
  <c r="AO345" i="60"/>
  <c r="AH448" i="65"/>
  <c r="AL398" i="57"/>
  <c r="AL575" i="57"/>
  <c r="Y68" i="58"/>
  <c r="AL151" i="57"/>
  <c r="AO326" i="60"/>
  <c r="AB361" i="60"/>
  <c r="AE361" i="60"/>
  <c r="AE119" i="79"/>
  <c r="AL127" i="57"/>
  <c r="AH529" i="65"/>
  <c r="H369" i="65"/>
  <c r="K369" i="65"/>
  <c r="AH472" i="65"/>
  <c r="AH711" i="65"/>
  <c r="AH663" i="65"/>
  <c r="AH540" i="65"/>
  <c r="AH447" i="65"/>
  <c r="AH714" i="65"/>
  <c r="AH612" i="65"/>
  <c r="AH495" i="65"/>
  <c r="AH508" i="65"/>
  <c r="AH477" i="65"/>
  <c r="AH499" i="65"/>
  <c r="AH460" i="65"/>
  <c r="AH437" i="65"/>
  <c r="AH595" i="65"/>
  <c r="AH409" i="65"/>
  <c r="AH349" i="65"/>
  <c r="AH695" i="65"/>
  <c r="AH326" i="65"/>
  <c r="AH688" i="65"/>
  <c r="AH348" i="65"/>
  <c r="AH570" i="65"/>
  <c r="AH629" i="65"/>
  <c r="AH419" i="65"/>
  <c r="AH445" i="65"/>
  <c r="AH324" i="65"/>
  <c r="AH374" i="65"/>
  <c r="AH438" i="65"/>
  <c r="AH397" i="65"/>
  <c r="AH518" i="65"/>
  <c r="AH443" i="65"/>
  <c r="AW37" i="79"/>
  <c r="AO348" i="60"/>
  <c r="C361" i="60"/>
  <c r="AH310" i="65"/>
  <c r="AC361" i="60"/>
  <c r="AO328" i="60"/>
  <c r="AO322" i="60"/>
  <c r="AO343" i="60"/>
  <c r="AH481" i="65"/>
  <c r="O361" i="60"/>
  <c r="AH411" i="65"/>
  <c r="AH718" i="65"/>
  <c r="AH623" i="65"/>
  <c r="AH719" i="65"/>
  <c r="AH457" i="65"/>
  <c r="AH675" i="65"/>
  <c r="C369" i="65"/>
  <c r="AH377" i="65"/>
  <c r="AH706" i="65"/>
  <c r="AH616" i="65"/>
  <c r="AH554" i="65"/>
  <c r="AH636" i="65"/>
  <c r="AH353" i="65"/>
  <c r="AH387" i="65"/>
  <c r="AH509" i="65"/>
  <c r="AH693" i="65"/>
  <c r="AH329" i="65"/>
  <c r="AH715" i="65"/>
  <c r="AH337" i="65"/>
  <c r="AH362" i="65"/>
  <c r="AH685" i="65"/>
  <c r="AH597" i="65"/>
  <c r="AH577" i="65"/>
  <c r="AH528" i="65"/>
  <c r="AH360" i="65"/>
  <c r="AH627" i="65"/>
  <c r="W369" i="65"/>
  <c r="AH633" i="65"/>
  <c r="AH424" i="65"/>
  <c r="AH455" i="65"/>
  <c r="AH345" i="65"/>
  <c r="AH393" i="65"/>
  <c r="AH542" i="65"/>
  <c r="AH660" i="65"/>
  <c r="AH581" i="65"/>
  <c r="AO341" i="60"/>
  <c r="AO314" i="60"/>
  <c r="AO330" i="60"/>
  <c r="Q430" i="79"/>
  <c r="D430" i="79"/>
  <c r="AK430" i="79"/>
  <c r="I361" i="60"/>
  <c r="X429" i="57"/>
  <c r="V68" i="58"/>
  <c r="AD31" i="74"/>
  <c r="AO316" i="60"/>
  <c r="AJ28" i="58"/>
  <c r="AO318" i="60"/>
  <c r="AO339" i="60"/>
  <c r="AH458" i="65"/>
  <c r="P242" i="60"/>
  <c r="AH722" i="65"/>
  <c r="AO325" i="60"/>
  <c r="AH723" i="65"/>
  <c r="AO310" i="60"/>
  <c r="AO329" i="60"/>
  <c r="D369" i="65"/>
  <c r="AH452" i="65"/>
  <c r="AH555" i="65"/>
  <c r="AH392" i="65"/>
  <c r="AH501" i="65"/>
  <c r="AH484" i="65"/>
  <c r="AH640" i="65"/>
  <c r="AH514" i="65"/>
  <c r="AH533" i="65"/>
  <c r="AH708" i="65"/>
  <c r="AH603" i="65"/>
  <c r="AH539" i="65"/>
  <c r="AH599" i="65"/>
  <c r="AH453" i="65"/>
  <c r="M369" i="65"/>
  <c r="AH639" i="65"/>
  <c r="AH500" i="65"/>
  <c r="AH567" i="65"/>
  <c r="AH444" i="65"/>
  <c r="AH469" i="65"/>
  <c r="AH638" i="65"/>
  <c r="AH382" i="65"/>
  <c r="AH406" i="65"/>
  <c r="AH549" i="65"/>
  <c r="AH637" i="65"/>
  <c r="AH658" i="65"/>
  <c r="AH468" i="65"/>
  <c r="AH647" i="65"/>
  <c r="AH426" i="65"/>
  <c r="AH585" i="65"/>
  <c r="AH665" i="65"/>
  <c r="AH605" i="65"/>
  <c r="U361" i="60"/>
  <c r="AD14" i="69"/>
  <c r="AL555" i="57"/>
  <c r="AH379" i="65"/>
  <c r="AH412" i="65"/>
  <c r="N361" i="60"/>
  <c r="AF361" i="60"/>
  <c r="AW69" i="79"/>
  <c r="Q361" i="60"/>
  <c r="AO313" i="60"/>
  <c r="AH565" i="65"/>
  <c r="AH399" i="65"/>
  <c r="AH331" i="65"/>
  <c r="AH530" i="65"/>
  <c r="AH398" i="65"/>
  <c r="AH716" i="65"/>
  <c r="AH667" i="65"/>
  <c r="S369" i="65"/>
  <c r="AH611" i="65"/>
  <c r="AH420" i="65"/>
  <c r="AH400" i="65"/>
  <c r="AH576" i="65"/>
  <c r="AH479" i="65"/>
  <c r="AH590" i="65"/>
  <c r="AH459" i="65"/>
  <c r="AH541" i="65"/>
  <c r="AH537" i="65"/>
  <c r="AH461" i="65"/>
  <c r="AH482" i="65"/>
  <c r="AH319" i="65"/>
  <c r="AH423" i="65"/>
  <c r="AH694" i="65"/>
  <c r="AH334" i="65"/>
  <c r="AH523" i="65"/>
  <c r="AH684" i="65"/>
  <c r="P369" i="65"/>
  <c r="AH645" i="65"/>
  <c r="AH662" i="65"/>
  <c r="AH418" i="65"/>
  <c r="AH651" i="65"/>
  <c r="AH480" i="65"/>
  <c r="AH366" i="65"/>
  <c r="AH361" i="65"/>
  <c r="AA361" i="60"/>
  <c r="AO311" i="60"/>
  <c r="AE430" i="79"/>
  <c r="E430" i="79"/>
  <c r="AT430" i="79"/>
  <c r="Z430" i="79"/>
  <c r="AA459" i="62"/>
  <c r="AD48" i="69"/>
  <c r="AH494" i="65"/>
  <c r="AH371" i="65"/>
  <c r="D242" i="60"/>
  <c r="AA68" i="58"/>
  <c r="AH463" i="65"/>
  <c r="AO319" i="60"/>
  <c r="J369" i="65"/>
  <c r="AO332" i="60"/>
  <c r="W361" i="60"/>
  <c r="T361" i="60"/>
  <c r="AO312" i="60"/>
  <c r="AH626" i="65"/>
  <c r="AH470" i="65"/>
  <c r="AH724" i="65"/>
  <c r="AH648" i="65"/>
  <c r="AH536" i="65"/>
  <c r="AH464" i="65"/>
  <c r="AH527" i="65"/>
  <c r="AH316" i="65"/>
  <c r="AH474" i="65"/>
  <c r="AH465" i="65"/>
  <c r="AH373" i="65"/>
  <c r="AH602" i="65"/>
  <c r="AH312" i="65"/>
  <c r="AH350" i="65"/>
  <c r="AH421" i="65"/>
  <c r="AH315" i="65"/>
  <c r="AH696" i="65"/>
  <c r="AH579" i="65"/>
  <c r="AH635" i="65"/>
  <c r="I369" i="65"/>
  <c r="AH346" i="65"/>
  <c r="AH691" i="65"/>
  <c r="AH545" i="65"/>
  <c r="AH525" i="65"/>
  <c r="AH496" i="65"/>
  <c r="AH653" i="65"/>
  <c r="F369" i="65"/>
  <c r="AH538" i="65"/>
  <c r="AH655" i="65"/>
  <c r="AH486" i="65"/>
  <c r="AH462" i="65"/>
  <c r="AH367" i="65"/>
  <c r="AO340" i="60"/>
  <c r="Z361" i="60"/>
  <c r="K361" i="60"/>
  <c r="M361" i="60"/>
  <c r="AD35" i="69"/>
  <c r="O68" i="58"/>
  <c r="AD8" i="43"/>
  <c r="Y361" i="60"/>
  <c r="AO327" i="60"/>
  <c r="AH676" i="65"/>
  <c r="H361" i="60"/>
  <c r="AO335" i="60"/>
  <c r="AH686" i="65"/>
  <c r="AH522" i="65"/>
  <c r="AH504" i="65"/>
  <c r="AH584" i="65"/>
  <c r="AH364" i="65"/>
  <c r="AH582" i="65"/>
  <c r="AH506" i="65"/>
  <c r="AH705" i="65"/>
  <c r="AH416" i="65"/>
  <c r="AH485" i="65"/>
  <c r="AH396" i="65"/>
  <c r="AH414" i="65"/>
  <c r="AH654" i="65"/>
  <c r="AF369" i="65"/>
  <c r="AH643" i="65"/>
  <c r="AH546" i="65"/>
  <c r="AH511" i="65"/>
  <c r="AH594" i="65"/>
  <c r="AH413" i="65"/>
  <c r="AH320" i="65"/>
  <c r="AH587" i="65"/>
  <c r="AH604" i="65"/>
  <c r="AH593" i="65"/>
  <c r="AH385" i="65"/>
  <c r="AH634" i="65"/>
  <c r="AH407" i="65"/>
  <c r="AH657" i="65"/>
  <c r="AH534" i="65"/>
  <c r="AH561" i="65"/>
  <c r="AH659" i="65"/>
  <c r="AH502" i="65"/>
  <c r="AH517" i="65"/>
  <c r="AB369" i="65"/>
  <c r="D119" i="79"/>
  <c r="AQ430" i="79"/>
  <c r="X430" i="79"/>
  <c r="AF430" i="79"/>
  <c r="AP430" i="79"/>
  <c r="L361" i="60"/>
  <c r="AO344" i="60"/>
  <c r="AH78" i="65"/>
  <c r="AH74" i="65"/>
  <c r="BE185" i="56"/>
  <c r="Q185" i="56"/>
  <c r="BI181" i="56"/>
  <c r="AH433" i="65"/>
  <c r="AH381" i="65"/>
  <c r="AH498" i="65"/>
  <c r="AD58" i="67"/>
  <c r="AO346" i="60"/>
  <c r="V361" i="60"/>
  <c r="AO336" i="60"/>
  <c r="R119" i="79"/>
  <c r="AH652" i="65"/>
  <c r="E361" i="60"/>
  <c r="AO334" i="60"/>
  <c r="P361" i="60"/>
  <c r="AH564" i="65"/>
  <c r="AH358" i="65"/>
  <c r="X369" i="65"/>
  <c r="AH440" i="65"/>
  <c r="AH341" i="65"/>
  <c r="AH451" i="65"/>
  <c r="L369" i="65"/>
  <c r="AH483" i="65"/>
  <c r="AH507" i="65"/>
  <c r="AH456" i="65"/>
  <c r="AH493" i="65"/>
  <c r="T369" i="65"/>
  <c r="AH512" i="65"/>
  <c r="AH544" i="65"/>
  <c r="AH574" i="65"/>
  <c r="AH559" i="65"/>
  <c r="AH666" i="65"/>
  <c r="AH646" i="65"/>
  <c r="AH583" i="65"/>
  <c r="AH449" i="65"/>
  <c r="AH313" i="65"/>
  <c r="AH339" i="65"/>
  <c r="AH441" i="65"/>
  <c r="AH476" i="65"/>
  <c r="AH687" i="65"/>
  <c r="AH543" i="65"/>
  <c r="AH661" i="65"/>
  <c r="AH558" i="65"/>
  <c r="AH311" i="65"/>
  <c r="AH333" i="65"/>
  <c r="AH697" i="65"/>
  <c r="AH557" i="65"/>
  <c r="AH391" i="65"/>
  <c r="AH363" i="65"/>
  <c r="AI430" i="79"/>
  <c r="V430" i="79"/>
  <c r="AH682" i="65"/>
  <c r="C69" i="62"/>
  <c r="AD19" i="72"/>
  <c r="AJ443" i="58"/>
  <c r="AL227" i="57"/>
  <c r="AD16" i="74"/>
  <c r="P68" i="74"/>
  <c r="F558" i="56"/>
  <c r="BE558" i="56"/>
  <c r="AI558" i="56"/>
  <c r="B558" i="56"/>
  <c r="AC558" i="56"/>
  <c r="AA9" i="62"/>
  <c r="AA38" i="62"/>
  <c r="AA55" i="62"/>
  <c r="AA41" i="62"/>
  <c r="AA44" i="62"/>
  <c r="AA50" i="62"/>
  <c r="AL519" i="57"/>
  <c r="Z122" i="60"/>
  <c r="AO73" i="60"/>
  <c r="AW166" i="79"/>
  <c r="O182" i="79"/>
  <c r="U182" i="79"/>
  <c r="AC182" i="79"/>
  <c r="K182" i="79"/>
  <c r="N185" i="58"/>
  <c r="Y69" i="62"/>
  <c r="Q71" i="76"/>
  <c r="K16" i="17" s="1"/>
  <c r="AJ128" i="58"/>
  <c r="AJ505" i="58"/>
  <c r="L558" i="56"/>
  <c r="P558" i="56"/>
  <c r="K558" i="56"/>
  <c r="AL558" i="56"/>
  <c r="AA57" i="62"/>
  <c r="M69" i="62"/>
  <c r="D69" i="62"/>
  <c r="L69" i="62"/>
  <c r="AA49" i="62"/>
  <c r="V62" i="69"/>
  <c r="P9" i="17" s="1"/>
  <c r="W71" i="76"/>
  <c r="Q16" i="17" s="1"/>
  <c r="P167" i="61"/>
  <c r="P171" i="61"/>
  <c r="P137" i="61"/>
  <c r="P477" i="61"/>
  <c r="P173" i="61"/>
  <c r="P475" i="61"/>
  <c r="P175" i="61"/>
  <c r="P144" i="61"/>
  <c r="P177" i="61"/>
  <c r="P157" i="61"/>
  <c r="P164" i="61"/>
  <c r="P179" i="61"/>
  <c r="P148" i="61"/>
  <c r="P181" i="61"/>
  <c r="M184" i="61"/>
  <c r="P481" i="61"/>
  <c r="P152" i="61"/>
  <c r="P365" i="61"/>
  <c r="P362" i="61"/>
  <c r="P356" i="61"/>
  <c r="P133" i="61"/>
  <c r="P352" i="61"/>
  <c r="P163" i="61"/>
  <c r="P169" i="61"/>
  <c r="K184" i="61"/>
  <c r="P479" i="61"/>
  <c r="P132" i="61"/>
  <c r="P146" i="61"/>
  <c r="P357" i="61"/>
  <c r="P150" i="61"/>
  <c r="P130" i="61"/>
  <c r="P156" i="61"/>
  <c r="P166" i="61"/>
  <c r="F184" i="61"/>
  <c r="P178" i="61"/>
  <c r="P182" i="61"/>
  <c r="P129" i="61"/>
  <c r="P358" i="61"/>
  <c r="P161" i="61"/>
  <c r="P351" i="61"/>
  <c r="R60" i="68"/>
  <c r="L8" i="17" s="1"/>
  <c r="P69" i="62"/>
  <c r="AD49" i="73"/>
  <c r="Q57" i="72"/>
  <c r="K12" i="17" s="1"/>
  <c r="AJ209" i="58"/>
  <c r="AJ558" i="56"/>
  <c r="AG558" i="56"/>
  <c r="T558" i="56"/>
  <c r="AX558" i="56"/>
  <c r="J69" i="62"/>
  <c r="AA21" i="62"/>
  <c r="AA67" i="62"/>
  <c r="O69" i="62"/>
  <c r="H69" i="62"/>
  <c r="AL458" i="57"/>
  <c r="AD23" i="68"/>
  <c r="V71" i="76"/>
  <c r="P16" i="17" s="1"/>
  <c r="AA27" i="62"/>
  <c r="L122" i="60"/>
  <c r="C550" i="57"/>
  <c r="W54" i="70"/>
  <c r="Q10" i="17" s="1"/>
  <c r="X558" i="56"/>
  <c r="R558" i="56"/>
  <c r="AF558" i="56"/>
  <c r="C558" i="56"/>
  <c r="AL509" i="57"/>
  <c r="F69" i="62"/>
  <c r="AA25" i="62"/>
  <c r="AA11" i="62"/>
  <c r="AA28" i="62"/>
  <c r="AA10" i="62"/>
  <c r="X57" i="72"/>
  <c r="R12" i="17" s="1"/>
  <c r="BB558" i="56"/>
  <c r="AW153" i="79"/>
  <c r="AO182" i="79"/>
  <c r="H182" i="79"/>
  <c r="AA56" i="62"/>
  <c r="AD25" i="68"/>
  <c r="AV558" i="56"/>
  <c r="BF558" i="56"/>
  <c r="AR558" i="56"/>
  <c r="O558" i="56"/>
  <c r="B69" i="62"/>
  <c r="AA12" i="62"/>
  <c r="AA43" i="62"/>
  <c r="U69" i="62"/>
  <c r="AA14" i="62"/>
  <c r="AD20" i="43"/>
  <c r="AA35" i="62"/>
  <c r="H19" i="17"/>
  <c r="F244" i="61"/>
  <c r="AD29" i="43"/>
  <c r="M371" i="58"/>
  <c r="B68" i="61"/>
  <c r="I558" i="56"/>
  <c r="B122" i="60"/>
  <c r="G550" i="57"/>
  <c r="U558" i="56"/>
  <c r="BC558" i="56"/>
  <c r="BD558" i="56"/>
  <c r="AL440" i="57"/>
  <c r="R69" i="62"/>
  <c r="AA32" i="62"/>
  <c r="G69" i="62"/>
  <c r="AA33" i="62"/>
  <c r="AA18" i="62"/>
  <c r="W55" i="75"/>
  <c r="Q15" i="17" s="1"/>
  <c r="S69" i="62"/>
  <c r="BI672" i="56"/>
  <c r="BI445" i="56"/>
  <c r="BI725" i="56"/>
  <c r="BI362" i="56"/>
  <c r="BI599" i="56"/>
  <c r="BI376" i="56"/>
  <c r="AD302" i="60"/>
  <c r="U302" i="60"/>
  <c r="X302" i="60"/>
  <c r="AD558" i="56"/>
  <c r="D558" i="56"/>
  <c r="AD9" i="69"/>
  <c r="AD44" i="70"/>
  <c r="P55" i="75"/>
  <c r="J15" i="17" s="1"/>
  <c r="AD44" i="71"/>
  <c r="AA5" i="62"/>
  <c r="J558" i="56"/>
  <c r="AO558" i="56"/>
  <c r="M558" i="56"/>
  <c r="AM558" i="56"/>
  <c r="AA51" i="62"/>
  <c r="AA59" i="62"/>
  <c r="Q69" i="62"/>
  <c r="AA52" i="62"/>
  <c r="AA36" i="62"/>
  <c r="AD11" i="70"/>
  <c r="AA66" i="62"/>
  <c r="AL439" i="57"/>
  <c r="T19" i="17"/>
  <c r="I69" i="62"/>
  <c r="AD15" i="70"/>
  <c r="O5" i="80"/>
  <c r="AH558" i="56"/>
  <c r="G558" i="56"/>
  <c r="AS558" i="56"/>
  <c r="Y558" i="56"/>
  <c r="AY558" i="56"/>
  <c r="AA22" i="62"/>
  <c r="AA60" i="62"/>
  <c r="AA17" i="62"/>
  <c r="AA61" i="62"/>
  <c r="AA29" i="62"/>
  <c r="AA24" i="62"/>
  <c r="AA62" i="62"/>
  <c r="AW203" i="79"/>
  <c r="AM244" i="79"/>
  <c r="D244" i="79"/>
  <c r="AJ312" i="58"/>
  <c r="T60" i="68"/>
  <c r="N8" i="17" s="1"/>
  <c r="AA13" i="62"/>
  <c r="AA19" i="62"/>
  <c r="R55" i="75"/>
  <c r="L15" i="17" s="1"/>
  <c r="S558" i="56"/>
  <c r="AZ558" i="56"/>
  <c r="AP558" i="56"/>
  <c r="AK558" i="56"/>
  <c r="E558" i="56"/>
  <c r="AA37" i="62"/>
  <c r="AA45" i="62"/>
  <c r="AA16" i="62"/>
  <c r="AA53" i="62"/>
  <c r="AA20" i="62"/>
  <c r="AA42" i="62"/>
  <c r="AA23" i="62"/>
  <c r="V61" i="43"/>
  <c r="P7" i="17" s="1"/>
  <c r="AJ206" i="58"/>
  <c r="AA8" i="62"/>
  <c r="AA15" i="62"/>
  <c r="AA39" i="62"/>
  <c r="AA58" i="62"/>
  <c r="AA31" i="62"/>
  <c r="AA6" i="62"/>
  <c r="AQ558" i="56"/>
  <c r="H558" i="56"/>
  <c r="W558" i="56"/>
  <c r="AW558" i="56"/>
  <c r="Q558" i="56"/>
  <c r="AA7" i="62"/>
  <c r="AA64" i="62"/>
  <c r="X69" i="62"/>
  <c r="AA40" i="62"/>
  <c r="AA30" i="62"/>
  <c r="AA46" i="62"/>
  <c r="V558" i="56"/>
  <c r="B366" i="66"/>
  <c r="B613" i="79"/>
  <c r="G613" i="79"/>
  <c r="N613" i="79"/>
  <c r="AE613" i="79"/>
  <c r="Z613" i="79"/>
  <c r="AQ613" i="79"/>
  <c r="AL613" i="79"/>
  <c r="M8" i="17"/>
  <c r="I185" i="58"/>
  <c r="C421" i="60"/>
  <c r="AE92" i="66"/>
  <c r="AE85" i="66"/>
  <c r="AE88" i="66"/>
  <c r="AE81" i="66"/>
  <c r="AE77" i="66"/>
  <c r="AE73" i="66"/>
  <c r="AE113" i="66"/>
  <c r="AE98" i="66"/>
  <c r="AE91" i="66"/>
  <c r="AE84" i="66"/>
  <c r="AE116" i="66"/>
  <c r="AE105" i="66"/>
  <c r="AE101" i="66"/>
  <c r="AE97" i="66"/>
  <c r="AE79" i="66"/>
  <c r="AE75" i="66"/>
  <c r="AE99" i="66"/>
  <c r="AE103" i="66"/>
  <c r="AE107" i="66"/>
  <c r="AE74" i="66"/>
  <c r="AE96" i="66"/>
  <c r="AE82" i="66"/>
  <c r="AE78" i="66"/>
  <c r="AE106" i="66"/>
  <c r="AE114" i="66"/>
  <c r="AE93" i="66"/>
  <c r="AE89" i="66"/>
  <c r="AE83" i="66"/>
  <c r="AE76" i="66"/>
  <c r="AE94" i="66"/>
  <c r="AE90" i="66"/>
  <c r="AE80" i="66"/>
  <c r="AE111" i="66"/>
  <c r="AE117" i="66"/>
  <c r="AE118" i="66"/>
  <c r="AE95" i="66"/>
  <c r="AE112" i="66"/>
  <c r="AE109" i="66"/>
  <c r="AE119" i="66"/>
  <c r="AE104" i="66"/>
  <c r="AE100" i="66"/>
  <c r="AE72" i="66"/>
  <c r="AE87" i="66"/>
  <c r="AE108" i="66"/>
  <c r="B121" i="66"/>
  <c r="AE102" i="66"/>
  <c r="AE110" i="66"/>
  <c r="AE115" i="66"/>
  <c r="AD19" i="75"/>
  <c r="AO10" i="60"/>
  <c r="F421" i="60"/>
  <c r="D421" i="60"/>
  <c r="O60" i="68"/>
  <c r="K17" i="17"/>
  <c r="AD11" i="71"/>
  <c r="T63" i="71"/>
  <c r="P60" i="68"/>
  <c r="AD9" i="68"/>
  <c r="C122" i="60"/>
  <c r="S550" i="57"/>
  <c r="Q550" i="57"/>
  <c r="AI550" i="57"/>
  <c r="AH550" i="57"/>
  <c r="M550" i="57"/>
  <c r="K550" i="57"/>
  <c r="AE550" i="57"/>
  <c r="J550" i="57"/>
  <c r="H550" i="57"/>
  <c r="Y550" i="57"/>
  <c r="E550" i="57"/>
  <c r="Z550" i="57"/>
  <c r="V550" i="57"/>
  <c r="W550" i="57"/>
  <c r="AG550" i="57"/>
  <c r="I550" i="57"/>
  <c r="U550" i="57"/>
  <c r="AJ550" i="57"/>
  <c r="L550" i="57"/>
  <c r="B550" i="57"/>
  <c r="X550" i="57"/>
  <c r="AC550" i="57"/>
  <c r="D550" i="57"/>
  <c r="AD550" i="57"/>
  <c r="N550" i="57"/>
  <c r="T550" i="57"/>
  <c r="AA550" i="57"/>
  <c r="O550" i="57"/>
  <c r="R550" i="57"/>
  <c r="P550" i="57"/>
  <c r="AB550" i="57"/>
  <c r="AF550" i="57"/>
  <c r="AO92" i="60"/>
  <c r="AO224" i="60"/>
  <c r="AF242" i="60"/>
  <c r="T242" i="60"/>
  <c r="G242" i="60"/>
  <c r="AO206" i="60"/>
  <c r="AO197" i="60"/>
  <c r="AO191" i="60"/>
  <c r="S242" i="60"/>
  <c r="AO223" i="60"/>
  <c r="AO218" i="60"/>
  <c r="AO212" i="60"/>
  <c r="AO200" i="60"/>
  <c r="AO205" i="60"/>
  <c r="AJ242" i="60"/>
  <c r="AO210" i="60"/>
  <c r="AO213" i="60"/>
  <c r="AI242" i="60"/>
  <c r="AH242" i="60"/>
  <c r="W242" i="60"/>
  <c r="V242" i="60"/>
  <c r="K242" i="60"/>
  <c r="AO186" i="60"/>
  <c r="J242" i="60"/>
  <c r="AO195" i="60"/>
  <c r="AO207" i="60"/>
  <c r="AO211" i="60"/>
  <c r="N242" i="60"/>
  <c r="AL242" i="60"/>
  <c r="AO199" i="60"/>
  <c r="AB242" i="60"/>
  <c r="Z242" i="60"/>
  <c r="AO203" i="60"/>
  <c r="L242" i="60"/>
  <c r="AO196" i="60"/>
  <c r="AO215" i="60"/>
  <c r="AO192" i="60"/>
  <c r="AC242" i="60"/>
  <c r="AA242" i="60"/>
  <c r="AO194" i="60"/>
  <c r="H242" i="60"/>
  <c r="AO201" i="60"/>
  <c r="O242" i="60"/>
  <c r="Q242" i="60"/>
  <c r="AO202" i="60"/>
  <c r="AO216" i="60"/>
  <c r="AO190" i="60"/>
  <c r="AG242" i="60"/>
  <c r="X242" i="60"/>
  <c r="AO214" i="60"/>
  <c r="AO209" i="60"/>
  <c r="AO219" i="60"/>
  <c r="AO188" i="60"/>
  <c r="AE242" i="60"/>
  <c r="AO226" i="60"/>
  <c r="AO221" i="60"/>
  <c r="AO204" i="60"/>
  <c r="AO227" i="60"/>
  <c r="AO220" i="60"/>
  <c r="AO217" i="60"/>
  <c r="AO193" i="60"/>
  <c r="E242" i="60"/>
  <c r="Y242" i="60"/>
  <c r="AM242" i="60"/>
  <c r="AO225" i="60"/>
  <c r="U242" i="60"/>
  <c r="AD242" i="60"/>
  <c r="AK242" i="60"/>
  <c r="AO187" i="60"/>
  <c r="R242" i="60"/>
  <c r="M242" i="60"/>
  <c r="AO198" i="60"/>
  <c r="AO208" i="60"/>
  <c r="W60" i="68"/>
  <c r="P17" i="17"/>
  <c r="S63" i="71"/>
  <c r="T61" i="43"/>
  <c r="AL570" i="57"/>
  <c r="T62" i="69"/>
  <c r="P204" i="61"/>
  <c r="V68" i="74"/>
  <c r="AM421" i="60"/>
  <c r="AH246" i="57"/>
  <c r="V246" i="57"/>
  <c r="J246" i="57"/>
  <c r="AL243" i="57"/>
  <c r="AL239" i="57"/>
  <c r="AL235" i="57"/>
  <c r="AL231" i="57"/>
  <c r="AL226" i="57"/>
  <c r="AG246" i="57"/>
  <c r="U246" i="57"/>
  <c r="I246" i="57"/>
  <c r="AL219" i="57"/>
  <c r="AL216" i="57"/>
  <c r="M246" i="57"/>
  <c r="AL240" i="57"/>
  <c r="AL236" i="57"/>
  <c r="AL232" i="57"/>
  <c r="AL203" i="57"/>
  <c r="AL192" i="57"/>
  <c r="AI246" i="57"/>
  <c r="AC246" i="57"/>
  <c r="Z246" i="57"/>
  <c r="AL195" i="57"/>
  <c r="W246" i="57"/>
  <c r="Q246" i="57"/>
  <c r="N246" i="57"/>
  <c r="K246" i="57"/>
  <c r="E246" i="57"/>
  <c r="AL201" i="57"/>
  <c r="AL197" i="57"/>
  <c r="AB246" i="57"/>
  <c r="AL238" i="57"/>
  <c r="AL193" i="57"/>
  <c r="AL213" i="57"/>
  <c r="L246" i="57"/>
  <c r="X246" i="57"/>
  <c r="AL217" i="57"/>
  <c r="R246" i="57"/>
  <c r="AL228" i="57"/>
  <c r="AL207" i="57"/>
  <c r="F246" i="57"/>
  <c r="AL206" i="57"/>
  <c r="AF246" i="57"/>
  <c r="D246" i="57"/>
  <c r="AL210" i="57"/>
  <c r="AL196" i="57"/>
  <c r="AL205" i="57"/>
  <c r="H246" i="57"/>
  <c r="AL221" i="57"/>
  <c r="AA246" i="57"/>
  <c r="AL199" i="57"/>
  <c r="AL222" i="57"/>
  <c r="AL200" i="57"/>
  <c r="AL224" i="57"/>
  <c r="AL241" i="57"/>
  <c r="AL204" i="57"/>
  <c r="AJ246" i="57"/>
  <c r="AL198" i="57"/>
  <c r="AL218" i="57"/>
  <c r="AL215" i="57"/>
  <c r="P246" i="57"/>
  <c r="AL244" i="57"/>
  <c r="AL208" i="57"/>
  <c r="Y246" i="57"/>
  <c r="AL229" i="57"/>
  <c r="AL220" i="57"/>
  <c r="AL214" i="57"/>
  <c r="AL237" i="57"/>
  <c r="AE246" i="57"/>
  <c r="AL211" i="57"/>
  <c r="C246" i="57"/>
  <c r="O246" i="57"/>
  <c r="AL209" i="57"/>
  <c r="AL242" i="57"/>
  <c r="S246" i="57"/>
  <c r="AL194" i="57"/>
  <c r="AL230" i="57"/>
  <c r="AL233" i="57"/>
  <c r="AL212" i="57"/>
  <c r="AD246" i="57"/>
  <c r="AL234" i="57"/>
  <c r="T246" i="57"/>
  <c r="AL191" i="57"/>
  <c r="AL202" i="57"/>
  <c r="AG495" i="56"/>
  <c r="U495" i="56"/>
  <c r="AE495" i="56"/>
  <c r="S495" i="56"/>
  <c r="AO495" i="56"/>
  <c r="AC495" i="56"/>
  <c r="Q495" i="56"/>
  <c r="E495" i="56"/>
  <c r="AJ495" i="56"/>
  <c r="X495" i="56"/>
  <c r="AM495" i="56"/>
  <c r="AA495" i="56"/>
  <c r="O495" i="56"/>
  <c r="C495" i="56"/>
  <c r="AF495" i="56"/>
  <c r="D495" i="56"/>
  <c r="R495" i="56"/>
  <c r="K495" i="56"/>
  <c r="AD495" i="56"/>
  <c r="B495" i="56"/>
  <c r="Y495" i="56"/>
  <c r="AK495" i="56"/>
  <c r="M495" i="56"/>
  <c r="AB495" i="56"/>
  <c r="V495" i="56"/>
  <c r="Z495" i="56"/>
  <c r="AN495" i="56"/>
  <c r="AH495" i="56"/>
  <c r="AL495" i="56"/>
  <c r="F495" i="56"/>
  <c r="W495" i="56"/>
  <c r="J495" i="56"/>
  <c r="H495" i="56"/>
  <c r="T495" i="56"/>
  <c r="N495" i="56"/>
  <c r="AI495" i="56"/>
  <c r="R54" i="70"/>
  <c r="S54" i="70"/>
  <c r="AJ440" i="58"/>
  <c r="AD429" i="57"/>
  <c r="AL425" i="57"/>
  <c r="AL399" i="57"/>
  <c r="AL396" i="57"/>
  <c r="AL376" i="57"/>
  <c r="AB429" i="57"/>
  <c r="J429" i="57"/>
  <c r="AL423" i="57"/>
  <c r="V429" i="57"/>
  <c r="E429" i="57"/>
  <c r="AL400" i="57"/>
  <c r="AH429" i="57"/>
  <c r="Q429" i="57"/>
  <c r="AL426" i="57"/>
  <c r="AL427" i="57"/>
  <c r="AL394" i="57"/>
  <c r="AJ429" i="57"/>
  <c r="AF429" i="57"/>
  <c r="AL404" i="57"/>
  <c r="AL397" i="57"/>
  <c r="AL421" i="57"/>
  <c r="AL390" i="57"/>
  <c r="P429" i="57"/>
  <c r="H429" i="57"/>
  <c r="AL420" i="57"/>
  <c r="AL410" i="57"/>
  <c r="D429" i="57"/>
  <c r="AL389" i="57"/>
  <c r="AL380" i="57"/>
  <c r="W429" i="57"/>
  <c r="Z429" i="57"/>
  <c r="AL373" i="57"/>
  <c r="AL388" i="57"/>
  <c r="G429" i="57"/>
  <c r="AL402" i="57"/>
  <c r="AL384" i="57"/>
  <c r="AL418" i="57"/>
  <c r="O429" i="57"/>
  <c r="AL381" i="57"/>
  <c r="AL422" i="57"/>
  <c r="AL408" i="57"/>
  <c r="AG429" i="57"/>
  <c r="L429" i="57"/>
  <c r="AL391" i="57"/>
  <c r="C429" i="57"/>
  <c r="Y429" i="57"/>
  <c r="AL424" i="57"/>
  <c r="AC429" i="57"/>
  <c r="AL392" i="57"/>
  <c r="AL382" i="57"/>
  <c r="AL417" i="57"/>
  <c r="N429" i="57"/>
  <c r="AL405" i="57"/>
  <c r="AL415" i="57"/>
  <c r="AL411" i="57"/>
  <c r="M429" i="57"/>
  <c r="AE429" i="57"/>
  <c r="AL393" i="57"/>
  <c r="U429" i="57"/>
  <c r="AL409" i="57"/>
  <c r="AL414" i="57"/>
  <c r="AL416" i="57"/>
  <c r="AL385" i="57"/>
  <c r="AL406" i="57"/>
  <c r="AL401" i="57"/>
  <c r="S429" i="57"/>
  <c r="AL383" i="57"/>
  <c r="K429" i="57"/>
  <c r="AL413" i="57"/>
  <c r="AL407" i="57"/>
  <c r="AI429" i="57"/>
  <c r="AL378" i="57"/>
  <c r="AL374" i="57"/>
  <c r="AL403" i="57"/>
  <c r="I429" i="57"/>
  <c r="AL377" i="57"/>
  <c r="R429" i="57"/>
  <c r="AL375" i="57"/>
  <c r="AL395" i="57"/>
  <c r="AL379" i="57"/>
  <c r="AL419" i="57"/>
  <c r="AA429" i="57"/>
  <c r="AJ158" i="58"/>
  <c r="P54" i="70"/>
  <c r="AD429" i="65"/>
  <c r="R429" i="65"/>
  <c r="F429" i="65"/>
  <c r="T429" i="65"/>
  <c r="AA429" i="65"/>
  <c r="O429" i="65"/>
  <c r="C429" i="65"/>
  <c r="L429" i="65"/>
  <c r="U429" i="65"/>
  <c r="I429" i="65"/>
  <c r="H429" i="65"/>
  <c r="AB429" i="65"/>
  <c r="B429" i="65"/>
  <c r="S429" i="65"/>
  <c r="AE429" i="65"/>
  <c r="AF429" i="65"/>
  <c r="Z429" i="65"/>
  <c r="W429" i="65"/>
  <c r="N429" i="65"/>
  <c r="Y429" i="65"/>
  <c r="K429" i="65"/>
  <c r="Q429" i="65"/>
  <c r="M429" i="65"/>
  <c r="D429" i="65"/>
  <c r="G429" i="65"/>
  <c r="J429" i="65"/>
  <c r="AC429" i="65"/>
  <c r="V429" i="65"/>
  <c r="E429" i="65"/>
  <c r="P429" i="65"/>
  <c r="X429" i="65"/>
  <c r="AJ573" i="58"/>
  <c r="AD25" i="43"/>
  <c r="P61" i="43"/>
  <c r="G246" i="57"/>
  <c r="R63" i="71"/>
  <c r="O12" i="17"/>
  <c r="AE86" i="66"/>
  <c r="AJ33" i="58"/>
  <c r="AC68" i="58"/>
  <c r="Q68" i="58"/>
  <c r="E68" i="58"/>
  <c r="AJ15" i="58"/>
  <c r="M68" i="58"/>
  <c r="K68" i="58"/>
  <c r="AJ49" i="58"/>
  <c r="AJ29" i="58"/>
  <c r="AH68" i="58"/>
  <c r="J68" i="58"/>
  <c r="AJ53" i="58"/>
  <c r="AJ63" i="58"/>
  <c r="AJ57" i="58"/>
  <c r="AD68" i="58"/>
  <c r="F68" i="58"/>
  <c r="AJ43" i="58"/>
  <c r="AJ39" i="58"/>
  <c r="X68" i="58"/>
  <c r="W68" i="58"/>
  <c r="AJ51" i="58"/>
  <c r="AJ42" i="58"/>
  <c r="AJ35" i="58"/>
  <c r="R68" i="58"/>
  <c r="AJ50" i="58"/>
  <c r="AJ17" i="58"/>
  <c r="P68" i="58"/>
  <c r="AJ54" i="58"/>
  <c r="AJ41" i="58"/>
  <c r="L68" i="58"/>
  <c r="AJ58" i="58"/>
  <c r="AJ45" i="58"/>
  <c r="AJ34" i="58"/>
  <c r="AJ19" i="58"/>
  <c r="AJ13" i="58"/>
  <c r="AJ30" i="58"/>
  <c r="AJ10" i="58"/>
  <c r="AJ38" i="58"/>
  <c r="AJ59" i="58"/>
  <c r="AJ46" i="58"/>
  <c r="AJ47" i="58"/>
  <c r="AJ11" i="58"/>
  <c r="AJ56" i="58"/>
  <c r="AJ25" i="58"/>
  <c r="AJ14" i="58"/>
  <c r="AJ20" i="58"/>
  <c r="AJ21" i="58"/>
  <c r="AJ61" i="58"/>
  <c r="AJ52" i="58"/>
  <c r="AJ48" i="58"/>
  <c r="AJ64" i="58"/>
  <c r="AF68" i="58"/>
  <c r="AJ31" i="58"/>
  <c r="G68" i="58"/>
  <c r="AJ62" i="58"/>
  <c r="AJ37" i="58"/>
  <c r="D68" i="58"/>
  <c r="AJ24" i="58"/>
  <c r="AJ60" i="58"/>
  <c r="T68" i="58"/>
  <c r="H68" i="58"/>
  <c r="AJ9" i="58"/>
  <c r="AJ26" i="58"/>
  <c r="AJ8" i="58"/>
  <c r="AE68" i="58"/>
  <c r="AG68" i="58"/>
  <c r="AJ7" i="58"/>
  <c r="AJ6" i="58"/>
  <c r="B68" i="58"/>
  <c r="S68" i="58"/>
  <c r="AB68" i="58"/>
  <c r="AJ23" i="58"/>
  <c r="U68" i="58"/>
  <c r="AJ66" i="58"/>
  <c r="Z68" i="58"/>
  <c r="N68" i="58"/>
  <c r="AJ16" i="58"/>
  <c r="C68" i="58"/>
  <c r="AJ65" i="58"/>
  <c r="AJ12" i="58"/>
  <c r="AJ22" i="58"/>
  <c r="I68" i="58"/>
  <c r="AJ36" i="58"/>
  <c r="AJ44" i="58"/>
  <c r="AJ55" i="58"/>
  <c r="AJ40" i="58"/>
  <c r="AO379" i="60"/>
  <c r="F19" i="17"/>
  <c r="P392" i="61"/>
  <c r="P388" i="61"/>
  <c r="P402" i="61"/>
  <c r="P395" i="61"/>
  <c r="P391" i="61"/>
  <c r="P387" i="61"/>
  <c r="L426" i="61"/>
  <c r="P394" i="61"/>
  <c r="P390" i="61"/>
  <c r="P386" i="61"/>
  <c r="P375" i="61"/>
  <c r="K426" i="61"/>
  <c r="P424" i="61"/>
  <c r="P420" i="61"/>
  <c r="P416" i="61"/>
  <c r="P412" i="61"/>
  <c r="P408" i="61"/>
  <c r="P397" i="61"/>
  <c r="P382" i="61"/>
  <c r="P404" i="61"/>
  <c r="H426" i="61"/>
  <c r="G426" i="61"/>
  <c r="P403" i="61"/>
  <c r="P401" i="61"/>
  <c r="P370" i="61"/>
  <c r="M426" i="61"/>
  <c r="P379" i="61"/>
  <c r="C426" i="61"/>
  <c r="P374" i="61"/>
  <c r="P409" i="61"/>
  <c r="J426" i="61"/>
  <c r="P381" i="61"/>
  <c r="P372" i="61"/>
  <c r="P384" i="61"/>
  <c r="P405" i="61"/>
  <c r="P399" i="61"/>
  <c r="P406" i="61"/>
  <c r="P378" i="61"/>
  <c r="P414" i="61"/>
  <c r="P407" i="61"/>
  <c r="P419" i="61"/>
  <c r="P398" i="61"/>
  <c r="E426" i="61"/>
  <c r="P389" i="61"/>
  <c r="P415" i="61"/>
  <c r="P400" i="61"/>
  <c r="D426" i="61"/>
  <c r="F426" i="61"/>
  <c r="P413" i="61"/>
  <c r="P373" i="61"/>
  <c r="P423" i="61"/>
  <c r="P411" i="61"/>
  <c r="P410" i="61"/>
  <c r="P393" i="61"/>
  <c r="P377" i="61"/>
  <c r="P421" i="61"/>
  <c r="P396" i="61"/>
  <c r="P417" i="61"/>
  <c r="P418" i="61"/>
  <c r="I426" i="61"/>
  <c r="P422" i="61"/>
  <c r="N426" i="61"/>
  <c r="P385" i="61"/>
  <c r="P371" i="61"/>
  <c r="P383" i="61"/>
  <c r="P380" i="61"/>
  <c r="P376" i="61"/>
  <c r="P63" i="61"/>
  <c r="P58" i="61"/>
  <c r="P54" i="61"/>
  <c r="P50" i="61"/>
  <c r="P46" i="61"/>
  <c r="P42" i="61"/>
  <c r="N68" i="61"/>
  <c r="P32" i="61"/>
  <c r="P25" i="61"/>
  <c r="L68" i="61"/>
  <c r="P67" i="61"/>
  <c r="P57" i="61"/>
  <c r="P53" i="61"/>
  <c r="P49" i="61"/>
  <c r="P45" i="61"/>
  <c r="P41" i="61"/>
  <c r="P21" i="61"/>
  <c r="P7" i="61"/>
  <c r="K68" i="61"/>
  <c r="P61" i="61"/>
  <c r="P24" i="61"/>
  <c r="P66" i="61"/>
  <c r="P60" i="61"/>
  <c r="P56" i="61"/>
  <c r="P52" i="61"/>
  <c r="P48" i="61"/>
  <c r="P44" i="61"/>
  <c r="P40" i="61"/>
  <c r="P37" i="61"/>
  <c r="P6" i="61"/>
  <c r="P20" i="61"/>
  <c r="P15" i="61"/>
  <c r="P19" i="61"/>
  <c r="P22" i="61"/>
  <c r="P8" i="61"/>
  <c r="E68" i="61"/>
  <c r="P64" i="61"/>
  <c r="D68" i="61"/>
  <c r="P29" i="61"/>
  <c r="P11" i="61"/>
  <c r="P33" i="61"/>
  <c r="P31" i="61"/>
  <c r="P51" i="61"/>
  <c r="G68" i="61"/>
  <c r="P65" i="61"/>
  <c r="F68" i="61"/>
  <c r="P26" i="61"/>
  <c r="P18" i="61"/>
  <c r="P35" i="61"/>
  <c r="P47" i="61"/>
  <c r="H68" i="61"/>
  <c r="P12" i="61"/>
  <c r="P59" i="61"/>
  <c r="P9" i="61"/>
  <c r="P16" i="61"/>
  <c r="P10" i="61"/>
  <c r="I68" i="61"/>
  <c r="P43" i="61"/>
  <c r="P30" i="61"/>
  <c r="P14" i="61"/>
  <c r="P13" i="61"/>
  <c r="P23" i="61"/>
  <c r="P55" i="61"/>
  <c r="P28" i="61"/>
  <c r="C68" i="61"/>
  <c r="P62" i="61"/>
  <c r="P39" i="61"/>
  <c r="P17" i="61"/>
  <c r="P38" i="61"/>
  <c r="P36" i="61"/>
  <c r="M68" i="61"/>
  <c r="P27" i="61"/>
  <c r="P34" i="61"/>
  <c r="J68" i="61"/>
  <c r="R10" i="17"/>
  <c r="AW84" i="79"/>
  <c r="U19" i="17"/>
  <c r="BI115" i="56"/>
  <c r="BI122" i="56"/>
  <c r="BI92" i="56"/>
  <c r="BI121" i="56"/>
  <c r="BI120" i="56"/>
  <c r="BI74" i="56"/>
  <c r="BI71" i="56"/>
  <c r="AZ124" i="56"/>
  <c r="AN124" i="56"/>
  <c r="AB124" i="56"/>
  <c r="D124" i="56"/>
  <c r="BI104" i="56"/>
  <c r="BI96" i="56"/>
  <c r="AL124" i="56"/>
  <c r="BI100" i="56"/>
  <c r="BG124" i="56"/>
  <c r="BI81" i="56"/>
  <c r="AD124" i="56"/>
  <c r="AV124" i="56"/>
  <c r="BI78" i="56"/>
  <c r="BI112" i="56"/>
  <c r="BI110" i="56"/>
  <c r="BI117" i="56"/>
  <c r="BI114" i="56"/>
  <c r="BA124" i="56"/>
  <c r="W124" i="56"/>
  <c r="BI109" i="56"/>
  <c r="BF124" i="56"/>
  <c r="BI119" i="56"/>
  <c r="AS124" i="56"/>
  <c r="BI118" i="56"/>
  <c r="U124" i="56"/>
  <c r="AI124" i="56"/>
  <c r="BI98" i="56"/>
  <c r="N124" i="56"/>
  <c r="BI94" i="56"/>
  <c r="BE124" i="56"/>
  <c r="AH124" i="56"/>
  <c r="BI113" i="56"/>
  <c r="AT124" i="56"/>
  <c r="AC124" i="56"/>
  <c r="AU124" i="56"/>
  <c r="AY124" i="56"/>
  <c r="E124" i="56"/>
  <c r="M124" i="56"/>
  <c r="AR124" i="56"/>
  <c r="BI102" i="56"/>
  <c r="AP124" i="56"/>
  <c r="BI107" i="56"/>
  <c r="C124" i="56"/>
  <c r="I124" i="56"/>
  <c r="Y124" i="56"/>
  <c r="AQ124" i="56"/>
  <c r="R124" i="56"/>
  <c r="F124" i="56"/>
  <c r="S124" i="56"/>
  <c r="T124" i="56"/>
  <c r="BI79" i="56"/>
  <c r="BI105" i="56"/>
  <c r="AJ124" i="56"/>
  <c r="AM124" i="56"/>
  <c r="BI97" i="56"/>
  <c r="J124" i="56"/>
  <c r="AF124" i="56"/>
  <c r="AG124" i="56"/>
  <c r="AK124" i="56"/>
  <c r="BD124" i="56"/>
  <c r="G124" i="56"/>
  <c r="AW124" i="56"/>
  <c r="AX124" i="56"/>
  <c r="BI88" i="56"/>
  <c r="BI80" i="56"/>
  <c r="BI85" i="56"/>
  <c r="BI95" i="56"/>
  <c r="H124" i="56"/>
  <c r="BC124" i="56"/>
  <c r="BI82" i="56"/>
  <c r="BI101" i="56"/>
  <c r="BI103" i="56"/>
  <c r="BI83" i="56"/>
  <c r="V124" i="56"/>
  <c r="BI93" i="56"/>
  <c r="L124" i="56"/>
  <c r="BI75" i="56"/>
  <c r="BI84" i="56"/>
  <c r="BI116" i="56"/>
  <c r="BI76" i="56"/>
  <c r="X124" i="56"/>
  <c r="BI89" i="56"/>
  <c r="AA124" i="56"/>
  <c r="AO124" i="56"/>
  <c r="O124" i="56"/>
  <c r="AE124" i="56"/>
  <c r="BI73" i="56"/>
  <c r="BI99" i="56"/>
  <c r="BI111" i="56"/>
  <c r="BI106" i="56"/>
  <c r="BI86" i="56"/>
  <c r="Q124" i="56"/>
  <c r="BI91" i="56"/>
  <c r="Z124" i="56"/>
  <c r="BI108" i="56"/>
  <c r="K124" i="56"/>
  <c r="BI77" i="56"/>
  <c r="B124" i="56"/>
  <c r="AO189" i="60"/>
  <c r="P62" i="69"/>
  <c r="S61" i="43"/>
  <c r="O10" i="17"/>
  <c r="AM64" i="79"/>
  <c r="AA64" i="79"/>
  <c r="O64" i="79"/>
  <c r="C64" i="79"/>
  <c r="AW31" i="79"/>
  <c r="AW62" i="79"/>
  <c r="AW56" i="79"/>
  <c r="AW50" i="79"/>
  <c r="AW44" i="79"/>
  <c r="X64" i="79"/>
  <c r="AW16" i="79"/>
  <c r="AW49" i="79"/>
  <c r="AW42" i="79"/>
  <c r="T64" i="79"/>
  <c r="AT64" i="79"/>
  <c r="AW55" i="79"/>
  <c r="AW48" i="79"/>
  <c r="AR64" i="79"/>
  <c r="AW29" i="79"/>
  <c r="L64" i="79"/>
  <c r="AW61" i="79"/>
  <c r="AW54" i="79"/>
  <c r="AW40" i="79"/>
  <c r="AW10" i="79"/>
  <c r="AP64" i="79"/>
  <c r="J64" i="79"/>
  <c r="AJ64" i="79"/>
  <c r="H64" i="79"/>
  <c r="AW60" i="79"/>
  <c r="AW53" i="79"/>
  <c r="AW46" i="79"/>
  <c r="AW14" i="79"/>
  <c r="AW9" i="79"/>
  <c r="AH64" i="79"/>
  <c r="AW33" i="79"/>
  <c r="AF64" i="79"/>
  <c r="AW52" i="79"/>
  <c r="AE64" i="79"/>
  <c r="AW43" i="79"/>
  <c r="AW8" i="79"/>
  <c r="AW58" i="79"/>
  <c r="AW32" i="79"/>
  <c r="AL64" i="79"/>
  <c r="AW34" i="79"/>
  <c r="AW35" i="79"/>
  <c r="AW30" i="79"/>
  <c r="AG64" i="79"/>
  <c r="S64" i="79"/>
  <c r="K64" i="79"/>
  <c r="AB64" i="79"/>
  <c r="Q64" i="79"/>
  <c r="AS64" i="79"/>
  <c r="AN64" i="79"/>
  <c r="AW11" i="79"/>
  <c r="I64" i="79"/>
  <c r="F64" i="79"/>
  <c r="AW51" i="79"/>
  <c r="U64" i="79"/>
  <c r="AW20" i="79"/>
  <c r="AW41" i="79"/>
  <c r="B64" i="79"/>
  <c r="AW13" i="79"/>
  <c r="P64" i="79"/>
  <c r="AW6" i="79"/>
  <c r="AW7" i="79"/>
  <c r="R64" i="79"/>
  <c r="AW59" i="79"/>
  <c r="AW27" i="79"/>
  <c r="N64" i="79"/>
  <c r="AK64" i="79"/>
  <c r="AW21" i="79"/>
  <c r="AW12" i="79"/>
  <c r="G64" i="79"/>
  <c r="AW38" i="79"/>
  <c r="V64" i="79"/>
  <c r="AI64" i="79"/>
  <c r="AW45" i="79"/>
  <c r="M64" i="79"/>
  <c r="AW15" i="79"/>
  <c r="AW23" i="79"/>
  <c r="AW25" i="79"/>
  <c r="AW26" i="79"/>
  <c r="AW36" i="79"/>
  <c r="AW17" i="79"/>
  <c r="AD64" i="79"/>
  <c r="Y64" i="79"/>
  <c r="AO64" i="79"/>
  <c r="D64" i="79"/>
  <c r="E64" i="79"/>
  <c r="AW39" i="79"/>
  <c r="AW19" i="79"/>
  <c r="AW24" i="79"/>
  <c r="AW57" i="79"/>
  <c r="AW47" i="79"/>
  <c r="AQ64" i="79"/>
  <c r="AU64" i="79"/>
  <c r="AW28" i="79"/>
  <c r="W64" i="79"/>
  <c r="BI220" i="56"/>
  <c r="BI217" i="56"/>
  <c r="BI202" i="56"/>
  <c r="BI208" i="56"/>
  <c r="BI232" i="56"/>
  <c r="BI242" i="56"/>
  <c r="BI236" i="56"/>
  <c r="BI228" i="56"/>
  <c r="BI193" i="56"/>
  <c r="BE246" i="56"/>
  <c r="AS246" i="56"/>
  <c r="BI190" i="56"/>
  <c r="BI203" i="56"/>
  <c r="BI197" i="56"/>
  <c r="AN246" i="56"/>
  <c r="AB246" i="56"/>
  <c r="C246" i="56"/>
  <c r="BI244" i="56"/>
  <c r="BI238" i="56"/>
  <c r="BI233" i="56"/>
  <c r="BI229" i="56"/>
  <c r="BI226" i="56"/>
  <c r="BI200" i="56"/>
  <c r="BI230" i="56"/>
  <c r="BI221" i="56"/>
  <c r="BC246" i="56"/>
  <c r="AQ246" i="56"/>
  <c r="BI195" i="56"/>
  <c r="BI234" i="56"/>
  <c r="BI209" i="56"/>
  <c r="AC246" i="56"/>
  <c r="BI199" i="56"/>
  <c r="BA246" i="56"/>
  <c r="BI219" i="56"/>
  <c r="BI213" i="56"/>
  <c r="BI239" i="56"/>
  <c r="BI216" i="56"/>
  <c r="BI225" i="56"/>
  <c r="E246" i="56"/>
  <c r="BI192" i="56"/>
  <c r="BI204" i="56"/>
  <c r="BI205" i="56"/>
  <c r="BI201" i="56"/>
  <c r="BI243" i="56"/>
  <c r="BI235" i="56"/>
  <c r="U246" i="56"/>
  <c r="AG246" i="56"/>
  <c r="X246" i="56"/>
  <c r="BI210" i="56"/>
  <c r="BI211" i="56"/>
  <c r="AK246" i="56"/>
  <c r="D246" i="56"/>
  <c r="AJ246" i="56"/>
  <c r="BI237" i="56"/>
  <c r="BB246" i="56"/>
  <c r="BI231" i="56"/>
  <c r="BI215" i="56"/>
  <c r="BI194" i="56"/>
  <c r="AR246" i="56"/>
  <c r="AX246" i="56"/>
  <c r="V246" i="56"/>
  <c r="BI214" i="56"/>
  <c r="AE246" i="56"/>
  <c r="BI241" i="56"/>
  <c r="BI198" i="56"/>
  <c r="AU246" i="56"/>
  <c r="BI191" i="56"/>
  <c r="AI246" i="56"/>
  <c r="AL246" i="56"/>
  <c r="BG246" i="56"/>
  <c r="BI206" i="56"/>
  <c r="B246" i="56"/>
  <c r="AW246" i="56"/>
  <c r="AY246" i="56"/>
  <c r="BI240" i="56"/>
  <c r="Z246" i="56"/>
  <c r="BI207" i="56"/>
  <c r="BI212" i="56"/>
  <c r="BI222" i="56"/>
  <c r="AP246" i="56"/>
  <c r="BI223" i="56"/>
  <c r="AD246" i="56"/>
  <c r="AF246" i="56"/>
  <c r="AO246" i="56"/>
  <c r="AA246" i="56"/>
  <c r="BI196" i="56"/>
  <c r="AM246" i="56"/>
  <c r="AH246" i="56"/>
  <c r="BD246" i="56"/>
  <c r="AV246" i="56"/>
  <c r="AT246" i="56"/>
  <c r="W246" i="56"/>
  <c r="Y246" i="56"/>
  <c r="BI224" i="56"/>
  <c r="S61" i="73"/>
  <c r="AD32" i="73"/>
  <c r="F490" i="65"/>
  <c r="Y490" i="65"/>
  <c r="R490" i="65"/>
  <c r="V490" i="65"/>
  <c r="J490" i="65"/>
  <c r="AE490" i="65"/>
  <c r="N490" i="65"/>
  <c r="W490" i="65"/>
  <c r="I490" i="65"/>
  <c r="AD490" i="65"/>
  <c r="T490" i="65"/>
  <c r="X490" i="65"/>
  <c r="C490" i="65"/>
  <c r="G490" i="65"/>
  <c r="K490" i="65"/>
  <c r="B490" i="65"/>
  <c r="U490" i="65"/>
  <c r="D490" i="65"/>
  <c r="M490" i="65"/>
  <c r="E490" i="65"/>
  <c r="AA490" i="65"/>
  <c r="L490" i="65"/>
  <c r="AC490" i="65"/>
  <c r="S490" i="65"/>
  <c r="H490" i="65"/>
  <c r="Z490" i="65"/>
  <c r="AF490" i="65"/>
  <c r="Q490" i="65"/>
  <c r="O490" i="65"/>
  <c r="AB490" i="65"/>
  <c r="AZ246" i="56"/>
  <c r="AL225" i="57"/>
  <c r="AJ255" i="58"/>
  <c r="AJ168" i="58"/>
  <c r="AJ526" i="58"/>
  <c r="AO133" i="60"/>
  <c r="X122" i="60"/>
  <c r="AO114" i="60"/>
  <c r="AO108" i="60"/>
  <c r="AO150" i="60"/>
  <c r="AO139" i="60"/>
  <c r="AO129" i="60"/>
  <c r="AO104" i="60"/>
  <c r="AO178" i="60"/>
  <c r="AO81" i="60"/>
  <c r="AO132" i="60"/>
  <c r="AO128" i="60"/>
  <c r="AF122" i="60"/>
  <c r="T122" i="60"/>
  <c r="H122" i="60"/>
  <c r="AO84" i="60"/>
  <c r="AO170" i="60"/>
  <c r="AO145" i="60"/>
  <c r="AB122" i="60"/>
  <c r="P122" i="60"/>
  <c r="AO112" i="60"/>
  <c r="AO102" i="60"/>
  <c r="AO164" i="60"/>
  <c r="AO105" i="60"/>
  <c r="AO131" i="60"/>
  <c r="AO142" i="60"/>
  <c r="AO130" i="60"/>
  <c r="AC122" i="60"/>
  <c r="N122" i="60"/>
  <c r="AO77" i="60"/>
  <c r="Q122" i="60"/>
  <c r="E122" i="60"/>
  <c r="AO87" i="60"/>
  <c r="AO119" i="60"/>
  <c r="AO106" i="60"/>
  <c r="AO113" i="60"/>
  <c r="AO98" i="60"/>
  <c r="AO115" i="60"/>
  <c r="AA122" i="60"/>
  <c r="AO151" i="60"/>
  <c r="G122" i="60"/>
  <c r="I122" i="60"/>
  <c r="M122" i="60"/>
  <c r="AG122" i="60"/>
  <c r="AO79" i="60"/>
  <c r="V122" i="60"/>
  <c r="AO177" i="60"/>
  <c r="AO93" i="60"/>
  <c r="AO116" i="60"/>
  <c r="AO136" i="60"/>
  <c r="AO148" i="60"/>
  <c r="AO110" i="60"/>
  <c r="AD122" i="60"/>
  <c r="AO140" i="60"/>
  <c r="AO120" i="60"/>
  <c r="AO95" i="60"/>
  <c r="AO83" i="60"/>
  <c r="AO152" i="60"/>
  <c r="AO161" i="60"/>
  <c r="AO80" i="60"/>
  <c r="AO100" i="60"/>
  <c r="S122" i="60"/>
  <c r="AO168" i="60"/>
  <c r="AO143" i="60"/>
  <c r="AO74" i="60"/>
  <c r="K122" i="60"/>
  <c r="AO166" i="60"/>
  <c r="AO163" i="60"/>
  <c r="R122" i="60"/>
  <c r="AO149" i="60"/>
  <c r="D122" i="60"/>
  <c r="AO159" i="60"/>
  <c r="AO153" i="60"/>
  <c r="AO117" i="60"/>
  <c r="AO88" i="60"/>
  <c r="AO179" i="60"/>
  <c r="AO181" i="60"/>
  <c r="AO175" i="60"/>
  <c r="AO146" i="60"/>
  <c r="AO169" i="60"/>
  <c r="AO76" i="60"/>
  <c r="AO180" i="60"/>
  <c r="AO174" i="60"/>
  <c r="AO90" i="60"/>
  <c r="AO86" i="60"/>
  <c r="U122" i="60"/>
  <c r="AO160" i="60"/>
  <c r="AO147" i="60"/>
  <c r="AO97" i="60"/>
  <c r="O122" i="60"/>
  <c r="Y122" i="60"/>
  <c r="AE122" i="60"/>
  <c r="AO109" i="60"/>
  <c r="AO173" i="60"/>
  <c r="AO82" i="60"/>
  <c r="J122" i="60"/>
  <c r="AO162" i="60"/>
  <c r="AO103" i="60"/>
  <c r="AO118" i="60"/>
  <c r="AO91" i="60"/>
  <c r="AO141" i="60"/>
  <c r="AO135" i="60"/>
  <c r="AO96" i="60"/>
  <c r="AO89" i="60"/>
  <c r="AO99" i="60"/>
  <c r="AO101" i="60"/>
  <c r="AO171" i="60"/>
  <c r="W122" i="60"/>
  <c r="AO75" i="60"/>
  <c r="AO111" i="60"/>
  <c r="AO176" i="60"/>
  <c r="AO172" i="60"/>
  <c r="AO78" i="60"/>
  <c r="AO167" i="60"/>
  <c r="AO107" i="60"/>
  <c r="AO85" i="60"/>
  <c r="AO144" i="60"/>
  <c r="Q54" i="70"/>
  <c r="O8" i="17"/>
  <c r="M122" i="61"/>
  <c r="P96" i="61"/>
  <c r="P92" i="61"/>
  <c r="P88" i="61"/>
  <c r="P84" i="61"/>
  <c r="P80" i="61"/>
  <c r="J122" i="61"/>
  <c r="P99" i="61"/>
  <c r="P95" i="61"/>
  <c r="P91" i="61"/>
  <c r="P87" i="61"/>
  <c r="P83" i="61"/>
  <c r="P79" i="61"/>
  <c r="H122" i="61"/>
  <c r="G122" i="61"/>
  <c r="P115" i="61"/>
  <c r="P112" i="61"/>
  <c r="P98" i="61"/>
  <c r="P94" i="61"/>
  <c r="P90" i="61"/>
  <c r="P86" i="61"/>
  <c r="F122" i="61"/>
  <c r="P82" i="61"/>
  <c r="P78" i="61"/>
  <c r="N122" i="61"/>
  <c r="P108" i="61"/>
  <c r="P81" i="61"/>
  <c r="C122" i="61"/>
  <c r="B122" i="61"/>
  <c r="P111" i="61"/>
  <c r="P100" i="61"/>
  <c r="P117" i="61"/>
  <c r="P104" i="61"/>
  <c r="P77" i="61"/>
  <c r="P110" i="61"/>
  <c r="P89" i="61"/>
  <c r="L122" i="61"/>
  <c r="P120" i="61"/>
  <c r="P71" i="61"/>
  <c r="P72" i="61"/>
  <c r="P107" i="61"/>
  <c r="P75" i="61"/>
  <c r="P113" i="61"/>
  <c r="P105" i="61"/>
  <c r="P102" i="61"/>
  <c r="P116" i="61"/>
  <c r="P106" i="61"/>
  <c r="P109" i="61"/>
  <c r="P74" i="61"/>
  <c r="P119" i="61"/>
  <c r="K122" i="61"/>
  <c r="P85" i="61"/>
  <c r="P101" i="61"/>
  <c r="P97" i="61"/>
  <c r="P118" i="61"/>
  <c r="P93" i="61"/>
  <c r="P76" i="61"/>
  <c r="P114" i="61"/>
  <c r="D122" i="61"/>
  <c r="E122" i="61"/>
  <c r="P103" i="61"/>
  <c r="AO403" i="60"/>
  <c r="P369" i="61"/>
  <c r="AW82" i="79"/>
  <c r="O7" i="17"/>
  <c r="BI90" i="56"/>
  <c r="AW109" i="79"/>
  <c r="AO368" i="60"/>
  <c r="AJ214" i="58"/>
  <c r="M17" i="17"/>
  <c r="Q61" i="43"/>
  <c r="K122" i="57"/>
  <c r="AJ122" i="57"/>
  <c r="AI122" i="57"/>
  <c r="AD122" i="57"/>
  <c r="X122" i="57"/>
  <c r="W122" i="57"/>
  <c r="AA122" i="57"/>
  <c r="G122" i="57"/>
  <c r="T122" i="57"/>
  <c r="AC122" i="57"/>
  <c r="O122" i="57"/>
  <c r="I122" i="57"/>
  <c r="J122" i="57"/>
  <c r="Y122" i="57"/>
  <c r="E122" i="57"/>
  <c r="H122" i="57"/>
  <c r="V122" i="57"/>
  <c r="L122" i="57"/>
  <c r="S122" i="57"/>
  <c r="U122" i="57"/>
  <c r="P122" i="57"/>
  <c r="Z122" i="57"/>
  <c r="AF122" i="57"/>
  <c r="AG122" i="57"/>
  <c r="AH122" i="57"/>
  <c r="R122" i="57"/>
  <c r="D122" i="57"/>
  <c r="Q122" i="57"/>
  <c r="AB122" i="57"/>
  <c r="C122" i="57"/>
  <c r="N122" i="57"/>
  <c r="M122" i="57"/>
  <c r="AE122" i="57"/>
  <c r="AJ229" i="58"/>
  <c r="O13" i="17"/>
  <c r="R71" i="76"/>
  <c r="L16" i="17" s="1"/>
  <c r="AO137" i="60"/>
  <c r="AJ116" i="58"/>
  <c r="AJ82" i="58"/>
  <c r="AJ109" i="58"/>
  <c r="AJ106" i="58"/>
  <c r="AJ77" i="58"/>
  <c r="AB122" i="58"/>
  <c r="AJ104" i="58"/>
  <c r="AJ85" i="58"/>
  <c r="AJ74" i="58"/>
  <c r="W122" i="58"/>
  <c r="AJ120" i="58"/>
  <c r="AJ95" i="58"/>
  <c r="R122" i="58"/>
  <c r="AJ103" i="58"/>
  <c r="AJ80" i="58"/>
  <c r="AJ73" i="58"/>
  <c r="Q122" i="58"/>
  <c r="P122" i="58"/>
  <c r="AJ98" i="58"/>
  <c r="AJ94" i="58"/>
  <c r="AJ79" i="58"/>
  <c r="AJ72" i="58"/>
  <c r="F122" i="58"/>
  <c r="AJ113" i="58"/>
  <c r="AJ101" i="58"/>
  <c r="AJ86" i="58"/>
  <c r="E122" i="58"/>
  <c r="D122" i="58"/>
  <c r="AJ75" i="58"/>
  <c r="G122" i="58"/>
  <c r="AJ117" i="58"/>
  <c r="B122" i="58"/>
  <c r="AJ112" i="58"/>
  <c r="T122" i="58"/>
  <c r="AH122" i="58"/>
  <c r="AJ88" i="58"/>
  <c r="AJ89" i="58"/>
  <c r="H122" i="58"/>
  <c r="AJ76" i="58"/>
  <c r="AJ107" i="58"/>
  <c r="AJ100" i="58"/>
  <c r="AJ87" i="58"/>
  <c r="X122" i="58"/>
  <c r="AJ84" i="58"/>
  <c r="AJ119" i="58"/>
  <c r="L122" i="58"/>
  <c r="AJ91" i="58"/>
  <c r="AJ111" i="58"/>
  <c r="AJ90" i="58"/>
  <c r="AJ83" i="58"/>
  <c r="K122" i="58"/>
  <c r="AJ97" i="58"/>
  <c r="AJ102" i="58"/>
  <c r="AJ114" i="58"/>
  <c r="AA122" i="58"/>
  <c r="V122" i="58"/>
  <c r="J122" i="58"/>
  <c r="AJ99" i="58"/>
  <c r="AJ115" i="58"/>
  <c r="AJ78" i="58"/>
  <c r="AJ110" i="58"/>
  <c r="Z122" i="58"/>
  <c r="M122" i="58"/>
  <c r="N122" i="58"/>
  <c r="AJ81" i="58"/>
  <c r="I122" i="58"/>
  <c r="AJ96" i="58"/>
  <c r="AJ92" i="58"/>
  <c r="AJ118" i="58"/>
  <c r="AJ105" i="58"/>
  <c r="AG122" i="58"/>
  <c r="AJ108" i="58"/>
  <c r="C122" i="58"/>
  <c r="AJ93" i="58"/>
  <c r="Y122" i="58"/>
  <c r="AL190" i="57"/>
  <c r="B68" i="60"/>
  <c r="P73" i="61"/>
  <c r="AD119" i="79"/>
  <c r="AW94" i="79"/>
  <c r="AJ370" i="57"/>
  <c r="L370" i="57"/>
  <c r="AL348" i="57"/>
  <c r="AL324" i="57"/>
  <c r="AI370" i="57"/>
  <c r="W370" i="57"/>
  <c r="AL319" i="57"/>
  <c r="AL311" i="57"/>
  <c r="O370" i="57"/>
  <c r="AL349" i="57"/>
  <c r="AL335" i="57"/>
  <c r="AE370" i="57"/>
  <c r="AL326" i="57"/>
  <c r="AB370" i="57"/>
  <c r="AL339" i="57"/>
  <c r="Y370" i="57"/>
  <c r="AL331" i="57"/>
  <c r="S370" i="57"/>
  <c r="P370" i="57"/>
  <c r="M370" i="57"/>
  <c r="AL344" i="57"/>
  <c r="AL317" i="57"/>
  <c r="D370" i="57"/>
  <c r="AL327" i="57"/>
  <c r="AL336" i="57"/>
  <c r="AL343" i="57"/>
  <c r="Q370" i="57"/>
  <c r="AL333" i="57"/>
  <c r="V370" i="57"/>
  <c r="AL332" i="57"/>
  <c r="AH370" i="57"/>
  <c r="AL316" i="57"/>
  <c r="AL312" i="57"/>
  <c r="AL320" i="57"/>
  <c r="C370" i="57"/>
  <c r="G370" i="57"/>
  <c r="AL337" i="57"/>
  <c r="AL334" i="57"/>
  <c r="AL314" i="57"/>
  <c r="AL345" i="57"/>
  <c r="AL346" i="57"/>
  <c r="AL347" i="57"/>
  <c r="AL338" i="57"/>
  <c r="AL328" i="57"/>
  <c r="AA370" i="57"/>
  <c r="AL350" i="57"/>
  <c r="AL322" i="57"/>
  <c r="R370" i="57"/>
  <c r="E370" i="57"/>
  <c r="N370" i="57"/>
  <c r="T370" i="57"/>
  <c r="H370" i="57"/>
  <c r="AD370" i="57"/>
  <c r="AL321" i="57"/>
  <c r="AC370" i="57"/>
  <c r="AL329" i="57"/>
  <c r="U370" i="57"/>
  <c r="J370" i="57"/>
  <c r="K370" i="57"/>
  <c r="AG370" i="57"/>
  <c r="X370" i="57"/>
  <c r="AL330" i="57"/>
  <c r="Z370" i="57"/>
  <c r="AL342" i="57"/>
  <c r="AL341" i="57"/>
  <c r="AL313" i="57"/>
  <c r="AL340" i="57"/>
  <c r="I370" i="57"/>
  <c r="AL323" i="57"/>
  <c r="AL351" i="57"/>
  <c r="AL315" i="57"/>
  <c r="AF370" i="57"/>
  <c r="O68" i="74"/>
  <c r="AD8" i="74"/>
  <c r="AJ458" i="58"/>
  <c r="G495" i="56"/>
  <c r="AO384" i="60"/>
  <c r="AJ588" i="58"/>
  <c r="K18" i="17"/>
  <c r="B426" i="61"/>
  <c r="P71" i="76"/>
  <c r="J16" i="17" s="1"/>
  <c r="Q60" i="68"/>
  <c r="AD8" i="68"/>
  <c r="C603" i="61"/>
  <c r="G19" i="17"/>
  <c r="AD10" i="68"/>
  <c r="S68" i="74"/>
  <c r="AW22" i="79"/>
  <c r="F586" i="62"/>
  <c r="D586" i="62"/>
  <c r="J586" i="62"/>
  <c r="B586" i="62"/>
  <c r="Y586" i="62"/>
  <c r="M586" i="62"/>
  <c r="L586" i="62"/>
  <c r="E586" i="62"/>
  <c r="C586" i="62"/>
  <c r="K586" i="62"/>
  <c r="G586" i="62"/>
  <c r="H586" i="62"/>
  <c r="Q62" i="69"/>
  <c r="R61" i="73"/>
  <c r="O61" i="73"/>
  <c r="AD8" i="73"/>
  <c r="AJ496" i="58"/>
  <c r="Q55" i="75"/>
  <c r="AM434" i="56"/>
  <c r="AA434" i="56"/>
  <c r="O434" i="56"/>
  <c r="C434" i="56"/>
  <c r="AH434" i="56"/>
  <c r="V434" i="56"/>
  <c r="J434" i="56"/>
  <c r="AK434" i="56"/>
  <c r="Y434" i="56"/>
  <c r="M434" i="56"/>
  <c r="AG434" i="56"/>
  <c r="AN434" i="56"/>
  <c r="W434" i="56"/>
  <c r="L434" i="56"/>
  <c r="AJ434" i="56"/>
  <c r="AL434" i="56"/>
  <c r="B434" i="56"/>
  <c r="K434" i="56"/>
  <c r="Q434" i="56"/>
  <c r="E434" i="56"/>
  <c r="X434" i="56"/>
  <c r="AC434" i="56"/>
  <c r="T434" i="56"/>
  <c r="G434" i="56"/>
  <c r="H434" i="56"/>
  <c r="D434" i="56"/>
  <c r="AF434" i="56"/>
  <c r="Z434" i="56"/>
  <c r="AI434" i="56"/>
  <c r="S434" i="56"/>
  <c r="AE434" i="56"/>
  <c r="AB434" i="56"/>
  <c r="R434" i="56"/>
  <c r="AD434" i="56"/>
  <c r="U434" i="56"/>
  <c r="P434" i="56"/>
  <c r="AO434" i="56"/>
  <c r="N434" i="56"/>
  <c r="F434" i="56"/>
  <c r="S57" i="72"/>
  <c r="K185" i="58"/>
  <c r="B122" i="57"/>
  <c r="BI254" i="56"/>
  <c r="BI250" i="56"/>
  <c r="BI274" i="56"/>
  <c r="BI259" i="56"/>
  <c r="AA307" i="56"/>
  <c r="O307" i="56"/>
  <c r="BI300" i="56"/>
  <c r="BI296" i="56"/>
  <c r="BI292" i="56"/>
  <c r="BI281" i="56"/>
  <c r="BI252" i="56"/>
  <c r="BI268" i="56"/>
  <c r="BI265" i="56"/>
  <c r="Y307" i="56"/>
  <c r="M307" i="56"/>
  <c r="BI269" i="56"/>
  <c r="BI263" i="56"/>
  <c r="BI257" i="56"/>
  <c r="S307" i="56"/>
  <c r="BI278" i="56"/>
  <c r="BI258" i="56"/>
  <c r="BI287" i="56"/>
  <c r="BI267" i="56"/>
  <c r="AF307" i="56"/>
  <c r="BI264" i="56"/>
  <c r="AE307" i="56"/>
  <c r="E307" i="56"/>
  <c r="F307" i="56"/>
  <c r="Z307" i="56"/>
  <c r="BI253" i="56"/>
  <c r="BI294" i="56"/>
  <c r="T307" i="56"/>
  <c r="U307" i="56"/>
  <c r="BI262" i="56"/>
  <c r="BI282" i="56"/>
  <c r="BI298" i="56"/>
  <c r="BI283" i="56"/>
  <c r="BI280" i="56"/>
  <c r="BI273" i="56"/>
  <c r="AG307" i="56"/>
  <c r="G307" i="56"/>
  <c r="BI251" i="56"/>
  <c r="BI293" i="56"/>
  <c r="BI302" i="56"/>
  <c r="BI304" i="56"/>
  <c r="BI305" i="56"/>
  <c r="V307" i="56"/>
  <c r="BI260" i="56"/>
  <c r="BI297" i="56"/>
  <c r="BI271" i="56"/>
  <c r="AB307" i="56"/>
  <c r="Q307" i="56"/>
  <c r="BI277" i="56"/>
  <c r="BI272" i="56"/>
  <c r="BI288" i="56"/>
  <c r="BI256" i="56"/>
  <c r="BI301" i="56"/>
  <c r="BI290" i="56"/>
  <c r="AC307" i="56"/>
  <c r="B307" i="56"/>
  <c r="H307" i="56"/>
  <c r="C307" i="56"/>
  <c r="BI276" i="56"/>
  <c r="BI275" i="56"/>
  <c r="BI295" i="56"/>
  <c r="BI270" i="56"/>
  <c r="R307" i="56"/>
  <c r="BI285" i="56"/>
  <c r="BI299" i="56"/>
  <c r="BI289" i="56"/>
  <c r="AD307" i="56"/>
  <c r="BI261" i="56"/>
  <c r="BI286" i="56"/>
  <c r="P307" i="56"/>
  <c r="BI291" i="56"/>
  <c r="BI303" i="56"/>
  <c r="BI279" i="56"/>
  <c r="K307" i="56"/>
  <c r="N307" i="56"/>
  <c r="D307" i="56"/>
  <c r="W307" i="56"/>
  <c r="L307" i="56"/>
  <c r="BI266" i="56"/>
  <c r="BI284" i="56"/>
  <c r="J307" i="56"/>
  <c r="X307" i="56"/>
  <c r="J18" i="17"/>
  <c r="O61" i="43"/>
  <c r="AO138" i="60"/>
  <c r="Z421" i="60"/>
  <c r="BI218" i="56"/>
  <c r="AL223" i="57"/>
  <c r="AW116" i="79"/>
  <c r="AW90" i="79"/>
  <c r="AW79" i="79"/>
  <c r="AH119" i="79"/>
  <c r="V119" i="79"/>
  <c r="J119" i="79"/>
  <c r="AW115" i="79"/>
  <c r="AW111" i="79"/>
  <c r="AW89" i="79"/>
  <c r="AW85" i="79"/>
  <c r="AW100" i="79"/>
  <c r="AQ119" i="79"/>
  <c r="AW114" i="79"/>
  <c r="O119" i="79"/>
  <c r="AW113" i="79"/>
  <c r="AW88" i="79"/>
  <c r="N119" i="79"/>
  <c r="M119" i="79"/>
  <c r="AW112" i="79"/>
  <c r="AW87" i="79"/>
  <c r="AO119" i="79"/>
  <c r="E119" i="79"/>
  <c r="AM119" i="79"/>
  <c r="C119" i="79"/>
  <c r="AW102" i="79"/>
  <c r="AK119" i="79"/>
  <c r="AC119" i="79"/>
  <c r="AW76" i="79"/>
  <c r="AA119" i="79"/>
  <c r="AW105" i="79"/>
  <c r="AW99" i="79"/>
  <c r="AW81" i="79"/>
  <c r="Y119" i="79"/>
  <c r="Q119" i="79"/>
  <c r="AW93" i="79"/>
  <c r="AW98" i="79"/>
  <c r="AW80" i="79"/>
  <c r="AL119" i="79"/>
  <c r="AW103" i="79"/>
  <c r="AB119" i="79"/>
  <c r="AW83" i="79"/>
  <c r="AW96" i="79"/>
  <c r="AJ119" i="79"/>
  <c r="Z119" i="79"/>
  <c r="AR119" i="79"/>
  <c r="AW78" i="79"/>
  <c r="AW97" i="79"/>
  <c r="AW107" i="79"/>
  <c r="AW101" i="79"/>
  <c r="AW71" i="79"/>
  <c r="AW110" i="79"/>
  <c r="AF119" i="79"/>
  <c r="AW86" i="79"/>
  <c r="AW108" i="79"/>
  <c r="L119" i="79"/>
  <c r="AW91" i="79"/>
  <c r="AW77" i="79"/>
  <c r="T119" i="79"/>
  <c r="F119" i="79"/>
  <c r="AW73" i="79"/>
  <c r="AT119" i="79"/>
  <c r="AW72" i="79"/>
  <c r="AG119" i="79"/>
  <c r="AW104" i="79"/>
  <c r="X119" i="79"/>
  <c r="AP119" i="79"/>
  <c r="AU119" i="79"/>
  <c r="AW95" i="79"/>
  <c r="AW106" i="79"/>
  <c r="W119" i="79"/>
  <c r="AW74" i="79"/>
  <c r="AW117" i="79"/>
  <c r="P119" i="79"/>
  <c r="AI119" i="79"/>
  <c r="G119" i="79"/>
  <c r="I119" i="79"/>
  <c r="AW70" i="79"/>
  <c r="AW75" i="79"/>
  <c r="AS119" i="79"/>
  <c r="AW68" i="79"/>
  <c r="AN119" i="79"/>
  <c r="H119" i="79"/>
  <c r="B119" i="79"/>
  <c r="W68" i="74"/>
  <c r="BF246" i="56"/>
  <c r="V55" i="75"/>
  <c r="B535" i="66"/>
  <c r="J553" i="79"/>
  <c r="AA553" i="79"/>
  <c r="X553" i="79"/>
  <c r="G553" i="79"/>
  <c r="AQ553" i="79"/>
  <c r="AO553" i="79"/>
  <c r="C553" i="79"/>
  <c r="AM553" i="79"/>
  <c r="AJ553" i="79"/>
  <c r="AH553" i="79"/>
  <c r="AE553" i="79"/>
  <c r="O553" i="79"/>
  <c r="L553" i="79"/>
  <c r="AL553" i="79"/>
  <c r="B553" i="79"/>
  <c r="Q553" i="79"/>
  <c r="P553" i="79"/>
  <c r="AU553" i="79"/>
  <c r="D553" i="79"/>
  <c r="AF553" i="79"/>
  <c r="W553" i="79"/>
  <c r="Z553" i="79"/>
  <c r="T553" i="79"/>
  <c r="AR553" i="79"/>
  <c r="R553" i="79"/>
  <c r="E553" i="79"/>
  <c r="AG553" i="79"/>
  <c r="AI553" i="79"/>
  <c r="AD553" i="79"/>
  <c r="U553" i="79"/>
  <c r="AS553" i="79"/>
  <c r="H553" i="79"/>
  <c r="AK553" i="79"/>
  <c r="AN553" i="79"/>
  <c r="K553" i="79"/>
  <c r="F553" i="79"/>
  <c r="AB553" i="79"/>
  <c r="AP553" i="79"/>
  <c r="AT553" i="79"/>
  <c r="M553" i="79"/>
  <c r="Y553" i="79"/>
  <c r="AC553" i="79"/>
  <c r="AJ227" i="58"/>
  <c r="G489" i="57"/>
  <c r="O57" i="72"/>
  <c r="AJ143" i="58"/>
  <c r="T429" i="57"/>
  <c r="O55" i="75"/>
  <c r="AD9" i="75"/>
  <c r="P495" i="56"/>
  <c r="BI255" i="56"/>
  <c r="B489" i="57"/>
  <c r="M185" i="58"/>
  <c r="F429" i="57"/>
  <c r="I307" i="56"/>
  <c r="L495" i="56"/>
  <c r="S119" i="79"/>
  <c r="AW67" i="79"/>
  <c r="AL717" i="57"/>
  <c r="AL704" i="57"/>
  <c r="AL691" i="57"/>
  <c r="AL669" i="57"/>
  <c r="AL664" i="57"/>
  <c r="AL620" i="57"/>
  <c r="AL564" i="57"/>
  <c r="AL560" i="57"/>
  <c r="AL546" i="57"/>
  <c r="AL478" i="57"/>
  <c r="AL470" i="57"/>
  <c r="AL461" i="57"/>
  <c r="AL708" i="57"/>
  <c r="AL695" i="57"/>
  <c r="AL673" i="57"/>
  <c r="AL611" i="57"/>
  <c r="AL537" i="57"/>
  <c r="AD184" i="57"/>
  <c r="R184" i="57"/>
  <c r="AL159" i="57"/>
  <c r="AL149" i="57"/>
  <c r="AL712" i="57"/>
  <c r="AL699" i="57"/>
  <c r="AL615" i="57"/>
  <c r="AL583" i="57"/>
  <c r="AL716" i="57"/>
  <c r="AL703" i="57"/>
  <c r="AL681" i="57"/>
  <c r="AL619" i="57"/>
  <c r="AL454" i="57"/>
  <c r="AL707" i="57"/>
  <c r="AL685" i="57"/>
  <c r="AL672" i="57"/>
  <c r="AL535" i="57"/>
  <c r="AL711" i="57"/>
  <c r="AL689" i="57"/>
  <c r="AL662" i="57"/>
  <c r="AL658" i="57"/>
  <c r="AL654" i="57"/>
  <c r="AL650" i="57"/>
  <c r="AL646" i="57"/>
  <c r="AL642" i="57"/>
  <c r="AL638" i="57"/>
  <c r="AL634" i="57"/>
  <c r="AL614" i="57"/>
  <c r="AL582" i="57"/>
  <c r="AL715" i="57"/>
  <c r="AL693" i="57"/>
  <c r="AL680" i="57"/>
  <c r="AL618" i="57"/>
  <c r="AL558" i="57"/>
  <c r="AL697" i="57"/>
  <c r="AL684" i="57"/>
  <c r="AL671" i="57"/>
  <c r="AL585" i="57"/>
  <c r="AL541" i="57"/>
  <c r="AL497" i="57"/>
  <c r="AL705" i="57"/>
  <c r="AL692" i="57"/>
  <c r="AL679" i="57"/>
  <c r="AL571" i="57"/>
  <c r="AL561" i="57"/>
  <c r="AL557" i="57"/>
  <c r="AL540" i="57"/>
  <c r="AL472" i="57"/>
  <c r="AL468" i="57"/>
  <c r="AL462" i="57"/>
  <c r="AL449" i="57"/>
  <c r="AH184" i="57"/>
  <c r="AL181" i="57"/>
  <c r="AL177" i="57"/>
  <c r="AL173" i="57"/>
  <c r="AL709" i="57"/>
  <c r="AL696" i="57"/>
  <c r="AL683" i="57"/>
  <c r="AL612" i="57"/>
  <c r="AL554" i="57"/>
  <c r="AL547" i="57"/>
  <c r="AL652" i="57"/>
  <c r="AL568" i="57"/>
  <c r="AL135" i="57"/>
  <c r="AL687" i="57"/>
  <c r="AL661" i="57"/>
  <c r="AL637" i="57"/>
  <c r="AL606" i="57"/>
  <c r="AL499" i="57"/>
  <c r="AL169" i="57"/>
  <c r="AL656" i="57"/>
  <c r="AL632" i="57"/>
  <c r="AL139" i="57"/>
  <c r="AL641" i="57"/>
  <c r="AL660" i="57"/>
  <c r="AL636" i="57"/>
  <c r="AL487" i="57"/>
  <c r="AL452" i="57"/>
  <c r="AI184" i="57"/>
  <c r="AL152" i="57"/>
  <c r="AL142" i="57"/>
  <c r="AL713" i="57"/>
  <c r="AL645" i="57"/>
  <c r="AL527" i="57"/>
  <c r="AF184" i="57"/>
  <c r="AL701" i="57"/>
  <c r="AL640" i="57"/>
  <c r="AL523" i="57"/>
  <c r="AL475" i="57"/>
  <c r="Z184" i="57"/>
  <c r="AL649" i="57"/>
  <c r="AL644" i="57"/>
  <c r="T184" i="57"/>
  <c r="AL700" i="57"/>
  <c r="AL653" i="57"/>
  <c r="AL434" i="57"/>
  <c r="N184" i="57"/>
  <c r="AL657" i="57"/>
  <c r="AL633" i="57"/>
  <c r="AL481" i="57"/>
  <c r="H184" i="57"/>
  <c r="AL132" i="57"/>
  <c r="AL616" i="57"/>
  <c r="AL508" i="57"/>
  <c r="AL688" i="57"/>
  <c r="K184" i="57"/>
  <c r="AL580" i="57"/>
  <c r="AL648" i="57"/>
  <c r="AL471" i="57"/>
  <c r="AL165" i="57"/>
  <c r="AE184" i="57"/>
  <c r="AL533" i="57"/>
  <c r="AL460" i="57"/>
  <c r="AL578" i="57"/>
  <c r="AL448" i="57"/>
  <c r="AL479" i="57"/>
  <c r="AL445" i="57"/>
  <c r="AL496" i="57"/>
  <c r="AL572" i="57"/>
  <c r="AL464" i="57"/>
  <c r="AL655" i="57"/>
  <c r="AL486" i="57"/>
  <c r="AL147" i="57"/>
  <c r="AL450" i="57"/>
  <c r="X184" i="57"/>
  <c r="AA184" i="57"/>
  <c r="AL446" i="57"/>
  <c r="AL531" i="57"/>
  <c r="AL134" i="57"/>
  <c r="AL146" i="57"/>
  <c r="AL143" i="57"/>
  <c r="AL627" i="57"/>
  <c r="AL539" i="57"/>
  <c r="AL622" i="57"/>
  <c r="AL623" i="57"/>
  <c r="AL512" i="57"/>
  <c r="AL510" i="57"/>
  <c r="AL559" i="57"/>
  <c r="AL659" i="57"/>
  <c r="D184" i="57"/>
  <c r="AL459" i="57"/>
  <c r="AL543" i="57"/>
  <c r="AL465" i="57"/>
  <c r="P184" i="57"/>
  <c r="AL534" i="57"/>
  <c r="AL624" i="57"/>
  <c r="AL521" i="57"/>
  <c r="AL563" i="57"/>
  <c r="AL663" i="57"/>
  <c r="AL565" i="57"/>
  <c r="AL467" i="57"/>
  <c r="AL484" i="57"/>
  <c r="AL164" i="57"/>
  <c r="AL162" i="57"/>
  <c r="AL718" i="57"/>
  <c r="AL562" i="57"/>
  <c r="M184" i="57"/>
  <c r="AL505" i="57"/>
  <c r="O184" i="57"/>
  <c r="Q184" i="57"/>
  <c r="AL150" i="57"/>
  <c r="AL520" i="57"/>
  <c r="AL710" i="57"/>
  <c r="AL714" i="57"/>
  <c r="AL528" i="57"/>
  <c r="AL171" i="57"/>
  <c r="AL457" i="57"/>
  <c r="AL485" i="57"/>
  <c r="AL516" i="57"/>
  <c r="W184" i="57"/>
  <c r="AL133" i="57"/>
  <c r="AL129" i="57"/>
  <c r="AL447" i="57"/>
  <c r="AG184" i="57"/>
  <c r="AL524" i="57"/>
  <c r="Y184" i="57"/>
  <c r="AL175" i="57"/>
  <c r="AL476" i="57"/>
  <c r="AL573" i="57"/>
  <c r="AL603" i="57"/>
  <c r="AL587" i="57"/>
  <c r="AL138" i="57"/>
  <c r="AL598" i="57"/>
  <c r="AL473" i="57"/>
  <c r="AL581" i="57"/>
  <c r="AL513" i="57"/>
  <c r="AL495" i="57"/>
  <c r="AL482" i="57"/>
  <c r="AL500" i="57"/>
  <c r="AL158" i="57"/>
  <c r="AC184" i="57"/>
  <c r="AL483" i="57"/>
  <c r="AL498" i="57"/>
  <c r="AL156" i="57"/>
  <c r="AL148" i="57"/>
  <c r="AJ184" i="57"/>
  <c r="AL589" i="57"/>
  <c r="AL593" i="57"/>
  <c r="AL706" i="57"/>
  <c r="AL145" i="57"/>
  <c r="AL506" i="57"/>
  <c r="AL503" i="57"/>
  <c r="AL579" i="57"/>
  <c r="AL635" i="57"/>
  <c r="AL626" i="57"/>
  <c r="AL166" i="57"/>
  <c r="AL538" i="57"/>
  <c r="AL604" i="57"/>
  <c r="AL690" i="57"/>
  <c r="G184" i="57"/>
  <c r="AL436" i="57"/>
  <c r="AL502" i="57"/>
  <c r="AL154" i="57"/>
  <c r="AL511" i="57"/>
  <c r="AL153" i="57"/>
  <c r="AL595" i="57"/>
  <c r="AL596" i="57"/>
  <c r="AL136" i="57"/>
  <c r="AL466" i="57"/>
  <c r="J184" i="57"/>
  <c r="AL504" i="57"/>
  <c r="AL163" i="57"/>
  <c r="AL501" i="57"/>
  <c r="AL588" i="57"/>
  <c r="AL594" i="57"/>
  <c r="AL157" i="57"/>
  <c r="AL599" i="57"/>
  <c r="AL443" i="57"/>
  <c r="AL493" i="57"/>
  <c r="AB184" i="57"/>
  <c r="AL526" i="57"/>
  <c r="AL435" i="57"/>
  <c r="L184" i="57"/>
  <c r="AL130" i="57"/>
  <c r="AL131" i="57"/>
  <c r="AL600" i="57"/>
  <c r="AL170" i="57"/>
  <c r="AL639" i="57"/>
  <c r="AL682" i="57"/>
  <c r="AL577" i="57"/>
  <c r="AL621" i="57"/>
  <c r="AL456" i="57"/>
  <c r="AL174" i="57"/>
  <c r="AL601" i="57"/>
  <c r="AL515" i="57"/>
  <c r="AL477" i="57"/>
  <c r="AL643" i="57"/>
  <c r="AL686" i="57"/>
  <c r="AL444" i="57"/>
  <c r="AL160" i="57"/>
  <c r="AL605" i="57"/>
  <c r="AL178" i="57"/>
  <c r="AL702" i="57"/>
  <c r="AL518" i="57"/>
  <c r="AL507" i="57"/>
  <c r="AL647" i="57"/>
  <c r="AL455" i="57"/>
  <c r="AL530" i="57"/>
  <c r="AL694" i="57"/>
  <c r="AL536" i="57"/>
  <c r="AL651" i="57"/>
  <c r="I184" i="57"/>
  <c r="AL532" i="57"/>
  <c r="AL474" i="57"/>
  <c r="AL544" i="57"/>
  <c r="AL522" i="57"/>
  <c r="AL141" i="57"/>
  <c r="AL556" i="57"/>
  <c r="AL590" i="57"/>
  <c r="AL548" i="57"/>
  <c r="AL442" i="57"/>
  <c r="AL566" i="57"/>
  <c r="AL168" i="57"/>
  <c r="S184" i="57"/>
  <c r="AL574" i="57"/>
  <c r="AL453" i="57"/>
  <c r="AL182" i="57"/>
  <c r="AL463" i="57"/>
  <c r="AL137" i="57"/>
  <c r="AL529" i="57"/>
  <c r="AL172" i="57"/>
  <c r="AL567" i="57"/>
  <c r="AL613" i="57"/>
  <c r="AL155" i="57"/>
  <c r="AL480" i="57"/>
  <c r="U184" i="57"/>
  <c r="AL698" i="57"/>
  <c r="AL586" i="57"/>
  <c r="AL179" i="57"/>
  <c r="AL576" i="57"/>
  <c r="AL545" i="57"/>
  <c r="AL176" i="57"/>
  <c r="AL617" i="57"/>
  <c r="AL628" i="57"/>
  <c r="AL180" i="57"/>
  <c r="AL525" i="57"/>
  <c r="AL542" i="57"/>
  <c r="AL625" i="57"/>
  <c r="AL597" i="57"/>
  <c r="AL670" i="57"/>
  <c r="AL602" i="57"/>
  <c r="AL451" i="57"/>
  <c r="AL592" i="57"/>
  <c r="AL140" i="57"/>
  <c r="AL584" i="57"/>
  <c r="AL629" i="57"/>
  <c r="AL631" i="57"/>
  <c r="AL678" i="57"/>
  <c r="AL591" i="57"/>
  <c r="AA421" i="60"/>
  <c r="D19" i="17"/>
  <c r="AL569" i="57"/>
  <c r="AO370" i="60"/>
  <c r="C232" i="81"/>
  <c r="M232" i="81"/>
  <c r="Q215" i="81"/>
  <c r="Q211" i="81"/>
  <c r="Q207" i="81"/>
  <c r="Q203" i="81"/>
  <c r="Q199" i="81"/>
  <c r="Q195" i="81"/>
  <c r="Q191" i="81"/>
  <c r="Q187" i="81"/>
  <c r="Q183" i="81"/>
  <c r="Q177" i="81"/>
  <c r="Q229" i="81"/>
  <c r="Q223" i="81"/>
  <c r="Q217" i="81"/>
  <c r="Q216" i="81"/>
  <c r="Q200" i="81"/>
  <c r="Q184" i="81"/>
  <c r="Q204" i="81"/>
  <c r="Q188" i="81"/>
  <c r="Q221" i="81"/>
  <c r="E232" i="81"/>
  <c r="Q208" i="81"/>
  <c r="Q192" i="81"/>
  <c r="D232" i="81"/>
  <c r="Q196" i="81"/>
  <c r="Q212" i="81"/>
  <c r="Q227" i="81"/>
  <c r="Q180" i="81"/>
  <c r="Q225" i="81"/>
  <c r="J232" i="81"/>
  <c r="Q209" i="81"/>
  <c r="Q214" i="81"/>
  <c r="H232" i="81"/>
  <c r="Q213" i="81"/>
  <c r="Q176" i="81"/>
  <c r="Q218" i="81"/>
  <c r="I232" i="81"/>
  <c r="Q228" i="81"/>
  <c r="Q219" i="81"/>
  <c r="N232" i="81"/>
  <c r="Q193" i="81"/>
  <c r="Q182" i="81"/>
  <c r="Q220" i="81"/>
  <c r="Q181" i="81"/>
  <c r="Q186" i="81"/>
  <c r="Q222" i="81"/>
  <c r="Q198" i="81"/>
  <c r="Q185" i="81"/>
  <c r="Q190" i="81"/>
  <c r="F232" i="81"/>
  <c r="Q179" i="81"/>
  <c r="Q175" i="81"/>
  <c r="Q189" i="81"/>
  <c r="Q194" i="81"/>
  <c r="O232" i="81"/>
  <c r="Q224" i="81"/>
  <c r="Q197" i="81"/>
  <c r="Q202" i="81"/>
  <c r="K232" i="81"/>
  <c r="B232" i="81"/>
  <c r="Q226" i="81"/>
  <c r="L232" i="81"/>
  <c r="Q205" i="81"/>
  <c r="Q210" i="81"/>
  <c r="Q230" i="81"/>
  <c r="Q201" i="81"/>
  <c r="Q206" i="81"/>
  <c r="G232" i="81"/>
  <c r="O185" i="58"/>
  <c r="W371" i="58"/>
  <c r="AH371" i="58"/>
  <c r="V371" i="58"/>
  <c r="J371" i="58"/>
  <c r="AC371" i="58"/>
  <c r="Q371" i="58"/>
  <c r="E371" i="58"/>
  <c r="AB371" i="58"/>
  <c r="T371" i="58"/>
  <c r="P371" i="58"/>
  <c r="N371" i="58"/>
  <c r="H371" i="58"/>
  <c r="AF371" i="58"/>
  <c r="D371" i="58"/>
  <c r="Z371" i="58"/>
  <c r="AA371" i="58"/>
  <c r="L371" i="58"/>
  <c r="O371" i="58"/>
  <c r="G371" i="58"/>
  <c r="B371" i="58"/>
  <c r="X371" i="58"/>
  <c r="AD371" i="58"/>
  <c r="AE371" i="58"/>
  <c r="R371" i="58"/>
  <c r="Y371" i="58"/>
  <c r="AG371" i="58"/>
  <c r="K371" i="58"/>
  <c r="F371" i="58"/>
  <c r="AD46" i="70"/>
  <c r="I495" i="56"/>
  <c r="P63" i="71"/>
  <c r="AD13" i="71"/>
  <c r="P57" i="72"/>
  <c r="I586" i="62"/>
  <c r="AJ266" i="58"/>
  <c r="AD16" i="72"/>
  <c r="AO365" i="60"/>
  <c r="V60" i="68"/>
  <c r="R62" i="69"/>
  <c r="F122" i="60"/>
  <c r="AD246" i="58"/>
  <c r="R246" i="58"/>
  <c r="F246" i="58"/>
  <c r="M246" i="58"/>
  <c r="P246" i="58"/>
  <c r="L246" i="58"/>
  <c r="J246" i="58"/>
  <c r="I246" i="58"/>
  <c r="D246" i="58"/>
  <c r="AG246" i="58"/>
  <c r="AB246" i="58"/>
  <c r="W246" i="58"/>
  <c r="X246" i="58"/>
  <c r="U246" i="58"/>
  <c r="T246" i="58"/>
  <c r="AA246" i="58"/>
  <c r="B246" i="58"/>
  <c r="E246" i="58"/>
  <c r="Q246" i="58"/>
  <c r="S246" i="58"/>
  <c r="AE246" i="58"/>
  <c r="G246" i="58"/>
  <c r="AH246" i="58"/>
  <c r="AF246" i="58"/>
  <c r="V246" i="58"/>
  <c r="AC246" i="58"/>
  <c r="Z246" i="58"/>
  <c r="E19" i="17"/>
  <c r="W57" i="72"/>
  <c r="T55" i="75"/>
  <c r="W61" i="73"/>
  <c r="AD12" i="73"/>
  <c r="U489" i="57"/>
  <c r="S489" i="57"/>
  <c r="Q489" i="57"/>
  <c r="AG489" i="57"/>
  <c r="AC489" i="57"/>
  <c r="K489" i="57"/>
  <c r="Z489" i="57"/>
  <c r="AA489" i="57"/>
  <c r="W489" i="57"/>
  <c r="I489" i="57"/>
  <c r="E489" i="57"/>
  <c r="T489" i="57"/>
  <c r="V489" i="57"/>
  <c r="AB489" i="57"/>
  <c r="O489" i="57"/>
  <c r="R489" i="57"/>
  <c r="X489" i="57"/>
  <c r="AH489" i="57"/>
  <c r="D489" i="57"/>
  <c r="M489" i="57"/>
  <c r="AJ489" i="57"/>
  <c r="AE489" i="57"/>
  <c r="J489" i="57"/>
  <c r="P489" i="57"/>
  <c r="Y489" i="57"/>
  <c r="AF489" i="57"/>
  <c r="N489" i="57"/>
  <c r="AD489" i="57"/>
  <c r="AI489" i="57"/>
  <c r="H489" i="57"/>
  <c r="L489" i="57"/>
  <c r="F370" i="57"/>
  <c r="AJ452" i="58"/>
  <c r="AJ326" i="58"/>
  <c r="AJ343" i="58"/>
  <c r="C489" i="57"/>
  <c r="C371" i="58"/>
  <c r="R57" i="72"/>
  <c r="S371" i="58"/>
  <c r="AO134" i="60"/>
  <c r="AL318" i="57"/>
  <c r="AG421" i="60"/>
  <c r="T61" i="73"/>
  <c r="AM122" i="60"/>
  <c r="O15" i="17"/>
  <c r="AO94" i="60"/>
  <c r="AO165" i="60"/>
  <c r="AD25" i="70"/>
  <c r="U68" i="74"/>
  <c r="T68" i="74"/>
  <c r="N14" i="17" s="1"/>
  <c r="D73" i="68"/>
  <c r="E73" i="68"/>
  <c r="Q68" i="74"/>
  <c r="AA458" i="62"/>
  <c r="AA454" i="62"/>
  <c r="AA450" i="62"/>
  <c r="AA446" i="62"/>
  <c r="AA442" i="62"/>
  <c r="AA438" i="62"/>
  <c r="AA434" i="62"/>
  <c r="AA430" i="62"/>
  <c r="AA426" i="62"/>
  <c r="AA472" i="62"/>
  <c r="AA468" i="62"/>
  <c r="AA464" i="62"/>
  <c r="AA448" i="62"/>
  <c r="AA432" i="62"/>
  <c r="AA463" i="62"/>
  <c r="AA467" i="62"/>
  <c r="AA462" i="62"/>
  <c r="AA471" i="62"/>
  <c r="AA466" i="62"/>
  <c r="AA470" i="62"/>
  <c r="M477" i="62"/>
  <c r="AA460" i="62"/>
  <c r="AA439" i="62"/>
  <c r="W477" i="62"/>
  <c r="AA431" i="62"/>
  <c r="Q477" i="62"/>
  <c r="AA435" i="62"/>
  <c r="AA436" i="62"/>
  <c r="B477" i="62"/>
  <c r="AA455" i="62"/>
  <c r="L477" i="62"/>
  <c r="AA425" i="62"/>
  <c r="P477" i="62"/>
  <c r="F477" i="62"/>
  <c r="AA452" i="62"/>
  <c r="AA433" i="62"/>
  <c r="T477" i="62"/>
  <c r="K477" i="62"/>
  <c r="R477" i="62"/>
  <c r="U477" i="62"/>
  <c r="AA445" i="62"/>
  <c r="AA428" i="62"/>
  <c r="AA456" i="62"/>
  <c r="D477" i="62"/>
  <c r="S477" i="62"/>
  <c r="C477" i="62"/>
  <c r="G477" i="62"/>
  <c r="AA429" i="62"/>
  <c r="AA461" i="62"/>
  <c r="AA451" i="62"/>
  <c r="AA473" i="62"/>
  <c r="AA437" i="62"/>
  <c r="AA465" i="62"/>
  <c r="AA427" i="62"/>
  <c r="AA441" i="62"/>
  <c r="AA469" i="62"/>
  <c r="AA449" i="62"/>
  <c r="O477" i="62"/>
  <c r="AA440" i="62"/>
  <c r="Y477" i="62"/>
  <c r="AA443" i="62"/>
  <c r="AA453" i="62"/>
  <c r="X477" i="62"/>
  <c r="J477" i="62"/>
  <c r="AA447" i="62"/>
  <c r="AA457" i="62"/>
  <c r="E477" i="62"/>
  <c r="H477" i="62"/>
  <c r="AA474" i="62"/>
  <c r="N477" i="62"/>
  <c r="AA444" i="62"/>
  <c r="I244" i="61"/>
  <c r="H244" i="61"/>
  <c r="P214" i="61"/>
  <c r="P195" i="61"/>
  <c r="P187" i="61"/>
  <c r="P194" i="61"/>
  <c r="P224" i="61"/>
  <c r="P209" i="61"/>
  <c r="P205" i="61"/>
  <c r="P190" i="61"/>
  <c r="P239" i="61"/>
  <c r="P235" i="61"/>
  <c r="P231" i="61"/>
  <c r="P220" i="61"/>
  <c r="P216" i="61"/>
  <c r="P201" i="61"/>
  <c r="P197" i="61"/>
  <c r="P193" i="61"/>
  <c r="P222" i="61"/>
  <c r="P211" i="61"/>
  <c r="P226" i="61"/>
  <c r="P192" i="61"/>
  <c r="P242" i="61"/>
  <c r="K244" i="61"/>
  <c r="P207" i="61"/>
  <c r="J244" i="61"/>
  <c r="P200" i="61"/>
  <c r="P240" i="61"/>
  <c r="D244" i="61"/>
  <c r="P237" i="61"/>
  <c r="P232" i="61"/>
  <c r="N244" i="61"/>
  <c r="P219" i="61"/>
  <c r="E244" i="61"/>
  <c r="G244" i="61"/>
  <c r="P215" i="61"/>
  <c r="P238" i="61"/>
  <c r="L244" i="61"/>
  <c r="P189" i="61"/>
  <c r="P213" i="61"/>
  <c r="P191" i="61"/>
  <c r="P241" i="61"/>
  <c r="P230" i="61"/>
  <c r="P208" i="61"/>
  <c r="P236" i="61"/>
  <c r="P212" i="61"/>
  <c r="P223" i="61"/>
  <c r="M244" i="61"/>
  <c r="P228" i="61"/>
  <c r="P199" i="61"/>
  <c r="P234" i="61"/>
  <c r="P198" i="61"/>
  <c r="P196" i="61"/>
  <c r="P227" i="61"/>
  <c r="P202" i="61"/>
  <c r="P206" i="61"/>
  <c r="P203" i="61"/>
  <c r="P188" i="61"/>
  <c r="P233" i="61"/>
  <c r="P217" i="61"/>
  <c r="P221" i="61"/>
  <c r="P225" i="61"/>
  <c r="P229" i="61"/>
  <c r="P210" i="61"/>
  <c r="P218" i="61"/>
  <c r="B243" i="66"/>
  <c r="E74" i="43"/>
  <c r="D74" i="43"/>
  <c r="AC244" i="65"/>
  <c r="Q244" i="65"/>
  <c r="E244" i="65"/>
  <c r="AH242" i="65"/>
  <c r="AH216" i="65"/>
  <c r="AH206" i="65"/>
  <c r="AH209" i="65"/>
  <c r="AH188" i="65"/>
  <c r="AE244" i="65"/>
  <c r="AH215" i="65"/>
  <c r="AH205" i="65"/>
  <c r="AH201" i="65"/>
  <c r="AH191" i="65"/>
  <c r="G244" i="65"/>
  <c r="AD244" i="65"/>
  <c r="F244" i="65"/>
  <c r="W244" i="65"/>
  <c r="AH208" i="65"/>
  <c r="R244" i="65"/>
  <c r="AF244" i="65"/>
  <c r="T244" i="65"/>
  <c r="H244" i="65"/>
  <c r="AH238" i="65"/>
  <c r="AH234" i="65"/>
  <c r="AH194" i="65"/>
  <c r="AH197" i="65"/>
  <c r="AH228" i="65"/>
  <c r="AH240" i="65"/>
  <c r="U244" i="65"/>
  <c r="AH204" i="65"/>
  <c r="AH232" i="65"/>
  <c r="V244" i="65"/>
  <c r="AH225" i="65"/>
  <c r="AH211" i="65"/>
  <c r="AH235" i="65"/>
  <c r="AH237" i="65"/>
  <c r="AH214" i="65"/>
  <c r="AH195" i="65"/>
  <c r="AH241" i="65"/>
  <c r="AH210" i="65"/>
  <c r="B244" i="65"/>
  <c r="AH218" i="65"/>
  <c r="AH198" i="65"/>
  <c r="J244" i="65"/>
  <c r="L244" i="65"/>
  <c r="N244" i="65"/>
  <c r="O244" i="65"/>
  <c r="AH231" i="65"/>
  <c r="S244" i="65"/>
  <c r="Z244" i="65"/>
  <c r="AA244" i="65"/>
  <c r="AH219" i="65"/>
  <c r="AH199" i="65"/>
  <c r="AH207" i="65"/>
  <c r="Y244" i="65"/>
  <c r="AH203" i="65"/>
  <c r="AH189" i="65"/>
  <c r="AH223" i="65"/>
  <c r="AH192" i="65"/>
  <c r="AH220" i="65"/>
  <c r="AH236" i="65"/>
  <c r="AH226" i="65"/>
  <c r="AH200" i="65"/>
  <c r="AH202" i="65"/>
  <c r="AH224" i="65"/>
  <c r="AH196" i="65"/>
  <c r="AH212" i="65"/>
  <c r="AH227" i="65"/>
  <c r="AH213" i="65"/>
  <c r="M244" i="65"/>
  <c r="AH229" i="65"/>
  <c r="AH230" i="65"/>
  <c r="AH217" i="65"/>
  <c r="X244" i="65"/>
  <c r="AH239" i="65"/>
  <c r="K244" i="65"/>
  <c r="AH193" i="65"/>
  <c r="P244" i="65"/>
  <c r="AH190" i="65"/>
  <c r="AH222" i="65"/>
  <c r="AH221" i="65"/>
  <c r="AH233" i="65"/>
  <c r="AB244" i="65"/>
  <c r="D244" i="65"/>
  <c r="I244" i="65"/>
  <c r="C244" i="65"/>
  <c r="AL433" i="57"/>
  <c r="B19" i="17"/>
  <c r="R18" i="17"/>
  <c r="R9" i="17"/>
  <c r="B480" i="66"/>
  <c r="AD28" i="74"/>
  <c r="AC64" i="79"/>
  <c r="AO389" i="60"/>
  <c r="AO381" i="60"/>
  <c r="AF421" i="60"/>
  <c r="T421" i="60"/>
  <c r="H421" i="60"/>
  <c r="AO401" i="60"/>
  <c r="AO388" i="60"/>
  <c r="AO364" i="60"/>
  <c r="AB421" i="60"/>
  <c r="AO386" i="60"/>
  <c r="X421" i="60"/>
  <c r="P421" i="60"/>
  <c r="AO405" i="60"/>
  <c r="AO393" i="60"/>
  <c r="L421" i="60"/>
  <c r="AO367" i="60"/>
  <c r="AO375" i="60"/>
  <c r="AO387" i="60"/>
  <c r="J421" i="60"/>
  <c r="AO380" i="60"/>
  <c r="I421" i="60"/>
  <c r="Y421" i="60"/>
  <c r="AO400" i="60"/>
  <c r="AO396" i="60"/>
  <c r="AO369" i="60"/>
  <c r="M421" i="60"/>
  <c r="AO382" i="60"/>
  <c r="K421" i="60"/>
  <c r="AE421" i="60"/>
  <c r="AO404" i="60"/>
  <c r="AO406" i="60"/>
  <c r="AO372" i="60"/>
  <c r="AO397" i="60"/>
  <c r="O421" i="60"/>
  <c r="B421" i="60"/>
  <c r="AO378" i="60"/>
  <c r="AC421" i="60"/>
  <c r="R421" i="60"/>
  <c r="S421" i="60"/>
  <c r="AO376" i="60"/>
  <c r="AO392" i="60"/>
  <c r="E421" i="60"/>
  <c r="AO394" i="60"/>
  <c r="AO366" i="60"/>
  <c r="AO395" i="60"/>
  <c r="AO391" i="60"/>
  <c r="AO374" i="60"/>
  <c r="V421" i="60"/>
  <c r="AO398" i="60"/>
  <c r="Q421" i="60"/>
  <c r="N421" i="60"/>
  <c r="AO383" i="60"/>
  <c r="W421" i="60"/>
  <c r="AO390" i="60"/>
  <c r="AO371" i="60"/>
  <c r="G421" i="60"/>
  <c r="AO402" i="60"/>
  <c r="AD421" i="60"/>
  <c r="AO385" i="60"/>
  <c r="AO399" i="60"/>
  <c r="AO377" i="60"/>
  <c r="AO363" i="60"/>
  <c r="U421" i="60"/>
  <c r="AJ722" i="58"/>
  <c r="AJ696" i="58"/>
  <c r="AJ665" i="58"/>
  <c r="AJ641" i="58"/>
  <c r="AJ217" i="58"/>
  <c r="AJ145" i="58"/>
  <c r="AJ726" i="58"/>
  <c r="AJ700" i="58"/>
  <c r="AJ730" i="58"/>
  <c r="AJ717" i="58"/>
  <c r="AJ704" i="58"/>
  <c r="AJ682" i="58"/>
  <c r="AJ669" i="58"/>
  <c r="AJ645" i="58"/>
  <c r="AJ626" i="58"/>
  <c r="AJ611" i="58"/>
  <c r="AJ607" i="58"/>
  <c r="AJ603" i="58"/>
  <c r="AJ599" i="58"/>
  <c r="AJ586" i="58"/>
  <c r="AJ577" i="58"/>
  <c r="AJ574" i="58"/>
  <c r="AJ569" i="58"/>
  <c r="AJ534" i="58"/>
  <c r="AJ503" i="58"/>
  <c r="AJ495" i="58"/>
  <c r="AJ489" i="58"/>
  <c r="AJ483" i="58"/>
  <c r="AJ477" i="58"/>
  <c r="AJ459" i="58"/>
  <c r="AJ429" i="58"/>
  <c r="AJ423" i="58"/>
  <c r="AJ418" i="58"/>
  <c r="AJ350" i="58"/>
  <c r="AJ304" i="58"/>
  <c r="AJ273" i="58"/>
  <c r="AJ234" i="58"/>
  <c r="AC185" i="58"/>
  <c r="Q185" i="58"/>
  <c r="E185" i="58"/>
  <c r="AJ721" i="58"/>
  <c r="AJ708" i="58"/>
  <c r="AJ659" i="58"/>
  <c r="AJ635" i="58"/>
  <c r="AJ621" i="58"/>
  <c r="AJ566" i="58"/>
  <c r="AJ712" i="58"/>
  <c r="AJ690" i="58"/>
  <c r="AJ729" i="58"/>
  <c r="AJ716" i="58"/>
  <c r="AJ694" i="58"/>
  <c r="AJ681" i="58"/>
  <c r="AJ663" i="58"/>
  <c r="AJ639" i="58"/>
  <c r="AJ610" i="58"/>
  <c r="AJ606" i="58"/>
  <c r="AJ272" i="58"/>
  <c r="AJ259" i="58"/>
  <c r="AJ200" i="58"/>
  <c r="AJ131" i="58"/>
  <c r="AJ720" i="58"/>
  <c r="AJ698" i="58"/>
  <c r="AJ734" i="58"/>
  <c r="AJ724" i="58"/>
  <c r="AJ702" i="58"/>
  <c r="X185" i="58"/>
  <c r="L185" i="58"/>
  <c r="AJ728" i="58"/>
  <c r="AJ706" i="58"/>
  <c r="AJ680" i="58"/>
  <c r="AJ718" i="58"/>
  <c r="AJ692" i="58"/>
  <c r="AJ368" i="58"/>
  <c r="AJ362" i="58"/>
  <c r="AJ356" i="58"/>
  <c r="AJ351" i="58"/>
  <c r="AJ688" i="58"/>
  <c r="AJ623" i="58"/>
  <c r="AJ379" i="58"/>
  <c r="AJ278" i="58"/>
  <c r="AJ219" i="58"/>
  <c r="AJ210" i="58"/>
  <c r="AJ710" i="58"/>
  <c r="AJ570" i="58"/>
  <c r="AJ548" i="58"/>
  <c r="AJ444" i="58"/>
  <c r="AJ412" i="58"/>
  <c r="AJ392" i="58"/>
  <c r="AJ197" i="58"/>
  <c r="AJ162" i="58"/>
  <c r="AJ156" i="58"/>
  <c r="AJ139" i="58"/>
  <c r="AJ435" i="58"/>
  <c r="AJ408" i="58"/>
  <c r="AJ357" i="58"/>
  <c r="AJ295" i="58"/>
  <c r="AJ287" i="58"/>
  <c r="AJ241" i="58"/>
  <c r="AJ482" i="58"/>
  <c r="AJ473" i="58"/>
  <c r="AJ422" i="58"/>
  <c r="AJ222" i="58"/>
  <c r="J185" i="58"/>
  <c r="AJ152" i="58"/>
  <c r="AJ714" i="58"/>
  <c r="AJ450" i="58"/>
  <c r="AJ384" i="58"/>
  <c r="AJ299" i="58"/>
  <c r="AJ228" i="58"/>
  <c r="AJ180" i="58"/>
  <c r="AJ697" i="58"/>
  <c r="AJ590" i="58"/>
  <c r="AJ501" i="58"/>
  <c r="AJ274" i="58"/>
  <c r="AH185" i="58"/>
  <c r="AJ170" i="58"/>
  <c r="AJ129" i="58"/>
  <c r="AJ661" i="58"/>
  <c r="AJ428" i="58"/>
  <c r="AJ420" i="58"/>
  <c r="AJ397" i="58"/>
  <c r="AJ390" i="58"/>
  <c r="AJ373" i="58"/>
  <c r="AJ303" i="58"/>
  <c r="C185" i="58"/>
  <c r="AJ142" i="58"/>
  <c r="AJ133" i="58"/>
  <c r="AJ528" i="58"/>
  <c r="AJ488" i="58"/>
  <c r="AJ479" i="58"/>
  <c r="AJ323" i="58"/>
  <c r="AJ293" i="58"/>
  <c r="AJ205" i="58"/>
  <c r="AF185" i="58"/>
  <c r="AJ174" i="58"/>
  <c r="AJ575" i="58"/>
  <c r="AJ426" i="58"/>
  <c r="AJ400" i="58"/>
  <c r="AJ330" i="58"/>
  <c r="AJ319" i="58"/>
  <c r="AJ297" i="58"/>
  <c r="AJ282" i="58"/>
  <c r="AJ211" i="58"/>
  <c r="W185" i="58"/>
  <c r="AJ178" i="58"/>
  <c r="AJ136" i="58"/>
  <c r="AJ671" i="58"/>
  <c r="AJ235" i="58"/>
  <c r="V185" i="58"/>
  <c r="AJ647" i="58"/>
  <c r="AJ596" i="58"/>
  <c r="AJ485" i="58"/>
  <c r="AJ476" i="58"/>
  <c r="AJ425" i="58"/>
  <c r="AJ311" i="58"/>
  <c r="AJ301" i="58"/>
  <c r="AJ275" i="58"/>
  <c r="AJ183" i="58"/>
  <c r="AJ504" i="58"/>
  <c r="AJ449" i="58"/>
  <c r="AJ701" i="58"/>
  <c r="AJ593" i="58"/>
  <c r="AJ467" i="58"/>
  <c r="AJ619" i="58"/>
  <c r="AJ542" i="58"/>
  <c r="AJ637" i="58"/>
  <c r="AJ231" i="58"/>
  <c r="AA185" i="58"/>
  <c r="AJ236" i="58"/>
  <c r="AJ393" i="58"/>
  <c r="AJ192" i="58"/>
  <c r="AJ146" i="58"/>
  <c r="AJ564" i="58"/>
  <c r="AJ376" i="58"/>
  <c r="AJ497" i="58"/>
  <c r="AJ363" i="58"/>
  <c r="AJ532" i="58"/>
  <c r="AJ220" i="58"/>
  <c r="AJ361" i="58"/>
  <c r="AJ567" i="58"/>
  <c r="AJ289" i="58"/>
  <c r="AJ437" i="58"/>
  <c r="AJ137" i="58"/>
  <c r="AJ320" i="58"/>
  <c r="AJ193" i="58"/>
  <c r="AJ354" i="58"/>
  <c r="AJ263" i="58"/>
  <c r="AJ341" i="58"/>
  <c r="AJ545" i="58"/>
  <c r="AJ138" i="58"/>
  <c r="AJ321" i="58"/>
  <c r="AJ455" i="58"/>
  <c r="AJ591" i="58"/>
  <c r="AJ260" i="58"/>
  <c r="AJ583" i="58"/>
  <c r="AJ484" i="58"/>
  <c r="AJ199" i="58"/>
  <c r="AJ291" i="58"/>
  <c r="AJ442" i="58"/>
  <c r="AJ600" i="58"/>
  <c r="AJ727" i="58"/>
  <c r="AJ517" i="58"/>
  <c r="AJ153" i="58"/>
  <c r="AJ620" i="58"/>
  <c r="AJ630" i="58"/>
  <c r="AJ281" i="58"/>
  <c r="AJ347" i="58"/>
  <c r="AJ618" i="58"/>
  <c r="AJ410" i="58"/>
  <c r="AJ242" i="58"/>
  <c r="AJ445" i="58"/>
  <c r="AJ540" i="58"/>
  <c r="AJ160" i="58"/>
  <c r="AJ238" i="58"/>
  <c r="AJ364" i="58"/>
  <c r="AJ480" i="58"/>
  <c r="AJ212" i="58"/>
  <c r="AJ279" i="58"/>
  <c r="AJ348" i="58"/>
  <c r="AJ447" i="58"/>
  <c r="AJ366" i="58"/>
  <c r="AJ194" i="58"/>
  <c r="AJ502" i="58"/>
  <c r="AJ595" i="58"/>
  <c r="AJ144" i="58"/>
  <c r="AJ335" i="58"/>
  <c r="AJ213" i="58"/>
  <c r="AJ584" i="58"/>
  <c r="AJ604" i="58"/>
  <c r="AJ732" i="58"/>
  <c r="AJ624" i="58"/>
  <c r="AJ203" i="58"/>
  <c r="AJ629" i="58"/>
  <c r="AJ703" i="58"/>
  <c r="AJ649" i="58"/>
  <c r="AJ292" i="58"/>
  <c r="AJ572" i="58"/>
  <c r="AJ622" i="58"/>
  <c r="AJ389" i="58"/>
  <c r="F185" i="58"/>
  <c r="H185" i="58"/>
  <c r="AJ322" i="58"/>
  <c r="AJ163" i="58"/>
  <c r="AJ327" i="58"/>
  <c r="AJ550" i="58"/>
  <c r="AJ244" i="58"/>
  <c r="AJ469" i="58"/>
  <c r="AJ580" i="58"/>
  <c r="AJ302" i="58"/>
  <c r="AJ446" i="58"/>
  <c r="AJ560" i="58"/>
  <c r="G185" i="58"/>
  <c r="AJ334" i="58"/>
  <c r="AJ524" i="58"/>
  <c r="AJ290" i="58"/>
  <c r="AJ365" i="58"/>
  <c r="AJ202" i="58"/>
  <c r="AJ130" i="58"/>
  <c r="AJ474" i="58"/>
  <c r="AJ628" i="58"/>
  <c r="AJ182" i="58"/>
  <c r="AJ267" i="58"/>
  <c r="AJ558" i="58"/>
  <c r="AJ149" i="58"/>
  <c r="AJ226" i="58"/>
  <c r="AJ460" i="58"/>
  <c r="AJ608" i="58"/>
  <c r="AJ643" i="58"/>
  <c r="AJ256" i="58"/>
  <c r="AJ533" i="58"/>
  <c r="AJ296" i="58"/>
  <c r="AJ589" i="58"/>
  <c r="AJ224" i="58"/>
  <c r="AJ453" i="58"/>
  <c r="AJ369" i="58"/>
  <c r="R185" i="58"/>
  <c r="AJ150" i="58"/>
  <c r="AJ486" i="58"/>
  <c r="AJ216" i="58"/>
  <c r="AJ237" i="58"/>
  <c r="AJ353" i="58"/>
  <c r="AJ543" i="58"/>
  <c r="AJ380" i="58"/>
  <c r="AJ225" i="58"/>
  <c r="AJ377" i="58"/>
  <c r="AJ464" i="58"/>
  <c r="AJ561" i="58"/>
  <c r="AJ546" i="58"/>
  <c r="AJ339" i="58"/>
  <c r="AJ506" i="58"/>
  <c r="AJ657" i="58"/>
  <c r="P185" i="58"/>
  <c r="AJ284" i="58"/>
  <c r="AJ507" i="58"/>
  <c r="AJ159" i="58"/>
  <c r="AJ461" i="58"/>
  <c r="AJ592" i="58"/>
  <c r="AJ463" i="58"/>
  <c r="AJ627" i="58"/>
  <c r="AJ269" i="58"/>
  <c r="AJ634" i="58"/>
  <c r="AJ559" i="58"/>
  <c r="AJ654" i="58"/>
  <c r="AJ300" i="58"/>
  <c r="AJ405" i="58"/>
  <c r="AJ218" i="58"/>
  <c r="AJ345" i="58"/>
  <c r="AD185" i="58"/>
  <c r="AJ346" i="58"/>
  <c r="AJ268" i="58"/>
  <c r="AJ642" i="58"/>
  <c r="AJ585" i="58"/>
  <c r="AJ520" i="58"/>
  <c r="AJ232" i="58"/>
  <c r="AJ294" i="58"/>
  <c r="AJ490" i="58"/>
  <c r="AJ148" i="58"/>
  <c r="AJ374" i="58"/>
  <c r="AJ250" i="58"/>
  <c r="AJ367" i="58"/>
  <c r="AJ135" i="58"/>
  <c r="AJ329" i="58"/>
  <c r="AJ693" i="58"/>
  <c r="AB185" i="58"/>
  <c r="AJ562" i="58"/>
  <c r="AJ382" i="58"/>
  <c r="AJ648" i="58"/>
  <c r="AJ317" i="58"/>
  <c r="AJ653" i="58"/>
  <c r="AJ598" i="58"/>
  <c r="AJ640" i="58"/>
  <c r="AJ650" i="58"/>
  <c r="AJ355" i="58"/>
  <c r="AJ631" i="58"/>
  <c r="AJ472" i="58"/>
  <c r="AJ333" i="58"/>
  <c r="AJ406" i="58"/>
  <c r="AJ173" i="58"/>
  <c r="AJ285" i="58"/>
  <c r="AJ462" i="58"/>
  <c r="AJ454" i="58"/>
  <c r="AJ544" i="58"/>
  <c r="AJ239" i="58"/>
  <c r="AJ401" i="58"/>
  <c r="AJ521" i="58"/>
  <c r="AJ176" i="58"/>
  <c r="AJ358" i="58"/>
  <c r="AJ511" i="58"/>
  <c r="AJ166" i="58"/>
  <c r="AJ251" i="58"/>
  <c r="AJ632" i="58"/>
  <c r="AJ667" i="58"/>
  <c r="AJ331" i="58"/>
  <c r="AJ602" i="58"/>
  <c r="AJ699" i="58"/>
  <c r="AJ132" i="58"/>
  <c r="AJ375" i="58"/>
  <c r="AJ478" i="58"/>
  <c r="AJ670" i="58"/>
  <c r="AJ151" i="58"/>
  <c r="AJ169" i="58"/>
  <c r="AJ666" i="58"/>
  <c r="AJ352" i="58"/>
  <c r="AJ215" i="58"/>
  <c r="AJ519" i="58"/>
  <c r="AJ198" i="58"/>
  <c r="AJ360" i="58"/>
  <c r="AJ515" i="58"/>
  <c r="AJ571" i="58"/>
  <c r="S185" i="58"/>
  <c r="AJ500" i="58"/>
  <c r="AJ487" i="58"/>
  <c r="AJ609" i="58"/>
  <c r="AJ576" i="58"/>
  <c r="AJ286" i="58"/>
  <c r="AJ316" i="58"/>
  <c r="AJ605" i="58"/>
  <c r="Y185" i="58"/>
  <c r="AJ254" i="58"/>
  <c r="AJ394" i="58"/>
  <c r="AJ181" i="58"/>
  <c r="AJ381" i="58"/>
  <c r="AJ499" i="58"/>
  <c r="AJ172" i="58"/>
  <c r="AJ386" i="58"/>
  <c r="AJ539" i="58"/>
  <c r="AJ651" i="58"/>
  <c r="AJ638" i="58"/>
  <c r="AJ673" i="58"/>
  <c r="AJ470" i="58"/>
  <c r="AJ658" i="58"/>
  <c r="AJ664" i="58"/>
  <c r="AJ568" i="58"/>
  <c r="AE185" i="58"/>
  <c r="AJ723" i="58"/>
  <c r="B185" i="58"/>
  <c r="AJ404" i="58"/>
  <c r="AJ498" i="58"/>
  <c r="AJ240" i="58"/>
  <c r="AJ582" i="58"/>
  <c r="AJ416" i="58"/>
  <c r="AJ537" i="58"/>
  <c r="AJ191" i="58"/>
  <c r="AJ514" i="58"/>
  <c r="AJ261" i="58"/>
  <c r="AJ402" i="58"/>
  <c r="AJ549" i="58"/>
  <c r="AJ689" i="58"/>
  <c r="AJ475" i="58"/>
  <c r="AJ233" i="58"/>
  <c r="AJ625" i="58"/>
  <c r="AJ175" i="58"/>
  <c r="AJ383" i="58"/>
  <c r="AJ655" i="58"/>
  <c r="AJ522" i="58"/>
  <c r="AJ221" i="58"/>
  <c r="AJ258" i="58"/>
  <c r="T185" i="58"/>
  <c r="AJ167" i="58"/>
  <c r="AJ513" i="58"/>
  <c r="AJ155" i="58"/>
  <c r="AJ204" i="58"/>
  <c r="AJ523" i="58"/>
  <c r="AJ195" i="58"/>
  <c r="AJ315" i="58"/>
  <c r="AJ518" i="58"/>
  <c r="AJ262" i="58"/>
  <c r="AJ344" i="58"/>
  <c r="AJ672" i="58"/>
  <c r="AJ283" i="58"/>
  <c r="AJ713" i="58"/>
  <c r="AJ468" i="58"/>
  <c r="AJ164" i="58"/>
  <c r="AJ253" i="58"/>
  <c r="AJ324" i="58"/>
  <c r="AJ407" i="58"/>
  <c r="AJ633" i="58"/>
  <c r="AJ398" i="58"/>
  <c r="AJ709" i="58"/>
  <c r="AJ264" i="58"/>
  <c r="AJ530" i="58"/>
  <c r="AJ385" i="58"/>
  <c r="AJ314" i="58"/>
  <c r="AJ395" i="58"/>
  <c r="AJ601" i="58"/>
  <c r="AJ177" i="58"/>
  <c r="AJ271" i="58"/>
  <c r="AJ509" i="58"/>
  <c r="AJ656" i="58"/>
  <c r="AJ662" i="58"/>
  <c r="AJ711" i="58"/>
  <c r="AJ481" i="58"/>
  <c r="AJ707" i="58"/>
  <c r="AJ349" i="58"/>
  <c r="AJ695" i="58"/>
  <c r="AJ179" i="58"/>
  <c r="AJ391" i="58"/>
  <c r="AJ525" i="58"/>
  <c r="AJ683" i="58"/>
  <c r="AJ337" i="58"/>
  <c r="AJ396" i="58"/>
  <c r="AJ208" i="58"/>
  <c r="AJ541" i="58"/>
  <c r="AJ141" i="58"/>
  <c r="AJ414" i="58"/>
  <c r="AJ403" i="58"/>
  <c r="AJ338" i="58"/>
  <c r="AJ719" i="58"/>
  <c r="AJ510" i="58"/>
  <c r="AJ441" i="58"/>
  <c r="AJ536" i="58"/>
  <c r="AJ399" i="58"/>
  <c r="AJ223" i="58"/>
  <c r="AJ424" i="58"/>
  <c r="AJ531" i="58"/>
  <c r="AJ409" i="58"/>
  <c r="AJ535" i="58"/>
  <c r="AJ436" i="58"/>
  <c r="AJ359" i="58"/>
  <c r="AJ644" i="58"/>
  <c r="AJ691" i="58"/>
  <c r="AJ201" i="58"/>
  <c r="AJ448" i="58"/>
  <c r="AJ660" i="58"/>
  <c r="AJ563" i="58"/>
  <c r="AJ731" i="58"/>
  <c r="AJ427" i="58"/>
  <c r="AJ387" i="58"/>
  <c r="AJ733" i="58"/>
  <c r="AJ252" i="58"/>
  <c r="AJ243" i="58"/>
  <c r="AJ413" i="58"/>
  <c r="AJ340" i="58"/>
  <c r="AJ157" i="58"/>
  <c r="AJ552" i="58"/>
  <c r="AJ421" i="58"/>
  <c r="AJ529" i="58"/>
  <c r="Z185" i="58"/>
  <c r="AJ451" i="58"/>
  <c r="AJ456" i="58"/>
  <c r="AJ288" i="58"/>
  <c r="AJ439" i="58"/>
  <c r="AJ579" i="58"/>
  <c r="AJ587" i="58"/>
  <c r="AJ705" i="58"/>
  <c r="AJ715" i="58"/>
  <c r="AJ147" i="58"/>
  <c r="AJ565" i="58"/>
  <c r="AJ465" i="58"/>
  <c r="AJ668" i="58"/>
  <c r="AJ276" i="58"/>
  <c r="AJ652" i="58"/>
  <c r="AJ342" i="58"/>
  <c r="AJ725" i="58"/>
  <c r="AJ257" i="58"/>
  <c r="AJ527" i="58"/>
  <c r="AJ313" i="58"/>
  <c r="AJ171" i="58"/>
  <c r="AJ230" i="58"/>
  <c r="AJ298" i="58"/>
  <c r="AJ679" i="58"/>
  <c r="AJ265" i="58"/>
  <c r="AJ457" i="58"/>
  <c r="AJ277" i="58"/>
  <c r="AJ336" i="58"/>
  <c r="AJ417" i="58"/>
  <c r="AJ378" i="58"/>
  <c r="AJ512" i="58"/>
  <c r="AJ508" i="58"/>
  <c r="AJ165" i="58"/>
  <c r="AJ538" i="58"/>
  <c r="AJ466" i="58"/>
  <c r="AJ581" i="58"/>
  <c r="AJ594" i="58"/>
  <c r="AJ328" i="58"/>
  <c r="AJ332" i="58"/>
  <c r="AJ318" i="58"/>
  <c r="AJ140" i="58"/>
  <c r="AJ612" i="58"/>
  <c r="AJ134" i="58"/>
  <c r="AJ597" i="58"/>
  <c r="AJ190" i="58"/>
  <c r="AG185" i="58"/>
  <c r="AJ161" i="58"/>
  <c r="AJ471" i="58"/>
  <c r="AJ438" i="58"/>
  <c r="AJ646" i="58"/>
  <c r="AJ551" i="58"/>
  <c r="AJ415" i="58"/>
  <c r="AJ207" i="58"/>
  <c r="AJ636" i="58"/>
  <c r="D185" i="58"/>
  <c r="AJ419" i="58"/>
  <c r="AJ189" i="58"/>
  <c r="AJ516" i="58"/>
  <c r="AJ411" i="58"/>
  <c r="AJ280" i="58"/>
  <c r="AJ547" i="58"/>
  <c r="AJ578" i="58"/>
  <c r="AJ270" i="58"/>
  <c r="AL189" i="57"/>
  <c r="U185" i="58"/>
  <c r="V57" i="72"/>
  <c r="N17" i="17"/>
  <c r="AE71" i="66"/>
  <c r="AD45" i="69"/>
  <c r="AI68" i="60"/>
  <c r="W68" i="60"/>
  <c r="K68" i="60"/>
  <c r="AO8" i="60"/>
  <c r="AO39" i="60"/>
  <c r="E68" i="60"/>
  <c r="AO24" i="60"/>
  <c r="AO19" i="60"/>
  <c r="AB68" i="60"/>
  <c r="AO63" i="60"/>
  <c r="Q68" i="60"/>
  <c r="P68" i="60"/>
  <c r="AO9" i="60"/>
  <c r="Y68" i="60"/>
  <c r="AO6" i="60"/>
  <c r="AO22" i="60"/>
  <c r="AO18" i="60"/>
  <c r="AO29" i="60"/>
  <c r="AO49" i="60"/>
  <c r="AO50" i="60"/>
  <c r="AO31" i="60"/>
  <c r="AO55" i="60"/>
  <c r="AO56" i="60"/>
  <c r="AO45" i="60"/>
  <c r="AO38" i="60"/>
  <c r="C68" i="60"/>
  <c r="O68" i="60"/>
  <c r="AD68" i="60"/>
  <c r="AO65" i="60"/>
  <c r="AO66" i="60"/>
  <c r="AO51" i="60"/>
  <c r="AO46" i="60"/>
  <c r="AO47" i="60"/>
  <c r="AO53" i="60"/>
  <c r="AO42" i="60"/>
  <c r="AG68" i="60"/>
  <c r="T68" i="60"/>
  <c r="AO12" i="60"/>
  <c r="AO58" i="60"/>
  <c r="AO59" i="60"/>
  <c r="AO60" i="60"/>
  <c r="N68" i="60"/>
  <c r="AO48" i="60"/>
  <c r="AM68" i="60"/>
  <c r="G68" i="60"/>
  <c r="H68" i="60"/>
  <c r="AO15" i="60"/>
  <c r="AE68" i="60"/>
  <c r="AA68" i="60"/>
  <c r="AO33" i="60"/>
  <c r="AO62" i="60"/>
  <c r="AO41" i="60"/>
  <c r="AC68" i="60"/>
  <c r="AO7" i="60"/>
  <c r="AO61" i="60"/>
  <c r="L68" i="60"/>
  <c r="J68" i="60"/>
  <c r="D68" i="60"/>
  <c r="X68" i="60"/>
  <c r="AO44" i="60"/>
  <c r="AO20" i="60"/>
  <c r="AO36" i="60"/>
  <c r="V68" i="60"/>
  <c r="AO14" i="60"/>
  <c r="AO54" i="60"/>
  <c r="AH68" i="60"/>
  <c r="U68" i="60"/>
  <c r="R68" i="60"/>
  <c r="AO21" i="60"/>
  <c r="AO13" i="60"/>
  <c r="AO57" i="60"/>
  <c r="F68" i="60"/>
  <c r="AO34" i="60"/>
  <c r="S68" i="60"/>
  <c r="AO37" i="60"/>
  <c r="AO64" i="60"/>
  <c r="AO32" i="60"/>
  <c r="AO40" i="60"/>
  <c r="AO16" i="60"/>
  <c r="AO23" i="60"/>
  <c r="Z68" i="60"/>
  <c r="AO11" i="60"/>
  <c r="AF68" i="60"/>
  <c r="AO43" i="60"/>
  <c r="AO35" i="60"/>
  <c r="AO17" i="60"/>
  <c r="AO26" i="60"/>
  <c r="AL68" i="60"/>
  <c r="AO28" i="60"/>
  <c r="AO30" i="60"/>
  <c r="AO52" i="60"/>
  <c r="AO222" i="60"/>
  <c r="G603" i="61"/>
  <c r="P587" i="61"/>
  <c r="P583" i="61"/>
  <c r="P568" i="61"/>
  <c r="P564" i="61"/>
  <c r="P560" i="61"/>
  <c r="P556" i="61"/>
  <c r="M603" i="61"/>
  <c r="P589" i="61"/>
  <c r="P585" i="61"/>
  <c r="P581" i="61"/>
  <c r="P570" i="61"/>
  <c r="P566" i="61"/>
  <c r="P562" i="61"/>
  <c r="P558" i="61"/>
  <c r="P547" i="61"/>
  <c r="P597" i="61"/>
  <c r="P554" i="61"/>
  <c r="I603" i="61"/>
  <c r="P600" i="61"/>
  <c r="P569" i="61"/>
  <c r="P590" i="61"/>
  <c r="P553" i="61"/>
  <c r="P584" i="61"/>
  <c r="P594" i="61"/>
  <c r="P598" i="61"/>
  <c r="P578" i="61"/>
  <c r="P561" i="61"/>
  <c r="P551" i="61"/>
  <c r="P592" i="61"/>
  <c r="J603" i="61"/>
  <c r="P596" i="61"/>
  <c r="P550" i="61"/>
  <c r="P567" i="61"/>
  <c r="P573" i="61"/>
  <c r="P588" i="61"/>
  <c r="K603" i="61"/>
  <c r="P563" i="61"/>
  <c r="B603" i="61"/>
  <c r="P582" i="61"/>
  <c r="H603" i="61"/>
  <c r="P595" i="61"/>
  <c r="P552" i="61"/>
  <c r="P549" i="61"/>
  <c r="P557" i="61"/>
  <c r="P593" i="61"/>
  <c r="P579" i="61"/>
  <c r="P572" i="61"/>
  <c r="P555" i="61"/>
  <c r="L603" i="61"/>
  <c r="P575" i="61"/>
  <c r="P591" i="61"/>
  <c r="P576" i="61"/>
  <c r="P565" i="61"/>
  <c r="E603" i="61"/>
  <c r="F603" i="61"/>
  <c r="P571" i="61"/>
  <c r="D603" i="61"/>
  <c r="P559" i="61"/>
  <c r="P599" i="61"/>
  <c r="P586" i="61"/>
  <c r="P546" i="61"/>
  <c r="N603" i="61"/>
  <c r="P577" i="61"/>
  <c r="P601" i="61"/>
  <c r="P580" i="61"/>
  <c r="P574" i="61"/>
  <c r="T57" i="72"/>
  <c r="V63" i="71"/>
  <c r="B597" i="66"/>
  <c r="F242" i="60"/>
  <c r="O54" i="70"/>
  <c r="AD8" i="70"/>
  <c r="R68" i="74"/>
  <c r="R7" i="17"/>
  <c r="G490" i="79"/>
  <c r="AE490" i="79"/>
  <c r="AQ490" i="79"/>
  <c r="AO490" i="79"/>
  <c r="AB490" i="79"/>
  <c r="O490" i="79"/>
  <c r="C490" i="79"/>
  <c r="AA490" i="79"/>
  <c r="N490" i="79"/>
  <c r="B490" i="79"/>
  <c r="AM490" i="79"/>
  <c r="Z490" i="79"/>
  <c r="AL490" i="79"/>
  <c r="L490" i="79"/>
  <c r="AH490" i="79"/>
  <c r="V490" i="79"/>
  <c r="J490" i="79"/>
  <c r="AJ490" i="79"/>
  <c r="X490" i="79"/>
  <c r="AI490" i="79"/>
  <c r="AU490" i="79"/>
  <c r="H490" i="79"/>
  <c r="E490" i="79"/>
  <c r="F490" i="79"/>
  <c r="AK490" i="79"/>
  <c r="K490" i="79"/>
  <c r="R490" i="79"/>
  <c r="T490" i="79"/>
  <c r="AD490" i="79"/>
  <c r="AS490" i="79"/>
  <c r="U490" i="79"/>
  <c r="I490" i="79"/>
  <c r="M490" i="79"/>
  <c r="AF490" i="79"/>
  <c r="Y490" i="79"/>
  <c r="AP490" i="79"/>
  <c r="AR490" i="79"/>
  <c r="P490" i="79"/>
  <c r="AN490" i="79"/>
  <c r="AT490" i="79"/>
  <c r="Q490" i="79"/>
  <c r="W490" i="79"/>
  <c r="D490" i="79"/>
  <c r="AG490" i="79"/>
  <c r="AL476" i="60"/>
  <c r="N476" i="60"/>
  <c r="AI476" i="60"/>
  <c r="W476" i="60"/>
  <c r="K476" i="60"/>
  <c r="AO448" i="60"/>
  <c r="AC476" i="60"/>
  <c r="E476" i="60"/>
  <c r="AO453" i="60"/>
  <c r="AO443" i="60"/>
  <c r="O476" i="60"/>
  <c r="AM476" i="60"/>
  <c r="AB476" i="60"/>
  <c r="AO434" i="60"/>
  <c r="AO431" i="60"/>
  <c r="P476" i="60"/>
  <c r="AO439" i="60"/>
  <c r="U476" i="60"/>
  <c r="S476" i="60"/>
  <c r="AO444" i="60"/>
  <c r="AG476" i="60"/>
  <c r="Q476" i="60"/>
  <c r="AO429" i="60"/>
  <c r="AA476" i="60"/>
  <c r="AH476" i="60"/>
  <c r="AO425" i="60"/>
  <c r="AK476" i="60"/>
  <c r="AO450" i="60"/>
  <c r="R476" i="60"/>
  <c r="AO441" i="60"/>
  <c r="T476" i="60"/>
  <c r="I476" i="60"/>
  <c r="AF476" i="60"/>
  <c r="AO451" i="60"/>
  <c r="AO455" i="60"/>
  <c r="G476" i="60"/>
  <c r="H476" i="60"/>
  <c r="J476" i="60"/>
  <c r="Y476" i="60"/>
  <c r="AO433" i="60"/>
  <c r="AO440" i="60"/>
  <c r="AO458" i="60"/>
  <c r="V476" i="60"/>
  <c r="X476" i="60"/>
  <c r="AO454" i="60"/>
  <c r="AO442" i="60"/>
  <c r="B476" i="60"/>
  <c r="AJ476" i="60"/>
  <c r="AO447" i="60"/>
  <c r="AO438" i="60"/>
  <c r="AO452" i="60"/>
  <c r="AO424" i="60"/>
  <c r="AE476" i="60"/>
  <c r="F476" i="60"/>
  <c r="AO457" i="60"/>
  <c r="AO427" i="60"/>
  <c r="AO456" i="60"/>
  <c r="AO436" i="60"/>
  <c r="M476" i="60"/>
  <c r="AD476" i="60"/>
  <c r="AO435" i="60"/>
  <c r="AO459" i="60"/>
  <c r="AO446" i="60"/>
  <c r="AO428" i="60"/>
  <c r="AO430" i="60"/>
  <c r="AO460" i="60"/>
  <c r="AO445" i="60"/>
  <c r="C21" i="55"/>
  <c r="C8" i="55"/>
  <c r="C10" i="55"/>
  <c r="C6" i="55"/>
  <c r="C18" i="55"/>
  <c r="C7" i="55"/>
  <c r="C19" i="55"/>
  <c r="C23" i="55"/>
  <c r="C20" i="55"/>
  <c r="C14" i="55"/>
  <c r="C22" i="55"/>
  <c r="C11" i="55"/>
  <c r="C24" i="55"/>
  <c r="C5" i="55"/>
  <c r="C17" i="55"/>
  <c r="C13" i="55"/>
  <c r="C25" i="55"/>
  <c r="C26" i="55"/>
  <c r="C16" i="55"/>
  <c r="C12" i="55"/>
  <c r="K54" i="41"/>
  <c r="E71" i="67"/>
  <c r="D71" i="67"/>
  <c r="K8" i="80" l="1"/>
  <c r="I8" i="80"/>
  <c r="I9" i="80" s="1"/>
  <c r="J14" i="17"/>
  <c r="H8" i="80"/>
  <c r="V8" i="80" s="1"/>
  <c r="D15" i="55"/>
  <c r="AC51" i="41"/>
  <c r="AC37" i="41"/>
  <c r="AC52" i="41"/>
  <c r="AC35" i="41"/>
  <c r="AC43" i="41"/>
  <c r="AC41" i="41"/>
  <c r="AC32" i="41"/>
  <c r="AC48" i="41"/>
  <c r="AC40" i="41"/>
  <c r="AC38" i="41"/>
  <c r="AC53" i="41"/>
  <c r="AC33" i="41"/>
  <c r="AC36" i="41"/>
  <c r="AC44" i="41"/>
  <c r="AC39" i="41"/>
  <c r="AC45" i="41"/>
  <c r="AC47" i="41"/>
  <c r="AC46" i="41"/>
  <c r="AC49" i="41"/>
  <c r="AC50" i="41"/>
  <c r="AC42" i="41"/>
  <c r="AC34" i="41"/>
  <c r="F8" i="80"/>
  <c r="E8" i="80"/>
  <c r="D8" i="80"/>
  <c r="AD61" i="43"/>
  <c r="Z62" i="43" s="1"/>
  <c r="K13" i="17"/>
  <c r="N729" i="66"/>
  <c r="J729" i="66"/>
  <c r="AN737" i="79"/>
  <c r="L737" i="79"/>
  <c r="D737" i="79"/>
  <c r="AS737" i="79"/>
  <c r="AB737" i="79"/>
  <c r="E737" i="79"/>
  <c r="AA737" i="79"/>
  <c r="C737" i="79"/>
  <c r="AO737" i="79"/>
  <c r="AI737" i="79"/>
  <c r="O737" i="79"/>
  <c r="AT737" i="79"/>
  <c r="AC737" i="79"/>
  <c r="M737" i="79"/>
  <c r="R737" i="79"/>
  <c r="Q737" i="79"/>
  <c r="AP737" i="79"/>
  <c r="AL737" i="79"/>
  <c r="H737" i="79"/>
  <c r="G737" i="79"/>
  <c r="O721" i="81"/>
  <c r="E721" i="81"/>
  <c r="G721" i="81"/>
  <c r="H721" i="81"/>
  <c r="K721" i="81"/>
  <c r="B721" i="81"/>
  <c r="I721" i="81"/>
  <c r="M721" i="81"/>
  <c r="F721" i="81"/>
  <c r="N721" i="81"/>
  <c r="C721" i="81"/>
  <c r="J721" i="81"/>
  <c r="D721" i="81"/>
  <c r="L721" i="81"/>
  <c r="AD737" i="79"/>
  <c r="B737" i="79"/>
  <c r="T737" i="79"/>
  <c r="I737" i="79"/>
  <c r="Y737" i="79"/>
  <c r="N737" i="79"/>
  <c r="U737" i="79"/>
  <c r="AJ737" i="79"/>
  <c r="AE737" i="79"/>
  <c r="AH737" i="79"/>
  <c r="V737" i="79"/>
  <c r="J737" i="79"/>
  <c r="P737" i="79"/>
  <c r="W737" i="79"/>
  <c r="S737" i="79"/>
  <c r="AU737" i="79"/>
  <c r="F737" i="79"/>
  <c r="X737" i="79"/>
  <c r="Z737" i="79"/>
  <c r="K737" i="79"/>
  <c r="AF737" i="79"/>
  <c r="AK737" i="79"/>
  <c r="AQ737" i="79"/>
  <c r="AM737" i="79"/>
  <c r="AG737" i="79"/>
  <c r="Y729" i="66"/>
  <c r="T729" i="66"/>
  <c r="F729" i="66"/>
  <c r="P729" i="66"/>
  <c r="AA729" i="66"/>
  <c r="C729" i="66"/>
  <c r="I729" i="66"/>
  <c r="L729" i="66"/>
  <c r="AB729" i="66"/>
  <c r="K729" i="66"/>
  <c r="AC729" i="66"/>
  <c r="O729" i="66"/>
  <c r="G729" i="66"/>
  <c r="V729" i="66"/>
  <c r="B729" i="66"/>
  <c r="U729" i="66"/>
  <c r="X729" i="66"/>
  <c r="M729" i="66"/>
  <c r="D729" i="66"/>
  <c r="H729" i="66"/>
  <c r="Z729" i="66"/>
  <c r="Q729" i="66"/>
  <c r="S729" i="66"/>
  <c r="R729" i="66"/>
  <c r="E729" i="66"/>
  <c r="AL607" i="57"/>
  <c r="B724" i="61"/>
  <c r="M724" i="61"/>
  <c r="C724" i="61"/>
  <c r="E724" i="61"/>
  <c r="K724" i="61"/>
  <c r="G724" i="61"/>
  <c r="H724" i="61"/>
  <c r="U745" i="56"/>
  <c r="AA745" i="56"/>
  <c r="AH745" i="56"/>
  <c r="AJ745" i="56"/>
  <c r="F724" i="61"/>
  <c r="L724" i="61"/>
  <c r="N724" i="61"/>
  <c r="BE745" i="56"/>
  <c r="Y745" i="56"/>
  <c r="AI745" i="56"/>
  <c r="X745" i="56"/>
  <c r="AB745" i="56"/>
  <c r="P745" i="56"/>
  <c r="AO745" i="56"/>
  <c r="V745" i="56"/>
  <c r="BD745" i="56"/>
  <c r="AK745" i="56"/>
  <c r="B745" i="56"/>
  <c r="J745" i="56"/>
  <c r="BA745" i="56"/>
  <c r="BC745" i="56"/>
  <c r="I745" i="56"/>
  <c r="AX745" i="56"/>
  <c r="L745" i="56"/>
  <c r="Q745" i="56"/>
  <c r="R745" i="56"/>
  <c r="AP745" i="56"/>
  <c r="AN745" i="56"/>
  <c r="BB745" i="56"/>
  <c r="AM745" i="56"/>
  <c r="AC745" i="56"/>
  <c r="AL745" i="56"/>
  <c r="C745" i="56"/>
  <c r="AS745" i="56"/>
  <c r="W745" i="56"/>
  <c r="AQ745" i="56"/>
  <c r="H745" i="56"/>
  <c r="AE745" i="56"/>
  <c r="BG745" i="56"/>
  <c r="AR745" i="56"/>
  <c r="AV745" i="56"/>
  <c r="AT745" i="56"/>
  <c r="S745" i="56"/>
  <c r="AD745" i="56"/>
  <c r="N745" i="56"/>
  <c r="O745" i="56"/>
  <c r="D745" i="56"/>
  <c r="T745" i="56"/>
  <c r="F745" i="56"/>
  <c r="D724" i="61"/>
  <c r="AU745" i="56"/>
  <c r="E745" i="56"/>
  <c r="AF745" i="56"/>
  <c r="AG745" i="56"/>
  <c r="M745" i="56"/>
  <c r="I724" i="61"/>
  <c r="AY745" i="56"/>
  <c r="Z745" i="56"/>
  <c r="AW745" i="56"/>
  <c r="AZ745" i="56"/>
  <c r="K745" i="56"/>
  <c r="G745" i="56"/>
  <c r="I740" i="58"/>
  <c r="AG740" i="58"/>
  <c r="U740" i="58"/>
  <c r="W740" i="58"/>
  <c r="R740" i="58"/>
  <c r="O740" i="58"/>
  <c r="Q740" i="58"/>
  <c r="AC740" i="58"/>
  <c r="T740" i="58"/>
  <c r="J740" i="58"/>
  <c r="E740" i="58"/>
  <c r="P740" i="58"/>
  <c r="V740" i="58"/>
  <c r="AB740" i="58"/>
  <c r="AF740" i="58"/>
  <c r="AH740" i="58"/>
  <c r="AE740" i="58"/>
  <c r="F740" i="58"/>
  <c r="C740" i="58"/>
  <c r="L740" i="58"/>
  <c r="AA740" i="58"/>
  <c r="N740" i="58"/>
  <c r="D740" i="58"/>
  <c r="Z740" i="58"/>
  <c r="S740" i="58"/>
  <c r="G740" i="58"/>
  <c r="X740" i="58"/>
  <c r="K740" i="58"/>
  <c r="Y740" i="58"/>
  <c r="B740" i="58"/>
  <c r="AD740" i="58"/>
  <c r="M740" i="58"/>
  <c r="AL719" i="57"/>
  <c r="AL665" i="57"/>
  <c r="B710" i="62"/>
  <c r="X710" i="62"/>
  <c r="D710" i="62"/>
  <c r="P710" i="62"/>
  <c r="W710" i="62"/>
  <c r="C710" i="62"/>
  <c r="L710" i="62"/>
  <c r="H710" i="62"/>
  <c r="G710" i="62"/>
  <c r="M710" i="62"/>
  <c r="T710" i="62"/>
  <c r="E710" i="62"/>
  <c r="R710" i="62"/>
  <c r="U710" i="62"/>
  <c r="Q710" i="62"/>
  <c r="K710" i="62"/>
  <c r="O710" i="62"/>
  <c r="F710" i="62"/>
  <c r="S710" i="62"/>
  <c r="N710" i="62"/>
  <c r="J710" i="62"/>
  <c r="Y710" i="62"/>
  <c r="I710" i="62"/>
  <c r="B696" i="60"/>
  <c r="N9" i="80"/>
  <c r="X68" i="74"/>
  <c r="J8" i="80" s="1"/>
  <c r="S59" i="67"/>
  <c r="J59" i="67"/>
  <c r="Q59" i="67"/>
  <c r="O59" i="67"/>
  <c r="Y59" i="67"/>
  <c r="R59" i="67"/>
  <c r="M59" i="67"/>
  <c r="X59" i="67"/>
  <c r="L59" i="67"/>
  <c r="AA59" i="67"/>
  <c r="M9" i="80"/>
  <c r="AD62" i="69"/>
  <c r="Y63" i="69" s="1"/>
  <c r="AD71" i="76"/>
  <c r="H72" i="76" s="1"/>
  <c r="AD55" i="75"/>
  <c r="N71" i="77"/>
  <c r="AD57" i="72"/>
  <c r="X58" i="72" s="1"/>
  <c r="P59" i="67"/>
  <c r="K59" i="67"/>
  <c r="U59" i="67"/>
  <c r="H59" i="67"/>
  <c r="W59" i="67"/>
  <c r="Z59" i="67"/>
  <c r="AB59" i="67"/>
  <c r="I59" i="67"/>
  <c r="E64" i="67" s="1"/>
  <c r="N59" i="67"/>
  <c r="L71" i="77"/>
  <c r="P71" i="77"/>
  <c r="X16" i="17"/>
  <c r="H70" i="18" s="1"/>
  <c r="L9" i="80"/>
  <c r="S71" i="77"/>
  <c r="Q71" i="77"/>
  <c r="U71" i="77"/>
  <c r="K71" i="77"/>
  <c r="X17" i="17"/>
  <c r="L53" i="18" s="1"/>
  <c r="O71" i="77"/>
  <c r="V71" i="77"/>
  <c r="X71" i="77"/>
  <c r="Y71" i="77"/>
  <c r="H71" i="77"/>
  <c r="W71" i="77"/>
  <c r="AB71" i="77"/>
  <c r="T59" i="67"/>
  <c r="Z71" i="77"/>
  <c r="M71" i="77"/>
  <c r="T71" i="77"/>
  <c r="V59" i="67"/>
  <c r="I71" i="77"/>
  <c r="AL183" i="57"/>
  <c r="R71" i="77"/>
  <c r="AA71" i="77"/>
  <c r="AL428" i="57"/>
  <c r="P12" i="17"/>
  <c r="AL488" i="57"/>
  <c r="J7" i="17"/>
  <c r="P14" i="17"/>
  <c r="Q8" i="17"/>
  <c r="M10" i="17"/>
  <c r="L10" i="17"/>
  <c r="L14" i="17"/>
  <c r="N13" i="17"/>
  <c r="AD54" i="70"/>
  <c r="Q55" i="70" s="1"/>
  <c r="N15" i="17"/>
  <c r="J12" i="17"/>
  <c r="Q14" i="17"/>
  <c r="AD60" i="68"/>
  <c r="P61" i="68" s="1"/>
  <c r="I10" i="17"/>
  <c r="Q12" i="17"/>
  <c r="K15" i="17"/>
  <c r="K8" i="17"/>
  <c r="AD68" i="74"/>
  <c r="K10" i="17"/>
  <c r="M7" i="17"/>
  <c r="N9" i="17"/>
  <c r="J8" i="17"/>
  <c r="O14" i="17"/>
  <c r="O19" i="17" s="1"/>
  <c r="J11" i="17"/>
  <c r="I15" i="17"/>
  <c r="I14" i="17"/>
  <c r="M13" i="17"/>
  <c r="J9" i="17"/>
  <c r="N11" i="17"/>
  <c r="Q13" i="17"/>
  <c r="L9" i="17"/>
  <c r="AL549" i="57"/>
  <c r="AD61" i="73"/>
  <c r="N7" i="17"/>
  <c r="P11" i="17"/>
  <c r="P8" i="17"/>
  <c r="M12" i="17"/>
  <c r="I13" i="17"/>
  <c r="L13" i="17"/>
  <c r="M14" i="17"/>
  <c r="K7" i="17"/>
  <c r="K14" i="17"/>
  <c r="I12" i="17"/>
  <c r="K9" i="17"/>
  <c r="M11" i="17"/>
  <c r="L12" i="17"/>
  <c r="I7" i="17"/>
  <c r="L11" i="17"/>
  <c r="J10" i="17"/>
  <c r="AL369" i="57"/>
  <c r="N12" i="17"/>
  <c r="P15" i="17"/>
  <c r="X18" i="17"/>
  <c r="P66" i="18" s="1"/>
  <c r="I8" i="17"/>
  <c r="D19" i="55"/>
  <c r="D11" i="55"/>
  <c r="D6" i="55"/>
  <c r="D20" i="55"/>
  <c r="D22" i="55"/>
  <c r="D18" i="55"/>
  <c r="D5" i="55"/>
  <c r="D7" i="55"/>
  <c r="D24" i="55"/>
  <c r="D21" i="55"/>
  <c r="D12" i="55"/>
  <c r="D9" i="55"/>
  <c r="D13" i="55"/>
  <c r="D26" i="55"/>
  <c r="D23" i="55"/>
  <c r="D25" i="55"/>
  <c r="D16" i="55"/>
  <c r="D10" i="55"/>
  <c r="D17" i="55"/>
  <c r="D14" i="55"/>
  <c r="D8" i="55"/>
  <c r="L41" i="41"/>
  <c r="L47" i="41"/>
  <c r="L53" i="41"/>
  <c r="L33" i="41"/>
  <c r="L38" i="41"/>
  <c r="L48" i="41"/>
  <c r="L36" i="41"/>
  <c r="L51" i="41"/>
  <c r="L46" i="41"/>
  <c r="L45" i="41"/>
  <c r="L50" i="41"/>
  <c r="L40" i="41"/>
  <c r="L52" i="41"/>
  <c r="L44" i="41"/>
  <c r="L49" i="41"/>
  <c r="L34" i="41"/>
  <c r="L32" i="41"/>
  <c r="L35" i="41"/>
  <c r="L39" i="41"/>
  <c r="L42" i="41"/>
  <c r="L43" i="41"/>
  <c r="L37" i="41"/>
  <c r="AA56" i="75" l="1"/>
  <c r="AC56" i="75"/>
  <c r="K56" i="75"/>
  <c r="W69" i="74"/>
  <c r="N69" i="74"/>
  <c r="Y69" i="74"/>
  <c r="AC69" i="74"/>
  <c r="AA69" i="74"/>
  <c r="AB69" i="74"/>
  <c r="Z69" i="74"/>
  <c r="R14" i="17"/>
  <c r="J9" i="80"/>
  <c r="S62" i="73"/>
  <c r="I56" i="75"/>
  <c r="E61" i="75" s="1"/>
  <c r="Q56" i="75"/>
  <c r="AA72" i="76"/>
  <c r="J58" i="72"/>
  <c r="N58" i="72"/>
  <c r="L58" i="72"/>
  <c r="L59" i="72" s="1"/>
  <c r="M58" i="72"/>
  <c r="O72" i="76"/>
  <c r="Z72" i="76"/>
  <c r="L72" i="76"/>
  <c r="P72" i="76"/>
  <c r="X72" i="76"/>
  <c r="R56" i="75"/>
  <c r="AB72" i="76"/>
  <c r="U56" i="75"/>
  <c r="T72" i="76"/>
  <c r="H56" i="75"/>
  <c r="K72" i="76"/>
  <c r="Y72" i="76"/>
  <c r="J72" i="76"/>
  <c r="S72" i="76"/>
  <c r="W72" i="76"/>
  <c r="R72" i="76"/>
  <c r="I72" i="76"/>
  <c r="K58" i="72"/>
  <c r="R58" i="72"/>
  <c r="U58" i="72"/>
  <c r="O56" i="75"/>
  <c r="AB56" i="75"/>
  <c r="W58" i="72"/>
  <c r="X56" i="75"/>
  <c r="Q72" i="76"/>
  <c r="V56" i="75"/>
  <c r="S56" i="75"/>
  <c r="N72" i="76"/>
  <c r="V72" i="76"/>
  <c r="O58" i="72"/>
  <c r="M72" i="76"/>
  <c r="U72" i="76"/>
  <c r="H58" i="72"/>
  <c r="T56" i="75"/>
  <c r="AB58" i="72"/>
  <c r="Y56" i="75"/>
  <c r="N56" i="75"/>
  <c r="S63" i="69"/>
  <c r="J63" i="69"/>
  <c r="N63" i="69"/>
  <c r="W63" i="69"/>
  <c r="Z63" i="69"/>
  <c r="V63" i="69"/>
  <c r="AB63" i="69"/>
  <c r="AA63" i="69"/>
  <c r="AC63" i="69"/>
  <c r="L63" i="69"/>
  <c r="H63" i="69"/>
  <c r="I63" i="69"/>
  <c r="E68" i="69" s="1"/>
  <c r="X63" i="69"/>
  <c r="R63" i="69"/>
  <c r="P63" i="69"/>
  <c r="O63" i="69"/>
  <c r="K63" i="69"/>
  <c r="M63" i="69"/>
  <c r="U63" i="69"/>
  <c r="Q63" i="69"/>
  <c r="T63" i="69"/>
  <c r="J62" i="43"/>
  <c r="H62" i="43"/>
  <c r="Q62" i="43"/>
  <c r="T62" i="43"/>
  <c r="O62" i="43"/>
  <c r="AA62" i="43"/>
  <c r="AA58" i="72"/>
  <c r="U62" i="43"/>
  <c r="T58" i="72"/>
  <c r="Z58" i="72"/>
  <c r="S58" i="72"/>
  <c r="V58" i="72"/>
  <c r="L56" i="75"/>
  <c r="N62" i="43"/>
  <c r="P56" i="75"/>
  <c r="M56" i="75"/>
  <c r="K62" i="43"/>
  <c r="W56" i="75"/>
  <c r="Z56" i="75"/>
  <c r="AB62" i="43"/>
  <c r="J56" i="75"/>
  <c r="P62" i="43"/>
  <c r="L62" i="43"/>
  <c r="L61" i="18"/>
  <c r="L66" i="18"/>
  <c r="L54" i="18"/>
  <c r="M54" i="18" s="1"/>
  <c r="L57" i="18"/>
  <c r="L65" i="18"/>
  <c r="L63" i="18"/>
  <c r="L73" i="18"/>
  <c r="L69" i="18"/>
  <c r="L64" i="18"/>
  <c r="L56" i="18"/>
  <c r="L71" i="18"/>
  <c r="L60" i="18"/>
  <c r="X62" i="43"/>
  <c r="L68" i="18"/>
  <c r="M53" i="18"/>
  <c r="L58" i="18"/>
  <c r="Y62" i="43"/>
  <c r="Q58" i="72"/>
  <c r="I58" i="72"/>
  <c r="E63" i="72" s="1"/>
  <c r="L67" i="18"/>
  <c r="W62" i="43"/>
  <c r="I62" i="43"/>
  <c r="E67" i="43" s="1"/>
  <c r="L70" i="18"/>
  <c r="V62" i="43"/>
  <c r="M62" i="43"/>
  <c r="L62" i="18"/>
  <c r="L59" i="18"/>
  <c r="Y58" i="72"/>
  <c r="L72" i="18"/>
  <c r="S62" i="43"/>
  <c r="P58" i="72"/>
  <c r="O69" i="74"/>
  <c r="S69" i="74"/>
  <c r="U69" i="74"/>
  <c r="Q69" i="74"/>
  <c r="P55" i="70"/>
  <c r="H61" i="18"/>
  <c r="O55" i="70"/>
  <c r="L55" i="18"/>
  <c r="H58" i="18"/>
  <c r="H64" i="18"/>
  <c r="H67" i="18"/>
  <c r="H68" i="18"/>
  <c r="H54" i="18"/>
  <c r="H56" i="18"/>
  <c r="H66" i="18"/>
  <c r="H73" i="18"/>
  <c r="H69" i="18"/>
  <c r="H65" i="18"/>
  <c r="H63" i="18"/>
  <c r="H62" i="18"/>
  <c r="H55" i="18"/>
  <c r="I55" i="18" s="1"/>
  <c r="H53" i="18"/>
  <c r="H59" i="18"/>
  <c r="H71" i="18"/>
  <c r="P54" i="18"/>
  <c r="H72" i="18"/>
  <c r="H60" i="18"/>
  <c r="H57" i="18"/>
  <c r="O61" i="68"/>
  <c r="V61" i="68"/>
  <c r="W61" i="68"/>
  <c r="P53" i="18"/>
  <c r="Q61" i="68"/>
  <c r="V69" i="74"/>
  <c r="J19" i="17"/>
  <c r="T69" i="74"/>
  <c r="R69" i="74"/>
  <c r="T62" i="73"/>
  <c r="W62" i="73"/>
  <c r="P56" i="18"/>
  <c r="R62" i="73"/>
  <c r="R55" i="70"/>
  <c r="N19" i="17"/>
  <c r="D9" i="80"/>
  <c r="D17" i="80" s="1"/>
  <c r="F9" i="80"/>
  <c r="K61" i="68"/>
  <c r="N61" i="68"/>
  <c r="J61" i="68"/>
  <c r="AA61" i="68"/>
  <c r="Y61" i="68"/>
  <c r="L61" i="68"/>
  <c r="Z61" i="68"/>
  <c r="AB61" i="68"/>
  <c r="M61" i="68"/>
  <c r="I61" i="68"/>
  <c r="E66" i="68" s="1"/>
  <c r="X61" i="68"/>
  <c r="H61" i="68"/>
  <c r="R61" i="68"/>
  <c r="T61" i="68"/>
  <c r="S61" i="68"/>
  <c r="U61" i="68"/>
  <c r="AA62" i="73"/>
  <c r="Y62" i="73"/>
  <c r="M62" i="73"/>
  <c r="L62" i="73"/>
  <c r="X62" i="73"/>
  <c r="J62" i="73"/>
  <c r="Z62" i="73"/>
  <c r="AB62" i="73"/>
  <c r="K62" i="73"/>
  <c r="H62" i="73"/>
  <c r="I62" i="73"/>
  <c r="E67" i="73" s="1"/>
  <c r="N62" i="73"/>
  <c r="U62" i="73"/>
  <c r="V62" i="73"/>
  <c r="P62" i="73"/>
  <c r="Q62" i="73"/>
  <c r="M69" i="74"/>
  <c r="L69" i="74"/>
  <c r="H69" i="74"/>
  <c r="K69" i="74"/>
  <c r="J69" i="74"/>
  <c r="I69" i="74"/>
  <c r="E74" i="74" s="1"/>
  <c r="P69" i="74"/>
  <c r="X69" i="74"/>
  <c r="K19" i="17"/>
  <c r="X13" i="17"/>
  <c r="L40" i="18" s="1"/>
  <c r="X8" i="17"/>
  <c r="H8" i="18" s="1"/>
  <c r="X12" i="17"/>
  <c r="H44" i="18" s="1"/>
  <c r="O62" i="73"/>
  <c r="H9" i="80"/>
  <c r="E9" i="80"/>
  <c r="X15" i="17"/>
  <c r="D55" i="18" s="1"/>
  <c r="P70" i="18"/>
  <c r="P59" i="18"/>
  <c r="P68" i="18"/>
  <c r="P72" i="18"/>
  <c r="P71" i="18"/>
  <c r="P63" i="18"/>
  <c r="P57" i="18"/>
  <c r="P55" i="18"/>
  <c r="P69" i="18"/>
  <c r="P73" i="18"/>
  <c r="P65" i="18"/>
  <c r="P60" i="18"/>
  <c r="P64" i="18"/>
  <c r="P61" i="18"/>
  <c r="P58" i="18"/>
  <c r="P67" i="18"/>
  <c r="P62" i="18"/>
  <c r="X9" i="17"/>
  <c r="L9" i="18" s="1"/>
  <c r="K9" i="80"/>
  <c r="M19" i="17"/>
  <c r="Y55" i="70"/>
  <c r="N55" i="70"/>
  <c r="AA55" i="70"/>
  <c r="H55" i="70"/>
  <c r="AB55" i="70"/>
  <c r="L55" i="70"/>
  <c r="Z55" i="70"/>
  <c r="I55" i="70"/>
  <c r="J55" i="70"/>
  <c r="M55" i="70"/>
  <c r="K55" i="70"/>
  <c r="V55" i="70"/>
  <c r="X55" i="70"/>
  <c r="T55" i="70"/>
  <c r="U55" i="70"/>
  <c r="W55" i="70"/>
  <c r="X10" i="17"/>
  <c r="P9" i="18" s="1"/>
  <c r="P19" i="17"/>
  <c r="Q19" i="17"/>
  <c r="S55" i="70"/>
  <c r="K13" i="80" l="1"/>
  <c r="K15" i="80"/>
  <c r="K16" i="80"/>
  <c r="K14" i="80"/>
  <c r="K17" i="80"/>
  <c r="R19" i="17"/>
  <c r="X14" i="17"/>
  <c r="E60" i="70"/>
  <c r="F16" i="80"/>
  <c r="F15" i="80"/>
  <c r="F14" i="80"/>
  <c r="F13" i="80"/>
  <c r="F17" i="80"/>
  <c r="I17" i="80"/>
  <c r="I13" i="80"/>
  <c r="I15" i="80"/>
  <c r="I16" i="80"/>
  <c r="I14" i="80"/>
  <c r="E15" i="80"/>
  <c r="E17" i="80"/>
  <c r="E16" i="80"/>
  <c r="E14" i="80"/>
  <c r="E13" i="80"/>
  <c r="H13" i="80"/>
  <c r="H17" i="80"/>
  <c r="H15" i="80"/>
  <c r="H16" i="80"/>
  <c r="H14" i="80"/>
  <c r="J14" i="80"/>
  <c r="J13" i="80"/>
  <c r="J17" i="80"/>
  <c r="J16" i="80"/>
  <c r="J15" i="80"/>
  <c r="Q72" i="18"/>
  <c r="Q58" i="18"/>
  <c r="Q53" i="18"/>
  <c r="Q54" i="18"/>
  <c r="M55" i="18"/>
  <c r="M71" i="18"/>
  <c r="M73" i="18"/>
  <c r="M63" i="18"/>
  <c r="M61" i="18"/>
  <c r="M72" i="18"/>
  <c r="M68" i="18"/>
  <c r="M59" i="18"/>
  <c r="M70" i="18"/>
  <c r="M64" i="18"/>
  <c r="M62" i="18"/>
  <c r="M60" i="18"/>
  <c r="M66" i="18"/>
  <c r="M56" i="18"/>
  <c r="M67" i="18"/>
  <c r="M65" i="18"/>
  <c r="M58" i="18"/>
  <c r="M57" i="18"/>
  <c r="M69" i="18"/>
  <c r="Q70" i="18"/>
  <c r="Q55" i="18"/>
  <c r="Q59" i="18"/>
  <c r="Q63" i="18"/>
  <c r="Q65" i="18"/>
  <c r="H31" i="18"/>
  <c r="Q61" i="18"/>
  <c r="Q69" i="18"/>
  <c r="Q56" i="18"/>
  <c r="Q57" i="18"/>
  <c r="Q60" i="18"/>
  <c r="Q73" i="18"/>
  <c r="Q62" i="18"/>
  <c r="Q66" i="18"/>
  <c r="Q64" i="18"/>
  <c r="Q67" i="18"/>
  <c r="Q68" i="18"/>
  <c r="Q71" i="18"/>
  <c r="I63" i="18"/>
  <c r="I67" i="18"/>
  <c r="I68" i="18"/>
  <c r="I72" i="18"/>
  <c r="I56" i="18"/>
  <c r="I73" i="18"/>
  <c r="I59" i="18"/>
  <c r="I70" i="18"/>
  <c r="I64" i="18"/>
  <c r="I60" i="18"/>
  <c r="I54" i="18"/>
  <c r="I69" i="18"/>
  <c r="I61" i="18"/>
  <c r="I53" i="18"/>
  <c r="I62" i="18"/>
  <c r="I71" i="18"/>
  <c r="I66" i="18"/>
  <c r="I65" i="18"/>
  <c r="I57" i="18"/>
  <c r="I58" i="18"/>
  <c r="H17" i="18"/>
  <c r="L37" i="18"/>
  <c r="H36" i="18"/>
  <c r="H38" i="18"/>
  <c r="L36" i="18"/>
  <c r="H33" i="18"/>
  <c r="D53" i="18"/>
  <c r="E53" i="18" s="1"/>
  <c r="D63" i="18"/>
  <c r="D61" i="18"/>
  <c r="P23" i="17"/>
  <c r="I23" i="17"/>
  <c r="P21" i="18"/>
  <c r="L4" i="18"/>
  <c r="M4" i="18" s="1"/>
  <c r="N23" i="17"/>
  <c r="H29" i="18"/>
  <c r="I29" i="18" s="1"/>
  <c r="L41" i="18"/>
  <c r="L35" i="18"/>
  <c r="D54" i="18"/>
  <c r="W23" i="17"/>
  <c r="E23" i="17"/>
  <c r="F23" i="17"/>
  <c r="D68" i="18"/>
  <c r="D62" i="18"/>
  <c r="D72" i="18"/>
  <c r="D60" i="18"/>
  <c r="D58" i="18"/>
  <c r="S23" i="17"/>
  <c r="C23" i="17"/>
  <c r="G23" i="17"/>
  <c r="T23" i="17"/>
  <c r="D59" i="18"/>
  <c r="D67" i="18"/>
  <c r="H23" i="17"/>
  <c r="V23" i="17"/>
  <c r="U23" i="17"/>
  <c r="D71" i="18"/>
  <c r="D69" i="18"/>
  <c r="D70" i="18"/>
  <c r="R23" i="17"/>
  <c r="D23" i="17"/>
  <c r="D73" i="18"/>
  <c r="B23" i="17"/>
  <c r="D64" i="18"/>
  <c r="M23" i="17"/>
  <c r="D56" i="18"/>
  <c r="J23" i="17"/>
  <c r="D57" i="18"/>
  <c r="E57" i="18" s="1"/>
  <c r="L23" i="17"/>
  <c r="Q23" i="17"/>
  <c r="D65" i="18"/>
  <c r="D66" i="18"/>
  <c r="O23" i="17"/>
  <c r="H48" i="18"/>
  <c r="H30" i="18"/>
  <c r="H47" i="18"/>
  <c r="H41" i="18"/>
  <c r="H32" i="18"/>
  <c r="H43" i="18"/>
  <c r="H39" i="18"/>
  <c r="H37" i="18"/>
  <c r="H45" i="18"/>
  <c r="H35" i="18"/>
  <c r="H42" i="18"/>
  <c r="H46" i="18"/>
  <c r="H34" i="18"/>
  <c r="L22" i="18"/>
  <c r="L20" i="18"/>
  <c r="L16" i="18"/>
  <c r="L24" i="18"/>
  <c r="L12" i="18"/>
  <c r="L5" i="18"/>
  <c r="L11" i="18"/>
  <c r="L17" i="18"/>
  <c r="L21" i="18"/>
  <c r="L8" i="18"/>
  <c r="L19" i="18"/>
  <c r="L14" i="18"/>
  <c r="L15" i="18"/>
  <c r="L6" i="18"/>
  <c r="L23" i="18"/>
  <c r="L13" i="18"/>
  <c r="L18" i="18"/>
  <c r="L10" i="18"/>
  <c r="H13" i="18"/>
  <c r="H7" i="18"/>
  <c r="H19" i="18"/>
  <c r="H16" i="18"/>
  <c r="H11" i="18"/>
  <c r="H10" i="18"/>
  <c r="H22" i="18"/>
  <c r="H21" i="18"/>
  <c r="H24" i="18"/>
  <c r="H20" i="18"/>
  <c r="H12" i="18"/>
  <c r="H5" i="18"/>
  <c r="H18" i="18"/>
  <c r="H23" i="18"/>
  <c r="H9" i="18"/>
  <c r="H6" i="18"/>
  <c r="H4" i="18"/>
  <c r="P22" i="18"/>
  <c r="P5" i="18"/>
  <c r="P16" i="18"/>
  <c r="P23" i="18"/>
  <c r="P8" i="18"/>
  <c r="P7" i="18"/>
  <c r="P18" i="18"/>
  <c r="P17" i="18"/>
  <c r="P15" i="18"/>
  <c r="P10" i="18"/>
  <c r="P14" i="18"/>
  <c r="P6" i="18"/>
  <c r="P20" i="18"/>
  <c r="P12" i="18"/>
  <c r="P24" i="18"/>
  <c r="P19" i="18"/>
  <c r="P13" i="18"/>
  <c r="P4" i="18"/>
  <c r="H40" i="18"/>
  <c r="K23" i="17"/>
  <c r="P11" i="18"/>
  <c r="L39" i="18"/>
  <c r="L48" i="18"/>
  <c r="L46" i="18"/>
  <c r="L43" i="18"/>
  <c r="L47" i="18"/>
  <c r="L32" i="18"/>
  <c r="L33" i="18"/>
  <c r="L44" i="18"/>
  <c r="L45" i="18"/>
  <c r="L34" i="18"/>
  <c r="L30" i="18"/>
  <c r="L29" i="18"/>
  <c r="L38" i="18"/>
  <c r="L42" i="18"/>
  <c r="L31" i="18"/>
  <c r="D15" i="80"/>
  <c r="D16" i="80"/>
  <c r="D14" i="80"/>
  <c r="D13" i="80"/>
  <c r="L7" i="18"/>
  <c r="H15" i="18"/>
  <c r="H14" i="18"/>
  <c r="P32" i="18" l="1"/>
  <c r="P31" i="18"/>
  <c r="Q31" i="18" s="1"/>
  <c r="P47" i="18"/>
  <c r="P37" i="18"/>
  <c r="P43" i="18"/>
  <c r="P34" i="18"/>
  <c r="P46" i="18"/>
  <c r="P45" i="18"/>
  <c r="P42" i="18"/>
  <c r="P39" i="18"/>
  <c r="P29" i="18"/>
  <c r="P40" i="18"/>
  <c r="P44" i="18"/>
  <c r="P48" i="18"/>
  <c r="P41" i="18"/>
  <c r="P30" i="18"/>
  <c r="P38" i="18"/>
  <c r="P36" i="18"/>
  <c r="P35" i="18"/>
  <c r="P33" i="18"/>
  <c r="M5" i="18"/>
  <c r="E55" i="18"/>
  <c r="E54" i="18"/>
  <c r="I34" i="18"/>
  <c r="E60" i="18"/>
  <c r="E72" i="18"/>
  <c r="M10" i="18"/>
  <c r="M17" i="18"/>
  <c r="I42" i="18"/>
  <c r="E67" i="18"/>
  <c r="E59" i="18"/>
  <c r="I32" i="18"/>
  <c r="I47" i="18"/>
  <c r="I39" i="18"/>
  <c r="I24" i="18"/>
  <c r="I22" i="18"/>
  <c r="I20" i="18"/>
  <c r="I18" i="18"/>
  <c r="I16" i="18"/>
  <c r="I14" i="18"/>
  <c r="I12" i="18"/>
  <c r="I10" i="18"/>
  <c r="I8" i="18"/>
  <c r="I6" i="18"/>
  <c r="I4" i="18"/>
  <c r="I23" i="18"/>
  <c r="I21" i="18"/>
  <c r="I19" i="18"/>
  <c r="I17" i="18"/>
  <c r="I15" i="18"/>
  <c r="I13" i="18"/>
  <c r="I11" i="18"/>
  <c r="I9" i="18"/>
  <c r="I7" i="18"/>
  <c r="I5" i="18"/>
  <c r="M14" i="18"/>
  <c r="M21" i="18"/>
  <c r="E73" i="18"/>
  <c r="M23" i="18"/>
  <c r="I48" i="18"/>
  <c r="E64" i="18"/>
  <c r="Q23" i="18"/>
  <c r="Q15" i="18"/>
  <c r="Q7" i="18"/>
  <c r="Q14" i="18"/>
  <c r="Q6" i="18"/>
  <c r="Q21" i="18"/>
  <c r="Q17" i="18"/>
  <c r="Q13" i="18"/>
  <c r="Q9" i="18"/>
  <c r="Q5" i="18"/>
  <c r="Q19" i="18"/>
  <c r="Q11" i="18"/>
  <c r="Q16" i="18"/>
  <c r="Q24" i="18"/>
  <c r="Q12" i="18"/>
  <c r="Q4" i="18"/>
  <c r="Q18" i="18"/>
  <c r="Q20" i="18"/>
  <c r="Q10" i="18"/>
  <c r="Q22" i="18"/>
  <c r="Q8" i="18"/>
  <c r="M16" i="18"/>
  <c r="I36" i="18"/>
  <c r="I33" i="18"/>
  <c r="E66" i="18"/>
  <c r="M44" i="18"/>
  <c r="M41" i="18"/>
  <c r="M38" i="18"/>
  <c r="M35" i="18"/>
  <c r="M32" i="18"/>
  <c r="M29" i="18"/>
  <c r="M47" i="18"/>
  <c r="M48" i="18"/>
  <c r="M45" i="18"/>
  <c r="M42" i="18"/>
  <c r="M39" i="18"/>
  <c r="M36" i="18"/>
  <c r="M33" i="18"/>
  <c r="M30" i="18"/>
  <c r="M40" i="18"/>
  <c r="M31" i="18"/>
  <c r="M46" i="18"/>
  <c r="M37" i="18"/>
  <c r="M43" i="18"/>
  <c r="M34" i="18"/>
  <c r="I45" i="18"/>
  <c r="I30" i="18"/>
  <c r="E70" i="18"/>
  <c r="E62" i="18"/>
  <c r="M6" i="18"/>
  <c r="M7" i="18"/>
  <c r="I31" i="18"/>
  <c r="M19" i="18"/>
  <c r="E61" i="18"/>
  <c r="M8" i="18"/>
  <c r="M11" i="18"/>
  <c r="I35" i="18"/>
  <c r="I37" i="18"/>
  <c r="E68" i="18"/>
  <c r="M13" i="18"/>
  <c r="I38" i="18"/>
  <c r="I40" i="18"/>
  <c r="I43" i="18"/>
  <c r="M18" i="18"/>
  <c r="M9" i="18"/>
  <c r="E63" i="18"/>
  <c r="M20" i="18"/>
  <c r="E56" i="18"/>
  <c r="E65" i="18"/>
  <c r="M22" i="18"/>
  <c r="M15" i="18"/>
  <c r="I41" i="18"/>
  <c r="E58" i="18"/>
  <c r="M12" i="18"/>
  <c r="I44" i="18"/>
  <c r="I46" i="18"/>
  <c r="E69" i="18"/>
  <c r="E71" i="18"/>
  <c r="M24" i="18"/>
  <c r="Q45" i="18" l="1"/>
  <c r="Q43" i="18"/>
  <c r="Q29" i="18"/>
  <c r="Q30" i="18"/>
  <c r="Q47" i="18"/>
  <c r="Q41" i="18"/>
  <c r="Q36" i="18"/>
  <c r="Q37" i="18"/>
  <c r="Q48" i="18"/>
  <c r="Q40" i="18"/>
  <c r="Q46" i="18"/>
  <c r="Q32" i="18"/>
  <c r="Q33" i="18"/>
  <c r="Q35" i="18"/>
  <c r="Q38" i="18"/>
  <c r="Q39" i="18"/>
  <c r="Q42" i="18"/>
  <c r="Q44" i="18"/>
  <c r="Q34" i="18"/>
  <c r="AO644" i="60"/>
  <c r="AO606" i="60"/>
  <c r="AO593" i="60"/>
  <c r="AO607" i="60"/>
  <c r="AO630" i="60"/>
  <c r="AO610" i="60"/>
  <c r="AO620" i="60"/>
  <c r="AO623" i="60"/>
  <c r="AO600" i="60"/>
  <c r="AO627" i="60"/>
  <c r="AO597" i="60"/>
  <c r="AO605" i="60"/>
  <c r="AO601" i="60"/>
  <c r="AO609" i="60"/>
  <c r="AO616" i="60"/>
  <c r="AO621" i="60"/>
  <c r="AO590" i="60"/>
  <c r="AO619" i="60"/>
  <c r="AO595" i="60"/>
  <c r="AO604" i="60"/>
  <c r="AO598" i="60"/>
  <c r="AO618" i="60"/>
  <c r="AO628" i="60"/>
  <c r="AO611" i="60"/>
  <c r="AO596" i="60"/>
  <c r="AO603" i="60"/>
  <c r="AO617" i="60"/>
  <c r="AO615" i="60"/>
  <c r="AO622" i="60"/>
  <c r="AO589" i="60"/>
  <c r="AO624" i="60"/>
  <c r="AO626" i="60"/>
  <c r="AO599" i="60"/>
  <c r="AO629" i="60"/>
  <c r="AO592" i="60"/>
  <c r="AO608" i="60"/>
  <c r="AO591" i="60"/>
  <c r="AO613" i="60"/>
  <c r="AO602" i="60"/>
  <c r="AO612" i="60"/>
  <c r="AO614" i="60"/>
  <c r="AO625" i="60"/>
  <c r="AO594" i="60"/>
  <c r="B636" i="60"/>
  <c r="AC696" i="60" l="1"/>
  <c r="U696" i="60"/>
  <c r="AD696" i="60"/>
  <c r="R696" i="60"/>
  <c r="AG696" i="60"/>
  <c r="P696" i="60"/>
  <c r="Q636" i="60"/>
  <c r="AK696" i="60"/>
  <c r="AA636" i="60"/>
  <c r="D696" i="60"/>
  <c r="E696" i="60"/>
  <c r="O696" i="60"/>
  <c r="AC636" i="60"/>
  <c r="O636" i="60"/>
  <c r="C636" i="60"/>
  <c r="AM696" i="60"/>
  <c r="AJ696" i="60"/>
  <c r="F636" i="60"/>
  <c r="Z696" i="60"/>
  <c r="W696" i="60"/>
  <c r="L696" i="60"/>
  <c r="M636" i="60"/>
  <c r="AL696" i="60"/>
  <c r="Y696" i="60"/>
  <c r="AJ636" i="60"/>
  <c r="AL636" i="60"/>
  <c r="S636" i="60"/>
  <c r="M696" i="60"/>
  <c r="Z636" i="60"/>
  <c r="N636" i="60"/>
  <c r="S696" i="60"/>
  <c r="AH636" i="60"/>
  <c r="K636" i="60"/>
  <c r="AE696" i="60"/>
  <c r="V636" i="60"/>
  <c r="AD636" i="60"/>
  <c r="N696" i="60"/>
  <c r="AH696" i="60"/>
  <c r="K696" i="60"/>
  <c r="P636" i="60"/>
  <c r="Q696" i="60"/>
  <c r="AG636" i="60"/>
  <c r="AK636" i="60"/>
  <c r="V696" i="60"/>
  <c r="X696" i="60"/>
  <c r="G636" i="60"/>
  <c r="AF636" i="60"/>
  <c r="AM636" i="60"/>
  <c r="L636" i="60"/>
  <c r="G696" i="60"/>
  <c r="I636" i="60"/>
  <c r="AF696" i="60"/>
  <c r="R636" i="60"/>
  <c r="F696" i="60"/>
  <c r="AE636" i="60"/>
  <c r="J696" i="60"/>
  <c r="I696" i="60"/>
  <c r="X636" i="60"/>
  <c r="D636" i="60"/>
  <c r="AB636" i="60"/>
  <c r="E636" i="60"/>
  <c r="AI636" i="60"/>
  <c r="H696" i="60"/>
  <c r="J636" i="60"/>
  <c r="T636" i="60"/>
  <c r="W636" i="60"/>
  <c r="AB696" i="60"/>
  <c r="U636" i="60"/>
  <c r="AI696" i="60"/>
  <c r="H636" i="60"/>
  <c r="Y636" i="60"/>
  <c r="AA696" i="60"/>
  <c r="C696" i="60" l="1"/>
  <c r="M723" i="57" l="1"/>
  <c r="AL107" i="57" l="1"/>
  <c r="AL86" i="57"/>
  <c r="AL68" i="57"/>
  <c r="AL88" i="57"/>
  <c r="AL84" i="57"/>
  <c r="AL101" i="57"/>
  <c r="AL94" i="57"/>
  <c r="AL115" i="57"/>
  <c r="AL72" i="57"/>
  <c r="AL83" i="57"/>
  <c r="AL80" i="57"/>
  <c r="AL97" i="57"/>
  <c r="AL69" i="57"/>
  <c r="AH63" i="57"/>
  <c r="AL92" i="57"/>
  <c r="R63" i="57"/>
  <c r="AL114" i="57"/>
  <c r="AC63" i="57"/>
  <c r="AL82" i="57"/>
  <c r="L63" i="57"/>
  <c r="C63" i="57"/>
  <c r="Y63" i="57"/>
  <c r="J63" i="57"/>
  <c r="AL102" i="57"/>
  <c r="AB63" i="57"/>
  <c r="AK723" i="57"/>
  <c r="M724" i="57" s="1"/>
  <c r="AJ63" i="57"/>
  <c r="AL96" i="57"/>
  <c r="AL85" i="57"/>
  <c r="T63" i="57"/>
  <c r="I63" i="57"/>
  <c r="AL118" i="57"/>
  <c r="AL89" i="57"/>
  <c r="AD63" i="57"/>
  <c r="D63" i="57"/>
  <c r="AG63" i="57"/>
  <c r="AL111" i="57"/>
  <c r="AL95" i="57"/>
  <c r="K63" i="57"/>
  <c r="Q63" i="57"/>
  <c r="V63" i="57"/>
  <c r="AL70" i="57"/>
  <c r="AL98" i="57"/>
  <c r="AL93" i="57"/>
  <c r="AL105" i="57"/>
  <c r="AL103" i="57"/>
  <c r="AL81" i="57"/>
  <c r="AL99" i="57"/>
  <c r="E63" i="57"/>
  <c r="AL91" i="57"/>
  <c r="AL79" i="57"/>
  <c r="AL74" i="57"/>
  <c r="AL113" i="57"/>
  <c r="AL119" i="57"/>
  <c r="AL112" i="57"/>
  <c r="AL100" i="57"/>
  <c r="AL73" i="57"/>
  <c r="AL104" i="57"/>
  <c r="AL75" i="57"/>
  <c r="AI63" i="57"/>
  <c r="Z63" i="57"/>
  <c r="S63" i="57"/>
  <c r="G63" i="57"/>
  <c r="O63" i="57"/>
  <c r="AL110" i="57"/>
  <c r="H63" i="57"/>
  <c r="AL109" i="57"/>
  <c r="N63" i="57"/>
  <c r="AL120" i="57"/>
  <c r="W63" i="57"/>
  <c r="AL106" i="57"/>
  <c r="AL108" i="57"/>
  <c r="AL78" i="57"/>
  <c r="U63" i="57"/>
  <c r="B63" i="57"/>
  <c r="AL90" i="57"/>
  <c r="AL117" i="57"/>
  <c r="P63" i="57"/>
  <c r="F63" i="57"/>
  <c r="AL87" i="57"/>
  <c r="AE63" i="57"/>
  <c r="AL67" i="57"/>
  <c r="AA63" i="57"/>
  <c r="AL116" i="57"/>
  <c r="AL71" i="57"/>
  <c r="AL77" i="57"/>
  <c r="X63" i="57"/>
  <c r="AF63" i="57"/>
  <c r="AL76" i="57"/>
  <c r="M63" i="57"/>
  <c r="R61" i="43"/>
  <c r="C8" i="80" s="1"/>
  <c r="C9" i="80" s="1"/>
  <c r="R62" i="43" l="1"/>
  <c r="L7" i="17"/>
  <c r="AI724" i="57"/>
  <c r="K724" i="57"/>
  <c r="S724" i="57"/>
  <c r="AJ724" i="57"/>
  <c r="AH724" i="57"/>
  <c r="H724" i="57"/>
  <c r="G724" i="57"/>
  <c r="E724" i="57"/>
  <c r="O724" i="57"/>
  <c r="AA724" i="57"/>
  <c r="N724" i="57"/>
  <c r="F724" i="57"/>
  <c r="AB724" i="57"/>
  <c r="U724" i="57"/>
  <c r="L724" i="57"/>
  <c r="P724" i="57"/>
  <c r="T724" i="57"/>
  <c r="AC724" i="57"/>
  <c r="W724" i="57"/>
  <c r="C724" i="57"/>
  <c r="Q724" i="57"/>
  <c r="AD724" i="57"/>
  <c r="AE724" i="57"/>
  <c r="I724" i="57"/>
  <c r="D724" i="57"/>
  <c r="X724" i="57"/>
  <c r="V724" i="57"/>
  <c r="AF724" i="57"/>
  <c r="B724" i="57"/>
  <c r="Y724" i="57"/>
  <c r="AG724" i="57"/>
  <c r="Z724" i="57"/>
  <c r="R724" i="57"/>
  <c r="J724" i="57"/>
  <c r="L19" i="17" l="1"/>
  <c r="X7" i="17"/>
  <c r="D6" i="18" s="1"/>
  <c r="C16" i="80" l="1"/>
  <c r="C14" i="80"/>
  <c r="C15" i="80"/>
  <c r="C13" i="80"/>
  <c r="C17" i="80"/>
  <c r="D11" i="18"/>
  <c r="D4" i="18"/>
  <c r="D20" i="18"/>
  <c r="D9" i="18"/>
  <c r="D10" i="18"/>
  <c r="D19" i="18"/>
  <c r="Y7" i="17"/>
  <c r="D8" i="18"/>
  <c r="D14" i="18"/>
  <c r="Y9" i="17"/>
  <c r="D12" i="18"/>
  <c r="D15" i="18"/>
  <c r="D24" i="18"/>
  <c r="Y8" i="17"/>
  <c r="Y10" i="17"/>
  <c r="D7" i="18"/>
  <c r="D22" i="18"/>
  <c r="D13" i="18"/>
  <c r="D17" i="18"/>
  <c r="D21" i="18"/>
  <c r="D23" i="18"/>
  <c r="D18" i="18"/>
  <c r="D5" i="18"/>
  <c r="D16" i="18"/>
  <c r="E23" i="18" l="1"/>
  <c r="E24" i="18"/>
  <c r="E15" i="18"/>
  <c r="E14" i="18"/>
  <c r="E16" i="18"/>
  <c r="E10" i="18"/>
  <c r="E18" i="18"/>
  <c r="E11" i="18"/>
  <c r="E19" i="18"/>
  <c r="E9" i="18"/>
  <c r="E6" i="18"/>
  <c r="E20" i="18"/>
  <c r="E4" i="18"/>
  <c r="E21" i="18"/>
  <c r="E7" i="18"/>
  <c r="E17" i="18"/>
  <c r="E22" i="18"/>
  <c r="E13" i="18"/>
  <c r="E5" i="18"/>
  <c r="E12" i="18"/>
  <c r="E8" i="18"/>
  <c r="I66" i="71" l="1"/>
  <c r="C67" i="71"/>
  <c r="C69" i="67" s="1"/>
  <c r="AD37" i="71"/>
  <c r="I63" i="71"/>
  <c r="G4" i="80" l="1"/>
  <c r="G1" i="80"/>
  <c r="C11" i="17"/>
  <c r="O4" i="80" l="1"/>
  <c r="U4" i="80"/>
  <c r="C19" i="17"/>
  <c r="AE303" i="65"/>
  <c r="AE733" i="65" s="1"/>
  <c r="AG285" i="65"/>
  <c r="O45" i="71" s="1"/>
  <c r="AD45" i="71" l="1"/>
  <c r="O63" i="71"/>
  <c r="G8" i="80" s="1"/>
  <c r="AG303" i="65"/>
  <c r="U8" i="80" l="1"/>
  <c r="I11" i="17"/>
  <c r="J304" i="65"/>
  <c r="AH271" i="65"/>
  <c r="V304" i="65"/>
  <c r="AH257" i="65"/>
  <c r="AH288" i="65"/>
  <c r="O304" i="65"/>
  <c r="AH298" i="65"/>
  <c r="Q304" i="65"/>
  <c r="AH259" i="65"/>
  <c r="AH266" i="65"/>
  <c r="AH252" i="65"/>
  <c r="AH280" i="65"/>
  <c r="W304" i="65"/>
  <c r="C304" i="65"/>
  <c r="L304" i="65"/>
  <c r="AH248" i="65"/>
  <c r="AH300" i="65"/>
  <c r="AH263" i="65"/>
  <c r="AH287" i="65"/>
  <c r="AH278" i="65"/>
  <c r="AH296" i="65"/>
  <c r="AH267" i="65"/>
  <c r="S304" i="65"/>
  <c r="AH279" i="65"/>
  <c r="AH301" i="65"/>
  <c r="B304" i="65"/>
  <c r="AB304" i="65"/>
  <c r="N304" i="65"/>
  <c r="AH251" i="65"/>
  <c r="Z304" i="65"/>
  <c r="AH268" i="65"/>
  <c r="AH250" i="65"/>
  <c r="AH273" i="65"/>
  <c r="AH253" i="65"/>
  <c r="AH289" i="65"/>
  <c r="D304" i="65"/>
  <c r="U304" i="65"/>
  <c r="AH274" i="65"/>
  <c r="E304" i="65"/>
  <c r="AH295" i="65"/>
  <c r="AH281" i="65"/>
  <c r="AH285" i="65"/>
  <c r="AG733" i="65"/>
  <c r="AH277" i="65"/>
  <c r="I304" i="65"/>
  <c r="T304" i="65"/>
  <c r="P304" i="65"/>
  <c r="AH256" i="65"/>
  <c r="AH258" i="65"/>
  <c r="AH291" i="65"/>
  <c r="G304" i="65"/>
  <c r="AH249" i="65"/>
  <c r="AH272" i="65"/>
  <c r="AH260" i="65"/>
  <c r="AH270" i="65"/>
  <c r="AH276" i="65"/>
  <c r="AH297" i="65"/>
  <c r="AH290" i="65"/>
  <c r="M304" i="65"/>
  <c r="Y304" i="65"/>
  <c r="AF304" i="65"/>
  <c r="AH261" i="65"/>
  <c r="AC304" i="65"/>
  <c r="AD304" i="65"/>
  <c r="X304" i="65"/>
  <c r="AH282" i="65"/>
  <c r="R304" i="65"/>
  <c r="AH254" i="65"/>
  <c r="F304" i="65"/>
  <c r="H304" i="65"/>
  <c r="AA304" i="65"/>
  <c r="AH292" i="65"/>
  <c r="AH302" i="65"/>
  <c r="AH286" i="65"/>
  <c r="AH293" i="65"/>
  <c r="AH294" i="65"/>
  <c r="AH269" i="65"/>
  <c r="K304" i="65"/>
  <c r="AH264" i="65"/>
  <c r="AH255" i="65"/>
  <c r="AH262" i="65"/>
  <c r="AE304" i="65"/>
  <c r="AH299" i="65"/>
  <c r="AH265" i="65"/>
  <c r="AH275" i="65"/>
  <c r="AH283" i="65"/>
  <c r="AH284" i="65"/>
  <c r="AD63" i="71"/>
  <c r="AC64" i="71" l="1"/>
  <c r="Z64" i="71"/>
  <c r="Y64" i="71"/>
  <c r="M64" i="71"/>
  <c r="I64" i="71"/>
  <c r="E69" i="71" s="1"/>
  <c r="W64" i="71"/>
  <c r="R64" i="71"/>
  <c r="K64" i="71"/>
  <c r="V64" i="71"/>
  <c r="S64" i="71"/>
  <c r="AB64" i="71"/>
  <c r="N64" i="71"/>
  <c r="X64" i="71"/>
  <c r="J64" i="71"/>
  <c r="L64" i="71"/>
  <c r="U64" i="71"/>
  <c r="T64" i="71"/>
  <c r="Q64" i="71"/>
  <c r="AA64" i="71"/>
  <c r="P64" i="71"/>
  <c r="H64" i="71"/>
  <c r="S734" i="65"/>
  <c r="G734" i="65"/>
  <c r="D734" i="65"/>
  <c r="I734" i="65"/>
  <c r="AC734" i="65"/>
  <c r="AB734" i="65"/>
  <c r="Q734" i="65"/>
  <c r="AD734" i="65"/>
  <c r="F734" i="65"/>
  <c r="V734" i="65"/>
  <c r="N734" i="65"/>
  <c r="AF734" i="65"/>
  <c r="E734" i="65"/>
  <c r="M734" i="65"/>
  <c r="T734" i="65"/>
  <c r="P734" i="65"/>
  <c r="R734" i="65"/>
  <c r="W734" i="65"/>
  <c r="O734" i="65"/>
  <c r="J734" i="65"/>
  <c r="Y734" i="65"/>
  <c r="Z734" i="65"/>
  <c r="C734" i="65"/>
  <c r="U734" i="65"/>
  <c r="H734" i="65"/>
  <c r="B734" i="65"/>
  <c r="AA734" i="65"/>
  <c r="X734" i="65"/>
  <c r="L734" i="65"/>
  <c r="K734" i="65"/>
  <c r="AE734" i="65"/>
  <c r="X11" i="17"/>
  <c r="D36" i="18" s="1"/>
  <c r="I19" i="17"/>
  <c r="O64" i="71"/>
  <c r="O8" i="80"/>
  <c r="G9" i="80"/>
  <c r="G17" i="80" s="1"/>
  <c r="O9" i="80" l="1"/>
  <c r="O17" i="80" s="1"/>
  <c r="Y18" i="17"/>
  <c r="D44" i="18"/>
  <c r="Y11" i="17"/>
  <c r="D47" i="18"/>
  <c r="D40" i="18"/>
  <c r="D38" i="18"/>
  <c r="Y15" i="17"/>
  <c r="D34" i="18"/>
  <c r="D39" i="18"/>
  <c r="D35" i="18"/>
  <c r="D37" i="18"/>
  <c r="D33" i="18"/>
  <c r="D41" i="18"/>
  <c r="D48" i="18"/>
  <c r="Y12" i="17"/>
  <c r="D46" i="18"/>
  <c r="D45" i="18"/>
  <c r="D43" i="18"/>
  <c r="D29" i="18"/>
  <c r="X19" i="17"/>
  <c r="I21" i="17" s="1"/>
  <c r="D31" i="18"/>
  <c r="Y17" i="17"/>
  <c r="D42" i="18"/>
  <c r="D30" i="18"/>
  <c r="Y13" i="17"/>
  <c r="Y16" i="17"/>
  <c r="Y14" i="17"/>
  <c r="D32" i="18"/>
  <c r="G14" i="80"/>
  <c r="G16" i="80"/>
  <c r="G13" i="80"/>
  <c r="G15" i="80"/>
  <c r="D84" i="18" l="1"/>
  <c r="K21" i="17"/>
  <c r="B21" i="17"/>
  <c r="D88" i="18"/>
  <c r="F21" i="17"/>
  <c r="D94" i="18"/>
  <c r="G20" i="55" s="1"/>
  <c r="D98" i="18"/>
  <c r="O21" i="17"/>
  <c r="D93" i="18"/>
  <c r="D97" i="18"/>
  <c r="J21" i="17"/>
  <c r="D83" i="18"/>
  <c r="G24" i="55" s="1"/>
  <c r="D90" i="18"/>
  <c r="D91" i="18"/>
  <c r="D86" i="18"/>
  <c r="U21" i="17"/>
  <c r="D85" i="18"/>
  <c r="D21" i="17"/>
  <c r="D77" i="18"/>
  <c r="D87" i="18"/>
  <c r="D89" i="18"/>
  <c r="E21" i="17"/>
  <c r="D96" i="18"/>
  <c r="M21" i="17"/>
  <c r="D80" i="18"/>
  <c r="D82" i="18"/>
  <c r="H21" i="17"/>
  <c r="S21" i="17"/>
  <c r="N21" i="17"/>
  <c r="G21" i="17"/>
  <c r="V21" i="17"/>
  <c r="D78" i="18"/>
  <c r="Q21" i="17"/>
  <c r="P21" i="17"/>
  <c r="C21" i="17"/>
  <c r="D81" i="18"/>
  <c r="D79" i="18"/>
  <c r="R21" i="17"/>
  <c r="W21" i="17"/>
  <c r="L21" i="17"/>
  <c r="T21" i="17"/>
  <c r="D92" i="18"/>
  <c r="D95" i="18"/>
  <c r="E35" i="18"/>
  <c r="E31" i="18"/>
  <c r="E33" i="18"/>
  <c r="E36" i="18"/>
  <c r="E38" i="18"/>
  <c r="E42" i="18"/>
  <c r="E40" i="18"/>
  <c r="E30" i="18"/>
  <c r="E45" i="18"/>
  <c r="E43" i="18"/>
  <c r="E34" i="18"/>
  <c r="E46" i="18"/>
  <c r="E41" i="18"/>
  <c r="E48" i="18"/>
  <c r="E47" i="18"/>
  <c r="E39" i="18"/>
  <c r="E44" i="18"/>
  <c r="E32" i="18"/>
  <c r="E29" i="18"/>
  <c r="E37" i="18"/>
  <c r="O13" i="80"/>
  <c r="O16" i="80"/>
  <c r="O15" i="80"/>
  <c r="O14" i="80"/>
  <c r="G7" i="55" l="1"/>
  <c r="G6" i="55"/>
  <c r="G25" i="55"/>
  <c r="G26" i="55"/>
  <c r="G19" i="55"/>
  <c r="G23" i="55"/>
  <c r="G13" i="55"/>
  <c r="G5" i="55"/>
  <c r="G18" i="55"/>
  <c r="G14" i="55"/>
  <c r="G22" i="55"/>
  <c r="G16" i="55"/>
  <c r="G10" i="55"/>
  <c r="G9" i="55"/>
  <c r="G8" i="55"/>
  <c r="G11" i="55"/>
  <c r="G21" i="55"/>
  <c r="G12" i="55"/>
  <c r="G15" i="55"/>
  <c r="E80" i="18"/>
  <c r="E86" i="18"/>
  <c r="E93" i="18"/>
  <c r="E92" i="18"/>
  <c r="E87" i="18"/>
  <c r="E79" i="18"/>
  <c r="E94" i="18"/>
  <c r="H20" i="55" s="1"/>
  <c r="E91" i="18"/>
  <c r="E97" i="18"/>
  <c r="E82" i="18"/>
  <c r="E77" i="18"/>
  <c r="E89" i="18"/>
  <c r="E88" i="18"/>
  <c r="E83" i="18"/>
  <c r="H24" i="55" s="1"/>
  <c r="E81" i="18"/>
  <c r="E84" i="18"/>
  <c r="E78" i="18"/>
  <c r="E90" i="18"/>
  <c r="E95" i="18"/>
  <c r="E85" i="18"/>
  <c r="G17" i="55"/>
  <c r="E98" i="18"/>
  <c r="E96" i="18"/>
  <c r="H6" i="55" l="1"/>
  <c r="H7" i="55"/>
  <c r="H25" i="55"/>
  <c r="H17" i="55"/>
  <c r="H13" i="55"/>
  <c r="H23" i="55"/>
  <c r="H5" i="55"/>
  <c r="H19" i="55"/>
  <c r="H18" i="55"/>
  <c r="H12" i="55"/>
  <c r="H21" i="55"/>
  <c r="H14" i="55"/>
  <c r="H8" i="55"/>
  <c r="H11" i="55"/>
  <c r="H16" i="55"/>
  <c r="H9" i="55"/>
  <c r="H26" i="55"/>
  <c r="H10" i="55"/>
  <c r="H22" i="55"/>
  <c r="H15" i="55"/>
  <c r="L11" i="55" l="1"/>
  <c r="L10" i="55"/>
  <c r="L5" i="55"/>
  <c r="L6" i="55"/>
  <c r="L7" i="55"/>
  <c r="L19" i="55"/>
  <c r="L23" i="55"/>
  <c r="L16" i="55"/>
  <c r="L18" i="55"/>
  <c r="L15" i="55"/>
  <c r="L26" i="55"/>
  <c r="L25" i="55"/>
  <c r="L12" i="55"/>
  <c r="L9" i="55"/>
  <c r="L22" i="55"/>
  <c r="L20" i="55"/>
  <c r="L13" i="55"/>
  <c r="L21" i="55"/>
  <c r="L8" i="55"/>
  <c r="L14" i="55"/>
  <c r="L24" i="55"/>
  <c r="L17" i="5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Dorien Andrew</author>
    <author>Micah Noel</author>
    <author>Kaylil Baptiste</author>
    <author>Michael Julien</author>
    <author>Tyrell Bartholomew</author>
    <author>Reshelle Fleming</author>
  </authors>
  <commentList>
    <comment ref="K15" authorId="0" shapeId="0" xr:uid="{84711BC1-8942-4D74-B35B-EEEB3471FB14}">
      <text>
        <r>
          <rPr>
            <b/>
            <sz val="9"/>
            <color indexed="81"/>
            <rFont val="Tahoma"/>
            <family val="2"/>
          </rPr>
          <t>Dorien Andrew:</t>
        </r>
        <r>
          <rPr>
            <sz val="9"/>
            <color indexed="81"/>
            <rFont val="Tahoma"/>
            <family val="2"/>
          </rPr>
          <t xml:space="preserve">
17mins for head jamming</t>
        </r>
      </text>
    </comment>
    <comment ref="S15" authorId="0" shapeId="0" xr:uid="{8B2435D9-AC1A-4DB7-8886-2A99D2E7EAFC}">
      <text>
        <r>
          <rPr>
            <b/>
            <sz val="9"/>
            <color indexed="81"/>
            <rFont val="Tahoma"/>
            <family val="2"/>
          </rPr>
          <t>Dorien Andrew:</t>
        </r>
        <r>
          <rPr>
            <sz val="9"/>
            <color indexed="81"/>
            <rFont val="Tahoma"/>
            <family val="2"/>
          </rPr>
          <t xml:space="preserve">
stop to replace cups</t>
        </r>
      </text>
    </comment>
    <comment ref="AD16" authorId="1" shapeId="0" xr:uid="{49BFDB9D-97AA-4C41-A8EA-73F47E0BBC9E}">
      <text>
        <r>
          <rPr>
            <b/>
            <sz val="9"/>
            <color indexed="81"/>
            <rFont val="Tahoma"/>
            <family val="2"/>
          </rPr>
          <t>Micah Noel:</t>
        </r>
        <r>
          <rPr>
            <sz val="9"/>
            <color indexed="81"/>
            <rFont val="Tahoma"/>
            <family val="2"/>
          </rPr>
          <t xml:space="preserve">
34mins broken electrical cable on uncaser haead</t>
        </r>
      </text>
    </comment>
    <comment ref="H26" authorId="2" shapeId="0" xr:uid="{38B74C49-DE8A-4516-975E-892E76CCADF2}">
      <text>
        <r>
          <rPr>
            <b/>
            <sz val="9"/>
            <color indexed="81"/>
            <rFont val="Tahoma"/>
            <family val="2"/>
          </rPr>
          <t>Kaylil Baptiste:</t>
        </r>
        <r>
          <rPr>
            <sz val="9"/>
            <color indexed="81"/>
            <rFont val="Tahoma"/>
            <family val="2"/>
          </rPr>
          <t xml:space="preserve">
malfunction had to restart </t>
        </r>
      </text>
    </comment>
    <comment ref="AD26" authorId="2" shapeId="0" xr:uid="{9C995598-1936-43FF-9C25-0BC49C3A7D8C}">
      <text>
        <r>
          <rPr>
            <b/>
            <sz val="9"/>
            <color indexed="81"/>
            <rFont val="Tahoma"/>
            <family val="2"/>
          </rPr>
          <t>Kaylil Baptiste:</t>
        </r>
        <r>
          <rPr>
            <sz val="9"/>
            <color indexed="81"/>
            <rFont val="Tahoma"/>
            <family val="2"/>
          </rPr>
          <t xml:space="preserve">
37mins damaged electrical cable on uncaser</t>
        </r>
      </text>
    </comment>
    <comment ref="AE31" authorId="2" shapeId="0" xr:uid="{E617D12D-A15A-40D7-9FD9-DE0C5B4185AA}">
      <text>
        <r>
          <rPr>
            <b/>
            <sz val="9"/>
            <color indexed="81"/>
            <rFont val="Tahoma"/>
            <family val="2"/>
          </rPr>
          <t>Kaylil Baptiste:</t>
        </r>
        <r>
          <rPr>
            <sz val="9"/>
            <color indexed="81"/>
            <rFont val="Tahoma"/>
            <family val="2"/>
          </rPr>
          <t xml:space="preserve">
damaged crates causing misalignmment on uncaser head </t>
        </r>
      </text>
    </comment>
    <comment ref="S41" authorId="1" shapeId="0" xr:uid="{E043CCA8-1D49-457F-ACCF-46953DA31E8A}">
      <text>
        <r>
          <rPr>
            <b/>
            <sz val="9"/>
            <color indexed="81"/>
            <rFont val="Tahoma"/>
            <family val="2"/>
          </rPr>
          <t>Micah Noel:</t>
        </r>
        <r>
          <rPr>
            <sz val="9"/>
            <color indexed="81"/>
            <rFont val="Tahoma"/>
            <family val="2"/>
          </rPr>
          <t xml:space="preserve">
7 mins slack suction cups</t>
        </r>
      </text>
    </comment>
    <comment ref="S51" authorId="1" shapeId="0" xr:uid="{5A44EC8E-522A-4C80-A44E-C10706193F23}">
      <text>
        <r>
          <rPr>
            <b/>
            <sz val="9"/>
            <color indexed="81"/>
            <rFont val="Tahoma"/>
            <family val="2"/>
          </rPr>
          <t>Micah Noel:</t>
        </r>
        <r>
          <rPr>
            <sz val="9"/>
            <color indexed="81"/>
            <rFont val="Tahoma"/>
            <family val="2"/>
          </rPr>
          <t xml:space="preserve">
leaking suction cups</t>
        </r>
      </text>
    </comment>
    <comment ref="P73" authorId="2" shapeId="0" xr:uid="{AD0178BB-65BE-4861-8D11-B0C9F6FB68E1}">
      <text>
        <r>
          <rPr>
            <b/>
            <sz val="9"/>
            <color indexed="81"/>
            <rFont val="Tahoma"/>
            <family val="2"/>
          </rPr>
          <t>Kaylil Baptiste:</t>
        </r>
        <r>
          <rPr>
            <sz val="9"/>
            <color indexed="81"/>
            <rFont val="Tahoma"/>
            <family val="2"/>
          </rPr>
          <t xml:space="preserve">
broken head airline</t>
        </r>
      </text>
    </comment>
    <comment ref="S74" authorId="0" shapeId="0" xr:uid="{9A9AA794-DBA3-4F21-A12F-F4E7971D7B65}">
      <text>
        <r>
          <rPr>
            <b/>
            <sz val="9"/>
            <color indexed="81"/>
            <rFont val="Tahoma"/>
            <family val="2"/>
          </rPr>
          <t>Dorien Andrew:</t>
        </r>
        <r>
          <rPr>
            <sz val="9"/>
            <color indexed="81"/>
            <rFont val="Tahoma"/>
            <family val="2"/>
          </rPr>
          <t xml:space="preserve">
replacing cups </t>
        </r>
      </text>
    </comment>
    <comment ref="B75" authorId="2" shapeId="0" xr:uid="{EFD6F5A2-B8D2-4CFB-A153-3D92395E47EB}">
      <text>
        <r>
          <rPr>
            <b/>
            <sz val="9"/>
            <color indexed="81"/>
            <rFont val="Tahoma"/>
            <family val="2"/>
          </rPr>
          <t>Kaylil Baptiste:</t>
        </r>
        <r>
          <rPr>
            <sz val="9"/>
            <color indexed="81"/>
            <rFont val="Tahoma"/>
            <family val="2"/>
          </rPr>
          <t xml:space="preserve">
crate stopper malfunction due to dry rot air hose </t>
        </r>
      </text>
    </comment>
    <comment ref="B76" authorId="1" shapeId="0" xr:uid="{529A97E5-343C-4235-A29F-8781E87F5D64}">
      <text>
        <r>
          <rPr>
            <b/>
            <sz val="9"/>
            <color indexed="81"/>
            <rFont val="Tahoma"/>
            <family val="2"/>
          </rPr>
          <t>Micah Noel:</t>
        </r>
        <r>
          <rPr>
            <sz val="9"/>
            <color indexed="81"/>
            <rFont val="Tahoma"/>
            <family val="2"/>
          </rPr>
          <t xml:space="preserve">
crate stopper not totally retracting causing crates to stick</t>
        </r>
      </text>
    </comment>
    <comment ref="K78" authorId="3" shapeId="0" xr:uid="{25AA1509-6ED7-4A7D-9F52-2CC2F4CF1137}">
      <text>
        <r>
          <rPr>
            <b/>
            <sz val="9"/>
            <color indexed="81"/>
            <rFont val="Tahoma"/>
            <family val="2"/>
          </rPr>
          <t>Michael Julien:</t>
        </r>
        <r>
          <rPr>
            <sz val="9"/>
            <color indexed="81"/>
            <rFont val="Tahoma"/>
            <family val="2"/>
          </rPr>
          <t xml:space="preserve">
16 mins making adjustments to crates uncaser head and centering device.
</t>
        </r>
      </text>
    </comment>
    <comment ref="S78" authorId="3" shapeId="0" xr:uid="{0F8DCF54-36B7-4631-8E39-66B4B3AD1450}">
      <text>
        <r>
          <rPr>
            <b/>
            <sz val="9"/>
            <color indexed="81"/>
            <rFont val="Tahoma"/>
            <family val="2"/>
          </rPr>
          <t>Michael Julien:</t>
        </r>
        <r>
          <rPr>
            <sz val="9"/>
            <color indexed="81"/>
            <rFont val="Tahoma"/>
            <family val="2"/>
          </rPr>
          <t xml:space="preserve">
13 mins to tighten cups</t>
        </r>
      </text>
    </comment>
    <comment ref="T78" authorId="1" shapeId="0" xr:uid="{63D4DA69-72D4-4B78-854C-02D0F3F33469}">
      <text>
        <r>
          <rPr>
            <b/>
            <sz val="9"/>
            <color indexed="81"/>
            <rFont val="Tahoma"/>
            <family val="2"/>
          </rPr>
          <t>Micah Noel:</t>
        </r>
        <r>
          <rPr>
            <sz val="9"/>
            <color indexed="81"/>
            <rFont val="Tahoma"/>
            <family val="2"/>
          </rPr>
          <t xml:space="preserve">
crate discharge sensor malfunction </t>
        </r>
      </text>
    </comment>
    <comment ref="AB78" authorId="3" shapeId="0" xr:uid="{9E118936-9300-43C6-A805-6ACD6BD1B5D3}">
      <text>
        <r>
          <rPr>
            <b/>
            <sz val="9"/>
            <color indexed="81"/>
            <rFont val="Tahoma"/>
            <family val="2"/>
          </rPr>
          <t>Michael Julien:</t>
        </r>
        <r>
          <rPr>
            <sz val="9"/>
            <color indexed="81"/>
            <rFont val="Tahoma"/>
            <family val="2"/>
          </rPr>
          <t xml:space="preserve">
16 mins Broken shaft for centering cups was replaced</t>
        </r>
      </text>
    </comment>
    <comment ref="T79" authorId="1" shapeId="0" xr:uid="{360C8646-F365-4AE6-BFC8-9F6D3EEA31B0}">
      <text>
        <r>
          <rPr>
            <b/>
            <sz val="9"/>
            <color indexed="81"/>
            <rFont val="Tahoma"/>
            <family val="2"/>
          </rPr>
          <t>Micah Noel:</t>
        </r>
        <r>
          <rPr>
            <sz val="9"/>
            <color indexed="81"/>
            <rFont val="Tahoma"/>
            <family val="2"/>
          </rPr>
          <t xml:space="preserve">
39mins crate discharge sensor malfunction</t>
        </r>
      </text>
    </comment>
    <comment ref="K80" authorId="0" shapeId="0" xr:uid="{3AF1383E-3D3A-4D80-9F45-73D8A964D8E9}">
      <text>
        <r>
          <rPr>
            <b/>
            <sz val="9"/>
            <color indexed="81"/>
            <rFont val="Tahoma"/>
            <family val="2"/>
          </rPr>
          <t>Dorien Andrew:</t>
        </r>
        <r>
          <rPr>
            <sz val="9"/>
            <color indexed="81"/>
            <rFont val="Tahoma"/>
            <family val="2"/>
          </rPr>
          <t xml:space="preserve">
head jamming </t>
        </r>
      </text>
    </comment>
    <comment ref="T80" authorId="0" shapeId="0" xr:uid="{CBB94D3E-46FC-42A5-8285-B5912E33D2D8}">
      <text>
        <r>
          <rPr>
            <b/>
            <sz val="9"/>
            <color indexed="81"/>
            <rFont val="Tahoma"/>
            <family val="2"/>
          </rPr>
          <t>Dorien Andrew:</t>
        </r>
        <r>
          <rPr>
            <sz val="9"/>
            <color indexed="81"/>
            <rFont val="Tahoma"/>
            <family val="2"/>
          </rPr>
          <t xml:space="preserve">
sensor issue</t>
        </r>
      </text>
    </comment>
    <comment ref="P82" authorId="1" shapeId="0" xr:uid="{68E83EC4-EDBE-4523-A8F6-5B99EF326E4E}">
      <text>
        <r>
          <rPr>
            <b/>
            <sz val="9"/>
            <color indexed="81"/>
            <rFont val="Tahoma"/>
            <family val="2"/>
          </rPr>
          <t>Micah Noel:</t>
        </r>
        <r>
          <rPr>
            <sz val="9"/>
            <color indexed="81"/>
            <rFont val="Tahoma"/>
            <family val="2"/>
          </rPr>
          <t xml:space="preserve">
head not descending</t>
        </r>
      </text>
    </comment>
    <comment ref="S88" authorId="1" shapeId="0" xr:uid="{8D871D72-020E-42AE-9EE5-D293F4C39574}">
      <text>
        <r>
          <rPr>
            <b/>
            <sz val="9"/>
            <color indexed="81"/>
            <rFont val="Tahoma"/>
            <family val="2"/>
          </rPr>
          <t>Micah Noel:</t>
        </r>
        <r>
          <rPr>
            <sz val="9"/>
            <color indexed="81"/>
            <rFont val="Tahoma"/>
            <family val="2"/>
          </rPr>
          <t xml:space="preserve">
stop to change out leaking cups</t>
        </r>
      </text>
    </comment>
    <comment ref="Y89" authorId="1" shapeId="0" xr:uid="{B35113AD-4C8F-469D-A1F6-D7ED51B1C16E}">
      <text>
        <r>
          <rPr>
            <b/>
            <sz val="9"/>
            <color indexed="81"/>
            <rFont val="Tahoma"/>
            <family val="2"/>
          </rPr>
          <t>Micah Noel:</t>
        </r>
        <r>
          <rPr>
            <sz val="9"/>
            <color indexed="81"/>
            <rFont val="Tahoma"/>
            <family val="2"/>
          </rPr>
          <t xml:space="preserve">
broken air line on head</t>
        </r>
      </text>
    </comment>
    <comment ref="S94" authorId="1" shapeId="0" xr:uid="{73D81ADC-ED5C-450F-9374-5B61B87474D0}">
      <text>
        <r>
          <rPr>
            <b/>
            <sz val="9"/>
            <color indexed="81"/>
            <rFont val="Tahoma"/>
            <family val="2"/>
          </rPr>
          <t>Micah Noel:</t>
        </r>
        <r>
          <rPr>
            <sz val="9"/>
            <color indexed="81"/>
            <rFont val="Tahoma"/>
            <family val="2"/>
          </rPr>
          <t xml:space="preserve">
leaking cups</t>
        </r>
      </text>
    </comment>
    <comment ref="S100" authorId="1" shapeId="0" xr:uid="{B4803F31-25E7-45EC-A509-AA60FD2C2E4B}">
      <text>
        <r>
          <rPr>
            <b/>
            <sz val="9"/>
            <color indexed="81"/>
            <rFont val="Tahoma"/>
            <family val="2"/>
          </rPr>
          <t>Micah Noel:</t>
        </r>
        <r>
          <rPr>
            <sz val="9"/>
            <color indexed="81"/>
            <rFont val="Tahoma"/>
            <family val="2"/>
          </rPr>
          <t xml:space="preserve">
gap in washer caused by uncaser leaking suction cups problem</t>
        </r>
      </text>
    </comment>
    <comment ref="U100" authorId="1" shapeId="0" xr:uid="{4F6B3CA9-9F51-45B2-ACB0-A739804A1E84}">
      <text>
        <r>
          <rPr>
            <b/>
            <sz val="9"/>
            <color indexed="81"/>
            <rFont val="Tahoma"/>
            <family val="2"/>
          </rPr>
          <t>Micah Noel:</t>
        </r>
        <r>
          <rPr>
            <sz val="9"/>
            <color indexed="81"/>
            <rFont val="Tahoma"/>
            <family val="2"/>
          </rPr>
          <t xml:space="preserve">
bottle stuck on guide</t>
        </r>
      </text>
    </comment>
    <comment ref="S101" authorId="1" shapeId="0" xr:uid="{A1D03DCB-2447-44E7-8DEB-904F1E4D241A}">
      <text>
        <r>
          <rPr>
            <b/>
            <sz val="9"/>
            <color indexed="81"/>
            <rFont val="Tahoma"/>
            <family val="2"/>
          </rPr>
          <t>Micah Noel:</t>
        </r>
        <r>
          <rPr>
            <sz val="9"/>
            <color indexed="81"/>
            <rFont val="Tahoma"/>
            <family val="2"/>
          </rPr>
          <t xml:space="preserve">
leaking suction cups…7 minutes suction cup stem /assembly broken</t>
        </r>
      </text>
    </comment>
    <comment ref="P104" authorId="0" shapeId="0" xr:uid="{83782593-0C14-473B-8BCC-AD3DA34B964F}">
      <text>
        <r>
          <rPr>
            <b/>
            <sz val="9"/>
            <color indexed="81"/>
            <rFont val="Tahoma"/>
            <family val="2"/>
          </rPr>
          <t>Dorien Andrew:</t>
        </r>
        <r>
          <rPr>
            <sz val="9"/>
            <color indexed="81"/>
            <rFont val="Tahoma"/>
            <family val="2"/>
          </rPr>
          <t xml:space="preserve">
stop to repair stem </t>
        </r>
      </text>
    </comment>
    <comment ref="T104" authorId="2" shapeId="0" xr:uid="{B58AC96E-5549-4B0C-9FCA-88DCFC04BE75}">
      <text>
        <r>
          <rPr>
            <b/>
            <sz val="9"/>
            <color indexed="81"/>
            <rFont val="Tahoma"/>
            <family val="2"/>
          </rPr>
          <t>Kaylil Baptiste:</t>
        </r>
        <r>
          <rPr>
            <sz val="9"/>
            <color indexed="81"/>
            <rFont val="Tahoma"/>
            <family val="2"/>
          </rPr>
          <t xml:space="preserve">
sensor adjustment</t>
        </r>
      </text>
    </comment>
    <comment ref="S105" authorId="1" shapeId="0" xr:uid="{AA8DDBDF-4E22-4D49-BB3F-57EAF1838053}">
      <text>
        <r>
          <rPr>
            <b/>
            <sz val="9"/>
            <color indexed="81"/>
            <rFont val="Tahoma"/>
            <family val="2"/>
          </rPr>
          <t>Micah Noel:</t>
        </r>
        <r>
          <rPr>
            <sz val="9"/>
            <color indexed="81"/>
            <rFont val="Tahoma"/>
            <family val="2"/>
          </rPr>
          <t xml:space="preserve">
changing out leaking suction cups with new ones</t>
        </r>
      </text>
    </comment>
    <comment ref="S107" authorId="4" shapeId="0" xr:uid="{EC679147-66DA-4D3D-B204-79A5E16F98CC}">
      <text>
        <r>
          <rPr>
            <b/>
            <sz val="9"/>
            <color indexed="81"/>
            <rFont val="Tahoma"/>
            <family val="2"/>
          </rPr>
          <t>Tyrell Bartholomew:</t>
        </r>
        <r>
          <rPr>
            <sz val="9"/>
            <color indexed="81"/>
            <rFont val="Tahoma"/>
            <family val="2"/>
          </rPr>
          <t xml:space="preserve">
replacing leaking cups</t>
        </r>
      </text>
    </comment>
    <comment ref="S128" authorId="1" shapeId="0" xr:uid="{EBEB4796-A417-426D-BEB2-E8DE500E8155}">
      <text>
        <r>
          <rPr>
            <b/>
            <sz val="9"/>
            <color indexed="81"/>
            <rFont val="Tahoma"/>
            <family val="2"/>
          </rPr>
          <t>Micah Noel:</t>
        </r>
        <r>
          <rPr>
            <sz val="9"/>
            <color indexed="81"/>
            <rFont val="Tahoma"/>
            <family val="2"/>
          </rPr>
          <t xml:space="preserve">
changing leaking suction cups</t>
        </r>
      </text>
    </comment>
    <comment ref="T128" authorId="1" shapeId="0" xr:uid="{55396BC8-1DA6-4D26-9733-8E8F9FCDCED8}">
      <text>
        <r>
          <rPr>
            <b/>
            <sz val="9"/>
            <color indexed="81"/>
            <rFont val="Tahoma"/>
            <family val="2"/>
          </rPr>
          <t>Micah Noel:</t>
        </r>
        <r>
          <rPr>
            <sz val="9"/>
            <color indexed="81"/>
            <rFont val="Tahoma"/>
            <family val="2"/>
          </rPr>
          <t xml:space="preserve">
head sensor malfunction</t>
        </r>
      </text>
    </comment>
    <comment ref="X129" authorId="1" shapeId="0" xr:uid="{F5CC52AD-702A-4EBE-982E-3C5721547495}">
      <text>
        <r>
          <rPr>
            <b/>
            <sz val="9"/>
            <color indexed="81"/>
            <rFont val="Tahoma"/>
            <family val="2"/>
          </rPr>
          <t>Micah Noel:</t>
        </r>
        <r>
          <rPr>
            <sz val="9"/>
            <color indexed="81"/>
            <rFont val="Tahoma"/>
            <family val="2"/>
          </rPr>
          <t xml:space="preserve">
track broken</t>
        </r>
      </text>
    </comment>
    <comment ref="AB129" authorId="3" shapeId="0" xr:uid="{94E80F0F-9DC8-41A8-ADD7-5899D377401E}">
      <text>
        <r>
          <rPr>
            <b/>
            <sz val="9"/>
            <color indexed="81"/>
            <rFont val="Tahoma"/>
            <family val="2"/>
          </rPr>
          <t>Michael Julien:</t>
        </r>
        <r>
          <rPr>
            <sz val="9"/>
            <color indexed="81"/>
            <rFont val="Tahoma"/>
            <family val="2"/>
          </rPr>
          <t xml:space="preserve">
broken stem for centering cup</t>
        </r>
      </text>
    </comment>
    <comment ref="S130" authorId="1" shapeId="0" xr:uid="{08CEA7F6-704C-4A3D-939B-995881D3A17C}">
      <text>
        <r>
          <rPr>
            <b/>
            <sz val="9"/>
            <color indexed="81"/>
            <rFont val="Tahoma"/>
            <family val="2"/>
          </rPr>
          <t>Micah Noel:</t>
        </r>
        <r>
          <rPr>
            <sz val="9"/>
            <color indexed="81"/>
            <rFont val="Tahoma"/>
            <family val="2"/>
          </rPr>
          <t xml:space="preserve">
changing cups</t>
        </r>
      </text>
    </comment>
    <comment ref="X130" authorId="1" shapeId="0" xr:uid="{4A3AF5A7-E110-4DE6-B748-AFDD074D1BF1}">
      <text>
        <r>
          <rPr>
            <b/>
            <sz val="9"/>
            <color indexed="81"/>
            <rFont val="Tahoma"/>
            <family val="2"/>
          </rPr>
          <t>Micah Noel:</t>
        </r>
        <r>
          <rPr>
            <sz val="9"/>
            <color indexed="81"/>
            <rFont val="Tahoma"/>
            <family val="2"/>
          </rPr>
          <t xml:space="preserve">
broken transport belt track</t>
        </r>
      </text>
    </comment>
    <comment ref="S131" authorId="1" shapeId="0" xr:uid="{187D9D2E-2079-4003-97CE-5BC312182EBA}">
      <text>
        <r>
          <rPr>
            <b/>
            <sz val="9"/>
            <color indexed="81"/>
            <rFont val="Tahoma"/>
            <family val="2"/>
          </rPr>
          <t>Micah Noel:</t>
        </r>
        <r>
          <rPr>
            <sz val="9"/>
            <color indexed="81"/>
            <rFont val="Tahoma"/>
            <family val="2"/>
          </rPr>
          <t xml:space="preserve">
leaking suction  cups</t>
        </r>
      </text>
    </comment>
    <comment ref="P139" authorId="1" shapeId="0" xr:uid="{290F2932-2041-44E5-BE9D-942CD680D59A}">
      <text>
        <r>
          <rPr>
            <b/>
            <sz val="9"/>
            <color indexed="81"/>
            <rFont val="Tahoma"/>
            <family val="2"/>
          </rPr>
          <t>Micah Noel:</t>
        </r>
        <r>
          <rPr>
            <sz val="9"/>
            <color indexed="81"/>
            <rFont val="Tahoma"/>
            <family val="2"/>
          </rPr>
          <t xml:space="preserve">
head not moving</t>
        </r>
      </text>
    </comment>
    <comment ref="B152" authorId="1" shapeId="0" xr:uid="{619622F4-A99A-4DA3-B009-8104E73ECD5C}">
      <text>
        <r>
          <rPr>
            <b/>
            <sz val="9"/>
            <color indexed="81"/>
            <rFont val="Tahoma"/>
            <family val="2"/>
          </rPr>
          <t>Micah Noel:</t>
        </r>
        <r>
          <rPr>
            <sz val="9"/>
            <color indexed="81"/>
            <rFont val="Tahoma"/>
            <family val="2"/>
          </rPr>
          <t xml:space="preserve">
crate stopper sticking</t>
        </r>
      </text>
    </comment>
    <comment ref="X175" authorId="2" shapeId="0" xr:uid="{1D94C143-179E-4D74-A5CD-C520D9CEBCCE}">
      <text>
        <r>
          <rPr>
            <b/>
            <sz val="9"/>
            <color indexed="81"/>
            <rFont val="Tahoma"/>
            <family val="2"/>
          </rPr>
          <t>Kaylil Baptiste:</t>
        </r>
        <r>
          <rPr>
            <sz val="9"/>
            <color indexed="81"/>
            <rFont val="Tahoma"/>
            <family val="2"/>
          </rPr>
          <t xml:space="preserve">
case sticking on crate transport belt </t>
        </r>
      </text>
    </comment>
    <comment ref="P200" authorId="1" shapeId="0" xr:uid="{B7EBCBDF-8710-4A83-9E1A-49F946D62FEC}">
      <text>
        <r>
          <rPr>
            <b/>
            <sz val="9"/>
            <color indexed="81"/>
            <rFont val="Tahoma"/>
            <family val="2"/>
          </rPr>
          <t>Micah Noel:</t>
        </r>
        <r>
          <rPr>
            <sz val="9"/>
            <color indexed="81"/>
            <rFont val="Tahoma"/>
            <family val="2"/>
          </rPr>
          <t xml:space="preserve">
head not picking up the bottles</t>
        </r>
      </text>
    </comment>
    <comment ref="I209" authorId="1" shapeId="0" xr:uid="{AF5D8BE5-7768-4C99-907A-29D1CC7B5906}">
      <text>
        <r>
          <rPr>
            <b/>
            <sz val="9"/>
            <color indexed="81"/>
            <rFont val="Tahoma"/>
            <family val="2"/>
          </rPr>
          <t>Micah Noel:</t>
        </r>
        <r>
          <rPr>
            <sz val="9"/>
            <color indexed="81"/>
            <rFont val="Tahoma"/>
            <family val="2"/>
          </rPr>
          <t xml:space="preserve">
blank screen</t>
        </r>
      </text>
    </comment>
    <comment ref="B211" authorId="1" shapeId="0" xr:uid="{A980A558-E42B-42F7-9244-22ECD26AC7E7}">
      <text>
        <r>
          <rPr>
            <b/>
            <sz val="9"/>
            <color indexed="81"/>
            <rFont val="Tahoma"/>
            <family val="2"/>
          </rPr>
          <t>Micah Noel:</t>
        </r>
        <r>
          <rPr>
            <sz val="9"/>
            <color indexed="81"/>
            <rFont val="Tahoma"/>
            <family val="2"/>
          </rPr>
          <t xml:space="preserve">
crate stopper malfunction</t>
        </r>
      </text>
    </comment>
    <comment ref="Y222" authorId="1" shapeId="0" xr:uid="{149615FE-9EFB-48D5-B82B-B8F2EC9D4F64}">
      <text>
        <r>
          <rPr>
            <b/>
            <sz val="9"/>
            <color indexed="81"/>
            <rFont val="Tahoma"/>
            <family val="2"/>
          </rPr>
          <t>Micah Noel:</t>
        </r>
        <r>
          <rPr>
            <sz val="9"/>
            <color indexed="81"/>
            <rFont val="Tahoma"/>
            <family val="2"/>
          </rPr>
          <t xml:space="preserve">
broken air hose on uncaser</t>
        </r>
      </text>
    </comment>
    <comment ref="AA285" authorId="2" shapeId="0" xr:uid="{85B5663E-372A-4481-8234-951EC47107E9}">
      <text>
        <r>
          <rPr>
            <b/>
            <sz val="9"/>
            <color indexed="81"/>
            <rFont val="Tahoma"/>
            <family val="2"/>
          </rPr>
          <t>Kaylil Baptiste:</t>
        </r>
        <r>
          <rPr>
            <sz val="9"/>
            <color indexed="81"/>
            <rFont val="Tahoma"/>
            <family val="2"/>
          </rPr>
          <t xml:space="preserve">
malfunction on centering device (manual loading)</t>
        </r>
      </text>
    </comment>
    <comment ref="AD285" authorId="1" shapeId="0" xr:uid="{FE3B076B-89C8-40A6-9DED-92050DA8DA27}">
      <text>
        <r>
          <rPr>
            <b/>
            <sz val="9"/>
            <color indexed="81"/>
            <rFont val="Tahoma"/>
            <family val="2"/>
          </rPr>
          <t>Micah Noel:</t>
        </r>
        <r>
          <rPr>
            <sz val="9"/>
            <color indexed="81"/>
            <rFont val="Tahoma"/>
            <family val="2"/>
          </rPr>
          <t xml:space="preserve">
Thermic Trip fault</t>
        </r>
      </text>
    </comment>
    <comment ref="H311" authorId="4" shapeId="0" xr:uid="{40CD6B95-33DD-4414-A2CA-7B458F644DAA}">
      <text>
        <r>
          <rPr>
            <b/>
            <sz val="9"/>
            <color indexed="81"/>
            <rFont val="Tahoma"/>
            <family val="2"/>
          </rPr>
          <t>Tyrell Bartholomew:</t>
        </r>
        <r>
          <rPr>
            <sz val="9"/>
            <color indexed="81"/>
            <rFont val="Tahoma"/>
            <family val="2"/>
          </rPr>
          <t xml:space="preserve">
8mins restarting unit due to frozen function screen.</t>
        </r>
      </text>
    </comment>
    <comment ref="AE311" authorId="4" shapeId="0" xr:uid="{4F196118-D996-4FD6-AACD-C12D22F09487}">
      <text>
        <r>
          <rPr>
            <b/>
            <sz val="9"/>
            <color indexed="81"/>
            <rFont val="Tahoma"/>
            <family val="2"/>
          </rPr>
          <t>Tyrell Bartholomew:</t>
        </r>
        <r>
          <rPr>
            <sz val="9"/>
            <color indexed="81"/>
            <rFont val="Tahoma"/>
            <family val="2"/>
          </rPr>
          <t xml:space="preserve">
3mins centering device misaligned</t>
        </r>
      </text>
    </comment>
    <comment ref="I375" authorId="1" shapeId="0" xr:uid="{BA55A89C-981E-49D0-9ADE-7FDC927B6E0F}">
      <text>
        <r>
          <rPr>
            <b/>
            <sz val="9"/>
            <color indexed="81"/>
            <rFont val="Tahoma"/>
            <family val="2"/>
          </rPr>
          <t>Micah Noel:</t>
        </r>
        <r>
          <rPr>
            <sz val="9"/>
            <color indexed="81"/>
            <rFont val="Tahoma"/>
            <family val="2"/>
          </rPr>
          <t xml:space="preserve">
screen unresponsive</t>
        </r>
      </text>
    </comment>
    <comment ref="I393" authorId="1" shapeId="0" xr:uid="{637F06F7-B3B7-4145-B7EC-DDA8A784CAF5}">
      <text>
        <r>
          <rPr>
            <b/>
            <sz val="9"/>
            <color indexed="81"/>
            <rFont val="Tahoma"/>
            <family val="2"/>
          </rPr>
          <t>Micah Noel:</t>
        </r>
        <r>
          <rPr>
            <sz val="9"/>
            <color indexed="81"/>
            <rFont val="Tahoma"/>
            <family val="2"/>
          </rPr>
          <t xml:space="preserve">
7 mins frozen screen</t>
        </r>
      </text>
    </comment>
    <comment ref="I407" authorId="0" shapeId="0" xr:uid="{78EA5727-B710-4481-8DB8-E3E975C2AFE8}">
      <text>
        <r>
          <rPr>
            <b/>
            <sz val="9"/>
            <color indexed="81"/>
            <rFont val="Tahoma"/>
            <family val="2"/>
          </rPr>
          <t>Dorien Andrew:</t>
        </r>
        <r>
          <rPr>
            <sz val="9"/>
            <color indexed="81"/>
            <rFont val="Tahoma"/>
            <family val="2"/>
          </rPr>
          <t xml:space="preserve">
screen replacement </t>
        </r>
      </text>
    </comment>
    <comment ref="AA407" authorId="2" shapeId="0" xr:uid="{623361AE-FA13-4D33-A839-8A54E99BC5B1}">
      <text>
        <r>
          <rPr>
            <b/>
            <sz val="9"/>
            <color indexed="81"/>
            <rFont val="Tahoma"/>
            <family val="2"/>
          </rPr>
          <t xml:space="preserve">Michael Julien:
</t>
        </r>
        <r>
          <rPr>
            <sz val="9"/>
            <color indexed="81"/>
            <rFont val="Tahoma"/>
            <family val="2"/>
          </rPr>
          <t>7 mins adjusting centering device</t>
        </r>
      </text>
    </comment>
    <comment ref="AD411" authorId="1" shapeId="0" xr:uid="{A70B49C2-4636-4996-A9B9-1EBAF971A9BE}">
      <text>
        <r>
          <rPr>
            <b/>
            <sz val="9"/>
            <color indexed="81"/>
            <rFont val="Tahoma"/>
            <family val="2"/>
          </rPr>
          <t>Micah Noel:</t>
        </r>
        <r>
          <rPr>
            <sz val="9"/>
            <color indexed="81"/>
            <rFont val="Tahoma"/>
            <family val="2"/>
          </rPr>
          <t xml:space="preserve">
No power to one side of the head</t>
        </r>
      </text>
    </comment>
    <comment ref="AF420" authorId="0" shapeId="0" xr:uid="{C96C63A2-A281-4CD5-99A1-8DCC76DED94E}">
      <text>
        <r>
          <rPr>
            <b/>
            <sz val="9"/>
            <color indexed="81"/>
            <rFont val="Tahoma"/>
            <family val="2"/>
          </rPr>
          <t>Dorien Andrew:</t>
        </r>
        <r>
          <rPr>
            <sz val="9"/>
            <color indexed="81"/>
            <rFont val="Tahoma"/>
            <family val="2"/>
          </rPr>
          <t xml:space="preserve">
adjusting drive belt </t>
        </r>
      </text>
    </comment>
    <comment ref="P422" authorId="1" shapeId="0" xr:uid="{1A254FD5-D641-4B80-A4FB-95964810218B}">
      <text>
        <r>
          <rPr>
            <b/>
            <sz val="9"/>
            <color indexed="81"/>
            <rFont val="Tahoma"/>
            <family val="2"/>
          </rPr>
          <t>Micah Noel:</t>
        </r>
        <r>
          <rPr>
            <sz val="9"/>
            <color indexed="81"/>
            <rFont val="Tahoma"/>
            <family val="2"/>
          </rPr>
          <t xml:space="preserve">
14 mins head not picking up bottles</t>
        </r>
      </text>
    </comment>
    <comment ref="AB422" authorId="3" shapeId="0" xr:uid="{46176C7D-57E9-4C1F-894F-9AEFDFD4D1F0}">
      <text>
        <r>
          <rPr>
            <b/>
            <sz val="9"/>
            <color indexed="81"/>
            <rFont val="Tahoma"/>
            <family val="2"/>
          </rPr>
          <t>Michael Julien:</t>
        </r>
        <r>
          <rPr>
            <sz val="9"/>
            <color indexed="81"/>
            <rFont val="Tahoma"/>
            <family val="2"/>
          </rPr>
          <t xml:space="preserve">
changing stem for suction cup.
</t>
        </r>
      </text>
    </comment>
    <comment ref="U434" authorId="1" shapeId="0" xr:uid="{7A9E48CE-F324-4B7C-B45E-413594AAB447}">
      <text>
        <r>
          <rPr>
            <b/>
            <sz val="9"/>
            <color indexed="81"/>
            <rFont val="Tahoma"/>
            <family val="2"/>
          </rPr>
          <t>Micah Noel:</t>
        </r>
        <r>
          <rPr>
            <sz val="9"/>
            <color indexed="81"/>
            <rFont val="Tahoma"/>
            <family val="2"/>
          </rPr>
          <t xml:space="preserve">
rail ran slack</t>
        </r>
      </text>
    </comment>
    <comment ref="S435" authorId="0" shapeId="0" xr:uid="{EB519D71-8729-465C-AECB-50CE4FCA6FB5}">
      <text>
        <r>
          <rPr>
            <b/>
            <sz val="9"/>
            <color indexed="81"/>
            <rFont val="Tahoma"/>
            <family val="2"/>
          </rPr>
          <t>Dorien Andrew:</t>
        </r>
        <r>
          <rPr>
            <sz val="9"/>
            <color indexed="81"/>
            <rFont val="Tahoma"/>
            <family val="2"/>
          </rPr>
          <t xml:space="preserve">
4mins replacing air hose on Uncaser </t>
        </r>
      </text>
    </comment>
    <comment ref="S436" authorId="3" shapeId="0" xr:uid="{F99D518A-3B73-4C7C-85FD-558800E957E4}">
      <text>
        <r>
          <rPr>
            <b/>
            <sz val="9"/>
            <color indexed="81"/>
            <rFont val="Tahoma"/>
            <family val="2"/>
          </rPr>
          <t>Michael Julien:</t>
        </r>
        <r>
          <rPr>
            <sz val="9"/>
            <color indexed="81"/>
            <rFont val="Tahoma"/>
            <family val="2"/>
          </rPr>
          <t xml:space="preserve">
6mins changing broken hose for Uncaser suction cup- leaking</t>
        </r>
      </text>
    </comment>
    <comment ref="K439" authorId="5" shapeId="0" xr:uid="{8BB1B7EF-C2A6-4ECC-ABEA-4CBF42FC9045}">
      <text>
        <r>
          <rPr>
            <b/>
            <sz val="9"/>
            <color indexed="81"/>
            <rFont val="Tahoma"/>
            <family val="2"/>
          </rPr>
          <t>Reshelle Fleming:</t>
        </r>
        <r>
          <rPr>
            <sz val="9"/>
            <color indexed="81"/>
            <rFont val="Tahoma"/>
            <family val="2"/>
          </rPr>
          <t xml:space="preserve">
11mins due to old crates sticking in Uncaser head </t>
        </r>
      </text>
    </comment>
    <comment ref="Y439" authorId="5" shapeId="0" xr:uid="{0088F1E0-C59D-4072-8F54-FAE7ABDA247F}">
      <text>
        <r>
          <rPr>
            <b/>
            <sz val="9"/>
            <color indexed="81"/>
            <rFont val="Tahoma"/>
            <family val="2"/>
          </rPr>
          <t>Reshelle Fleming:</t>
        </r>
        <r>
          <rPr>
            <sz val="9"/>
            <color indexed="81"/>
            <rFont val="Tahoma"/>
            <family val="2"/>
          </rPr>
          <t xml:space="preserve">
6mins replacing air hose on Uncaser </t>
        </r>
      </text>
    </comment>
    <comment ref="K441" authorId="5" shapeId="0" xr:uid="{F66C4F34-14C2-40AA-A55D-9F1F4DAC31C9}">
      <text>
        <r>
          <rPr>
            <b/>
            <sz val="9"/>
            <color indexed="81"/>
            <rFont val="Tahoma"/>
            <family val="2"/>
          </rPr>
          <t>Reshelle Fleming:</t>
        </r>
        <r>
          <rPr>
            <sz val="9"/>
            <color indexed="81"/>
            <rFont val="Tahoma"/>
            <family val="2"/>
          </rPr>
          <t xml:space="preserve">
15mins broken crates jamming in Uncaser head</t>
        </r>
      </text>
    </comment>
    <comment ref="P441" authorId="5" shapeId="0" xr:uid="{A859706F-DFD3-4886-B6D7-D2F170CBC699}">
      <text>
        <r>
          <rPr>
            <b/>
            <sz val="9"/>
            <color indexed="81"/>
            <rFont val="Tahoma"/>
            <family val="2"/>
          </rPr>
          <t>Reshelle Fleming:</t>
        </r>
        <r>
          <rPr>
            <sz val="9"/>
            <color indexed="81"/>
            <rFont val="Tahoma"/>
            <family val="2"/>
          </rPr>
          <t xml:space="preserve">
21mins Uncaser Head malfunction</t>
        </r>
      </text>
    </comment>
    <comment ref="AC441" authorId="0" shapeId="0" xr:uid="{C20F4797-59FC-44D9-B03D-4F6900292E55}">
      <text>
        <r>
          <rPr>
            <b/>
            <sz val="9"/>
            <color indexed="81"/>
            <rFont val="Tahoma"/>
            <family val="2"/>
          </rPr>
          <t>Dorien Andrew:</t>
        </r>
        <r>
          <rPr>
            <sz val="9"/>
            <color indexed="81"/>
            <rFont val="Tahoma"/>
            <family val="2"/>
          </rPr>
          <t xml:space="preserve">
9mins replacing air hose on Uncaser  </t>
        </r>
      </text>
    </comment>
    <comment ref="AE443" authorId="5" shapeId="0" xr:uid="{D6A0B257-318F-47C2-A142-91B44F350756}">
      <text>
        <r>
          <rPr>
            <b/>
            <sz val="9"/>
            <color indexed="81"/>
            <rFont val="Tahoma"/>
            <family val="2"/>
          </rPr>
          <t>Reshelle Fleming:</t>
        </r>
        <r>
          <rPr>
            <sz val="9"/>
            <color indexed="81"/>
            <rFont val="Tahoma"/>
            <family val="2"/>
          </rPr>
          <t xml:space="preserve">
misalignment with vertical head </t>
        </r>
      </text>
    </comment>
    <comment ref="Y445" authorId="5" shapeId="0" xr:uid="{5311125C-9357-41AF-A8CC-288D226DF977}">
      <text>
        <r>
          <rPr>
            <b/>
            <sz val="9"/>
            <color indexed="81"/>
            <rFont val="Tahoma"/>
            <family val="2"/>
          </rPr>
          <t>Reshelle Fleming:</t>
        </r>
        <r>
          <rPr>
            <sz val="9"/>
            <color indexed="81"/>
            <rFont val="Tahoma"/>
            <family val="2"/>
          </rPr>
          <t xml:space="preserve">
1mins replacing air hose on Uncaser </t>
        </r>
      </text>
    </comment>
    <comment ref="S450" authorId="5" shapeId="0" xr:uid="{F4FEB196-3D3B-4383-AFD6-B3204219993C}">
      <text>
        <r>
          <rPr>
            <b/>
            <sz val="9"/>
            <color indexed="81"/>
            <rFont val="Tahoma"/>
            <family val="2"/>
          </rPr>
          <t>Reshelle Fleming:</t>
        </r>
        <r>
          <rPr>
            <sz val="9"/>
            <color indexed="81"/>
            <rFont val="Tahoma"/>
            <family val="2"/>
          </rPr>
          <t xml:space="preserve">
leaking cups </t>
        </r>
      </text>
    </comment>
    <comment ref="AC451" authorId="1" shapeId="0" xr:uid="{52845EB5-3629-4232-9D7E-942DE7C2D0F0}">
      <text>
        <r>
          <rPr>
            <b/>
            <sz val="9"/>
            <color indexed="81"/>
            <rFont val="Tahoma"/>
            <family val="2"/>
          </rPr>
          <t>Micah Noel:</t>
        </r>
        <r>
          <rPr>
            <sz val="9"/>
            <color indexed="81"/>
            <rFont val="Tahoma"/>
            <family val="2"/>
          </rPr>
          <t xml:space="preserve">
4mins due to broken air line on uncaser </t>
        </r>
      </text>
    </comment>
    <comment ref="B455" authorId="2" shapeId="0" xr:uid="{1B77A767-534C-485C-A976-B4BB583EE881}">
      <text>
        <r>
          <rPr>
            <b/>
            <sz val="9"/>
            <color indexed="81"/>
            <rFont val="Tahoma"/>
            <family val="2"/>
          </rPr>
          <t>Kaylil Baptiste:</t>
        </r>
        <r>
          <rPr>
            <sz val="9"/>
            <color indexed="81"/>
            <rFont val="Tahoma"/>
            <family val="2"/>
          </rPr>
          <t xml:space="preserve">
malfunction</t>
        </r>
      </text>
    </comment>
    <comment ref="X455" authorId="1" shapeId="0" xr:uid="{5A5E72AE-8530-4746-A1B8-F56B2CA4D1CE}">
      <text>
        <r>
          <rPr>
            <b/>
            <sz val="9"/>
            <color indexed="81"/>
            <rFont val="Tahoma"/>
            <family val="2"/>
          </rPr>
          <t>Micah Noel:</t>
        </r>
        <r>
          <rPr>
            <sz val="9"/>
            <color indexed="81"/>
            <rFont val="Tahoma"/>
            <family val="2"/>
          </rPr>
          <t xml:space="preserve">
belt stuttering</t>
        </r>
      </text>
    </comment>
    <comment ref="B461" authorId="1" shapeId="0" xr:uid="{C94CE624-8EE9-4AA7-BB0B-0E71781E6E1B}">
      <text>
        <r>
          <rPr>
            <b/>
            <sz val="9"/>
            <color indexed="81"/>
            <rFont val="Tahoma"/>
            <family val="2"/>
          </rPr>
          <t>Micah Noel:</t>
        </r>
        <r>
          <rPr>
            <sz val="9"/>
            <color indexed="81"/>
            <rFont val="Tahoma"/>
            <family val="2"/>
          </rPr>
          <t xml:space="preserve">
malfunction</t>
        </r>
      </text>
    </comment>
    <comment ref="S503" authorId="4" shapeId="0" xr:uid="{560B375F-B37F-4319-B517-42C41863E1F1}">
      <text>
        <r>
          <rPr>
            <b/>
            <sz val="9"/>
            <color indexed="81"/>
            <rFont val="Tahoma"/>
            <family val="2"/>
          </rPr>
          <t>Tyrell Bartholomew:</t>
        </r>
        <r>
          <rPr>
            <sz val="9"/>
            <color indexed="81"/>
            <rFont val="Tahoma"/>
            <family val="2"/>
          </rPr>
          <t xml:space="preserve">
4mins replacing suction cup.</t>
        </r>
      </text>
    </comment>
    <comment ref="P514" authorId="2" shapeId="0" xr:uid="{B63CD22E-03DB-46DF-91BE-2B893BCA778D}">
      <text>
        <r>
          <rPr>
            <b/>
            <sz val="9"/>
            <color indexed="81"/>
            <rFont val="Tahoma"/>
            <family val="2"/>
          </rPr>
          <t>Kaylil Baptiste:</t>
        </r>
        <r>
          <rPr>
            <sz val="9"/>
            <color indexed="81"/>
            <rFont val="Tahoma"/>
            <family val="2"/>
          </rPr>
          <t xml:space="preserve">
hose burst out</t>
        </r>
      </text>
    </comment>
    <comment ref="S516" authorId="1" shapeId="0" xr:uid="{8B7046F6-92C7-46F7-9157-23A616FC1AFD}">
      <text>
        <r>
          <rPr>
            <b/>
            <sz val="9"/>
            <color indexed="81"/>
            <rFont val="Tahoma"/>
            <family val="2"/>
          </rPr>
          <t>Micah Noel:</t>
        </r>
        <r>
          <rPr>
            <sz val="9"/>
            <color indexed="81"/>
            <rFont val="Tahoma"/>
            <family val="2"/>
          </rPr>
          <t xml:space="preserve">
suction cup assembly fell off ( including spring and stem)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Reshelle Fleming</author>
    <author>Tyrell Bartholomew</author>
    <author>Dorien Andrew</author>
    <author>Kaylil Baptiste</author>
    <author>Michael Julien</author>
    <author>Micah Noel</author>
  </authors>
  <commentList>
    <comment ref="K4" authorId="0" shapeId="0" xr:uid="{00000000-0006-0000-0600-000001000000}">
      <text>
        <r>
          <rPr>
            <b/>
            <sz val="9"/>
            <rFont val="Tahoma"/>
            <family val="2"/>
          </rPr>
          <t>Reshelle Fleming:</t>
        </r>
        <r>
          <rPr>
            <sz val="9"/>
            <rFont val="Tahoma"/>
            <family val="2"/>
          </rPr>
          <t xml:space="preserve">
chain Drive that controls the flap and kidneys on discharge </t>
        </r>
      </text>
    </comment>
    <comment ref="AQ8" authorId="1" shapeId="0" xr:uid="{67D3B17F-4362-4139-9AF0-4B7BC4DA46D9}">
      <text>
        <r>
          <rPr>
            <b/>
            <sz val="9"/>
            <color indexed="81"/>
            <rFont val="Tahoma"/>
            <family val="2"/>
          </rPr>
          <t>Tyrell Bartholomew:</t>
        </r>
        <r>
          <rPr>
            <sz val="9"/>
            <color indexed="81"/>
            <rFont val="Tahoma"/>
            <family val="2"/>
          </rPr>
          <t xml:space="preserve">
60mins late start due to low temperature on caustic tank 2.</t>
        </r>
      </text>
    </comment>
    <comment ref="H16" authorId="2" shapeId="0" xr:uid="{3EB36882-B849-4C0D-9FEB-50A3BBD9EE68}">
      <text>
        <r>
          <rPr>
            <b/>
            <sz val="9"/>
            <color indexed="81"/>
            <rFont val="Tahoma"/>
            <family val="2"/>
          </rPr>
          <t>Dorien Andrew:</t>
        </r>
        <r>
          <rPr>
            <sz val="9"/>
            <color indexed="81"/>
            <rFont val="Tahoma"/>
            <family val="2"/>
          </rPr>
          <t xml:space="preserve">
5 mins for bottles jamming</t>
        </r>
      </text>
    </comment>
    <comment ref="I21" authorId="3" shapeId="0" xr:uid="{3DDEFA6C-35B4-480F-B997-DF3D717B690D}">
      <text>
        <r>
          <rPr>
            <b/>
            <sz val="9"/>
            <color indexed="81"/>
            <rFont val="Tahoma"/>
            <family val="2"/>
          </rPr>
          <t>Kaylil Baptiste:</t>
        </r>
        <r>
          <rPr>
            <sz val="9"/>
            <color indexed="81"/>
            <rFont val="Tahoma"/>
            <family val="2"/>
          </rPr>
          <t xml:space="preserve">
jammed bottles</t>
        </r>
      </text>
    </comment>
    <comment ref="BG26" authorId="4" shapeId="0" xr:uid="{CA3EC869-A8F2-4664-BFA0-EA48F63137C9}">
      <text>
        <r>
          <rPr>
            <b/>
            <sz val="9"/>
            <color indexed="81"/>
            <rFont val="Tahoma"/>
            <family val="2"/>
          </rPr>
          <t>Michael Julien:</t>
        </r>
        <r>
          <rPr>
            <sz val="9"/>
            <color indexed="81"/>
            <rFont val="Tahoma"/>
            <family val="2"/>
          </rPr>
          <t xml:space="preserve">
Draining and refilling rinse tanks.</t>
        </r>
      </text>
    </comment>
    <comment ref="G28" authorId="4" shapeId="0" xr:uid="{9FEAAD15-A4F9-4B02-82DF-F5EE236DFB8A}">
      <text>
        <r>
          <rPr>
            <b/>
            <sz val="9"/>
            <color indexed="81"/>
            <rFont val="Tahoma"/>
            <family val="2"/>
          </rPr>
          <t>Michael Julien:</t>
        </r>
        <r>
          <rPr>
            <sz val="9"/>
            <color indexed="81"/>
            <rFont val="Tahoma"/>
            <family val="2"/>
          </rPr>
          <t xml:space="preserve">
trying to put in guide on washer table</t>
        </r>
      </text>
    </comment>
    <comment ref="I37" authorId="3" shapeId="0" xr:uid="{E3F43EAA-17DB-41C3-A398-DC500C981DBB}">
      <text>
        <r>
          <rPr>
            <b/>
            <sz val="9"/>
            <color indexed="81"/>
            <rFont val="Tahoma"/>
            <family val="2"/>
          </rPr>
          <t>Kaylil Baptiste:</t>
        </r>
        <r>
          <rPr>
            <sz val="9"/>
            <color indexed="81"/>
            <rFont val="Tahoma"/>
            <family val="2"/>
          </rPr>
          <t xml:space="preserve">
10mins bottles stuck at washer discharge</t>
        </r>
      </text>
    </comment>
    <comment ref="BE37" authorId="3" shapeId="0" xr:uid="{34ED6882-1BA4-4332-9BC4-E84B425CADEA}">
      <text>
        <r>
          <rPr>
            <b/>
            <sz val="9"/>
            <color indexed="81"/>
            <rFont val="Tahoma"/>
            <family val="2"/>
          </rPr>
          <t>Kaylil Baptiste:</t>
        </r>
        <r>
          <rPr>
            <sz val="9"/>
            <color indexed="81"/>
            <rFont val="Tahoma"/>
            <family val="2"/>
          </rPr>
          <t xml:space="preserve">
25mins repairing carrier on Washer </t>
        </r>
      </text>
    </comment>
    <comment ref="H38" authorId="3" shapeId="0" xr:uid="{DA1FE085-2C41-41CF-B6F6-7C673A9184E6}">
      <text>
        <r>
          <rPr>
            <b/>
            <sz val="9"/>
            <color indexed="81"/>
            <rFont val="Tahoma"/>
            <family val="2"/>
          </rPr>
          <t>Kaylil Baptiste:</t>
        </r>
        <r>
          <rPr>
            <sz val="9"/>
            <color indexed="81"/>
            <rFont val="Tahoma"/>
            <family val="2"/>
          </rPr>
          <t xml:space="preserve">
jamming</t>
        </r>
      </text>
    </comment>
    <comment ref="AS41" authorId="2" shapeId="0" xr:uid="{E9466EFB-65D2-44EB-878B-7E3421D62D33}">
      <text>
        <r>
          <rPr>
            <b/>
            <sz val="9"/>
            <color indexed="81"/>
            <rFont val="Tahoma"/>
            <family val="2"/>
          </rPr>
          <t>Dorien Andrew:</t>
        </r>
        <r>
          <rPr>
            <sz val="9"/>
            <color indexed="81"/>
            <rFont val="Tahoma"/>
            <family val="2"/>
          </rPr>
          <t xml:space="preserve">
removing bottles with caustic residue </t>
        </r>
      </text>
    </comment>
    <comment ref="AM47" authorId="3" shapeId="0" xr:uid="{5E1BF199-2A1E-467E-988C-E8E88398D077}">
      <text>
        <r>
          <rPr>
            <b/>
            <sz val="9"/>
            <color indexed="81"/>
            <rFont val="Tahoma"/>
            <family val="2"/>
          </rPr>
          <t>Kaylil Baptiste:</t>
        </r>
        <r>
          <rPr>
            <sz val="9"/>
            <color indexed="81"/>
            <rFont val="Tahoma"/>
            <family val="2"/>
          </rPr>
          <t xml:space="preserve">
final  rinse level drop </t>
        </r>
      </text>
    </comment>
    <comment ref="P49" authorId="3" shapeId="0" xr:uid="{A11EE863-B354-4984-8363-039D30E112BF}">
      <text>
        <r>
          <rPr>
            <b/>
            <sz val="9"/>
            <color indexed="81"/>
            <rFont val="Tahoma"/>
            <family val="2"/>
          </rPr>
          <t>Kaylil Baptiste:</t>
        </r>
        <r>
          <rPr>
            <sz val="9"/>
            <color indexed="81"/>
            <rFont val="Tahoma"/>
            <family val="2"/>
          </rPr>
          <t xml:space="preserve">
stop to clean strainers</t>
        </r>
      </text>
    </comment>
    <comment ref="P50" authorId="3" shapeId="0" xr:uid="{7B272324-5B9F-43DC-A80F-93C4C2032C14}">
      <text>
        <r>
          <rPr>
            <b/>
            <sz val="9"/>
            <color indexed="81"/>
            <rFont val="Tahoma"/>
            <family val="2"/>
          </rPr>
          <t>Kaylil Baptiste:</t>
        </r>
        <r>
          <rPr>
            <sz val="9"/>
            <color indexed="81"/>
            <rFont val="Tahoma"/>
            <family val="2"/>
          </rPr>
          <t xml:space="preserve">
cleaning filters </t>
        </r>
      </text>
    </comment>
    <comment ref="AK72" authorId="5" shapeId="0" xr:uid="{B3331ED6-8A53-40D1-8A80-8FA99C99A9D2}">
      <text>
        <r>
          <rPr>
            <b/>
            <sz val="9"/>
            <color indexed="81"/>
            <rFont val="Tahoma"/>
            <family val="2"/>
          </rPr>
          <t>Micah Noel:</t>
        </r>
        <r>
          <rPr>
            <sz val="9"/>
            <color indexed="81"/>
            <rFont val="Tahoma"/>
            <family val="2"/>
          </rPr>
          <t xml:space="preserve">
13mins adding water to final rinse</t>
        </r>
      </text>
    </comment>
    <comment ref="P73" authorId="3" shapeId="0" xr:uid="{4FC24EA8-2B8B-4B67-8F2D-A12CE4F6CC47}">
      <text>
        <r>
          <rPr>
            <b/>
            <sz val="9"/>
            <color indexed="81"/>
            <rFont val="Tahoma"/>
            <family val="2"/>
          </rPr>
          <t>Kaylil Baptiste:</t>
        </r>
        <r>
          <rPr>
            <sz val="9"/>
            <color indexed="81"/>
            <rFont val="Tahoma"/>
            <family val="2"/>
          </rPr>
          <t xml:space="preserve">
cleaning filters and bins </t>
        </r>
      </text>
    </comment>
    <comment ref="AM73" authorId="4" shapeId="0" xr:uid="{8CC95413-6CEA-48EB-AF85-7854AF8A8538}">
      <text>
        <r>
          <rPr>
            <b/>
            <sz val="9"/>
            <color indexed="81"/>
            <rFont val="Tahoma"/>
            <family val="2"/>
          </rPr>
          <t>Michael Julien:</t>
        </r>
        <r>
          <rPr>
            <sz val="9"/>
            <color indexed="81"/>
            <rFont val="Tahoma"/>
            <family val="2"/>
          </rPr>
          <t xml:space="preserve">
Stop to drain and clean rinse tanks on washer.</t>
        </r>
      </text>
    </comment>
    <comment ref="AE74" authorId="1" shapeId="0" xr:uid="{BED4232F-CC09-4311-A543-0A672754BDF9}">
      <text>
        <r>
          <rPr>
            <b/>
            <sz val="9"/>
            <color indexed="81"/>
            <rFont val="Tahoma"/>
            <family val="2"/>
          </rPr>
          <t>Tyrell Bartholomew:</t>
        </r>
        <r>
          <rPr>
            <sz val="9"/>
            <color indexed="81"/>
            <rFont val="Tahoma"/>
            <family val="2"/>
          </rPr>
          <t xml:space="preserve">
10mins stop to top up rinse tank.</t>
        </r>
      </text>
    </comment>
    <comment ref="AK81" authorId="5" shapeId="0" xr:uid="{2A64871E-8079-4DAE-BF1B-016FDB557B17}">
      <text>
        <r>
          <rPr>
            <b/>
            <sz val="9"/>
            <color indexed="81"/>
            <rFont val="Tahoma"/>
            <family val="2"/>
          </rPr>
          <t>Micah Noel:</t>
        </r>
        <r>
          <rPr>
            <sz val="9"/>
            <color indexed="81"/>
            <rFont val="Tahoma"/>
            <family val="2"/>
          </rPr>
          <t xml:space="preserve">
adding water to final rinse</t>
        </r>
      </text>
    </comment>
    <comment ref="BG88" authorId="2" shapeId="0" xr:uid="{CD48D521-1225-457B-8EAE-30D36048183E}">
      <text>
        <r>
          <rPr>
            <b/>
            <sz val="9"/>
            <color indexed="81"/>
            <rFont val="Tahoma"/>
            <family val="2"/>
          </rPr>
          <t>Dorien Andrew:</t>
        </r>
        <r>
          <rPr>
            <sz val="9"/>
            <color indexed="81"/>
            <rFont val="Tahoma"/>
            <family val="2"/>
          </rPr>
          <t xml:space="preserve">
stop to clean tanks </t>
        </r>
      </text>
    </comment>
    <comment ref="M92" authorId="4" shapeId="0" xr:uid="{B3795312-2742-4960-825D-1DB1EB6A5175}">
      <text>
        <r>
          <rPr>
            <b/>
            <sz val="9"/>
            <color indexed="81"/>
            <rFont val="Tahoma"/>
            <family val="2"/>
          </rPr>
          <t>Michael Julien:</t>
        </r>
        <r>
          <rPr>
            <sz val="9"/>
            <color indexed="81"/>
            <rFont val="Tahoma"/>
            <family val="2"/>
          </rPr>
          <t xml:space="preserve">
Removing bottles from crates due to damage rubbers in the cups.</t>
        </r>
      </text>
    </comment>
    <comment ref="G93" authorId="5" shapeId="0" xr:uid="{0C3B4385-BEF2-4183-92A8-7CDD16AD8CAE}">
      <text>
        <r>
          <rPr>
            <b/>
            <sz val="9"/>
            <color indexed="81"/>
            <rFont val="Tahoma"/>
            <family val="2"/>
          </rPr>
          <t>Micah Noel:</t>
        </r>
        <r>
          <rPr>
            <sz val="9"/>
            <color indexed="81"/>
            <rFont val="Tahoma"/>
            <family val="2"/>
          </rPr>
          <t xml:space="preserve">
repairs to shaft on washer load table</t>
        </r>
      </text>
    </comment>
    <comment ref="G94" authorId="5" shapeId="0" xr:uid="{9EFFEECF-ECED-429D-B372-86F0FEC3B68D}">
      <text>
        <r>
          <rPr>
            <b/>
            <sz val="9"/>
            <color indexed="81"/>
            <rFont val="Tahoma"/>
            <family val="2"/>
          </rPr>
          <t xml:space="preserve">Micah Noel:
</t>
        </r>
        <r>
          <rPr>
            <sz val="9"/>
            <color indexed="81"/>
            <rFont val="Tahoma"/>
            <family val="2"/>
          </rPr>
          <t>Repairs to shaft at washer load table</t>
        </r>
      </text>
    </comment>
    <comment ref="G95" authorId="3" shapeId="0" xr:uid="{BC270B22-54DD-4BE7-87CD-CA017A4D8A3C}">
      <text>
        <r>
          <rPr>
            <b/>
            <sz val="9"/>
            <color indexed="81"/>
            <rFont val="Tahoma"/>
            <family val="2"/>
          </rPr>
          <t xml:space="preserve">Kaylil Baptiste:
</t>
        </r>
        <r>
          <rPr>
            <sz val="9"/>
            <color indexed="81"/>
            <rFont val="Tahoma"/>
            <family val="2"/>
          </rPr>
          <t>120mins washer is heating up after shaft repairs</t>
        </r>
      </text>
    </comment>
    <comment ref="I95" authorId="3" shapeId="0" xr:uid="{F18623B6-932A-4C69-BBD0-8ADAA5B2B677}">
      <text>
        <r>
          <rPr>
            <b/>
            <sz val="9"/>
            <color indexed="81"/>
            <rFont val="Tahoma"/>
            <family val="2"/>
          </rPr>
          <t>Kaylil Baptiste:</t>
        </r>
        <r>
          <rPr>
            <sz val="9"/>
            <color indexed="81"/>
            <rFont val="Tahoma"/>
            <family val="2"/>
          </rPr>
          <t xml:space="preserve">
bottles jamming when drop </t>
        </r>
      </text>
    </comment>
    <comment ref="AS103" authorId="5" shapeId="0" xr:uid="{9404A284-0457-4692-A8A3-F20A2637D135}">
      <text>
        <r>
          <rPr>
            <b/>
            <sz val="9"/>
            <color indexed="81"/>
            <rFont val="Tahoma"/>
            <family val="2"/>
          </rPr>
          <t>Micah Noel:</t>
        </r>
        <r>
          <rPr>
            <sz val="9"/>
            <color indexed="81"/>
            <rFont val="Tahoma"/>
            <family val="2"/>
          </rPr>
          <t xml:space="preserve">
a small portion of bottles exiting washer  looking cloudy </t>
        </r>
      </text>
    </comment>
    <comment ref="BC105" authorId="5" shapeId="0" xr:uid="{6E727C8B-2265-4254-9F7F-887092E80C5E}">
      <text>
        <r>
          <rPr>
            <b/>
            <sz val="9"/>
            <color indexed="81"/>
            <rFont val="Tahoma"/>
            <family val="2"/>
          </rPr>
          <t>Micah Noel:</t>
        </r>
        <r>
          <rPr>
            <sz val="9"/>
            <color indexed="81"/>
            <rFont val="Tahoma"/>
            <family val="2"/>
          </rPr>
          <t xml:space="preserve">
concentrations was reading high (2.6) and bottles were exiting cloudy/white water was added to drop concentration .Bottles were much better after</t>
        </r>
      </text>
    </comment>
    <comment ref="I131" authorId="4" shapeId="0" xr:uid="{E7508B0B-656F-4C3A-8406-A74C0BA3DD7A}">
      <text>
        <r>
          <rPr>
            <b/>
            <sz val="9"/>
            <color indexed="81"/>
            <rFont val="Tahoma"/>
            <family val="2"/>
          </rPr>
          <t>Michael Julien:</t>
        </r>
        <r>
          <rPr>
            <sz val="9"/>
            <color indexed="81"/>
            <rFont val="Tahoma"/>
            <family val="2"/>
          </rPr>
          <t xml:space="preserve">
14 mins to cut off a piece of guide rail at discharge flap.</t>
        </r>
      </text>
    </comment>
    <comment ref="S131" authorId="3" shapeId="0" xr:uid="{F3018F4B-CABD-4AA4-ABAC-77B366EB6D1E}">
      <text>
        <r>
          <rPr>
            <b/>
            <sz val="9"/>
            <color indexed="81"/>
            <rFont val="Tahoma"/>
            <family val="2"/>
          </rPr>
          <t>Kaylil Baptiste:</t>
        </r>
        <r>
          <rPr>
            <sz val="9"/>
            <color indexed="81"/>
            <rFont val="Tahoma"/>
            <family val="2"/>
          </rPr>
          <t xml:space="preserve">
stop work to be done on washer extractor</t>
        </r>
      </text>
    </comment>
    <comment ref="AZ135" authorId="4" shapeId="0" xr:uid="{CFE7B5D9-5C1F-4BF5-BE5F-21B28CDC19EE}">
      <text>
        <r>
          <rPr>
            <b/>
            <sz val="9"/>
            <color indexed="81"/>
            <rFont val="Tahoma"/>
            <family val="2"/>
          </rPr>
          <t>Michael Julien:</t>
        </r>
        <r>
          <rPr>
            <sz val="9"/>
            <color indexed="81"/>
            <rFont val="Tahoma"/>
            <family val="2"/>
          </rPr>
          <t xml:space="preserve">
Stop to add chemicals in the washer( stabillon)</t>
        </r>
      </text>
    </comment>
    <comment ref="BE148" authorId="3" shapeId="0" xr:uid="{5D19F957-2964-4C9F-BC14-9EAF114FE568}">
      <text>
        <r>
          <rPr>
            <b/>
            <sz val="9"/>
            <color indexed="81"/>
            <rFont val="Tahoma"/>
            <family val="2"/>
          </rPr>
          <t>Kaylil Baptiste:</t>
        </r>
        <r>
          <rPr>
            <sz val="9"/>
            <color indexed="81"/>
            <rFont val="Tahoma"/>
            <family val="2"/>
          </rPr>
          <t xml:space="preserve">
bottles jam at carriers </t>
        </r>
      </text>
    </comment>
    <comment ref="N150" authorId="5" shapeId="0" xr:uid="{4DFFA0A4-3625-4DEA-94E2-92819731A0EE}">
      <text>
        <r>
          <rPr>
            <b/>
            <sz val="9"/>
            <color indexed="81"/>
            <rFont val="Tahoma"/>
            <family val="2"/>
          </rPr>
          <t>Micah Noel:</t>
        </r>
        <r>
          <rPr>
            <sz val="9"/>
            <color indexed="81"/>
            <rFont val="Tahoma"/>
            <family val="2"/>
          </rPr>
          <t xml:space="preserve">
broken shaft at washer infeed</t>
        </r>
      </text>
    </comment>
    <comment ref="N151" authorId="3" shapeId="0" xr:uid="{470BB8FA-7D29-4585-9AA2-1C2383A940FA}">
      <text>
        <r>
          <rPr>
            <b/>
            <sz val="9"/>
            <color indexed="81"/>
            <rFont val="Tahoma"/>
            <family val="2"/>
          </rPr>
          <t>Kaylil Baptiste:</t>
        </r>
        <r>
          <rPr>
            <sz val="9"/>
            <color indexed="81"/>
            <rFont val="Tahoma"/>
            <family val="2"/>
          </rPr>
          <t xml:space="preserve">
broken shaft at washer infeed</t>
        </r>
      </text>
    </comment>
    <comment ref="N152" authorId="3" shapeId="0" xr:uid="{037CD16D-5918-4350-9BAD-A95BADF7C727}">
      <text>
        <r>
          <rPr>
            <b/>
            <sz val="9"/>
            <color indexed="81"/>
            <rFont val="Tahoma"/>
            <family val="2"/>
          </rPr>
          <t>Kaylil Baptiste:</t>
        </r>
        <r>
          <rPr>
            <sz val="9"/>
            <color indexed="81"/>
            <rFont val="Tahoma"/>
            <family val="2"/>
          </rPr>
          <t xml:space="preserve">
480mins broken shaft at washer infeed</t>
        </r>
      </text>
    </comment>
    <comment ref="B213" authorId="5" shapeId="0" xr:uid="{E8AC236F-101B-46BD-8DC3-D0C3CB5AF1C5}">
      <text>
        <r>
          <rPr>
            <b/>
            <sz val="9"/>
            <color indexed="81"/>
            <rFont val="Tahoma"/>
            <family val="2"/>
          </rPr>
          <t>Micah Noel:</t>
        </r>
        <r>
          <rPr>
            <sz val="9"/>
            <color indexed="81"/>
            <rFont val="Tahoma"/>
            <family val="2"/>
          </rPr>
          <t xml:space="preserve">
discharge cam jammed </t>
        </r>
      </text>
    </comment>
    <comment ref="P218" authorId="4" shapeId="0" xr:uid="{37E87632-3487-4E0F-833A-B0455A862263}">
      <text>
        <r>
          <rPr>
            <b/>
            <sz val="9"/>
            <color indexed="81"/>
            <rFont val="Tahoma"/>
            <family val="2"/>
          </rPr>
          <t>Michael Julien:</t>
        </r>
        <r>
          <rPr>
            <sz val="9"/>
            <color indexed="81"/>
            <rFont val="Tahoma"/>
            <family val="2"/>
          </rPr>
          <t xml:space="preserve">
Stop to clean rinse tanks and strainers.</t>
        </r>
      </text>
    </comment>
    <comment ref="R220" authorId="5" shapeId="0" xr:uid="{A341ED21-AF98-43CF-B0B3-0AD462BB0494}">
      <text>
        <r>
          <rPr>
            <b/>
            <sz val="9"/>
            <color indexed="81"/>
            <rFont val="Tahoma"/>
            <family val="2"/>
          </rPr>
          <t>Micah Noel:</t>
        </r>
        <r>
          <rPr>
            <sz val="9"/>
            <color indexed="81"/>
            <rFont val="Tahoma"/>
            <family val="2"/>
          </rPr>
          <t xml:space="preserve">
timing and electrical problem</t>
        </r>
      </text>
    </comment>
    <comment ref="AQ223" authorId="4" shapeId="0" xr:uid="{E31FBDCF-E308-422D-AFCB-AD5042D9D02F}">
      <text>
        <r>
          <rPr>
            <b/>
            <sz val="9"/>
            <color indexed="81"/>
            <rFont val="Tahoma"/>
            <family val="2"/>
          </rPr>
          <t>Michael Julien:</t>
        </r>
        <r>
          <rPr>
            <sz val="9"/>
            <color indexed="81"/>
            <rFont val="Tahoma"/>
            <family val="2"/>
          </rPr>
          <t xml:space="preserve">
awaiting temp to increase </t>
        </r>
      </text>
    </comment>
    <comment ref="AR223" authorId="5" shapeId="0" xr:uid="{2186B8E2-50A7-487F-BD98-5F2EE0A272AF}">
      <text>
        <r>
          <rPr>
            <b/>
            <sz val="9"/>
            <color indexed="81"/>
            <rFont val="Tahoma"/>
            <family val="2"/>
          </rPr>
          <t>Micah Noel:</t>
        </r>
        <r>
          <rPr>
            <sz val="9"/>
            <color indexed="81"/>
            <rFont val="Tahoma"/>
            <family val="2"/>
          </rPr>
          <t xml:space="preserve">
642mins major steam leak on washer bellowing on employee stationed between the lines and unto washed bottles </t>
        </r>
      </text>
    </comment>
    <comment ref="AK257" authorId="3" shapeId="0" xr:uid="{51B0F88B-1AA1-4961-873D-C1431F980C19}">
      <text>
        <r>
          <rPr>
            <b/>
            <sz val="9"/>
            <color indexed="81"/>
            <rFont val="Tahoma"/>
            <family val="2"/>
          </rPr>
          <t>Kaylil Baptiste:</t>
        </r>
        <r>
          <rPr>
            <sz val="9"/>
            <color indexed="81"/>
            <rFont val="Tahoma"/>
            <family val="2"/>
          </rPr>
          <t xml:space="preserve">
stop to clean tank</t>
        </r>
      </text>
    </comment>
    <comment ref="BG263" authorId="3" shapeId="0" xr:uid="{86475612-FB8F-47BE-950E-3BA132061FE1}">
      <text>
        <r>
          <rPr>
            <b/>
            <sz val="9"/>
            <color indexed="81"/>
            <rFont val="Tahoma"/>
            <family val="2"/>
          </rPr>
          <t>Kaylil Baptiste:</t>
        </r>
        <r>
          <rPr>
            <sz val="9"/>
            <color indexed="81"/>
            <rFont val="Tahoma"/>
            <family val="2"/>
          </rPr>
          <t xml:space="preserve">
60mins cleaning final rinse tank </t>
        </r>
      </text>
    </comment>
    <comment ref="AN312" authorId="1" shapeId="0" xr:uid="{AC090877-94C4-4E7C-BE2F-68C90723D7A4}">
      <text>
        <r>
          <rPr>
            <b/>
            <sz val="9"/>
            <color indexed="81"/>
            <rFont val="Tahoma"/>
            <family val="2"/>
          </rPr>
          <t>Tyrell Bartholomew:</t>
        </r>
        <r>
          <rPr>
            <sz val="9"/>
            <color indexed="81"/>
            <rFont val="Tahoma"/>
            <family val="2"/>
          </rPr>
          <t xml:space="preserve">
40mins replacing bent trawling star and missing rollers on washer final rinse.</t>
        </r>
      </text>
    </comment>
    <comment ref="BG324" authorId="3" shapeId="0" xr:uid="{57161A93-0813-459B-9044-FEB918C79CC4}">
      <text>
        <r>
          <rPr>
            <b/>
            <sz val="9"/>
            <color indexed="81"/>
            <rFont val="Tahoma"/>
            <family val="2"/>
          </rPr>
          <t>Kaylil Baptiste:</t>
        </r>
        <r>
          <rPr>
            <sz val="9"/>
            <color indexed="81"/>
            <rFont val="Tahoma"/>
            <family val="2"/>
          </rPr>
          <t xml:space="preserve">
37mins cleaning rinse tank</t>
        </r>
      </text>
    </comment>
    <comment ref="I327" authorId="1" shapeId="0" xr:uid="{6DEDAF12-2290-49BC-B0B0-5689619C268A}">
      <text>
        <r>
          <rPr>
            <b/>
            <sz val="9"/>
            <color indexed="81"/>
            <rFont val="Tahoma"/>
            <family val="2"/>
          </rPr>
          <t>Tyrell Bartholomew:</t>
        </r>
        <r>
          <rPr>
            <sz val="9"/>
            <color indexed="81"/>
            <rFont val="Tahoma"/>
            <family val="2"/>
          </rPr>
          <t xml:space="preserve">
25mins lost bottles consecutively jamming in flap, san martin tech made adjustments to mitigate this.</t>
        </r>
      </text>
    </comment>
    <comment ref="R417" authorId="3" shapeId="0" xr:uid="{C9199524-CAA3-441F-BAFB-90385193728A}">
      <text>
        <r>
          <rPr>
            <b/>
            <sz val="9"/>
            <color indexed="81"/>
            <rFont val="Tahoma"/>
            <family val="2"/>
          </rPr>
          <t>Kaylil Baptiste:</t>
        </r>
        <r>
          <rPr>
            <sz val="9"/>
            <color indexed="81"/>
            <rFont val="Tahoma"/>
            <family val="2"/>
          </rPr>
          <t xml:space="preserve">
dicharge out of timing</t>
        </r>
      </text>
    </comment>
    <comment ref="AJ440" authorId="0" shapeId="0" xr:uid="{AB413A30-E757-476B-8EF4-8AF5FB0DCA1A}">
      <text>
        <r>
          <rPr>
            <b/>
            <sz val="9"/>
            <color indexed="81"/>
            <rFont val="Tahoma"/>
            <family val="2"/>
          </rPr>
          <t>Reshelle Fleming:</t>
        </r>
        <r>
          <rPr>
            <sz val="9"/>
            <color indexed="81"/>
            <rFont val="Tahoma"/>
            <family val="2"/>
          </rPr>
          <t xml:space="preserve">
4mins bottles jam at washer infeed </t>
        </r>
      </text>
    </comment>
    <comment ref="AP440" authorId="2" shapeId="0" xr:uid="{5FC49AF5-FB6F-452F-B2F0-691217DC3D72}">
      <text>
        <r>
          <rPr>
            <b/>
            <sz val="9"/>
            <color indexed="81"/>
            <rFont val="Tahoma"/>
            <family val="2"/>
          </rPr>
          <t>Dorien Andrew:</t>
        </r>
        <r>
          <rPr>
            <sz val="9"/>
            <color indexed="81"/>
            <rFont val="Tahoma"/>
            <family val="2"/>
          </rPr>
          <t xml:space="preserve">
13mins breaker for pump #1 tripped (extractor) </t>
        </r>
      </text>
    </comment>
    <comment ref="I443" authorId="0" shapeId="0" xr:uid="{67EC543E-C078-4E68-8BCF-CA0615F00DB5}">
      <text>
        <r>
          <rPr>
            <b/>
            <sz val="9"/>
            <color indexed="81"/>
            <rFont val="Tahoma"/>
            <family val="2"/>
          </rPr>
          <t>Reshelle Fleming:</t>
        </r>
        <r>
          <rPr>
            <sz val="9"/>
            <color indexed="81"/>
            <rFont val="Tahoma"/>
            <family val="2"/>
          </rPr>
          <t xml:space="preserve">
13mins Broken bottles jam chain at washer discharge </t>
        </r>
      </text>
    </comment>
    <comment ref="AO444" authorId="2" shapeId="0" xr:uid="{1C0E8214-90C0-4BED-B775-68165A476312}">
      <text>
        <r>
          <rPr>
            <b/>
            <sz val="9"/>
            <color indexed="81"/>
            <rFont val="Tahoma"/>
            <family val="2"/>
          </rPr>
          <t>Dorien Andrew:</t>
        </r>
        <r>
          <rPr>
            <sz val="9"/>
            <color indexed="81"/>
            <rFont val="Tahoma"/>
            <family val="2"/>
          </rPr>
          <t xml:space="preserve">
44mins cleaning washer rinse tank </t>
        </r>
      </text>
    </comment>
    <comment ref="BF444" authorId="0" shapeId="0" xr:uid="{04B0F8B8-DD6F-4171-A275-F294D3E14CA8}">
      <text>
        <r>
          <rPr>
            <b/>
            <sz val="9"/>
            <color indexed="81"/>
            <rFont val="Tahoma"/>
            <family val="2"/>
          </rPr>
          <t>Reshelle Fleming:</t>
        </r>
        <r>
          <rPr>
            <sz val="9"/>
            <color indexed="81"/>
            <rFont val="Tahoma"/>
            <family val="2"/>
          </rPr>
          <t xml:space="preserve">
labels</t>
        </r>
      </text>
    </comment>
    <comment ref="H446" authorId="0" shapeId="0" xr:uid="{975E2B37-71FA-4E61-BFC2-BEDBE24638AC}">
      <text>
        <r>
          <rPr>
            <b/>
            <sz val="9"/>
            <color indexed="81"/>
            <rFont val="Tahoma"/>
            <family val="2"/>
          </rPr>
          <t>Reshelle Fleming:</t>
        </r>
        <r>
          <rPr>
            <sz val="9"/>
            <color indexed="81"/>
            <rFont val="Tahoma"/>
            <family val="2"/>
          </rPr>
          <t xml:space="preserve">
6mins Fingers jammed by bottles at Washer infeed </t>
        </r>
      </text>
    </comment>
    <comment ref="BF447" authorId="0" shapeId="0" xr:uid="{FDE00AF9-AB78-41B0-8442-D332CAD466BB}">
      <text>
        <r>
          <rPr>
            <b/>
            <sz val="9"/>
            <color indexed="81"/>
            <rFont val="Tahoma"/>
            <family val="2"/>
          </rPr>
          <t>Reshelle Fleming:</t>
        </r>
        <r>
          <rPr>
            <sz val="9"/>
            <color indexed="81"/>
            <rFont val="Tahoma"/>
            <family val="2"/>
          </rPr>
          <t xml:space="preserve">
labels</t>
        </r>
      </text>
    </comment>
    <comment ref="P448" authorId="0" shapeId="0" xr:uid="{EE964D19-602D-4E91-8F56-35EC63EC90DD}">
      <text>
        <r>
          <rPr>
            <b/>
            <sz val="9"/>
            <color indexed="81"/>
            <rFont val="Tahoma"/>
            <family val="2"/>
          </rPr>
          <t>Reshelle Fleming:</t>
        </r>
        <r>
          <rPr>
            <sz val="9"/>
            <color indexed="81"/>
            <rFont val="Tahoma"/>
            <family val="2"/>
          </rPr>
          <t xml:space="preserve">
4mins cleaning Washer rinse strainer </t>
        </r>
      </text>
    </comment>
    <comment ref="BF450" authorId="0" shapeId="0" xr:uid="{8DE676F8-5B9B-4795-8AE1-C8A57DF60E71}">
      <text>
        <r>
          <rPr>
            <b/>
            <sz val="9"/>
            <color indexed="81"/>
            <rFont val="Tahoma"/>
            <family val="2"/>
          </rPr>
          <t>Reshelle Fleming:</t>
        </r>
        <r>
          <rPr>
            <sz val="9"/>
            <color indexed="81"/>
            <rFont val="Tahoma"/>
            <family val="2"/>
          </rPr>
          <t xml:space="preserve">
20mins High rejection- Labels </t>
        </r>
      </text>
    </comment>
    <comment ref="BF451" authorId="0" shapeId="0" xr:uid="{986E666C-FFA5-4DD2-A82C-94AD28306DE3}">
      <text>
        <r>
          <rPr>
            <b/>
            <sz val="9"/>
            <color indexed="81"/>
            <rFont val="Tahoma"/>
            <family val="2"/>
          </rPr>
          <t>Reshelle Fleming:</t>
        </r>
        <r>
          <rPr>
            <sz val="9"/>
            <color indexed="81"/>
            <rFont val="Tahoma"/>
            <family val="2"/>
          </rPr>
          <t xml:space="preserve">
5mins high rejection- labels </t>
        </r>
      </text>
    </comment>
    <comment ref="P455" authorId="1" shapeId="0" xr:uid="{CD1EAF95-B86D-4CB8-B91D-C8116961B231}">
      <text>
        <r>
          <rPr>
            <b/>
            <sz val="9"/>
            <color indexed="81"/>
            <rFont val="Tahoma"/>
            <family val="2"/>
          </rPr>
          <t>Tyrell Bartholomew:</t>
        </r>
        <r>
          <rPr>
            <sz val="9"/>
            <color indexed="81"/>
            <rFont val="Tahoma"/>
            <family val="2"/>
          </rPr>
          <t xml:space="preserve">
3 mins stop to clean strainers.</t>
        </r>
      </text>
    </comment>
    <comment ref="H456" authorId="0" shapeId="0" xr:uid="{DC841E27-B423-4051-AA2A-71FF4743CD21}">
      <text>
        <r>
          <rPr>
            <b/>
            <sz val="9"/>
            <color indexed="81"/>
            <rFont val="Tahoma"/>
            <family val="2"/>
          </rPr>
          <t>Reshelle Fleming:</t>
        </r>
        <r>
          <rPr>
            <sz val="9"/>
            <color indexed="81"/>
            <rFont val="Tahoma"/>
            <family val="2"/>
          </rPr>
          <t xml:space="preserve">
3mins bottles jam at washer infeed carriers </t>
        </r>
      </text>
    </comment>
    <comment ref="AQ460" authorId="2" shapeId="0" xr:uid="{56773B76-C538-4485-917C-3C3BC60EBB7D}">
      <text>
        <r>
          <rPr>
            <b/>
            <sz val="9"/>
            <color indexed="81"/>
            <rFont val="Tahoma"/>
            <family val="2"/>
          </rPr>
          <t>Dorien Andrew:</t>
        </r>
        <r>
          <rPr>
            <sz val="9"/>
            <color indexed="81"/>
            <rFont val="Tahoma"/>
            <family val="2"/>
          </rPr>
          <t xml:space="preserve">
low temp on washer </t>
        </r>
      </text>
    </comment>
    <comment ref="AO464" authorId="2" shapeId="0" xr:uid="{2D312FCE-495B-4935-8EA1-086DBC277034}">
      <text>
        <r>
          <rPr>
            <b/>
            <sz val="9"/>
            <color indexed="81"/>
            <rFont val="Tahoma"/>
            <family val="2"/>
          </rPr>
          <t>Dorien Andrew:</t>
        </r>
        <r>
          <rPr>
            <sz val="9"/>
            <color indexed="81"/>
            <rFont val="Tahoma"/>
            <family val="2"/>
          </rPr>
          <t xml:space="preserve">
pump trip off</t>
        </r>
      </text>
    </comment>
    <comment ref="AU467" authorId="4" shapeId="0" xr:uid="{3B5A732B-C765-43C0-A3A7-C274FD3FBCA4}">
      <text>
        <r>
          <rPr>
            <b/>
            <sz val="9"/>
            <color indexed="81"/>
            <rFont val="Tahoma"/>
            <family val="2"/>
          </rPr>
          <t>Michael Julien:</t>
        </r>
        <r>
          <rPr>
            <sz val="9"/>
            <color indexed="81"/>
            <rFont val="Tahoma"/>
            <family val="2"/>
          </rPr>
          <t xml:space="preserve">
pump 3 trip off</t>
        </r>
      </text>
    </comment>
    <comment ref="AM473" authorId="2" shapeId="0" xr:uid="{2C3B3DC5-ECD0-44D9-893E-23BB309A17C7}">
      <text>
        <r>
          <rPr>
            <b/>
            <sz val="9"/>
            <color indexed="81"/>
            <rFont val="Tahoma"/>
            <family val="2"/>
          </rPr>
          <t>Dorien Andrew:</t>
        </r>
        <r>
          <rPr>
            <sz val="9"/>
            <color indexed="81"/>
            <rFont val="Tahoma"/>
            <family val="2"/>
          </rPr>
          <t xml:space="preserve">
cleaning flow meter </t>
        </r>
      </text>
    </comment>
    <comment ref="AQ525" authorId="3" shapeId="0" xr:uid="{52A837D1-C709-4839-9261-775BDBEFC531}">
      <text>
        <r>
          <rPr>
            <b/>
            <sz val="9"/>
            <color indexed="81"/>
            <rFont val="Tahoma"/>
            <family val="2"/>
          </rPr>
          <t xml:space="preserve">Dorien Andrew:
</t>
        </r>
        <r>
          <rPr>
            <sz val="9"/>
            <color indexed="81"/>
            <rFont val="Tahoma"/>
            <family val="2"/>
          </rPr>
          <t>130mins delay on washer washer loading for low temp</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Micah Noel</author>
    <author>Dorien Andrew</author>
    <author>Michael Julien</author>
    <author>Tyrell Bartholomew</author>
    <author>Kaylil Baptiste</author>
    <author>Reshelle Fleming</author>
  </authors>
  <commentList>
    <comment ref="N11" authorId="0" shapeId="0" xr:uid="{F6F89EF1-AF0F-438C-8B65-04F72F2C6E42}">
      <text>
        <r>
          <rPr>
            <b/>
            <sz val="9"/>
            <color indexed="81"/>
            <rFont val="Tahoma"/>
            <family val="2"/>
          </rPr>
          <t>Micah Noel:</t>
        </r>
        <r>
          <rPr>
            <sz val="9"/>
            <color indexed="81"/>
            <rFont val="Tahoma"/>
            <family val="2"/>
          </rPr>
          <t xml:space="preserve">
Krones technician making adjustment</t>
        </r>
      </text>
    </comment>
    <comment ref="N13" authorId="0" shapeId="0" xr:uid="{9EE9C9AF-A899-474B-94AE-E267E67F926E}">
      <text>
        <r>
          <rPr>
            <b/>
            <sz val="9"/>
            <color indexed="81"/>
            <rFont val="Tahoma"/>
            <family val="2"/>
          </rPr>
          <t>Micah Noel:</t>
        </r>
        <r>
          <rPr>
            <sz val="9"/>
            <color indexed="81"/>
            <rFont val="Tahoma"/>
            <family val="2"/>
          </rPr>
          <t xml:space="preserve">
Krones technician making adjustment</t>
        </r>
      </text>
    </comment>
    <comment ref="U44" authorId="1" shapeId="0" xr:uid="{ACCF6B9A-B040-4E73-BDF6-0C2ABD10F7C5}">
      <text>
        <r>
          <rPr>
            <b/>
            <sz val="9"/>
            <color indexed="81"/>
            <rFont val="Tahoma"/>
            <family val="2"/>
          </rPr>
          <t>Dorien Andrew:</t>
        </r>
        <r>
          <rPr>
            <sz val="9"/>
            <color indexed="81"/>
            <rFont val="Tahoma"/>
            <family val="2"/>
          </rPr>
          <t xml:space="preserve">
BOTTLES STICKING </t>
        </r>
      </text>
    </comment>
    <comment ref="V45" authorId="2" shapeId="0" xr:uid="{5DD11338-4C6E-4742-9C12-0509FD3D633B}">
      <text>
        <r>
          <rPr>
            <b/>
            <sz val="9"/>
            <color indexed="81"/>
            <rFont val="Tahoma"/>
            <family val="2"/>
          </rPr>
          <t>Michael Julien:</t>
        </r>
        <r>
          <rPr>
            <sz val="9"/>
            <color indexed="81"/>
            <rFont val="Tahoma"/>
            <family val="2"/>
          </rPr>
          <t xml:space="preserve">
Bottles jamming at ebi discharge</t>
        </r>
      </text>
    </comment>
    <comment ref="AE77" authorId="2" shapeId="0" xr:uid="{CF32B379-48CE-48B3-A594-DFF43C694385}">
      <text>
        <r>
          <rPr>
            <b/>
            <sz val="9"/>
            <color indexed="81"/>
            <rFont val="Tahoma"/>
            <family val="2"/>
          </rPr>
          <t>Michael Julien:</t>
        </r>
        <r>
          <rPr>
            <sz val="9"/>
            <color indexed="81"/>
            <rFont val="Tahoma"/>
            <family val="2"/>
          </rPr>
          <t xml:space="preserve">
20 mins. Line stop due to test bottle # 2 failing and a new one had to be made</t>
        </r>
      </text>
    </comment>
    <comment ref="Z83" authorId="1" shapeId="0" xr:uid="{78DBC17E-B349-43A4-863D-BD4FCE4E91C7}">
      <text>
        <r>
          <rPr>
            <b/>
            <sz val="9"/>
            <color indexed="81"/>
            <rFont val="Tahoma"/>
            <family val="2"/>
          </rPr>
          <t>Dorien Andrew:</t>
        </r>
        <r>
          <rPr>
            <sz val="9"/>
            <color indexed="81"/>
            <rFont val="Tahoma"/>
            <family val="2"/>
          </rPr>
          <t xml:space="preserve">
dead plate adjustments </t>
        </r>
      </text>
    </comment>
    <comment ref="AE88" authorId="1" shapeId="0" xr:uid="{1DAC0095-08F7-4F41-B15D-114A73647F11}">
      <text>
        <r>
          <rPr>
            <b/>
            <sz val="9"/>
            <color indexed="81"/>
            <rFont val="Tahoma"/>
            <family val="2"/>
          </rPr>
          <t>Dorien Andrew:</t>
        </r>
        <r>
          <rPr>
            <sz val="9"/>
            <color indexed="81"/>
            <rFont val="Tahoma"/>
            <family val="2"/>
          </rPr>
          <t xml:space="preserve">
test bottle fail</t>
        </r>
      </text>
    </comment>
    <comment ref="AE100" authorId="0" shapeId="0" xr:uid="{777CA824-A6CB-4C0B-BC2E-EDA2CDE44480}">
      <text>
        <r>
          <rPr>
            <b/>
            <sz val="9"/>
            <color indexed="81"/>
            <rFont val="Tahoma"/>
            <family val="2"/>
          </rPr>
          <t>Micah Noel:</t>
        </r>
        <r>
          <rPr>
            <sz val="9"/>
            <color indexed="81"/>
            <rFont val="Tahoma"/>
            <family val="2"/>
          </rPr>
          <t xml:space="preserve">
test bottle #5 failing .Tape had to be changed</t>
        </r>
      </text>
    </comment>
    <comment ref="N103" authorId="0" shapeId="0" xr:uid="{698064B4-6D34-490C-878E-3CB8D3C3B901}">
      <text>
        <r>
          <rPr>
            <b/>
            <sz val="9"/>
            <color indexed="81"/>
            <rFont val="Tahoma"/>
            <family val="2"/>
          </rPr>
          <t>Micah Noel:</t>
        </r>
        <r>
          <rPr>
            <sz val="9"/>
            <color indexed="81"/>
            <rFont val="Tahoma"/>
            <family val="2"/>
          </rPr>
          <t xml:space="preserve">
to try stop the excessive rejections</t>
        </r>
      </text>
    </comment>
    <comment ref="O103" authorId="0" shapeId="0" xr:uid="{F6722E59-CF67-438A-A429-46E62D259EA1}">
      <text>
        <r>
          <rPr>
            <b/>
            <sz val="9"/>
            <color indexed="81"/>
            <rFont val="Tahoma"/>
            <family val="2"/>
          </rPr>
          <t>Micah Noel:</t>
        </r>
        <r>
          <rPr>
            <sz val="9"/>
            <color indexed="81"/>
            <rFont val="Tahoma"/>
            <family val="2"/>
          </rPr>
          <t xml:space="preserve">
rejections caused by fast running conveyors which cannot be slowed down at the moment due to VLT restraints</t>
        </r>
      </text>
    </comment>
    <comment ref="V103" authorId="0" shapeId="0" xr:uid="{1264A711-8C2D-492A-A7D8-1704FD713699}">
      <text>
        <r>
          <rPr>
            <b/>
            <sz val="9"/>
            <color indexed="81"/>
            <rFont val="Tahoma"/>
            <family val="2"/>
          </rPr>
          <t>Micah Noel:</t>
        </r>
        <r>
          <rPr>
            <sz val="9"/>
            <color indexed="81"/>
            <rFont val="Tahoma"/>
            <family val="2"/>
          </rPr>
          <t xml:space="preserve">
10 mins trouble shooting  to stop bottles jammimg at discharge 11mins stop to investigate to air leak 6 mins stop to try vita malt starwheel in an effor to minmise bottles jamming at discharge. 29mins trouble shooting EBI malfunction( all bottles exiting on rejection table conveyor/all bottles rejecting)</t>
        </r>
      </text>
    </comment>
    <comment ref="V104" authorId="3" shapeId="0" xr:uid="{7BC47D90-177A-4ADE-931C-DB07527C4333}">
      <text>
        <r>
          <rPr>
            <b/>
            <sz val="9"/>
            <color indexed="81"/>
            <rFont val="Tahoma"/>
            <family val="2"/>
          </rPr>
          <t>Tyrell Bartholomew:</t>
        </r>
        <r>
          <rPr>
            <sz val="9"/>
            <color indexed="81"/>
            <rFont val="Tahoma"/>
            <family val="2"/>
          </rPr>
          <t xml:space="preserve">
710mins troubleshooting EBI malfuction ( all bottles rejecting)</t>
        </r>
      </text>
    </comment>
    <comment ref="N107" authorId="3" shapeId="0" xr:uid="{A85523A7-98AE-4B87-9214-5458DC2BB91B}">
      <text>
        <r>
          <rPr>
            <b/>
            <sz val="9"/>
            <color indexed="81"/>
            <rFont val="Tahoma"/>
            <family val="2"/>
          </rPr>
          <t>Tyrell Bartholomew:</t>
        </r>
        <r>
          <rPr>
            <sz val="9"/>
            <color indexed="81"/>
            <rFont val="Tahoma"/>
            <family val="2"/>
          </rPr>
          <t xml:space="preserve">
maintenance making adjustments to settings.</t>
        </r>
      </text>
    </comment>
    <comment ref="P107" authorId="2" shapeId="0" xr:uid="{E45455E4-FE0A-4A1D-94A8-FE828DF3BDD7}">
      <text>
        <r>
          <rPr>
            <b/>
            <sz val="9"/>
            <color indexed="81"/>
            <rFont val="Tahoma"/>
            <family val="2"/>
          </rPr>
          <t>Michael Julien:</t>
        </r>
        <r>
          <rPr>
            <sz val="9"/>
            <color indexed="81"/>
            <rFont val="Tahoma"/>
            <family val="2"/>
          </rPr>
          <t xml:space="preserve">
water getting under the glass plate on the EBI and causing false rejects.</t>
        </r>
      </text>
    </comment>
    <comment ref="O129" authorId="1" shapeId="0" xr:uid="{EC8F7606-D79C-4803-B695-E6F7B5D2B523}">
      <text>
        <r>
          <rPr>
            <b/>
            <sz val="9"/>
            <color indexed="81"/>
            <rFont val="Tahoma"/>
            <family val="2"/>
          </rPr>
          <t>Dorien Andrew:</t>
        </r>
        <r>
          <rPr>
            <sz val="9"/>
            <color indexed="81"/>
            <rFont val="Tahoma"/>
            <family val="2"/>
          </rPr>
          <t xml:space="preserve">
very heavy rejection rejection table full </t>
        </r>
      </text>
    </comment>
    <comment ref="T130" authorId="0" shapeId="0" xr:uid="{7D3007FD-0E35-4C40-A4E0-A5E2610AA2B4}">
      <text>
        <r>
          <rPr>
            <b/>
            <sz val="9"/>
            <color indexed="81"/>
            <rFont val="Tahoma"/>
            <family val="2"/>
          </rPr>
          <t>Micah Noel:</t>
        </r>
        <r>
          <rPr>
            <sz val="9"/>
            <color indexed="81"/>
            <rFont val="Tahoma"/>
            <family val="2"/>
          </rPr>
          <t xml:space="preserve">
bent dead plate had to be taken off machine and brought to maintenance workshop</t>
        </r>
      </text>
    </comment>
    <comment ref="T131" authorId="0" shapeId="0" xr:uid="{4BF79717-EF85-411F-85E7-06EBCAE859B4}">
      <text>
        <r>
          <rPr>
            <b/>
            <sz val="9"/>
            <color indexed="81"/>
            <rFont val="Tahoma"/>
            <family val="2"/>
          </rPr>
          <t>Micah Noel:</t>
        </r>
        <r>
          <rPr>
            <sz val="9"/>
            <color indexed="81"/>
            <rFont val="Tahoma"/>
            <family val="2"/>
          </rPr>
          <t xml:space="preserve">
EBI dead plate repairs</t>
        </r>
      </text>
    </comment>
    <comment ref="L132" authorId="3" shapeId="0" xr:uid="{97479518-E2D4-40B2-8195-9B515B7B8DB2}">
      <text>
        <r>
          <rPr>
            <b/>
            <sz val="9"/>
            <color indexed="81"/>
            <rFont val="Tahoma"/>
            <family val="2"/>
          </rPr>
          <t>Tyrell Bartholomew:</t>
        </r>
        <r>
          <rPr>
            <sz val="9"/>
            <color indexed="81"/>
            <rFont val="Tahoma"/>
            <family val="2"/>
          </rPr>
          <t xml:space="preserve">
3mins Encoder Fault/malfunction.</t>
        </r>
      </text>
    </comment>
    <comment ref="AE134" authorId="0" shapeId="0" xr:uid="{93031E90-B4C9-4BDB-852F-16B16068DCF4}">
      <text>
        <r>
          <rPr>
            <b/>
            <sz val="9"/>
            <color indexed="81"/>
            <rFont val="Tahoma"/>
            <family val="2"/>
          </rPr>
          <t>Micah Noel:</t>
        </r>
        <r>
          <rPr>
            <sz val="9"/>
            <color indexed="81"/>
            <rFont val="Tahoma"/>
            <family val="2"/>
          </rPr>
          <t xml:space="preserve">
43mins Test bottles #2 fail.</t>
        </r>
      </text>
    </comment>
    <comment ref="U135" authorId="0" shapeId="0" xr:uid="{FED35B66-58FE-49EA-88A6-DC5C0F454C4C}">
      <text>
        <r>
          <rPr>
            <b/>
            <sz val="9"/>
            <color indexed="81"/>
            <rFont val="Tahoma"/>
            <family val="2"/>
          </rPr>
          <t>Micah Noel:</t>
        </r>
        <r>
          <rPr>
            <sz val="9"/>
            <color indexed="81"/>
            <rFont val="Tahoma"/>
            <family val="2"/>
          </rPr>
          <t xml:space="preserve">
2 mins incorrect bottle stuck at starwheel (stag bottle)</t>
        </r>
      </text>
    </comment>
    <comment ref="AE135" authorId="0" shapeId="0" xr:uid="{61096280-658B-48C6-A490-DC04C05A3852}">
      <text>
        <r>
          <rPr>
            <b/>
            <sz val="9"/>
            <color indexed="81"/>
            <rFont val="Tahoma"/>
            <family val="2"/>
          </rPr>
          <t>Micah Noel:</t>
        </r>
        <r>
          <rPr>
            <sz val="9"/>
            <color indexed="81"/>
            <rFont val="Tahoma"/>
            <family val="2"/>
          </rPr>
          <t xml:space="preserve">
test bottle #2</t>
        </r>
      </text>
    </comment>
    <comment ref="W140" authorId="2" shapeId="0" xr:uid="{4ED9E0DA-A469-4037-BE5A-4060C09EF906}">
      <text>
        <r>
          <rPr>
            <b/>
            <sz val="9"/>
            <color indexed="81"/>
            <rFont val="Tahoma"/>
            <family val="2"/>
          </rPr>
          <t>Michael Julien:</t>
        </r>
        <r>
          <rPr>
            <sz val="9"/>
            <color indexed="81"/>
            <rFont val="Tahoma"/>
            <family val="2"/>
          </rPr>
          <t xml:space="preserve">
changing suction cups to improve vaccum pressure.</t>
        </r>
      </text>
    </comment>
    <comment ref="T142" authorId="2" shapeId="0" xr:uid="{B2BC8C64-59FE-410F-8F5D-FA2505821F46}">
      <text>
        <r>
          <rPr>
            <b/>
            <sz val="9"/>
            <color indexed="81"/>
            <rFont val="Tahoma"/>
            <family val="2"/>
          </rPr>
          <t>Michael Julien:</t>
        </r>
        <r>
          <rPr>
            <sz val="9"/>
            <color indexed="81"/>
            <rFont val="Tahoma"/>
            <family val="2"/>
          </rPr>
          <t xml:space="preserve">
Maintenance adjusting transfer plate in EBII.</t>
        </r>
      </text>
    </comment>
    <comment ref="X152" authorId="0" shapeId="0" xr:uid="{25DB375D-B859-4AF6-B47C-6B9732EC84C8}">
      <text>
        <r>
          <rPr>
            <b/>
            <sz val="9"/>
            <color indexed="81"/>
            <rFont val="Tahoma"/>
            <family val="2"/>
          </rPr>
          <t>Micah Noel:</t>
        </r>
        <r>
          <rPr>
            <sz val="9"/>
            <color indexed="81"/>
            <rFont val="Tahoma"/>
            <family val="2"/>
          </rPr>
          <t xml:space="preserve">
3 mins changing osw glass</t>
        </r>
      </text>
    </comment>
    <comment ref="AA153" authorId="0" shapeId="0" xr:uid="{2D9DF609-8373-486E-8B6D-DBBF8757F5E3}">
      <text>
        <r>
          <rPr>
            <b/>
            <sz val="9"/>
            <color indexed="81"/>
            <rFont val="Tahoma"/>
            <family val="2"/>
          </rPr>
          <t>Micah Noel:</t>
        </r>
        <r>
          <rPr>
            <sz val="9"/>
            <color indexed="81"/>
            <rFont val="Tahoma"/>
            <family val="2"/>
          </rPr>
          <t xml:space="preserve">
label stuck on OSW rail</t>
        </r>
      </text>
    </comment>
    <comment ref="C171" authorId="4" shapeId="0" xr:uid="{6635F449-9B57-49D6-8A27-15300759FA04}">
      <text>
        <r>
          <rPr>
            <b/>
            <sz val="9"/>
            <color indexed="81"/>
            <rFont val="Tahoma"/>
            <family val="2"/>
          </rPr>
          <t>Kaylil Baptiste:</t>
        </r>
        <r>
          <rPr>
            <sz val="9"/>
            <color indexed="81"/>
            <rFont val="Tahoma"/>
            <family val="2"/>
          </rPr>
          <t xml:space="preserve">
overheating</t>
        </r>
      </text>
    </comment>
    <comment ref="X172" authorId="3" shapeId="0" xr:uid="{84FE818C-B3F2-435E-A620-D5FB90D348EA}">
      <text>
        <r>
          <rPr>
            <b/>
            <sz val="9"/>
            <color indexed="81"/>
            <rFont val="Tahoma"/>
            <family val="2"/>
          </rPr>
          <t>Tyrell Bartholomew:</t>
        </r>
        <r>
          <rPr>
            <sz val="9"/>
            <color indexed="81"/>
            <rFont val="Tahoma"/>
            <family val="2"/>
          </rPr>
          <t xml:space="preserve">
3mins osw light cut off.</t>
        </r>
      </text>
    </comment>
    <comment ref="V176" authorId="3" shapeId="0" xr:uid="{F3EFF859-2AB6-4295-A8A5-33BE9E3C0D3E}">
      <text>
        <r>
          <rPr>
            <b/>
            <sz val="9"/>
            <color indexed="81"/>
            <rFont val="Tahoma"/>
            <family val="2"/>
          </rPr>
          <t>Tyrell Bartholomew:</t>
        </r>
        <r>
          <rPr>
            <sz val="9"/>
            <color indexed="81"/>
            <rFont val="Tahoma"/>
            <family val="2"/>
          </rPr>
          <t xml:space="preserve">
70mins trouble shooting and addressing EBI starwheel malfunction, all bottles were rejecting due to lack of suction.</t>
        </r>
      </text>
    </comment>
    <comment ref="W194" authorId="4" shapeId="0" xr:uid="{9D675E05-03D8-47CA-BAF3-16D426E7A690}">
      <text>
        <r>
          <rPr>
            <b/>
            <sz val="9"/>
            <color indexed="81"/>
            <rFont val="Tahoma"/>
            <family val="2"/>
          </rPr>
          <t>Kaylil Baptiste:</t>
        </r>
        <r>
          <rPr>
            <sz val="9"/>
            <color indexed="81"/>
            <rFont val="Tahoma"/>
            <family val="2"/>
          </rPr>
          <t xml:space="preserve">
not getting air in starwheel suction cups</t>
        </r>
      </text>
    </comment>
    <comment ref="N195" authorId="4" shapeId="0" xr:uid="{03BF9D47-32F8-429E-B169-0FBB216A951A}">
      <text>
        <r>
          <rPr>
            <b/>
            <sz val="9"/>
            <color indexed="81"/>
            <rFont val="Tahoma"/>
            <family val="2"/>
          </rPr>
          <t>Kaylil Baptiste:</t>
        </r>
        <r>
          <rPr>
            <sz val="9"/>
            <color indexed="81"/>
            <rFont val="Tahoma"/>
            <family val="2"/>
          </rPr>
          <t xml:space="preserve">
50mins changing spacer on starwheel</t>
        </r>
      </text>
    </comment>
    <comment ref="O195" authorId="0" shapeId="0" xr:uid="{CD7CDD65-642E-4901-B4AC-25DB7B6772F6}">
      <text>
        <r>
          <rPr>
            <b/>
            <sz val="9"/>
            <color indexed="81"/>
            <rFont val="Tahoma"/>
            <family val="2"/>
          </rPr>
          <t>Micah Noel:</t>
        </r>
        <r>
          <rPr>
            <sz val="9"/>
            <color indexed="81"/>
            <rFont val="Tahoma"/>
            <family val="2"/>
          </rPr>
          <t xml:space="preserve">
All bottles rejecting Technician called to make adjustment</t>
        </r>
      </text>
    </comment>
    <comment ref="O197" authorId="0" shapeId="0" xr:uid="{9DD10144-4146-443E-AE60-658BBE126D3D}">
      <text>
        <r>
          <rPr>
            <b/>
            <sz val="9"/>
            <color indexed="81"/>
            <rFont val="Tahoma"/>
            <family val="2"/>
          </rPr>
          <t>Micah Noel:</t>
        </r>
        <r>
          <rPr>
            <sz val="9"/>
            <color indexed="81"/>
            <rFont val="Tahoma"/>
            <family val="2"/>
          </rPr>
          <t xml:space="preserve">
E&amp;I Tech making adjustment to stop heavy rejection</t>
        </r>
      </text>
    </comment>
    <comment ref="N201" authorId="4" shapeId="0" xr:uid="{E58A1D34-A9DC-4DC1-8E22-1D0A840A5433}">
      <text>
        <r>
          <rPr>
            <b/>
            <sz val="9"/>
            <color indexed="81"/>
            <rFont val="Tahoma"/>
            <family val="2"/>
          </rPr>
          <t>Kaylil Baptiste:</t>
        </r>
        <r>
          <rPr>
            <sz val="9"/>
            <color indexed="81"/>
            <rFont val="Tahoma"/>
            <family val="2"/>
          </rPr>
          <t xml:space="preserve">
replacing starwheel ring</t>
        </r>
      </text>
    </comment>
    <comment ref="AA202" authorId="0" shapeId="0" xr:uid="{7F215AB7-DBD8-43C1-9041-E1FB132208EE}">
      <text>
        <r>
          <rPr>
            <b/>
            <sz val="9"/>
            <color indexed="81"/>
            <rFont val="Tahoma"/>
            <family val="2"/>
          </rPr>
          <t>Micah Noel:</t>
        </r>
        <r>
          <rPr>
            <sz val="9"/>
            <color indexed="81"/>
            <rFont val="Tahoma"/>
            <family val="2"/>
          </rPr>
          <t xml:space="preserve">
Label stuck on osw rail</t>
        </r>
      </text>
    </comment>
    <comment ref="V207" authorId="0" shapeId="0" xr:uid="{C249CF0F-642C-44E8-9E35-8BE6655995F1}">
      <text>
        <r>
          <rPr>
            <b/>
            <sz val="9"/>
            <color indexed="81"/>
            <rFont val="Tahoma"/>
            <family val="2"/>
          </rPr>
          <t>Micah Noel:</t>
        </r>
        <r>
          <rPr>
            <sz val="9"/>
            <color indexed="81"/>
            <rFont val="Tahoma"/>
            <family val="2"/>
          </rPr>
          <t xml:space="preserve">
checking for reason for sensor malfunction</t>
        </r>
      </text>
    </comment>
    <comment ref="T208" authorId="2" shapeId="0" xr:uid="{790CDB6E-C363-405D-AD3B-5D93E0404394}">
      <text>
        <r>
          <rPr>
            <b/>
            <sz val="9"/>
            <color indexed="81"/>
            <rFont val="Tahoma"/>
            <family val="2"/>
          </rPr>
          <t>Michael Julien:</t>
        </r>
        <r>
          <rPr>
            <sz val="9"/>
            <color indexed="81"/>
            <rFont val="Tahoma"/>
            <family val="2"/>
          </rPr>
          <t xml:space="preserve">
Adjusting dead plate</t>
        </r>
      </text>
    </comment>
    <comment ref="O214" authorId="0" shapeId="0" xr:uid="{FFDB9F41-136F-4D29-A7B0-7D869D431508}">
      <text>
        <r>
          <rPr>
            <b/>
            <sz val="9"/>
            <color indexed="81"/>
            <rFont val="Tahoma"/>
            <family val="2"/>
          </rPr>
          <t>Micah Noel:</t>
        </r>
        <r>
          <rPr>
            <sz val="9"/>
            <color indexed="81"/>
            <rFont val="Tahoma"/>
            <family val="2"/>
          </rPr>
          <t xml:space="preserve">
ENI tech making adjustment to stop high rejection</t>
        </r>
      </text>
    </comment>
    <comment ref="P221" authorId="0" shapeId="0" xr:uid="{4B1D9786-C5D6-47A8-8EC0-D84F816981CB}">
      <text>
        <r>
          <rPr>
            <b/>
            <sz val="9"/>
            <color indexed="81"/>
            <rFont val="Tahoma"/>
            <family val="2"/>
          </rPr>
          <t>Micah Noel:</t>
        </r>
        <r>
          <rPr>
            <sz val="9"/>
            <color indexed="81"/>
            <rFont val="Tahoma"/>
            <family val="2"/>
          </rPr>
          <t xml:space="preserve">
EBI rejecting all bottles Technician called to make adjustment</t>
        </r>
      </text>
    </comment>
    <comment ref="AA225" authorId="0" shapeId="0" xr:uid="{0721F3C2-9D3C-49AD-9FD5-3ABA81F77A46}">
      <text>
        <r>
          <rPr>
            <b/>
            <sz val="9"/>
            <color indexed="81"/>
            <rFont val="Tahoma"/>
            <family val="2"/>
          </rPr>
          <t>Micah Noel:</t>
        </r>
        <r>
          <rPr>
            <sz val="9"/>
            <color indexed="81"/>
            <rFont val="Tahoma"/>
            <family val="2"/>
          </rPr>
          <t xml:space="preserve">
2 mins label stuck on base camera lens</t>
        </r>
      </text>
    </comment>
    <comment ref="AA227" authorId="0" shapeId="0" xr:uid="{F4CB9C5A-B1E7-4F78-B618-FE03CA91C3FB}">
      <text>
        <r>
          <rPr>
            <b/>
            <sz val="9"/>
            <color indexed="81"/>
            <rFont val="Tahoma"/>
            <family val="2"/>
          </rPr>
          <t>Micah Noel:</t>
        </r>
        <r>
          <rPr>
            <sz val="9"/>
            <color indexed="81"/>
            <rFont val="Tahoma"/>
            <family val="2"/>
          </rPr>
          <t xml:space="preserve">
label stuck on sensor (heavy inner side wall rejections)</t>
        </r>
      </text>
    </comment>
    <comment ref="U229" authorId="4" shapeId="0" xr:uid="{AE9C98B5-1F1C-4DFB-A010-08FDA1AB0948}">
      <text>
        <r>
          <rPr>
            <b/>
            <sz val="9"/>
            <color indexed="81"/>
            <rFont val="Tahoma"/>
            <family val="2"/>
          </rPr>
          <t>Kaylil Baptiste:</t>
        </r>
        <r>
          <rPr>
            <sz val="9"/>
            <color indexed="81"/>
            <rFont val="Tahoma"/>
            <family val="2"/>
          </rPr>
          <t xml:space="preserve">
broken bottles below starwheel</t>
        </r>
      </text>
    </comment>
    <comment ref="T251" authorId="1" shapeId="0" xr:uid="{F1ACD0ED-5C2B-413D-BB4A-D32A8E411280}">
      <text>
        <r>
          <rPr>
            <b/>
            <sz val="9"/>
            <color indexed="81"/>
            <rFont val="Tahoma"/>
            <family val="2"/>
          </rPr>
          <t>Dorien Andrew:</t>
        </r>
        <r>
          <rPr>
            <sz val="9"/>
            <color indexed="81"/>
            <rFont val="Tahoma"/>
            <family val="2"/>
          </rPr>
          <t xml:space="preserve">
switching seal ring on star wheel</t>
        </r>
      </text>
    </comment>
    <comment ref="T252" authorId="0" shapeId="0" xr:uid="{8AE4C5D6-1777-4601-A4B1-79367CB21878}">
      <text>
        <r>
          <rPr>
            <b/>
            <sz val="9"/>
            <color indexed="81"/>
            <rFont val="Tahoma"/>
            <family val="2"/>
          </rPr>
          <t>Micah Noel:</t>
        </r>
        <r>
          <rPr>
            <sz val="9"/>
            <color indexed="81"/>
            <rFont val="Tahoma"/>
            <family val="2"/>
          </rPr>
          <t xml:space="preserve">
bent transfer plate </t>
        </r>
      </text>
    </comment>
    <comment ref="U252" authorId="4" shapeId="0" xr:uid="{377BF934-EE19-40B0-A6F1-9821F556E66A}">
      <text>
        <r>
          <rPr>
            <b/>
            <sz val="9"/>
            <color indexed="81"/>
            <rFont val="Tahoma"/>
            <family val="2"/>
          </rPr>
          <t>Kaylil Baptiste:</t>
        </r>
        <r>
          <rPr>
            <sz val="9"/>
            <color indexed="81"/>
            <rFont val="Tahoma"/>
            <family val="2"/>
          </rPr>
          <t xml:space="preserve">
jamming</t>
        </r>
      </text>
    </comment>
    <comment ref="S254" authorId="0" shapeId="0" xr:uid="{8A7B6FBB-60FD-4B1B-A1BF-72D39EF5F119}">
      <text>
        <r>
          <rPr>
            <b/>
            <sz val="9"/>
            <color indexed="81"/>
            <rFont val="Tahoma"/>
            <family val="2"/>
          </rPr>
          <t>Micah Noel:</t>
        </r>
        <r>
          <rPr>
            <sz val="9"/>
            <color indexed="81"/>
            <rFont val="Tahoma"/>
            <family val="2"/>
          </rPr>
          <t xml:space="preserve">
Unit running slow</t>
        </r>
      </text>
    </comment>
    <comment ref="AA254" authorId="0" shapeId="0" xr:uid="{45F6A55A-FC7B-45B1-930E-607410497F8A}">
      <text>
        <r>
          <rPr>
            <b/>
            <sz val="9"/>
            <color indexed="81"/>
            <rFont val="Tahoma"/>
            <family val="2"/>
          </rPr>
          <t>Micah Noel:</t>
        </r>
        <r>
          <rPr>
            <sz val="9"/>
            <color indexed="81"/>
            <rFont val="Tahoma"/>
            <family val="2"/>
          </rPr>
          <t xml:space="preserve">
2 mins label stuck on OSW rail</t>
        </r>
      </text>
    </comment>
    <comment ref="AE254" authorId="0" shapeId="0" xr:uid="{396CA5E0-FFAF-4000-BB74-8A6DA4823711}">
      <text>
        <r>
          <rPr>
            <b/>
            <sz val="9"/>
            <color indexed="81"/>
            <rFont val="Tahoma"/>
            <family val="2"/>
          </rPr>
          <t>Micah Noel:</t>
        </r>
        <r>
          <rPr>
            <sz val="9"/>
            <color indexed="81"/>
            <rFont val="Tahoma"/>
            <family val="2"/>
          </rPr>
          <t xml:space="preserve">
67mins broken test bottle #3 (a new one had to be made)</t>
        </r>
      </text>
    </comment>
    <comment ref="D255" authorId="0" shapeId="0" xr:uid="{A7684036-8AE2-448B-A363-3ECA41A99290}">
      <text>
        <r>
          <rPr>
            <b/>
            <sz val="9"/>
            <color indexed="81"/>
            <rFont val="Tahoma"/>
            <family val="2"/>
          </rPr>
          <t>Micah Noel:</t>
        </r>
        <r>
          <rPr>
            <sz val="9"/>
            <color indexed="81"/>
            <rFont val="Tahoma"/>
            <family val="2"/>
          </rPr>
          <t xml:space="preserve">
frozen screen</t>
        </r>
      </text>
    </comment>
    <comment ref="AA255" authorId="0" shapeId="0" xr:uid="{566A99CF-DD6A-4A82-BC33-84D70600D437}">
      <text>
        <r>
          <rPr>
            <b/>
            <sz val="9"/>
            <color indexed="81"/>
            <rFont val="Tahoma"/>
            <family val="2"/>
          </rPr>
          <t>Micah Noel:</t>
        </r>
        <r>
          <rPr>
            <sz val="9"/>
            <color indexed="81"/>
            <rFont val="Tahoma"/>
            <family val="2"/>
          </rPr>
          <t xml:space="preserve">
Label stuck on OSW rail</t>
        </r>
      </text>
    </comment>
    <comment ref="N259" authorId="4" shapeId="0" xr:uid="{147A3A61-1AA6-4629-9F8A-FA3EEE76892B}">
      <text>
        <r>
          <rPr>
            <b/>
            <sz val="9"/>
            <color indexed="81"/>
            <rFont val="Tahoma"/>
            <family val="2"/>
          </rPr>
          <t>Kaylil Baptiste:</t>
        </r>
        <r>
          <rPr>
            <sz val="9"/>
            <color indexed="81"/>
            <rFont val="Tahoma"/>
            <family val="2"/>
          </rPr>
          <t xml:space="preserve">
adjustment to starwheel</t>
        </r>
      </text>
    </comment>
    <comment ref="AA263" authorId="0" shapeId="0" xr:uid="{1885F9F4-D621-44FB-A758-81ACE89A820D}">
      <text>
        <r>
          <rPr>
            <b/>
            <sz val="9"/>
            <color indexed="81"/>
            <rFont val="Tahoma"/>
            <family val="2"/>
          </rPr>
          <t>Micah Noel:</t>
        </r>
        <r>
          <rPr>
            <sz val="9"/>
            <color indexed="81"/>
            <rFont val="Tahoma"/>
            <family val="2"/>
          </rPr>
          <t xml:space="preserve">
label stuck on OSW rail</t>
        </r>
      </text>
    </comment>
    <comment ref="AG266" authorId="2" shapeId="0" xr:uid="{EA4CB063-00DA-4D90-9F21-190922F8EACC}">
      <text>
        <r>
          <rPr>
            <b/>
            <sz val="9"/>
            <color indexed="81"/>
            <rFont val="Tahoma"/>
            <family val="2"/>
          </rPr>
          <t>Michael Julien:</t>
        </r>
        <r>
          <rPr>
            <sz val="9"/>
            <color indexed="81"/>
            <rFont val="Tahoma"/>
            <family val="2"/>
          </rPr>
          <t xml:space="preserve">
maintenance cleaning EBI base glass
</t>
        </r>
      </text>
    </comment>
    <comment ref="P268" authorId="4" shapeId="0" xr:uid="{D1BB1775-6314-46A2-AA1F-62FEF8F7B073}">
      <text>
        <r>
          <rPr>
            <b/>
            <sz val="9"/>
            <color indexed="81"/>
            <rFont val="Tahoma"/>
            <family val="2"/>
          </rPr>
          <t>Kaylil Baptiste:</t>
        </r>
        <r>
          <rPr>
            <sz val="9"/>
            <color indexed="81"/>
            <rFont val="Tahoma"/>
            <family val="2"/>
          </rPr>
          <t xml:space="preserve">
all bottles rejecting </t>
        </r>
      </text>
    </comment>
    <comment ref="N278" authorId="0" shapeId="0" xr:uid="{9CD7024A-ADB2-4499-8520-E75B166A7083}">
      <text>
        <r>
          <rPr>
            <b/>
            <sz val="9"/>
            <color indexed="81"/>
            <rFont val="Tahoma"/>
            <family val="2"/>
          </rPr>
          <t>Micah Noel:</t>
        </r>
        <r>
          <rPr>
            <sz val="9"/>
            <color indexed="81"/>
            <rFont val="Tahoma"/>
            <family val="2"/>
          </rPr>
          <t xml:space="preserve">
maintenance adjustment </t>
        </r>
      </text>
    </comment>
    <comment ref="AA287" authorId="0" shapeId="0" xr:uid="{69094260-4FDE-4DD4-B3BD-6DDB9D36F325}">
      <text>
        <r>
          <rPr>
            <b/>
            <sz val="9"/>
            <color indexed="81"/>
            <rFont val="Tahoma"/>
            <family val="2"/>
          </rPr>
          <t>Micah Noel:</t>
        </r>
        <r>
          <rPr>
            <sz val="9"/>
            <color indexed="81"/>
            <rFont val="Tahoma"/>
            <family val="2"/>
          </rPr>
          <t xml:space="preserve">
label stuck on OSW rail</t>
        </r>
      </text>
    </comment>
    <comment ref="C315" authorId="3" shapeId="0" xr:uid="{BD4661B0-5F68-49DF-A70B-C84FD4121334}">
      <text>
        <r>
          <rPr>
            <b/>
            <sz val="9"/>
            <color indexed="81"/>
            <rFont val="Tahoma"/>
            <family val="2"/>
          </rPr>
          <t>Tyrell Bartholomew:</t>
        </r>
        <r>
          <rPr>
            <sz val="9"/>
            <color indexed="81"/>
            <rFont val="Tahoma"/>
            <family val="2"/>
          </rPr>
          <t xml:space="preserve">
7mins restarting EBI</t>
        </r>
      </text>
    </comment>
    <comment ref="AA321" authorId="0" shapeId="0" xr:uid="{8DE323CF-EEDA-4F4D-9323-6886A26E6A56}">
      <text>
        <r>
          <rPr>
            <b/>
            <sz val="9"/>
            <color indexed="81"/>
            <rFont val="Tahoma"/>
            <family val="2"/>
          </rPr>
          <t>Micah Noel:</t>
        </r>
        <r>
          <rPr>
            <sz val="9"/>
            <color indexed="81"/>
            <rFont val="Tahoma"/>
            <family val="2"/>
          </rPr>
          <t xml:space="preserve">
6 mins label stuck on OSW</t>
        </r>
      </text>
    </comment>
    <comment ref="I324" authorId="3" shapeId="0" xr:uid="{83242AFF-98F2-4638-B1F0-85696DB02988}">
      <text>
        <r>
          <rPr>
            <b/>
            <sz val="9"/>
            <color indexed="81"/>
            <rFont val="Tahoma"/>
            <family val="2"/>
          </rPr>
          <t>Tyrell Bartholomew:</t>
        </r>
        <r>
          <rPr>
            <sz val="9"/>
            <color indexed="81"/>
            <rFont val="Tahoma"/>
            <family val="2"/>
          </rPr>
          <t xml:space="preserve">
21mins maintenance making adjustment to base camera setting.</t>
        </r>
      </text>
    </comment>
    <comment ref="K324" authorId="3" shapeId="0" xr:uid="{AD29CB1E-FCBB-44A5-9CE1-ADD865A49B0B}">
      <text>
        <r>
          <rPr>
            <b/>
            <sz val="9"/>
            <color indexed="81"/>
            <rFont val="Tahoma"/>
            <family val="2"/>
          </rPr>
          <t>Tyrell Bartholomew:</t>
        </r>
        <r>
          <rPr>
            <sz val="9"/>
            <color indexed="81"/>
            <rFont val="Tahoma"/>
            <family val="2"/>
          </rPr>
          <t xml:space="preserve">
9mins heavy rejection, table full.</t>
        </r>
      </text>
    </comment>
    <comment ref="K326" authorId="3" shapeId="0" xr:uid="{20078ABF-0D4E-4A11-A357-3429F204F03C}">
      <text>
        <r>
          <rPr>
            <b/>
            <sz val="9"/>
            <color indexed="81"/>
            <rFont val="Tahoma"/>
            <family val="2"/>
          </rPr>
          <t>Tyrell Bartholomew:</t>
        </r>
        <r>
          <rPr>
            <sz val="9"/>
            <color indexed="81"/>
            <rFont val="Tahoma"/>
            <family val="2"/>
          </rPr>
          <t xml:space="preserve">
9mins heavy consecutive rejection, table full.</t>
        </r>
      </text>
    </comment>
    <comment ref="N330" authorId="0" shapeId="0" xr:uid="{AA908085-BC34-4FD9-88EE-0C3F8F6F1210}">
      <text>
        <r>
          <rPr>
            <b/>
            <sz val="9"/>
            <color indexed="81"/>
            <rFont val="Tahoma"/>
            <family val="2"/>
          </rPr>
          <t>Micah Noel:</t>
        </r>
        <r>
          <rPr>
            <sz val="9"/>
            <color indexed="81"/>
            <rFont val="Tahoma"/>
            <family val="2"/>
          </rPr>
          <t xml:space="preserve">
EnI tech making adjustments </t>
        </r>
      </text>
    </comment>
    <comment ref="T330" authorId="0" shapeId="0" xr:uid="{77DC313E-1F12-4E67-98AB-B0D97B913F83}">
      <text>
        <r>
          <rPr>
            <b/>
            <sz val="9"/>
            <color indexed="81"/>
            <rFont val="Tahoma"/>
            <family val="2"/>
          </rPr>
          <t>Micah Noel:</t>
        </r>
        <r>
          <rPr>
            <sz val="9"/>
            <color indexed="81"/>
            <rFont val="Tahoma"/>
            <family val="2"/>
          </rPr>
          <t xml:space="preserve">
20mins ENI adjustment to starwhel</t>
        </r>
      </text>
    </comment>
    <comment ref="K331" authorId="4" shapeId="0" xr:uid="{AD4C5C98-7BF6-45C6-B459-1222C30B1897}">
      <text>
        <r>
          <rPr>
            <b/>
            <sz val="9"/>
            <color indexed="81"/>
            <rFont val="Tahoma"/>
            <family val="2"/>
          </rPr>
          <t>Kaylil Baptiste:</t>
        </r>
        <r>
          <rPr>
            <sz val="9"/>
            <color indexed="81"/>
            <rFont val="Tahoma"/>
            <family val="2"/>
          </rPr>
          <t xml:space="preserve">
bottles hitting dead plate and going unto rejection table</t>
        </r>
      </text>
    </comment>
    <comment ref="I332" authorId="3" shapeId="0" xr:uid="{C1A6B031-0B8D-4840-89D4-A45BD1185E53}">
      <text>
        <r>
          <rPr>
            <b/>
            <sz val="9"/>
            <color indexed="81"/>
            <rFont val="Tahoma"/>
            <family val="2"/>
          </rPr>
          <t>Tyrell Bartholomew:</t>
        </r>
        <r>
          <rPr>
            <sz val="9"/>
            <color indexed="81"/>
            <rFont val="Tahoma"/>
            <family val="2"/>
          </rPr>
          <t xml:space="preserve">
23mins maintenance cleaning base camera lense.</t>
        </r>
      </text>
    </comment>
    <comment ref="N332" authorId="3" shapeId="0" xr:uid="{643D8319-B511-40BC-96F2-925819AF52FE}">
      <text>
        <r>
          <rPr>
            <b/>
            <sz val="9"/>
            <color indexed="81"/>
            <rFont val="Tahoma"/>
            <family val="2"/>
          </rPr>
          <t>Tyrell Bartholomew:</t>
        </r>
        <r>
          <rPr>
            <sz val="9"/>
            <color indexed="81"/>
            <rFont val="Tahoma"/>
            <family val="2"/>
          </rPr>
          <t xml:space="preserve">
ENI tech making adjustments.</t>
        </r>
      </text>
    </comment>
    <comment ref="AA332" authorId="0" shapeId="0" xr:uid="{30563347-5BCE-460B-B971-9F811CD00BFE}">
      <text>
        <r>
          <rPr>
            <b/>
            <sz val="9"/>
            <color indexed="81"/>
            <rFont val="Tahoma"/>
            <family val="2"/>
          </rPr>
          <t>Micah Noel:</t>
        </r>
        <r>
          <rPr>
            <sz val="9"/>
            <color indexed="81"/>
            <rFont val="Tahoma"/>
            <family val="2"/>
          </rPr>
          <t xml:space="preserve">
3 Mins label stuck on OSW glass</t>
        </r>
      </text>
    </comment>
    <comment ref="T374" authorId="0" shapeId="0" xr:uid="{AF03161C-D937-4580-AFAA-FD166CDF3780}">
      <text>
        <r>
          <rPr>
            <b/>
            <sz val="9"/>
            <color indexed="81"/>
            <rFont val="Tahoma"/>
            <family val="2"/>
          </rPr>
          <t>Micah Noel:</t>
        </r>
        <r>
          <rPr>
            <sz val="9"/>
            <color indexed="81"/>
            <rFont val="Tahoma"/>
            <family val="2"/>
          </rPr>
          <t xml:space="preserve">
adjustment to starwheel</t>
        </r>
      </text>
    </comment>
    <comment ref="AE375" authorId="4" shapeId="0" xr:uid="{74DBE0C0-FBC1-419E-B50B-E9628680CDF7}">
      <text>
        <r>
          <rPr>
            <b/>
            <sz val="9"/>
            <color indexed="81"/>
            <rFont val="Tahoma"/>
            <family val="2"/>
          </rPr>
          <t>Kaylil Baptiste:</t>
        </r>
        <r>
          <rPr>
            <sz val="9"/>
            <color indexed="81"/>
            <rFont val="Tahoma"/>
            <family val="2"/>
          </rPr>
          <t xml:space="preserve">
#5</t>
        </r>
      </text>
    </comment>
    <comment ref="AA381" authorId="0" shapeId="0" xr:uid="{93BE0825-5C7C-47F1-A1D6-D281641FCAC2}">
      <text>
        <r>
          <rPr>
            <b/>
            <sz val="9"/>
            <color indexed="81"/>
            <rFont val="Tahoma"/>
            <family val="2"/>
          </rPr>
          <t>Micah Noel:</t>
        </r>
        <r>
          <rPr>
            <sz val="9"/>
            <color indexed="81"/>
            <rFont val="Tahoma"/>
            <family val="2"/>
          </rPr>
          <t xml:space="preserve">
3 mins label stuck on OSR</t>
        </r>
      </text>
    </comment>
    <comment ref="AA388" authorId="0" shapeId="0" xr:uid="{6B426318-D5B5-4831-8671-6848E1725670}">
      <text>
        <r>
          <rPr>
            <b/>
            <sz val="9"/>
            <color indexed="81"/>
            <rFont val="Tahoma"/>
            <family val="2"/>
          </rPr>
          <t>Micah Noel:</t>
        </r>
        <r>
          <rPr>
            <sz val="9"/>
            <color indexed="81"/>
            <rFont val="Tahoma"/>
            <family val="2"/>
          </rPr>
          <t xml:space="preserve">
label stuck on base </t>
        </r>
      </text>
    </comment>
    <comment ref="K390" authorId="3" shapeId="0" xr:uid="{83AC177C-843B-4D2F-90B5-B4A4B9B99A46}">
      <text>
        <r>
          <rPr>
            <b/>
            <sz val="9"/>
            <color indexed="81"/>
            <rFont val="Tahoma"/>
            <family val="2"/>
          </rPr>
          <t>Tyrell Bartholomew:</t>
        </r>
        <r>
          <rPr>
            <sz val="9"/>
            <color indexed="81"/>
            <rFont val="Tahoma"/>
            <family val="2"/>
          </rPr>
          <t xml:space="preserve">
table full, heavy rejection.</t>
        </r>
      </text>
    </comment>
    <comment ref="AA393" authorId="0" shapeId="0" xr:uid="{F3CC7E6B-397A-4F52-B8A3-FA488426A011}">
      <text>
        <r>
          <rPr>
            <b/>
            <sz val="9"/>
            <color indexed="81"/>
            <rFont val="Tahoma"/>
            <family val="2"/>
          </rPr>
          <t>Micah Noel:</t>
        </r>
        <r>
          <rPr>
            <sz val="9"/>
            <color indexed="81"/>
            <rFont val="Tahoma"/>
            <family val="2"/>
          </rPr>
          <t xml:space="preserve">
3 mins label stuck on osw rail</t>
        </r>
      </text>
    </comment>
    <comment ref="AA395" authorId="0" shapeId="0" xr:uid="{82058A09-AB57-469A-A1C6-621DF03C0CBE}">
      <text>
        <r>
          <rPr>
            <b/>
            <sz val="9"/>
            <color indexed="81"/>
            <rFont val="Tahoma"/>
            <family val="2"/>
          </rPr>
          <t>Micah Noel:</t>
        </r>
        <r>
          <rPr>
            <sz val="9"/>
            <color indexed="81"/>
            <rFont val="Tahoma"/>
            <family val="2"/>
          </rPr>
          <t xml:space="preserve">
label stuck on osw glass</t>
        </r>
      </text>
    </comment>
    <comment ref="C404" authorId="4" shapeId="0" xr:uid="{80B1E70C-B2CE-4554-8342-7449AB5F304A}">
      <text>
        <r>
          <rPr>
            <b/>
            <sz val="9"/>
            <color indexed="81"/>
            <rFont val="Tahoma"/>
            <family val="2"/>
          </rPr>
          <t>Kaylil Baptiste:</t>
        </r>
        <r>
          <rPr>
            <sz val="9"/>
            <color indexed="81"/>
            <rFont val="Tahoma"/>
            <family val="2"/>
          </rPr>
          <t xml:space="preserve">
malfunction on EBI starwheel</t>
        </r>
      </text>
    </comment>
    <comment ref="V414" authorId="0" shapeId="0" xr:uid="{C99660F7-0C9C-476F-9BCA-59F9AF1CFAA6}">
      <text>
        <r>
          <rPr>
            <b/>
            <sz val="9"/>
            <color indexed="81"/>
            <rFont val="Tahoma"/>
            <family val="2"/>
          </rPr>
          <t>Micah Noel:</t>
        </r>
        <r>
          <rPr>
            <sz val="9"/>
            <color indexed="81"/>
            <rFont val="Tahoma"/>
            <family val="2"/>
          </rPr>
          <t xml:space="preserve">
from end of filler change over (1907) to end of shift (2100) EBI rejecting all bottles that enter unit (bottling had to be aborted)</t>
        </r>
      </text>
    </comment>
    <comment ref="N415" authorId="4" shapeId="0" xr:uid="{95EF1D86-D188-465B-8479-0F2974112FB8}">
      <text>
        <r>
          <rPr>
            <b/>
            <sz val="9"/>
            <color indexed="81"/>
            <rFont val="Tahoma"/>
            <family val="2"/>
          </rPr>
          <t>Kaylil Baptiste:</t>
        </r>
        <r>
          <rPr>
            <sz val="9"/>
            <color indexed="81"/>
            <rFont val="Tahoma"/>
            <family val="2"/>
          </rPr>
          <t xml:space="preserve">
31mins tech making adjustment to EBI</t>
        </r>
      </text>
    </comment>
    <comment ref="O415" authorId="4" shapeId="0" xr:uid="{B02AE17C-423C-436B-A937-BA13CE9DDB45}">
      <text>
        <r>
          <rPr>
            <b/>
            <sz val="9"/>
            <color indexed="81"/>
            <rFont val="Tahoma"/>
            <family val="2"/>
          </rPr>
          <t>Kaylil Baptiste:</t>
        </r>
        <r>
          <rPr>
            <sz val="9"/>
            <color indexed="81"/>
            <rFont val="Tahoma"/>
            <family val="2"/>
          </rPr>
          <t xml:space="preserve">
consecutive rejection on neck finish</t>
        </r>
      </text>
    </comment>
    <comment ref="AA416" authorId="0" shapeId="0" xr:uid="{4EF257BC-64E4-4AC3-B139-7296A27DBFA9}">
      <text>
        <r>
          <rPr>
            <b/>
            <sz val="9"/>
            <color indexed="81"/>
            <rFont val="Tahoma"/>
            <family val="2"/>
          </rPr>
          <t>Micah Noel:</t>
        </r>
        <r>
          <rPr>
            <sz val="9"/>
            <color indexed="81"/>
            <rFont val="Tahoma"/>
            <family val="2"/>
          </rPr>
          <t xml:space="preserve">
label stuck on OSW rail</t>
        </r>
      </text>
    </comment>
    <comment ref="N420" authorId="4" shapeId="0" xr:uid="{6215F966-8CE3-4DB6-9D67-A46694B18C6E}">
      <text>
        <r>
          <rPr>
            <b/>
            <sz val="9"/>
            <color indexed="81"/>
            <rFont val="Tahoma"/>
            <family val="2"/>
          </rPr>
          <t>Kaylil Baptiste:</t>
        </r>
        <r>
          <rPr>
            <sz val="9"/>
            <color indexed="81"/>
            <rFont val="Tahoma"/>
            <family val="2"/>
          </rPr>
          <t xml:space="preserve">
adjustment to starwheel</t>
        </r>
      </text>
    </comment>
    <comment ref="N422" authorId="0" shapeId="0" xr:uid="{700E7ABB-439D-4577-AD7C-AB03ED74AD18}">
      <text>
        <r>
          <rPr>
            <b/>
            <sz val="9"/>
            <color indexed="81"/>
            <rFont val="Tahoma"/>
            <family val="2"/>
          </rPr>
          <t>Micah Noel:</t>
        </r>
        <r>
          <rPr>
            <sz val="9"/>
            <color indexed="81"/>
            <rFont val="Tahoma"/>
            <family val="2"/>
          </rPr>
          <t xml:space="preserve">
EBI rejecting all bottles ENI tech making adjustment</t>
        </r>
      </text>
    </comment>
    <comment ref="N435" authorId="0" shapeId="0" xr:uid="{031FC539-D401-4994-B85D-CA2F306C72F8}">
      <text>
        <r>
          <rPr>
            <b/>
            <sz val="9"/>
            <color indexed="81"/>
            <rFont val="Tahoma"/>
            <family val="2"/>
          </rPr>
          <t>Micah Noel:</t>
        </r>
        <r>
          <rPr>
            <sz val="9"/>
            <color indexed="81"/>
            <rFont val="Tahoma"/>
            <family val="2"/>
          </rPr>
          <t xml:space="preserve">
due to high rejection on neck finish and OSW ENI tech was called in to make the necessary adjustment</t>
        </r>
      </text>
    </comment>
    <comment ref="AA436" authorId="0" shapeId="0" xr:uid="{4CF297CE-7B4A-431F-BD4F-B05AE637B2FB}">
      <text>
        <r>
          <rPr>
            <b/>
            <sz val="9"/>
            <color indexed="81"/>
            <rFont val="Tahoma"/>
            <family val="2"/>
          </rPr>
          <t>Micah Noel:</t>
        </r>
        <r>
          <rPr>
            <sz val="9"/>
            <color indexed="81"/>
            <rFont val="Tahoma"/>
            <family val="2"/>
          </rPr>
          <t xml:space="preserve">
label stuck on OSW rail</t>
        </r>
      </text>
    </comment>
    <comment ref="O437" authorId="5" shapeId="0" xr:uid="{F496B41A-5289-4809-98BA-DB321B166A67}">
      <text>
        <r>
          <rPr>
            <b/>
            <sz val="9"/>
            <color indexed="81"/>
            <rFont val="Tahoma"/>
            <family val="2"/>
          </rPr>
          <t>Reshelle Fleming:</t>
        </r>
        <r>
          <rPr>
            <sz val="9"/>
            <color indexed="81"/>
            <rFont val="Tahoma"/>
            <family val="2"/>
          </rPr>
          <t xml:space="preserve">
2mins hevy rejection - Neck finish, 4mins OSW table fill</t>
        </r>
      </text>
    </comment>
    <comment ref="U437" authorId="5" shapeId="0" xr:uid="{9C9EF1A5-0FB2-4FB6-A6D9-39D0834F5F2C}">
      <text>
        <r>
          <rPr>
            <b/>
            <sz val="9"/>
            <color indexed="81"/>
            <rFont val="Tahoma"/>
            <family val="2"/>
          </rPr>
          <t>Reshelle Fleming:</t>
        </r>
        <r>
          <rPr>
            <sz val="9"/>
            <color indexed="81"/>
            <rFont val="Tahoma"/>
            <family val="2"/>
          </rPr>
          <t xml:space="preserve">
2mins fallen bottles in EBI starwheel
2mins incorrect bottles stuck in starwheel, 3mins fallen bottles stick in starwheel </t>
        </r>
      </text>
    </comment>
    <comment ref="X438" authorId="2" shapeId="0" xr:uid="{B1C9C931-CA00-485A-9EB9-F07A14C05DD1}">
      <text>
        <r>
          <rPr>
            <b/>
            <sz val="9"/>
            <color indexed="81"/>
            <rFont val="Tahoma"/>
            <family val="2"/>
          </rPr>
          <t>Michael Julien:</t>
        </r>
        <r>
          <rPr>
            <sz val="9"/>
            <color indexed="81"/>
            <rFont val="Tahoma"/>
            <family val="2"/>
          </rPr>
          <t xml:space="preserve">
label on glass</t>
        </r>
      </text>
    </comment>
    <comment ref="U440" authorId="5" shapeId="0" xr:uid="{AE6EE54F-65C4-4570-9DF5-0B9CF0A6F93C}">
      <text>
        <r>
          <rPr>
            <b/>
            <sz val="9"/>
            <color indexed="81"/>
            <rFont val="Tahoma"/>
            <family val="2"/>
          </rPr>
          <t>Reshelle Fleming:</t>
        </r>
        <r>
          <rPr>
            <sz val="9"/>
            <color indexed="81"/>
            <rFont val="Tahoma"/>
            <family val="2"/>
          </rPr>
          <t xml:space="preserve">
9mins fallen bottles stuck in starwheel </t>
        </r>
      </text>
    </comment>
    <comment ref="AA440" authorId="5" shapeId="0" xr:uid="{326939D5-5ECC-4EB9-82DF-34D75FBAC672}">
      <text>
        <r>
          <rPr>
            <b/>
            <sz val="9"/>
            <color indexed="81"/>
            <rFont val="Tahoma"/>
            <family val="2"/>
          </rPr>
          <t>Reshelle Fleming:</t>
        </r>
        <r>
          <rPr>
            <sz val="9"/>
            <color indexed="81"/>
            <rFont val="Tahoma"/>
            <family val="2"/>
          </rPr>
          <t xml:space="preserve">
2mins labels blocking camera </t>
        </r>
      </text>
    </comment>
    <comment ref="O441" authorId="5" shapeId="0" xr:uid="{CC112E49-5092-494A-A74B-485306228E79}">
      <text>
        <r>
          <rPr>
            <b/>
            <sz val="9"/>
            <color indexed="81"/>
            <rFont val="Tahoma"/>
            <family val="2"/>
          </rPr>
          <t>Reshelle Fleming:</t>
        </r>
        <r>
          <rPr>
            <sz val="9"/>
            <color indexed="81"/>
            <rFont val="Tahoma"/>
            <family val="2"/>
          </rPr>
          <t xml:space="preserve">
17mins High rejection - Old bottles </t>
        </r>
      </text>
    </comment>
    <comment ref="O442" authorId="5" shapeId="0" xr:uid="{088DBD9A-4C65-4B71-93C2-661D55F40EAA}">
      <text>
        <r>
          <rPr>
            <b/>
            <sz val="9"/>
            <color indexed="81"/>
            <rFont val="Tahoma"/>
            <family val="2"/>
          </rPr>
          <t>Reshelle Fleming:</t>
        </r>
        <r>
          <rPr>
            <sz val="9"/>
            <color indexed="81"/>
            <rFont val="Tahoma"/>
            <family val="2"/>
          </rPr>
          <t xml:space="preserve">
6mins high rejection- Neck finish</t>
        </r>
      </text>
    </comment>
    <comment ref="N443" authorId="5" shapeId="0" xr:uid="{4286633B-6DE7-4619-99C4-C3B68286CF45}">
      <text>
        <r>
          <rPr>
            <b/>
            <sz val="9"/>
            <color indexed="81"/>
            <rFont val="Tahoma"/>
            <family val="2"/>
          </rPr>
          <t>Reshelle Fleming:</t>
        </r>
        <r>
          <rPr>
            <sz val="9"/>
            <color indexed="81"/>
            <rFont val="Tahoma"/>
            <family val="2"/>
          </rPr>
          <t xml:space="preserve">
12mins making adjustments to EBI setting </t>
        </r>
      </text>
    </comment>
    <comment ref="O443" authorId="5" shapeId="0" xr:uid="{6808A58B-A7BC-45B5-9209-3176C850B04E}">
      <text>
        <r>
          <rPr>
            <b/>
            <sz val="9"/>
            <color indexed="81"/>
            <rFont val="Tahoma"/>
            <family val="2"/>
          </rPr>
          <t>Reshelle Fleming:</t>
        </r>
        <r>
          <rPr>
            <sz val="9"/>
            <color indexed="81"/>
            <rFont val="Tahoma"/>
            <family val="2"/>
          </rPr>
          <t xml:space="preserve">
5mins false rejection on EBI OSW </t>
        </r>
      </text>
    </comment>
    <comment ref="O446" authorId="5" shapeId="0" xr:uid="{427BA861-1B6E-4614-BA80-7310A863455B}">
      <text>
        <r>
          <rPr>
            <b/>
            <sz val="9"/>
            <color indexed="81"/>
            <rFont val="Tahoma"/>
            <family val="2"/>
          </rPr>
          <t>Reshelle Fleming:</t>
        </r>
        <r>
          <rPr>
            <sz val="9"/>
            <color indexed="81"/>
            <rFont val="Tahoma"/>
            <family val="2"/>
          </rPr>
          <t xml:space="preserve">
5mins NF</t>
        </r>
      </text>
    </comment>
    <comment ref="D450" authorId="0" shapeId="0" xr:uid="{A8FE48C4-683B-47C2-A009-83764926A34E}">
      <text>
        <r>
          <rPr>
            <b/>
            <sz val="9"/>
            <color indexed="81"/>
            <rFont val="Tahoma"/>
            <family val="2"/>
          </rPr>
          <t>Micah Noel:</t>
        </r>
        <r>
          <rPr>
            <sz val="9"/>
            <color indexed="81"/>
            <rFont val="Tahoma"/>
            <family val="2"/>
          </rPr>
          <t xml:space="preserve">
machine unresponsive</t>
        </r>
      </text>
    </comment>
    <comment ref="T450" authorId="0" shapeId="0" xr:uid="{146206E9-53D0-4697-86FA-43ADEC7B81CA}">
      <text>
        <r>
          <rPr>
            <b/>
            <sz val="9"/>
            <color indexed="81"/>
            <rFont val="Tahoma"/>
            <family val="2"/>
          </rPr>
          <t>Micah Noel:</t>
        </r>
        <r>
          <rPr>
            <sz val="9"/>
            <color indexed="81"/>
            <rFont val="Tahoma"/>
            <family val="2"/>
          </rPr>
          <t xml:space="preserve">
star wheel adjustment</t>
        </r>
      </text>
    </comment>
    <comment ref="C451" authorId="0" shapeId="0" xr:uid="{8B2F21E3-C00F-44A2-943E-69FBE2921DE8}">
      <text>
        <r>
          <rPr>
            <b/>
            <sz val="9"/>
            <color indexed="81"/>
            <rFont val="Tahoma"/>
            <family val="2"/>
          </rPr>
          <t>Micah Noel:</t>
        </r>
        <r>
          <rPr>
            <sz val="9"/>
            <color indexed="81"/>
            <rFont val="Tahoma"/>
            <family val="2"/>
          </rPr>
          <t xml:space="preserve">
75mins communication problem between EBI and filler where filler was not getting signal from EBI to open it's infeed (sensor malfunction)</t>
        </r>
      </text>
    </comment>
    <comment ref="F451" authorId="5" shapeId="0" xr:uid="{D572406E-E73F-4494-825B-478B5DE48BB4}">
      <text>
        <r>
          <rPr>
            <b/>
            <sz val="9"/>
            <color indexed="81"/>
            <rFont val="Tahoma"/>
            <family val="2"/>
          </rPr>
          <t>Reshelle Fleming:</t>
        </r>
        <r>
          <rPr>
            <sz val="9"/>
            <color indexed="81"/>
            <rFont val="Tahoma"/>
            <family val="2"/>
          </rPr>
          <t xml:space="preserve">
</t>
        </r>
      </text>
    </comment>
    <comment ref="O455" authorId="0" shapeId="0" xr:uid="{635595EA-5D60-41C7-801F-8FE33336EC87}">
      <text>
        <r>
          <rPr>
            <b/>
            <sz val="9"/>
            <color indexed="81"/>
            <rFont val="Tahoma"/>
            <family val="2"/>
          </rPr>
          <t>Micah Noel:</t>
        </r>
        <r>
          <rPr>
            <sz val="9"/>
            <color indexed="81"/>
            <rFont val="Tahoma"/>
            <family val="2"/>
          </rPr>
          <t xml:space="preserve">
EnI tech investigating and making adjustment to combat High rejections</t>
        </r>
      </text>
    </comment>
    <comment ref="I461" authorId="2" shapeId="0" xr:uid="{E2EE80EC-6DD7-4C56-9571-0E1B68AA116B}">
      <text>
        <r>
          <rPr>
            <b/>
            <sz val="9"/>
            <color indexed="81"/>
            <rFont val="Tahoma"/>
            <family val="2"/>
          </rPr>
          <t>Michael Julien:</t>
        </r>
        <r>
          <rPr>
            <sz val="9"/>
            <color indexed="81"/>
            <rFont val="Tahoma"/>
            <family val="2"/>
          </rPr>
          <t xml:space="preserve">
Rotating glass fell out</t>
        </r>
      </text>
    </comment>
    <comment ref="AA499" authorId="0" shapeId="0" xr:uid="{7ECD639C-97C7-4EBE-9358-D5733A8CDFF6}">
      <text>
        <r>
          <rPr>
            <b/>
            <sz val="9"/>
            <color indexed="81"/>
            <rFont val="Tahoma"/>
            <family val="2"/>
          </rPr>
          <t>Micah Noel:</t>
        </r>
        <r>
          <rPr>
            <sz val="9"/>
            <color indexed="81"/>
            <rFont val="Tahoma"/>
            <family val="2"/>
          </rPr>
          <t xml:space="preserve">
label stuck on osw rail</t>
        </r>
      </text>
    </comment>
    <comment ref="L500" authorId="4" shapeId="0" xr:uid="{F2DAA28F-4A24-45A9-8E9D-333A871C9366}">
      <text>
        <r>
          <rPr>
            <b/>
            <sz val="9"/>
            <color indexed="81"/>
            <rFont val="Tahoma"/>
            <family val="2"/>
          </rPr>
          <t>Kaylil Baptiste:</t>
        </r>
        <r>
          <rPr>
            <sz val="9"/>
            <color indexed="81"/>
            <rFont val="Tahoma"/>
            <family val="2"/>
          </rPr>
          <t xml:space="preserve">
malfunction on emergency push button </t>
        </r>
      </text>
    </comment>
    <comment ref="AA506" authorId="3" shapeId="0" xr:uid="{94B70825-196C-4A63-8787-4F133799E429}">
      <text>
        <r>
          <rPr>
            <b/>
            <sz val="9"/>
            <color indexed="81"/>
            <rFont val="Tahoma"/>
            <family val="2"/>
          </rPr>
          <t>Tyrell Bartholomew:</t>
        </r>
        <r>
          <rPr>
            <sz val="9"/>
            <color indexed="81"/>
            <rFont val="Tahoma"/>
            <family val="2"/>
          </rPr>
          <t xml:space="preserve">
 label stuck on osw rail</t>
        </r>
      </text>
    </comment>
    <comment ref="AA510" authorId="3" shapeId="0" xr:uid="{6FA2309A-CA68-4489-9D82-3A68418A3D2C}">
      <text>
        <r>
          <rPr>
            <b/>
            <sz val="9"/>
            <color indexed="81"/>
            <rFont val="Tahoma"/>
            <family val="2"/>
          </rPr>
          <t>Tyrell Bartholomew:</t>
        </r>
        <r>
          <rPr>
            <sz val="9"/>
            <color indexed="81"/>
            <rFont val="Tahoma"/>
            <family val="2"/>
          </rPr>
          <t xml:space="preserve">
Label stuck on osw rail</t>
        </r>
      </text>
    </comment>
    <comment ref="O558" authorId="2" shapeId="0" xr:uid="{2883A201-4078-4FA3-8853-A984C067B0AC}">
      <text>
        <r>
          <rPr>
            <b/>
            <sz val="9"/>
            <color indexed="81"/>
            <rFont val="Tahoma"/>
            <charset val="1"/>
          </rPr>
          <t>Michael Julien:</t>
        </r>
        <r>
          <rPr>
            <sz val="9"/>
            <color indexed="81"/>
            <rFont val="Tahoma"/>
            <charset val="1"/>
          </rPr>
          <t xml:space="preserve">
4 mins No one on EBI table.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Reshelle Fleming</author>
    <author>Tyrell Bartholomew</author>
    <author>Micah Noel</author>
    <author>Kaylil Baptiste</author>
    <author>Dorien Andrew</author>
    <author>Michael Julien</author>
  </authors>
  <commentList>
    <comment ref="AM2" authorId="0" shapeId="0" xr:uid="{00000000-0006-0000-0700-000001000000}">
      <text>
        <r>
          <rPr>
            <b/>
            <sz val="9"/>
            <rFont val="Tahoma"/>
            <family val="2"/>
          </rPr>
          <t>Reshelle Fleming:</t>
        </r>
        <r>
          <rPr>
            <sz val="9"/>
            <rFont val="Tahoma"/>
            <family val="2"/>
          </rPr>
          <t xml:space="preserve">
</t>
        </r>
      </text>
    </comment>
    <comment ref="E3" authorId="0" shapeId="0" xr:uid="{00000000-0006-0000-0700-000002000000}">
      <text>
        <r>
          <rPr>
            <b/>
            <sz val="9"/>
            <rFont val="Tahoma"/>
            <family val="2"/>
          </rPr>
          <t>Reshelle Fleming:</t>
        </r>
        <r>
          <rPr>
            <sz val="9"/>
            <rFont val="Tahoma"/>
            <family val="2"/>
          </rPr>
          <t xml:space="preserve">
speed control</t>
        </r>
      </text>
    </comment>
    <comment ref="Y5" authorId="1" shapeId="0" xr:uid="{0FED2859-6450-464B-AD3F-DCA90D630061}">
      <text>
        <r>
          <rPr>
            <b/>
            <sz val="9"/>
            <color indexed="81"/>
            <rFont val="Tahoma"/>
            <family val="2"/>
          </rPr>
          <t>Tyrell Bartholomew:</t>
        </r>
        <r>
          <rPr>
            <sz val="9"/>
            <color indexed="81"/>
            <rFont val="Tahoma"/>
            <family val="2"/>
          </rPr>
          <t xml:space="preserve">
32mins filler lost commincation with sensors</t>
        </r>
      </text>
    </comment>
    <comment ref="B12" authorId="2" shapeId="0" xr:uid="{505142A1-323C-4EC9-A1DE-D5B03B50B749}">
      <text>
        <r>
          <rPr>
            <b/>
            <sz val="9"/>
            <color indexed="81"/>
            <rFont val="Tahoma"/>
            <family val="2"/>
          </rPr>
          <t>Micah Noel:</t>
        </r>
        <r>
          <rPr>
            <sz val="9"/>
            <color indexed="81"/>
            <rFont val="Tahoma"/>
            <family val="2"/>
          </rPr>
          <t xml:space="preserve">
damaged crowns sticking in chute</t>
        </r>
      </text>
    </comment>
    <comment ref="AE12" authorId="2" shapeId="0" xr:uid="{647230C3-E41F-489B-B064-985A2C2A3598}">
      <text>
        <r>
          <rPr>
            <b/>
            <sz val="9"/>
            <color indexed="81"/>
            <rFont val="Tahoma"/>
            <family val="2"/>
          </rPr>
          <t>Micah Noel:</t>
        </r>
        <r>
          <rPr>
            <sz val="9"/>
            <color indexed="81"/>
            <rFont val="Tahoma"/>
            <family val="2"/>
          </rPr>
          <t xml:space="preserve">
9 mins stop to oil filler legs</t>
        </r>
      </text>
    </comment>
    <comment ref="B19" authorId="2" shapeId="0" xr:uid="{D34CFA9F-47BC-4B1E-AA41-6A8A66341AFD}">
      <text>
        <r>
          <rPr>
            <b/>
            <sz val="9"/>
            <color indexed="81"/>
            <rFont val="Tahoma"/>
            <family val="2"/>
          </rPr>
          <t>Micah Noel:</t>
        </r>
        <r>
          <rPr>
            <sz val="9"/>
            <color indexed="81"/>
            <rFont val="Tahoma"/>
            <family val="2"/>
          </rPr>
          <t xml:space="preserve">
crown sticking in chute (adjustment had to be made to resolve issue)</t>
        </r>
      </text>
    </comment>
    <comment ref="AD21" authorId="2" shapeId="0" xr:uid="{E351897D-A1CB-4F15-BC23-A738ECC4B32E}">
      <text>
        <r>
          <rPr>
            <b/>
            <sz val="9"/>
            <color indexed="81"/>
            <rFont val="Tahoma"/>
            <family val="2"/>
          </rPr>
          <t>Micah Noel:</t>
        </r>
        <r>
          <rPr>
            <sz val="9"/>
            <color indexed="81"/>
            <rFont val="Tahoma"/>
            <family val="2"/>
          </rPr>
          <t xml:space="preserve">
changing gas needle</t>
        </r>
      </text>
    </comment>
    <comment ref="Z26" authorId="3" shapeId="0" xr:uid="{798812FE-5ABC-4382-AF76-82AA6E597E9F}">
      <text>
        <r>
          <rPr>
            <b/>
            <sz val="9"/>
            <color indexed="81"/>
            <rFont val="Tahoma"/>
            <family val="2"/>
          </rPr>
          <t>Kaylil Baptiste:</t>
        </r>
        <r>
          <rPr>
            <sz val="9"/>
            <color indexed="81"/>
            <rFont val="Tahoma"/>
            <family val="2"/>
          </rPr>
          <t xml:space="preserve">
the fault was cause by an interruption in the FVC connection to the main PLC. Cable to be replaced</t>
        </r>
      </text>
    </comment>
    <comment ref="C36" authorId="3" shapeId="0" xr:uid="{08577ECA-B5F9-4A04-9915-8D770581010A}">
      <text>
        <r>
          <rPr>
            <b/>
            <sz val="9"/>
            <color indexed="81"/>
            <rFont val="Tahoma"/>
            <family val="2"/>
          </rPr>
          <t>Kaylil Baptiste:</t>
        </r>
        <r>
          <rPr>
            <sz val="9"/>
            <color indexed="81"/>
            <rFont val="Tahoma"/>
            <family val="2"/>
          </rPr>
          <t xml:space="preserve">
5mins bent crowns stuck in transfer plate</t>
        </r>
      </text>
    </comment>
    <comment ref="T39" authorId="3" shapeId="0" xr:uid="{4D245B2B-01C2-451B-A907-240F7D051C92}">
      <text>
        <r>
          <rPr>
            <b/>
            <sz val="9"/>
            <color indexed="81"/>
            <rFont val="Tahoma"/>
            <family val="2"/>
          </rPr>
          <t>Kaylil Baptiste:</t>
        </r>
        <r>
          <rPr>
            <sz val="9"/>
            <color indexed="81"/>
            <rFont val="Tahoma"/>
            <family val="2"/>
          </rPr>
          <t xml:space="preserve">
cleaning filler base</t>
        </r>
      </text>
    </comment>
    <comment ref="W43" authorId="4" shapeId="0" xr:uid="{69DB24EA-BB17-4A0D-A708-5DE95EAF56BE}">
      <text>
        <r>
          <rPr>
            <b/>
            <sz val="9"/>
            <color indexed="81"/>
            <rFont val="Tahoma"/>
            <family val="2"/>
          </rPr>
          <t>Dorien Andrew:</t>
        </r>
        <r>
          <rPr>
            <sz val="9"/>
            <color indexed="81"/>
            <rFont val="Tahoma"/>
            <family val="2"/>
          </rPr>
          <t xml:space="preserve">
replacing rubbers </t>
        </r>
      </text>
    </comment>
    <comment ref="Y71" authorId="2" shapeId="0" xr:uid="{D4CC465D-C223-44E5-9FE0-3A402C718DF7}">
      <text>
        <r>
          <rPr>
            <b/>
            <sz val="9"/>
            <color indexed="81"/>
            <rFont val="Tahoma"/>
            <family val="2"/>
          </rPr>
          <t>Micah Noel:</t>
        </r>
        <r>
          <rPr>
            <sz val="9"/>
            <color indexed="81"/>
            <rFont val="Tahoma"/>
            <family val="2"/>
          </rPr>
          <t xml:space="preserve">
Filler centering bell sensor malfunction plus replacement </t>
        </r>
      </text>
    </comment>
    <comment ref="T75" authorId="3" shapeId="0" xr:uid="{8D6A9A51-D6D3-45AA-99E3-D5DDB991FCC0}">
      <text>
        <r>
          <rPr>
            <b/>
            <sz val="9"/>
            <color indexed="81"/>
            <rFont val="Tahoma"/>
            <family val="2"/>
          </rPr>
          <t>Kaylil Baptiste:</t>
        </r>
        <r>
          <rPr>
            <sz val="9"/>
            <color indexed="81"/>
            <rFont val="Tahoma"/>
            <family val="2"/>
          </rPr>
          <t xml:space="preserve">
4 mins stop to clean filler base (7-2 shift)</t>
        </r>
      </text>
    </comment>
    <comment ref="I79" authorId="4" shapeId="0" xr:uid="{CE467381-3A01-4AC4-B37E-FAA2169D2081}">
      <text>
        <r>
          <rPr>
            <b/>
            <sz val="9"/>
            <color indexed="81"/>
            <rFont val="Tahoma"/>
            <family val="2"/>
          </rPr>
          <t>Dorien Andrew:</t>
        </r>
        <r>
          <rPr>
            <sz val="9"/>
            <color indexed="81"/>
            <rFont val="Tahoma"/>
            <family val="2"/>
          </rPr>
          <t xml:space="preserve">
adjustments to dead plate </t>
        </r>
      </text>
    </comment>
    <comment ref="H89" authorId="2" shapeId="0" xr:uid="{1EA7CE74-DF4F-4DFF-A93D-25C1C5E9AFC6}">
      <text>
        <r>
          <rPr>
            <b/>
            <sz val="9"/>
            <color indexed="81"/>
            <rFont val="Tahoma"/>
            <family val="2"/>
          </rPr>
          <t>Micah Noel:</t>
        </r>
        <r>
          <rPr>
            <sz val="9"/>
            <color indexed="81"/>
            <rFont val="Tahoma"/>
            <family val="2"/>
          </rPr>
          <t xml:space="preserve">
damaged filler fobber filter housing</t>
        </r>
      </text>
    </comment>
    <comment ref="AJ106" authorId="2" shapeId="0" xr:uid="{89CA1E25-6687-414E-89AD-A32606F23249}">
      <text>
        <r>
          <rPr>
            <b/>
            <sz val="9"/>
            <color indexed="81"/>
            <rFont val="Tahoma"/>
            <family val="2"/>
          </rPr>
          <t>Micah Noel:</t>
        </r>
        <r>
          <rPr>
            <sz val="9"/>
            <color indexed="81"/>
            <rFont val="Tahoma"/>
            <family val="2"/>
          </rPr>
          <t xml:space="preserve">
infeed worm jammed</t>
        </r>
      </text>
    </comment>
    <comment ref="AJ127" authorId="2" shapeId="0" xr:uid="{997CD548-C366-453D-B304-FB05D1880985}">
      <text>
        <r>
          <rPr>
            <b/>
            <sz val="9"/>
            <color indexed="81"/>
            <rFont val="Tahoma"/>
            <family val="2"/>
          </rPr>
          <t>Micah Noel:</t>
        </r>
        <r>
          <rPr>
            <sz val="9"/>
            <color indexed="81"/>
            <rFont val="Tahoma"/>
            <family val="2"/>
          </rPr>
          <t xml:space="preserve">
infeed worm breaking bottles</t>
        </r>
      </text>
    </comment>
    <comment ref="L128" authorId="4" shapeId="0" xr:uid="{E4B686F2-44A5-4EF2-AE66-2F831EE2B6D1}">
      <text>
        <r>
          <rPr>
            <b/>
            <sz val="9"/>
            <color indexed="81"/>
            <rFont val="Tahoma"/>
            <family val="2"/>
          </rPr>
          <t>Dorien Andrew:</t>
        </r>
        <r>
          <rPr>
            <sz val="9"/>
            <color indexed="81"/>
            <rFont val="Tahoma"/>
            <family val="2"/>
          </rPr>
          <t xml:space="preserve">
infeed worm out of timing</t>
        </r>
      </text>
    </comment>
    <comment ref="Y131" authorId="1" shapeId="0" xr:uid="{2D527F2A-25A1-448A-9284-84A7FB22904E}">
      <text>
        <r>
          <rPr>
            <b/>
            <sz val="9"/>
            <color indexed="81"/>
            <rFont val="Tahoma"/>
            <family val="2"/>
          </rPr>
          <t>Tyrell Bartholomew:</t>
        </r>
        <r>
          <rPr>
            <sz val="9"/>
            <color indexed="81"/>
            <rFont val="Tahoma"/>
            <family val="2"/>
          </rPr>
          <t xml:space="preserve">
2mins outfeed sensor backed up.</t>
        </r>
      </text>
    </comment>
    <comment ref="AC133" authorId="3" shapeId="0" xr:uid="{8E7ACA84-A98E-4FEE-815D-4022A7334027}">
      <text>
        <r>
          <rPr>
            <b/>
            <sz val="9"/>
            <color indexed="81"/>
            <rFont val="Tahoma"/>
            <family val="2"/>
          </rPr>
          <t>Kaylil Baptiste:</t>
        </r>
        <r>
          <rPr>
            <sz val="9"/>
            <color indexed="81"/>
            <rFont val="Tahoma"/>
            <family val="2"/>
          </rPr>
          <t xml:space="preserve">
motor to adjust crowner height jam </t>
        </r>
      </text>
    </comment>
    <comment ref="H137" authorId="2" shapeId="0" xr:uid="{C60B9461-513F-4625-BCE5-B197921A60BF}">
      <text>
        <r>
          <rPr>
            <b/>
            <sz val="9"/>
            <color indexed="81"/>
            <rFont val="Tahoma"/>
            <family val="2"/>
          </rPr>
          <t>Micah Noel:</t>
        </r>
        <r>
          <rPr>
            <sz val="9"/>
            <color indexed="81"/>
            <rFont val="Tahoma"/>
            <family val="2"/>
          </rPr>
          <t xml:space="preserve">
solenoid not working</t>
        </r>
      </text>
    </comment>
    <comment ref="W139" authorId="2" shapeId="0" xr:uid="{E3C3BCAA-787D-4A5C-AA51-F8A3FEC62C91}">
      <text>
        <r>
          <rPr>
            <b/>
            <sz val="9"/>
            <color indexed="81"/>
            <rFont val="Tahoma"/>
            <family val="2"/>
          </rPr>
          <t>Micah Noel:</t>
        </r>
        <r>
          <rPr>
            <sz val="9"/>
            <color indexed="81"/>
            <rFont val="Tahoma"/>
            <family val="2"/>
          </rPr>
          <t xml:space="preserve">
changing rubber on centering cup</t>
        </r>
      </text>
    </comment>
    <comment ref="S143" authorId="3" shapeId="0" xr:uid="{14ED5A94-F7F8-49AB-B3E6-73244070359C}">
      <text>
        <r>
          <rPr>
            <b/>
            <sz val="9"/>
            <color indexed="81"/>
            <rFont val="Tahoma"/>
            <family val="2"/>
          </rPr>
          <t>Kaylil Baptiste:</t>
        </r>
        <r>
          <rPr>
            <sz val="9"/>
            <color indexed="81"/>
            <rFont val="Tahoma"/>
            <family val="2"/>
          </rPr>
          <t xml:space="preserve">
50 minutes was used to do midweek clean while operator waitied for maintenance to adjust filler bowl manually, 35 minutes lost caused my filler bowl refusal to to have the height adjusted automatically</t>
        </r>
      </text>
    </comment>
    <comment ref="W157" authorId="2" shapeId="0" xr:uid="{8C7C5E8B-DA4E-46A4-97AA-53F87BA54225}">
      <text>
        <r>
          <rPr>
            <b/>
            <sz val="9"/>
            <color indexed="81"/>
            <rFont val="Tahoma"/>
            <family val="2"/>
          </rPr>
          <t>Micah Noel:</t>
        </r>
        <r>
          <rPr>
            <sz val="9"/>
            <color indexed="81"/>
            <rFont val="Tahoma"/>
            <family val="2"/>
          </rPr>
          <t xml:space="preserve">
inspecting centering cups and rollers</t>
        </r>
      </text>
    </comment>
    <comment ref="AA157" authorId="2" shapeId="0" xr:uid="{F3E87798-20BC-46B1-9834-F728AEADBB1B}">
      <text>
        <r>
          <rPr>
            <b/>
            <sz val="9"/>
            <color indexed="81"/>
            <rFont val="Tahoma"/>
            <family val="2"/>
          </rPr>
          <t>Micah Noel:</t>
        </r>
        <r>
          <rPr>
            <sz val="9"/>
            <color indexed="81"/>
            <rFont val="Tahoma"/>
            <family val="2"/>
          </rPr>
          <t xml:space="preserve">
lubricating centering bells</t>
        </r>
      </text>
    </comment>
    <comment ref="AF163" authorId="3" shapeId="0" xr:uid="{F50F7B4A-5F2A-48FB-AACA-BB345E5111A9}">
      <text>
        <r>
          <rPr>
            <b/>
            <sz val="9"/>
            <color indexed="81"/>
            <rFont val="Tahoma"/>
            <family val="2"/>
          </rPr>
          <t>Kaylil Baptiste:</t>
        </r>
        <r>
          <rPr>
            <sz val="9"/>
            <color indexed="81"/>
            <rFont val="Tahoma"/>
            <family val="2"/>
          </rPr>
          <t xml:space="preserve">
crowner height not moving</t>
        </r>
      </text>
    </comment>
    <comment ref="AJ172" authorId="1" shapeId="0" xr:uid="{DA5A5B3E-4216-41C5-A260-D3ABD0EB8B6D}">
      <text>
        <r>
          <rPr>
            <b/>
            <sz val="9"/>
            <color indexed="81"/>
            <rFont val="Tahoma"/>
            <family val="2"/>
          </rPr>
          <t>Tyrell Bartholomew:</t>
        </r>
        <r>
          <rPr>
            <sz val="9"/>
            <color indexed="81"/>
            <rFont val="Tahoma"/>
            <family val="2"/>
          </rPr>
          <t xml:space="preserve">
bottle jamming at filler infeed.</t>
        </r>
      </text>
    </comment>
    <comment ref="W176" authorId="1" shapeId="0" xr:uid="{68CA751D-4D5A-4C08-98D5-D523E2C74E4A}">
      <text>
        <r>
          <rPr>
            <b/>
            <sz val="9"/>
            <color indexed="81"/>
            <rFont val="Tahoma"/>
            <family val="2"/>
          </rPr>
          <t>Tyrell Bartholomew:</t>
        </r>
        <r>
          <rPr>
            <sz val="9"/>
            <color indexed="81"/>
            <rFont val="Tahoma"/>
            <family val="2"/>
          </rPr>
          <t xml:space="preserve">
23mins replacing missing filling tubes.</t>
        </r>
      </text>
    </comment>
    <comment ref="AF176" authorId="1" shapeId="0" xr:uid="{ADA4C4A7-D715-4B20-A2D6-3124E8B13583}">
      <text>
        <r>
          <rPr>
            <b/>
            <sz val="9"/>
            <color indexed="81"/>
            <rFont val="Tahoma"/>
            <family val="2"/>
          </rPr>
          <t>Tyrell Bartholomew:</t>
        </r>
        <r>
          <rPr>
            <sz val="9"/>
            <color indexed="81"/>
            <rFont val="Tahoma"/>
            <family val="2"/>
          </rPr>
          <t xml:space="preserve">
36mins filling bowl height not adjusting.</t>
        </r>
      </text>
    </comment>
    <comment ref="AJ176" authorId="1" shapeId="0" xr:uid="{A204111C-D251-4FB5-AE40-FFB2D929AC22}">
      <text>
        <r>
          <rPr>
            <b/>
            <sz val="9"/>
            <color indexed="81"/>
            <rFont val="Tahoma"/>
            <family val="2"/>
          </rPr>
          <t>Tyrell Bartholomew:</t>
        </r>
        <r>
          <rPr>
            <sz val="9"/>
            <color indexed="81"/>
            <rFont val="Tahoma"/>
            <family val="2"/>
          </rPr>
          <t xml:space="preserve">
5mins infeed worm went out of timing.</t>
        </r>
      </text>
    </comment>
    <comment ref="AF191" authorId="3" shapeId="0" xr:uid="{BF56A3DB-61E3-4443-89D4-1B4F991265F5}">
      <text>
        <r>
          <rPr>
            <b/>
            <sz val="9"/>
            <color indexed="81"/>
            <rFont val="Tahoma"/>
            <family val="2"/>
          </rPr>
          <t>Kaylil Baptiste:</t>
        </r>
        <r>
          <rPr>
            <sz val="9"/>
            <color indexed="81"/>
            <rFont val="Tahoma"/>
            <family val="2"/>
          </rPr>
          <t xml:space="preserve">
filler height adjustment malfunction </t>
        </r>
      </text>
    </comment>
    <comment ref="K192" authorId="2" shapeId="0" xr:uid="{5B207237-FD57-4288-AAB0-A9485BAA1871}">
      <text>
        <r>
          <rPr>
            <b/>
            <sz val="9"/>
            <color indexed="81"/>
            <rFont val="Tahoma"/>
            <family val="2"/>
          </rPr>
          <t>Micah Noel:</t>
        </r>
        <r>
          <rPr>
            <sz val="9"/>
            <color indexed="81"/>
            <rFont val="Tahoma"/>
            <family val="2"/>
          </rPr>
          <t xml:space="preserve">
unit had to be replaced</t>
        </r>
      </text>
    </comment>
    <comment ref="AF192" authorId="3" shapeId="0" xr:uid="{EB3390EA-4ACA-46DA-BDC6-8CA9CBBD1BEF}">
      <text>
        <r>
          <rPr>
            <b/>
            <sz val="9"/>
            <color indexed="81"/>
            <rFont val="Tahoma"/>
            <family val="2"/>
          </rPr>
          <t>Kaylil Baptiste:</t>
        </r>
        <r>
          <rPr>
            <sz val="9"/>
            <color indexed="81"/>
            <rFont val="Tahoma"/>
            <family val="2"/>
          </rPr>
          <t xml:space="preserve">
Filler bowl not moving repairs + filler not starting</t>
        </r>
      </text>
    </comment>
    <comment ref="AJ193" authorId="2" shapeId="0" xr:uid="{C630E00D-A2FD-4B28-A3B3-67F234A86794}">
      <text>
        <r>
          <rPr>
            <b/>
            <sz val="9"/>
            <color indexed="81"/>
            <rFont val="Tahoma"/>
            <family val="2"/>
          </rPr>
          <t>Micah Noel:</t>
        </r>
        <r>
          <rPr>
            <sz val="9"/>
            <color indexed="81"/>
            <rFont val="Tahoma"/>
            <family val="2"/>
          </rPr>
          <t xml:space="preserve">
filler infeed screw jump timing</t>
        </r>
      </text>
    </comment>
    <comment ref="P194" authorId="2" shapeId="0" xr:uid="{DA504B18-D56D-4E02-BA54-FF06EEF9F2E9}">
      <text>
        <r>
          <rPr>
            <b/>
            <sz val="9"/>
            <color indexed="81"/>
            <rFont val="Tahoma"/>
            <family val="2"/>
          </rPr>
          <t>Micah Noel:</t>
        </r>
        <r>
          <rPr>
            <sz val="9"/>
            <color indexed="81"/>
            <rFont val="Tahoma"/>
            <family val="2"/>
          </rPr>
          <t xml:space="preserve">
Work on filler to eliminate low fills</t>
        </r>
      </text>
    </comment>
    <comment ref="S196" authorId="3" shapeId="0" xr:uid="{05B0DB94-B06A-4443-91F5-2F07A98C255D}">
      <text>
        <r>
          <rPr>
            <b/>
            <sz val="9"/>
            <color indexed="81"/>
            <rFont val="Tahoma"/>
            <family val="2"/>
          </rPr>
          <t>Kaylil Baptiste:</t>
        </r>
        <r>
          <rPr>
            <sz val="9"/>
            <color indexed="81"/>
            <rFont val="Tahoma"/>
            <family val="2"/>
          </rPr>
          <t xml:space="preserve">
panel overheating</t>
        </r>
      </text>
    </comment>
    <comment ref="W196" authorId="4" shapeId="0" xr:uid="{4C88CC7B-8D5F-464A-A472-FBFA2723BC34}">
      <text>
        <r>
          <rPr>
            <b/>
            <sz val="9"/>
            <color indexed="81"/>
            <rFont val="Tahoma"/>
            <family val="2"/>
          </rPr>
          <t>Dorien Andrew:</t>
        </r>
        <r>
          <rPr>
            <sz val="9"/>
            <color indexed="81"/>
            <rFont val="Tahoma"/>
            <family val="2"/>
          </rPr>
          <t xml:space="preserve">
17 mins lost replacing tube on valve #16</t>
        </r>
      </text>
    </comment>
    <comment ref="Z196" authorId="3" shapeId="0" xr:uid="{0DB837DB-9625-4A57-B19A-BB4259B34C82}">
      <text>
        <r>
          <rPr>
            <b/>
            <sz val="9"/>
            <color indexed="81"/>
            <rFont val="Tahoma"/>
            <family val="2"/>
          </rPr>
          <t>Kaylil Baptiste:</t>
        </r>
        <r>
          <rPr>
            <sz val="9"/>
            <color indexed="81"/>
            <rFont val="Tahoma"/>
            <family val="2"/>
          </rPr>
          <t xml:space="preserve">
restart</t>
        </r>
      </text>
    </comment>
    <comment ref="AJ198" authorId="5" shapeId="0" xr:uid="{E5D9B1F7-C10F-4477-A70C-0BE64D208267}">
      <text>
        <r>
          <rPr>
            <b/>
            <sz val="9"/>
            <color indexed="81"/>
            <rFont val="Tahoma"/>
            <family val="2"/>
          </rPr>
          <t>Michael Julien:</t>
        </r>
        <r>
          <rPr>
            <sz val="9"/>
            <color indexed="81"/>
            <rFont val="Tahoma"/>
            <family val="2"/>
          </rPr>
          <t xml:space="preserve">
18 mins the worm went out off timing.</t>
        </r>
      </text>
    </comment>
    <comment ref="T200" authorId="3" shapeId="0" xr:uid="{C66F7012-B973-46BD-B520-778593FCFE18}">
      <text>
        <r>
          <rPr>
            <b/>
            <sz val="9"/>
            <color indexed="81"/>
            <rFont val="Tahoma"/>
            <family val="2"/>
          </rPr>
          <t>Kaylil Baptiste:</t>
        </r>
        <r>
          <rPr>
            <sz val="9"/>
            <color indexed="81"/>
            <rFont val="Tahoma"/>
            <family val="2"/>
          </rPr>
          <t xml:space="preserve">
15mins making adjustment to filling bowl </t>
        </r>
      </text>
    </comment>
    <comment ref="AJ201" authorId="5" shapeId="0" xr:uid="{854C226F-62F6-4845-B31E-8EF075494A82}">
      <text>
        <r>
          <rPr>
            <b/>
            <sz val="9"/>
            <color indexed="81"/>
            <rFont val="Tahoma"/>
            <family val="2"/>
          </rPr>
          <t>Michael Julien:</t>
        </r>
        <r>
          <rPr>
            <sz val="9"/>
            <color indexed="81"/>
            <rFont val="Tahoma"/>
            <family val="2"/>
          </rPr>
          <t xml:space="preserve">
6mins worm went out of timing</t>
        </r>
      </text>
    </comment>
    <comment ref="AJ208" authorId="5" shapeId="0" xr:uid="{C7A60AB1-ADDF-4C96-A7F9-6BC1CE08418D}">
      <text>
        <r>
          <rPr>
            <b/>
            <sz val="9"/>
            <color indexed="81"/>
            <rFont val="Tahoma"/>
            <family val="2"/>
          </rPr>
          <t>Michael Julien:</t>
        </r>
        <r>
          <rPr>
            <sz val="9"/>
            <color indexed="81"/>
            <rFont val="Tahoma"/>
            <family val="2"/>
          </rPr>
          <t xml:space="preserve">
12mins worm going out of timing.
107mins maintnance working on worm</t>
        </r>
      </text>
    </comment>
    <comment ref="B221" authorId="4" shapeId="0" xr:uid="{6571ECAB-19DA-4233-906B-305A9F3FA0AE}">
      <text>
        <r>
          <rPr>
            <b/>
            <sz val="9"/>
            <color indexed="81"/>
            <rFont val="Tahoma"/>
            <family val="2"/>
          </rPr>
          <t>Dorien Andrew:</t>
        </r>
        <r>
          <rPr>
            <sz val="9"/>
            <color indexed="81"/>
            <rFont val="Tahoma"/>
            <family val="2"/>
          </rPr>
          <t xml:space="preserve">
crowner dead plate stuck </t>
        </r>
      </text>
    </comment>
    <comment ref="I224" authorId="2" shapeId="0" xr:uid="{7C27FB4E-99A1-414D-B568-F3D05F67DFF0}">
      <text>
        <r>
          <rPr>
            <b/>
            <sz val="9"/>
            <color indexed="81"/>
            <rFont val="Tahoma"/>
            <family val="2"/>
          </rPr>
          <t>Micah Noel:</t>
        </r>
        <r>
          <rPr>
            <sz val="9"/>
            <color indexed="81"/>
            <rFont val="Tahoma"/>
            <family val="2"/>
          </rPr>
          <t xml:space="preserve">
sensor related</t>
        </r>
      </text>
    </comment>
    <comment ref="S224" authorId="2" shapeId="0" xr:uid="{8F0699D1-C147-4053-98D3-28944B05F50C}">
      <text>
        <r>
          <rPr>
            <b/>
            <sz val="9"/>
            <color indexed="81"/>
            <rFont val="Tahoma"/>
            <family val="2"/>
          </rPr>
          <t>Micah Noel:</t>
        </r>
        <r>
          <rPr>
            <sz val="9"/>
            <color indexed="81"/>
            <rFont val="Tahoma"/>
            <family val="2"/>
          </rPr>
          <t xml:space="preserve">
system reboot following a electrical power surge</t>
        </r>
      </text>
    </comment>
    <comment ref="I226" authorId="5" shapeId="0" xr:uid="{A6756B76-AE3E-4677-9A45-0797D2BA541A}">
      <text>
        <r>
          <rPr>
            <b/>
            <sz val="9"/>
            <color indexed="81"/>
            <rFont val="Tahoma"/>
            <family val="2"/>
          </rPr>
          <t>Michael Julien:</t>
        </r>
        <r>
          <rPr>
            <sz val="9"/>
            <color indexed="81"/>
            <rFont val="Tahoma"/>
            <family val="2"/>
          </rPr>
          <t xml:space="preserve">
21 mins sensor malfunction</t>
        </r>
      </text>
    </comment>
    <comment ref="Z226" authorId="3" shapeId="0" xr:uid="{D865E949-8F49-4033-8E00-8B07571E1D67}">
      <text>
        <r>
          <rPr>
            <b/>
            <sz val="9"/>
            <color indexed="81"/>
            <rFont val="Tahoma"/>
            <family val="2"/>
          </rPr>
          <t>Kaylil Baptiste:</t>
        </r>
        <r>
          <rPr>
            <sz val="9"/>
            <color indexed="81"/>
            <rFont val="Tahoma"/>
            <family val="2"/>
          </rPr>
          <t xml:space="preserve">
communication lost</t>
        </r>
      </text>
    </comment>
    <comment ref="L251" authorId="2" shapeId="0" xr:uid="{33BB415D-D76C-454E-9F57-346B68AC376B}">
      <text>
        <r>
          <rPr>
            <b/>
            <sz val="9"/>
            <color indexed="81"/>
            <rFont val="Tahoma"/>
            <family val="2"/>
          </rPr>
          <t>Micah Noel:</t>
        </r>
        <r>
          <rPr>
            <sz val="9"/>
            <color indexed="81"/>
            <rFont val="Tahoma"/>
            <family val="2"/>
          </rPr>
          <t xml:space="preserve">
adjustment to stop( unit sticking)</t>
        </r>
      </text>
    </comment>
    <comment ref="W252" authorId="4" shapeId="0" xr:uid="{E25E248B-1708-4787-A2A1-D0999315BB0B}">
      <text>
        <r>
          <rPr>
            <b/>
            <sz val="9"/>
            <color indexed="81"/>
            <rFont val="Tahoma"/>
            <family val="2"/>
          </rPr>
          <t>Dorien Andrew:</t>
        </r>
        <r>
          <rPr>
            <sz val="9"/>
            <color indexed="81"/>
            <rFont val="Tahoma"/>
            <family val="2"/>
          </rPr>
          <t xml:space="preserve">
replacing tube on filler</t>
        </r>
      </text>
    </comment>
    <comment ref="AJ252" authorId="2" shapeId="0" xr:uid="{1DFF2DA2-2BB8-42F7-8622-044A507421D1}">
      <text>
        <r>
          <rPr>
            <b/>
            <sz val="9"/>
            <color indexed="81"/>
            <rFont val="Tahoma"/>
            <family val="2"/>
          </rPr>
          <t>Micah Noel:</t>
        </r>
        <r>
          <rPr>
            <sz val="9"/>
            <color indexed="81"/>
            <rFont val="Tahoma"/>
            <family val="2"/>
          </rPr>
          <t xml:space="preserve">
worm jammed</t>
        </r>
      </text>
    </comment>
    <comment ref="V253" authorId="3" shapeId="0" xr:uid="{A15A0C3B-4789-47C1-99CB-C3927C7522DC}">
      <text>
        <r>
          <rPr>
            <b/>
            <sz val="9"/>
            <color indexed="81"/>
            <rFont val="Tahoma"/>
            <family val="2"/>
          </rPr>
          <t>Kaylil Baptiste:</t>
        </r>
        <r>
          <rPr>
            <sz val="9"/>
            <color indexed="81"/>
            <rFont val="Tahoma"/>
            <family val="2"/>
          </rPr>
          <t xml:space="preserve">
stop to service valve #44</t>
        </r>
      </text>
    </comment>
    <comment ref="AJ253" authorId="4" shapeId="0" xr:uid="{18604085-E795-4B2B-8E43-726AE42D868B}">
      <text>
        <r>
          <rPr>
            <b/>
            <sz val="9"/>
            <color indexed="81"/>
            <rFont val="Tahoma"/>
            <family val="2"/>
          </rPr>
          <t>Dorien Andrew:</t>
        </r>
        <r>
          <rPr>
            <sz val="9"/>
            <color indexed="81"/>
            <rFont val="Tahoma"/>
            <family val="2"/>
          </rPr>
          <t xml:space="preserve">
infeed worm jam</t>
        </r>
      </text>
    </comment>
    <comment ref="W254" authorId="2" shapeId="0" xr:uid="{F55345D1-1DE7-49DD-A51E-021A6F5B68AA}">
      <text>
        <r>
          <rPr>
            <b/>
            <sz val="9"/>
            <color indexed="81"/>
            <rFont val="Tahoma"/>
            <family val="2"/>
          </rPr>
          <t>Micah Noel:</t>
        </r>
        <r>
          <rPr>
            <sz val="9"/>
            <color indexed="81"/>
            <rFont val="Tahoma"/>
            <family val="2"/>
          </rPr>
          <t xml:space="preserve">
Replacing bent tube</t>
        </r>
      </text>
    </comment>
    <comment ref="S261" authorId="4" shapeId="0" xr:uid="{9B13985A-F5E7-4154-84D7-B0B9D04BA5E3}">
      <text>
        <r>
          <rPr>
            <b/>
            <sz val="9"/>
            <color indexed="81"/>
            <rFont val="Tahoma"/>
            <family val="2"/>
          </rPr>
          <t>Dorien Andrew:</t>
        </r>
        <r>
          <rPr>
            <sz val="9"/>
            <color indexed="81"/>
            <rFont val="Tahoma"/>
            <family val="2"/>
          </rPr>
          <t xml:space="preserve">
communication issue</t>
        </r>
      </text>
    </comment>
    <comment ref="AJ262" authorId="3" shapeId="0" xr:uid="{3348804D-542A-4FD4-B9D8-15FF66447388}">
      <text>
        <r>
          <rPr>
            <b/>
            <sz val="9"/>
            <color indexed="81"/>
            <rFont val="Tahoma"/>
            <family val="2"/>
          </rPr>
          <t>Kaylil Baptiste:</t>
        </r>
        <r>
          <rPr>
            <sz val="9"/>
            <color indexed="81"/>
            <rFont val="Tahoma"/>
            <family val="2"/>
          </rPr>
          <t xml:space="preserve">
making adjustment to worm infeed</t>
        </r>
      </text>
    </comment>
    <comment ref="P268" authorId="3" shapeId="0" xr:uid="{2232C3FB-A4D5-4757-BBD5-1987C30D3E31}">
      <text>
        <r>
          <rPr>
            <b/>
            <sz val="9"/>
            <color indexed="81"/>
            <rFont val="Tahoma"/>
            <family val="2"/>
          </rPr>
          <t>Kaylil Baptiste:</t>
        </r>
        <r>
          <rPr>
            <sz val="9"/>
            <color indexed="81"/>
            <rFont val="Tahoma"/>
            <family val="2"/>
          </rPr>
          <t xml:space="preserve">
low fills </t>
        </r>
      </text>
    </comment>
    <comment ref="V269" authorId="3" shapeId="0" xr:uid="{3852F129-65DB-46BD-9863-9D67E8F10425}">
      <text>
        <r>
          <rPr>
            <b/>
            <sz val="9"/>
            <color indexed="81"/>
            <rFont val="Tahoma"/>
            <family val="2"/>
          </rPr>
          <t>Kaylil Baptiste:</t>
        </r>
        <r>
          <rPr>
            <sz val="9"/>
            <color indexed="81"/>
            <rFont val="Tahoma"/>
            <family val="2"/>
          </rPr>
          <t xml:space="preserve">
34working on two  filling valves</t>
        </r>
      </text>
    </comment>
    <comment ref="AJ275" authorId="2" shapeId="0" xr:uid="{2E5DB2AE-4E4B-451B-8B77-FC33272C1A54}">
      <text>
        <r>
          <rPr>
            <b/>
            <sz val="9"/>
            <color indexed="81"/>
            <rFont val="Tahoma"/>
            <family val="2"/>
          </rPr>
          <t>Micah Noel:</t>
        </r>
        <r>
          <rPr>
            <sz val="9"/>
            <color indexed="81"/>
            <rFont val="Tahoma"/>
            <family val="2"/>
          </rPr>
          <t xml:space="preserve">
infeed worm jammed</t>
        </r>
      </text>
    </comment>
    <comment ref="AJ288" authorId="2" shapeId="0" xr:uid="{4AE60667-A0F8-42F9-BD5E-F3463E7F7A53}">
      <text>
        <r>
          <rPr>
            <b/>
            <sz val="9"/>
            <color indexed="81"/>
            <rFont val="Tahoma"/>
            <family val="2"/>
          </rPr>
          <t>Micah Noel:</t>
        </r>
        <r>
          <rPr>
            <sz val="9"/>
            <color indexed="81"/>
            <rFont val="Tahoma"/>
            <family val="2"/>
          </rPr>
          <t xml:space="preserve">
infeed worm jamming</t>
        </r>
      </text>
    </comment>
    <comment ref="Y289" authorId="2" shapeId="0" xr:uid="{9838961E-F724-4E04-9B37-3C4881202503}">
      <text>
        <r>
          <rPr>
            <b/>
            <sz val="9"/>
            <color indexed="81"/>
            <rFont val="Tahoma"/>
            <family val="2"/>
          </rPr>
          <t>Micah Noel:</t>
        </r>
        <r>
          <rPr>
            <sz val="9"/>
            <color indexed="81"/>
            <rFont val="Tahoma"/>
            <family val="2"/>
          </rPr>
          <t xml:space="preserve">
crown transfer sensor malfunction</t>
        </r>
      </text>
    </comment>
    <comment ref="Y290" authorId="2" shapeId="0" xr:uid="{29FE8DC9-CDBA-4C64-B7F4-675FC2F4FF64}">
      <text>
        <r>
          <rPr>
            <b/>
            <sz val="9"/>
            <color indexed="81"/>
            <rFont val="Tahoma"/>
            <family val="2"/>
          </rPr>
          <t>Micah Noel:</t>
        </r>
        <r>
          <rPr>
            <sz val="9"/>
            <color indexed="81"/>
            <rFont val="Tahoma"/>
            <family val="2"/>
          </rPr>
          <t xml:space="preserve">
replacing crown transfer sensor on crowner</t>
        </r>
      </text>
    </comment>
    <comment ref="T313" authorId="1" shapeId="0" xr:uid="{F28B5B33-FC18-4280-9B37-E5FF5EB499BB}">
      <text>
        <r>
          <rPr>
            <b/>
            <sz val="9"/>
            <color indexed="81"/>
            <rFont val="Tahoma"/>
            <family val="2"/>
          </rPr>
          <t>Tyrell Bartholomew:</t>
        </r>
        <r>
          <rPr>
            <sz val="9"/>
            <color indexed="81"/>
            <rFont val="Tahoma"/>
            <family val="2"/>
          </rPr>
          <t xml:space="preserve">
6mins operator cleaning bases of filler </t>
        </r>
      </text>
    </comment>
    <comment ref="B321" authorId="1" shapeId="0" xr:uid="{830C750F-0CD1-400D-A9A6-219611A36882}">
      <text>
        <r>
          <rPr>
            <b/>
            <sz val="9"/>
            <color indexed="81"/>
            <rFont val="Tahoma"/>
            <family val="2"/>
          </rPr>
          <t>Tyrell Bartholomew:</t>
        </r>
        <r>
          <rPr>
            <sz val="9"/>
            <color indexed="81"/>
            <rFont val="Tahoma"/>
            <family val="2"/>
          </rPr>
          <t xml:space="preserve">
5 mins crowns sticking in hopper.</t>
        </r>
      </text>
    </comment>
    <comment ref="Y330" authorId="2" shapeId="0" xr:uid="{57BEC637-E80B-480A-8FB6-5996C1882D6E}">
      <text>
        <r>
          <rPr>
            <b/>
            <sz val="9"/>
            <color indexed="81"/>
            <rFont val="Tahoma"/>
            <family val="2"/>
          </rPr>
          <t>Micah Noel:</t>
        </r>
        <r>
          <rPr>
            <sz val="9"/>
            <color indexed="81"/>
            <rFont val="Tahoma"/>
            <family val="2"/>
          </rPr>
          <t xml:space="preserve">
Filler HPI fault</t>
        </r>
      </text>
    </comment>
    <comment ref="Y372" authorId="1" shapeId="0" xr:uid="{4323B689-AA72-484F-AA43-2C39B27838C5}">
      <text>
        <r>
          <rPr>
            <b/>
            <sz val="9"/>
            <color indexed="81"/>
            <rFont val="Tahoma"/>
            <family val="2"/>
          </rPr>
          <t>Tyrell Bartholomew:</t>
        </r>
        <r>
          <rPr>
            <sz val="9"/>
            <color indexed="81"/>
            <rFont val="Tahoma"/>
            <family val="2"/>
          </rPr>
          <t xml:space="preserve">
filler infeed sensor malfunction/unresponsive.</t>
        </r>
      </text>
    </comment>
    <comment ref="C387" authorId="2" shapeId="0" xr:uid="{25D8728D-8D23-4D56-80A3-C74ACEA6EA66}">
      <text>
        <r>
          <rPr>
            <b/>
            <sz val="9"/>
            <color indexed="81"/>
            <rFont val="Tahoma"/>
            <family val="2"/>
          </rPr>
          <t>Micah Noel:</t>
        </r>
        <r>
          <rPr>
            <sz val="9"/>
            <color indexed="81"/>
            <rFont val="Tahoma"/>
            <family val="2"/>
          </rPr>
          <t xml:space="preserve">
crowns sticking at transfer plate</t>
        </r>
      </text>
    </comment>
    <comment ref="I395" authorId="4" shapeId="0" xr:uid="{5A6B5DD3-FA22-4950-B2F5-41F191790179}">
      <text>
        <r>
          <rPr>
            <b/>
            <sz val="9"/>
            <color indexed="81"/>
            <rFont val="Tahoma"/>
            <family val="2"/>
          </rPr>
          <t>Dorien Andrew:</t>
        </r>
        <r>
          <rPr>
            <sz val="9"/>
            <color indexed="81"/>
            <rFont val="Tahoma"/>
            <family val="2"/>
          </rPr>
          <t xml:space="preserve">
sensor issues</t>
        </r>
      </text>
    </comment>
    <comment ref="V395" authorId="3" shapeId="0" xr:uid="{2F0B628F-0E69-4E19-8503-E542D376F82B}">
      <text>
        <r>
          <rPr>
            <b/>
            <sz val="9"/>
            <color indexed="81"/>
            <rFont val="Tahoma"/>
            <family val="2"/>
          </rPr>
          <t>Kaylil Baptiste:</t>
        </r>
        <r>
          <rPr>
            <sz val="9"/>
            <color indexed="81"/>
            <rFont val="Tahoma"/>
            <family val="2"/>
          </rPr>
          <t xml:space="preserve">
6mins checking valve #53 on filler</t>
        </r>
      </text>
    </comment>
    <comment ref="Y398" authorId="2" shapeId="0" xr:uid="{97D73CF4-A807-4335-BEB5-8907390F82A7}">
      <text>
        <r>
          <rPr>
            <b/>
            <sz val="9"/>
            <color indexed="81"/>
            <rFont val="Tahoma"/>
            <family val="2"/>
          </rPr>
          <t>Micah Noel:</t>
        </r>
        <r>
          <rPr>
            <sz val="9"/>
            <color indexed="81"/>
            <rFont val="Tahoma"/>
            <family val="2"/>
          </rPr>
          <t xml:space="preserve">
infeed star star/bottle guide sensor plus centering bell sensor malfunction</t>
        </r>
      </text>
    </comment>
    <comment ref="Z403" authorId="4" shapeId="0" xr:uid="{D3260343-2E3A-42B0-AB82-14A631B8803D}">
      <text>
        <r>
          <rPr>
            <b/>
            <sz val="9"/>
            <color indexed="81"/>
            <rFont val="Tahoma"/>
            <family val="2"/>
          </rPr>
          <t>Dorien Andrew:</t>
        </r>
        <r>
          <rPr>
            <sz val="9"/>
            <color indexed="81"/>
            <rFont val="Tahoma"/>
            <family val="2"/>
          </rPr>
          <t xml:space="preserve">
communication issue </t>
        </r>
      </text>
    </comment>
    <comment ref="K438" authorId="4" shapeId="0" xr:uid="{4050BF0B-3AF6-4B25-9319-35438B1ED357}">
      <text>
        <r>
          <rPr>
            <b/>
            <sz val="9"/>
            <color indexed="81"/>
            <rFont val="Tahoma"/>
            <family val="2"/>
          </rPr>
          <t>Dorien Andrew:</t>
        </r>
        <r>
          <rPr>
            <sz val="9"/>
            <color indexed="81"/>
            <rFont val="Tahoma"/>
            <family val="2"/>
          </rPr>
          <t xml:space="preserve">
319mins issues with Filler rotating plate (not working- crowner motor repaired) </t>
        </r>
      </text>
    </comment>
    <comment ref="T439" authorId="0" shapeId="0" xr:uid="{6747DE2F-12D5-45B6-A4C4-69979736A2AC}">
      <text>
        <r>
          <rPr>
            <b/>
            <sz val="9"/>
            <color indexed="81"/>
            <rFont val="Tahoma"/>
            <family val="2"/>
          </rPr>
          <t>Reshelle Fleming:</t>
        </r>
        <r>
          <rPr>
            <sz val="9"/>
            <color indexed="81"/>
            <rFont val="Tahoma"/>
            <family val="2"/>
          </rPr>
          <t xml:space="preserve">
2mins cleaning filler base </t>
        </r>
      </text>
    </comment>
    <comment ref="K455" authorId="2" shapeId="0" xr:uid="{6D4FFBDB-F915-4A7C-84B3-413C97149503}">
      <text>
        <r>
          <rPr>
            <b/>
            <sz val="9"/>
            <color indexed="81"/>
            <rFont val="Tahoma"/>
            <family val="2"/>
          </rPr>
          <t>Micah Noel:</t>
        </r>
        <r>
          <rPr>
            <sz val="9"/>
            <color indexed="81"/>
            <rFont val="Tahoma"/>
            <family val="2"/>
          </rPr>
          <t xml:space="preserve">
not releasing crown</t>
        </r>
      </text>
    </comment>
    <comment ref="X466" authorId="3" shapeId="0" xr:uid="{74FBB6AD-F2A8-4257-BAB3-21617B00DE61}">
      <text>
        <r>
          <rPr>
            <b/>
            <sz val="9"/>
            <color indexed="81"/>
            <rFont val="Tahoma"/>
            <family val="2"/>
          </rPr>
          <t>Kaylil Baptiste:</t>
        </r>
        <r>
          <rPr>
            <sz val="9"/>
            <color indexed="81"/>
            <rFont val="Tahoma"/>
            <family val="2"/>
          </rPr>
          <t xml:space="preserve">
15mins CO2 flushing problem on filler</t>
        </r>
      </text>
    </comment>
    <comment ref="W467" authorId="5" shapeId="0" xr:uid="{C48CA33D-7EB1-46A8-8147-32D27571D993}">
      <text>
        <r>
          <rPr>
            <b/>
            <sz val="9"/>
            <color indexed="81"/>
            <rFont val="Tahoma"/>
            <family val="2"/>
          </rPr>
          <t>Michael Julien:</t>
        </r>
        <r>
          <rPr>
            <sz val="9"/>
            <color indexed="81"/>
            <rFont val="Tahoma"/>
            <family val="2"/>
          </rPr>
          <t xml:space="preserve">
43 mins refitting filling tube </t>
        </r>
      </text>
    </comment>
    <comment ref="AA493" authorId="4" shapeId="0" xr:uid="{A84EDEAD-EB18-4E73-988B-324D083D92A3}">
      <text>
        <r>
          <rPr>
            <b/>
            <sz val="9"/>
            <color indexed="81"/>
            <rFont val="Tahoma"/>
            <family val="2"/>
          </rPr>
          <t>Dorien Andrew:</t>
        </r>
        <r>
          <rPr>
            <sz val="9"/>
            <color indexed="81"/>
            <rFont val="Tahoma"/>
            <family val="2"/>
          </rPr>
          <t xml:space="preserve">
adjusting teflon </t>
        </r>
      </text>
    </comment>
    <comment ref="Y494" authorId="2" shapeId="0" xr:uid="{C2BA5B65-DB1E-479B-B595-AC2113EABFB6}">
      <text>
        <r>
          <rPr>
            <b/>
            <sz val="9"/>
            <color indexed="81"/>
            <rFont val="Tahoma"/>
            <family val="2"/>
          </rPr>
          <t>Micah Noel:</t>
        </r>
        <r>
          <rPr>
            <sz val="9"/>
            <color indexed="81"/>
            <rFont val="Tahoma"/>
            <family val="2"/>
          </rPr>
          <t xml:space="preserve">
crowner sensor malfunction</t>
        </r>
      </text>
    </comment>
    <comment ref="V496" authorId="3" shapeId="0" xr:uid="{CDEFA04A-7B92-4D66-B975-191C52967085}">
      <text>
        <r>
          <rPr>
            <b/>
            <sz val="9"/>
            <color indexed="81"/>
            <rFont val="Tahoma"/>
            <family val="2"/>
          </rPr>
          <t>Kaylil Baptiste:</t>
        </r>
        <r>
          <rPr>
            <sz val="9"/>
            <color indexed="81"/>
            <rFont val="Tahoma"/>
            <family val="2"/>
          </rPr>
          <t xml:space="preserve">
 7 mins stop to investigate valve #140 at filler pipe fence  </t>
        </r>
      </text>
    </comment>
    <comment ref="Y496" authorId="3" shapeId="0" xr:uid="{EF6DA4BE-A3DC-401D-8FAE-5A6FFAE03F33}">
      <text>
        <r>
          <rPr>
            <b/>
            <sz val="9"/>
            <color indexed="81"/>
            <rFont val="Tahoma"/>
            <family val="2"/>
          </rPr>
          <t>Kaylil Baptiste:</t>
        </r>
        <r>
          <rPr>
            <sz val="9"/>
            <color indexed="81"/>
            <rFont val="Tahoma"/>
            <family val="2"/>
          </rPr>
          <t xml:space="preserve">
faulty sensor stopping filler infeed</t>
        </r>
      </text>
    </comment>
    <comment ref="T507" authorId="2" shapeId="0" xr:uid="{30F83683-CC25-4AD9-8E12-DA0DA551A278}">
      <text>
        <r>
          <rPr>
            <b/>
            <sz val="9"/>
            <color indexed="81"/>
            <rFont val="Tahoma"/>
            <family val="2"/>
          </rPr>
          <t>Micah Noel:</t>
        </r>
        <r>
          <rPr>
            <sz val="9"/>
            <color indexed="81"/>
            <rFont val="Tahoma"/>
            <family val="2"/>
          </rPr>
          <t xml:space="preserve">
adjusting teflon for centering bells</t>
        </r>
      </text>
    </comment>
    <comment ref="Y507" authorId="2" shapeId="0" xr:uid="{72A27F07-821F-433A-AEF3-F0666CA21535}">
      <text>
        <r>
          <rPr>
            <b/>
            <sz val="9"/>
            <color indexed="81"/>
            <rFont val="Tahoma"/>
            <family val="2"/>
          </rPr>
          <t>Micah Noel:</t>
        </r>
        <r>
          <rPr>
            <sz val="9"/>
            <color indexed="81"/>
            <rFont val="Tahoma"/>
            <family val="2"/>
          </rPr>
          <t xml:space="preserve">
not allowing crowns into chute ( resulted in uncrown bottles)</t>
        </r>
      </text>
    </comment>
    <comment ref="Y508" authorId="2" shapeId="0" xr:uid="{F08BE160-E5FD-44A5-BDCC-BFC6FB38487F}">
      <text>
        <r>
          <rPr>
            <b/>
            <sz val="9"/>
            <color indexed="81"/>
            <rFont val="Tahoma"/>
            <family val="2"/>
          </rPr>
          <t>Micah Noel:</t>
        </r>
        <r>
          <rPr>
            <sz val="9"/>
            <color indexed="81"/>
            <rFont val="Tahoma"/>
            <family val="2"/>
          </rPr>
          <t xml:space="preserve">
39 mins crown sticking in chute ( sensor malfunction)</t>
        </r>
      </text>
    </comment>
    <comment ref="C510" authorId="2" shapeId="0" xr:uid="{D231F3FF-EB9D-40E5-8AC4-613D8577A577}">
      <text>
        <r>
          <rPr>
            <b/>
            <sz val="9"/>
            <color indexed="81"/>
            <rFont val="Tahoma"/>
            <family val="2"/>
          </rPr>
          <t>Micah Noel:</t>
        </r>
        <r>
          <rPr>
            <sz val="9"/>
            <color indexed="81"/>
            <rFont val="Tahoma"/>
            <family val="2"/>
          </rPr>
          <t xml:space="preserve">
crown jammed at transfer plate</t>
        </r>
      </text>
    </comment>
    <comment ref="H510" authorId="2" shapeId="0" xr:uid="{D7B8B76B-7AA7-4888-B027-6936135F35D5}">
      <text>
        <r>
          <rPr>
            <b/>
            <sz val="9"/>
            <color indexed="81"/>
            <rFont val="Tahoma"/>
            <family val="2"/>
          </rPr>
          <t>Micah Noel:</t>
        </r>
        <r>
          <rPr>
            <sz val="9"/>
            <color indexed="81"/>
            <rFont val="Tahoma"/>
            <family val="2"/>
          </rPr>
          <t xml:space="preserve">
no water to fobber</t>
        </r>
      </text>
    </comment>
    <comment ref="V510" authorId="1" shapeId="0" xr:uid="{34A4D9E4-9F33-4E67-A890-A8047F289EC6}">
      <text>
        <r>
          <rPr>
            <b/>
            <sz val="9"/>
            <color indexed="81"/>
            <rFont val="Tahoma"/>
            <family val="2"/>
          </rPr>
          <t>Tyrell Bartholomew:</t>
        </r>
        <r>
          <rPr>
            <sz val="9"/>
            <color indexed="81"/>
            <rFont val="Tahoma"/>
            <family val="2"/>
          </rPr>
          <t xml:space="preserve">
21mins replacing gas needle and diaphragm on valve 39.</t>
        </r>
      </text>
    </comment>
    <comment ref="Y510" authorId="1" shapeId="0" xr:uid="{C0250F7B-D25E-420A-B47C-E7E3A14A047E}">
      <text>
        <r>
          <rPr>
            <b/>
            <sz val="9"/>
            <color indexed="81"/>
            <rFont val="Tahoma"/>
            <family val="2"/>
          </rPr>
          <t>Tyrell Bartholomew:</t>
        </r>
        <r>
          <rPr>
            <sz val="9"/>
            <color indexed="81"/>
            <rFont val="Tahoma"/>
            <family val="2"/>
          </rPr>
          <t xml:space="preserve">
12mins maintenance replacing crowner crown stop sensor.</t>
        </r>
      </text>
    </comment>
    <comment ref="V511" authorId="4" shapeId="0" xr:uid="{84451F39-0B8E-4D0D-AEEC-16AF76A0B7E4}">
      <text>
        <r>
          <rPr>
            <b/>
            <sz val="9"/>
            <color indexed="81"/>
            <rFont val="Tahoma"/>
            <family val="2"/>
          </rPr>
          <t>Dorien Andrew:</t>
        </r>
        <r>
          <rPr>
            <sz val="9"/>
            <color indexed="81"/>
            <rFont val="Tahoma"/>
            <family val="2"/>
          </rPr>
          <t xml:space="preserve">
work valve 34</t>
        </r>
      </text>
    </comment>
    <comment ref="AF512" authorId="1" shapeId="0" xr:uid="{3F658A28-275D-4D19-9EA4-FAF625CB5BE7}">
      <text>
        <r>
          <rPr>
            <b/>
            <sz val="9"/>
            <color indexed="81"/>
            <rFont val="Tahoma"/>
            <family val="2"/>
          </rPr>
          <t>Tyrell Bartholomew:</t>
        </r>
        <r>
          <rPr>
            <sz val="9"/>
            <color indexed="81"/>
            <rFont val="Tahoma"/>
            <family val="2"/>
          </rPr>
          <t xml:space="preserve">
11mins making adjustment to filler bowl height</t>
        </r>
      </text>
    </comment>
    <comment ref="AD514" authorId="3" shapeId="0" xr:uid="{B6549CF1-BED8-4D1E-BBAE-BBB1359981FC}">
      <text>
        <r>
          <rPr>
            <b/>
            <sz val="9"/>
            <color indexed="81"/>
            <rFont val="Tahoma"/>
            <family val="2"/>
          </rPr>
          <t>Kaylil Baptiste:</t>
        </r>
        <r>
          <rPr>
            <sz val="9"/>
            <color indexed="81"/>
            <rFont val="Tahoma"/>
            <family val="2"/>
          </rPr>
          <t xml:space="preserve">
replacing gas nipple on #34 diaphragm</t>
        </r>
      </text>
    </comment>
    <comment ref="AF514" authorId="2" shapeId="0" xr:uid="{843A502D-B58E-4AEE-BFA5-0A7CDC96EB12}">
      <text>
        <r>
          <rPr>
            <b/>
            <sz val="9"/>
            <color indexed="81"/>
            <rFont val="Tahoma"/>
            <family val="2"/>
          </rPr>
          <t>Micah Noel:</t>
        </r>
        <r>
          <rPr>
            <sz val="9"/>
            <color indexed="81"/>
            <rFont val="Tahoma"/>
            <family val="2"/>
          </rPr>
          <t xml:space="preserve">
adjusting filler bowl height</t>
        </r>
      </text>
    </comment>
    <comment ref="T515" authorId="3" shapeId="0" xr:uid="{55411EBE-562D-46A1-AEEA-24A86213757A}">
      <text>
        <r>
          <rPr>
            <b/>
            <sz val="9"/>
            <color indexed="81"/>
            <rFont val="Tahoma"/>
            <family val="2"/>
          </rPr>
          <t>Kaylil Baptiste:</t>
        </r>
        <r>
          <rPr>
            <sz val="9"/>
            <color indexed="81"/>
            <rFont val="Tahoma"/>
            <family val="2"/>
          </rPr>
          <t xml:space="preserve">
5 Mins cleaning filler base. </t>
        </r>
      </text>
    </comment>
    <comment ref="S516" authorId="4" shapeId="0" xr:uid="{61E6728A-F20C-4846-823F-FEBD6DCB491F}">
      <text>
        <r>
          <rPr>
            <b/>
            <sz val="9"/>
            <color indexed="81"/>
            <rFont val="Tahoma"/>
            <family val="2"/>
          </rPr>
          <t>Dorien Andrew:</t>
        </r>
        <r>
          <rPr>
            <sz val="9"/>
            <color indexed="81"/>
            <rFont val="Tahoma"/>
            <family val="2"/>
          </rPr>
          <t xml:space="preserve">
filler screen frozen up </t>
        </r>
      </text>
    </comment>
    <comment ref="V516" authorId="4" shapeId="0" xr:uid="{63F41E02-B6A2-461D-AD55-1B2FFED185BD}">
      <text>
        <r>
          <rPr>
            <b/>
            <sz val="9"/>
            <color indexed="81"/>
            <rFont val="Tahoma"/>
            <family val="2"/>
          </rPr>
          <t>Dorien Andrew:</t>
        </r>
        <r>
          <rPr>
            <sz val="9"/>
            <color indexed="81"/>
            <rFont val="Tahoma"/>
            <family val="2"/>
          </rPr>
          <t xml:space="preserve">
78 mins lost replacing O ring from valve 34</t>
        </r>
      </text>
    </comment>
    <comment ref="V521" authorId="4" shapeId="0" xr:uid="{D012E32E-11DC-4E82-B372-F0B6881E7985}">
      <text>
        <r>
          <rPr>
            <b/>
            <sz val="9"/>
            <color indexed="81"/>
            <rFont val="Tahoma"/>
            <family val="2"/>
          </rPr>
          <t>Dorien Andrew:</t>
        </r>
        <r>
          <rPr>
            <sz val="9"/>
            <color indexed="81"/>
            <rFont val="Tahoma"/>
            <family val="2"/>
          </rPr>
          <t xml:space="preserve">
repairs to valve #34</t>
        </r>
      </text>
    </comment>
    <comment ref="V524" authorId="4" shapeId="0" xr:uid="{19440A17-968F-4938-B71E-8CBC06D87FC2}">
      <text>
        <r>
          <rPr>
            <b/>
            <sz val="9"/>
            <color indexed="81"/>
            <rFont val="Tahoma"/>
            <family val="2"/>
          </rPr>
          <t>Dorien Andrew:</t>
        </r>
        <r>
          <rPr>
            <sz val="9"/>
            <color indexed="81"/>
            <rFont val="Tahoma"/>
            <family val="2"/>
          </rPr>
          <t xml:space="preserve">
repais on valve #34</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Dorien Andrew</author>
    <author>Kaylil Baptiste</author>
    <author>Micah Noel</author>
    <author>Michael Julien</author>
    <author>Tyrell Bartholomew</author>
    <author>Reshelle Fleming</author>
  </authors>
  <commentList>
    <comment ref="K19" authorId="0" shapeId="0" xr:uid="{E6DF60DF-B88B-4D0C-94CC-FC4C527DF1E5}">
      <text>
        <r>
          <rPr>
            <b/>
            <sz val="9"/>
            <color indexed="81"/>
            <rFont val="Tahoma"/>
            <family val="2"/>
          </rPr>
          <t>Dorien Andrew:</t>
        </r>
        <r>
          <rPr>
            <sz val="9"/>
            <color indexed="81"/>
            <rFont val="Tahoma"/>
            <family val="2"/>
          </rPr>
          <t xml:space="preserve">
low temp on tank 4 </t>
        </r>
      </text>
    </comment>
    <comment ref="I20" authorId="0" shapeId="0" xr:uid="{4FA19C49-02EB-450A-9762-B5D568F243E6}">
      <text>
        <r>
          <rPr>
            <b/>
            <sz val="9"/>
            <color indexed="81"/>
            <rFont val="Tahoma"/>
            <family val="2"/>
          </rPr>
          <t>Dorien Andrew:</t>
        </r>
        <r>
          <rPr>
            <sz val="9"/>
            <color indexed="81"/>
            <rFont val="Tahoma"/>
            <family val="2"/>
          </rPr>
          <t xml:space="preserve">
waiting on dry run </t>
        </r>
      </text>
    </comment>
    <comment ref="F38" authorId="0" shapeId="0" xr:uid="{76C5054D-6649-4A5E-8B64-093CF32CE6AD}">
      <text>
        <r>
          <rPr>
            <b/>
            <sz val="9"/>
            <color indexed="81"/>
            <rFont val="Tahoma"/>
            <family val="2"/>
          </rPr>
          <t>Dorien Andrew:</t>
        </r>
        <r>
          <rPr>
            <sz val="9"/>
            <color indexed="81"/>
            <rFont val="Tahoma"/>
            <family val="2"/>
          </rPr>
          <t xml:space="preserve">
intalling new pump on tank #2</t>
        </r>
      </text>
    </comment>
    <comment ref="K38" authorId="1" shapeId="0" xr:uid="{71BE294F-436E-4133-9C61-BC201D2A6598}">
      <text>
        <r>
          <rPr>
            <b/>
            <sz val="9"/>
            <color indexed="81"/>
            <rFont val="Tahoma"/>
            <family val="2"/>
          </rPr>
          <t>Kaylil Baptiste:</t>
        </r>
        <r>
          <rPr>
            <sz val="9"/>
            <color indexed="81"/>
            <rFont val="Tahoma"/>
            <family val="2"/>
          </rPr>
          <t xml:space="preserve">
waiting on pasteurizer to reach temp </t>
        </r>
      </text>
    </comment>
    <comment ref="S100" authorId="2" shapeId="0" xr:uid="{59005185-5067-43CD-8702-9B9FBEC848BE}">
      <text>
        <r>
          <rPr>
            <b/>
            <sz val="9"/>
            <color indexed="81"/>
            <rFont val="Tahoma"/>
            <family val="2"/>
          </rPr>
          <t>Micah Noel:</t>
        </r>
        <r>
          <rPr>
            <sz val="9"/>
            <color indexed="81"/>
            <rFont val="Tahoma"/>
            <family val="2"/>
          </rPr>
          <t xml:space="preserve">
29mins changing product from Ting to Carib (waiting for temperature drop )</t>
        </r>
      </text>
    </comment>
    <comment ref="F103" authorId="3" shapeId="0" xr:uid="{16132C27-5445-43F8-B501-DDCF7375C231}">
      <text>
        <r>
          <rPr>
            <b/>
            <sz val="9"/>
            <color indexed="81"/>
            <rFont val="Tahoma"/>
            <family val="2"/>
          </rPr>
          <t>Michael Julien:</t>
        </r>
        <r>
          <rPr>
            <sz val="9"/>
            <color indexed="81"/>
            <rFont val="Tahoma"/>
            <family val="2"/>
          </rPr>
          <t xml:space="preserve">
177 mins broken shaft on pasteurizer pump 5.103 mins to full tank and heat up pasteurizer.</t>
        </r>
      </text>
    </comment>
    <comment ref="F104" authorId="2" shapeId="0" xr:uid="{6D09BB2F-FE84-49CD-AAAC-BE950DA0CB4D}">
      <text>
        <r>
          <rPr>
            <b/>
            <sz val="9"/>
            <color indexed="81"/>
            <rFont val="Tahoma"/>
            <family val="2"/>
          </rPr>
          <t>Micah Noel:</t>
        </r>
        <r>
          <rPr>
            <sz val="9"/>
            <color indexed="81"/>
            <rFont val="Tahoma"/>
            <family val="2"/>
          </rPr>
          <t xml:space="preserve">
Pump#5 down for repairs</t>
        </r>
      </text>
    </comment>
    <comment ref="I108" authorId="4" shapeId="0" xr:uid="{E901E444-46D8-433D-AE7D-EF65A4BB417C}">
      <text>
        <r>
          <rPr>
            <b/>
            <sz val="9"/>
            <color indexed="81"/>
            <rFont val="Tahoma"/>
            <family val="2"/>
          </rPr>
          <t>Tyrell Bartholomew:</t>
        </r>
        <r>
          <rPr>
            <sz val="9"/>
            <color indexed="81"/>
            <rFont val="Tahoma"/>
            <family val="2"/>
          </rPr>
          <t xml:space="preserve">
waiting on dry run.</t>
        </r>
      </text>
    </comment>
    <comment ref="K110" authorId="3" shapeId="0" xr:uid="{64ACE7F3-A700-4E37-B538-B3A508246C0B}">
      <text>
        <r>
          <rPr>
            <b/>
            <sz val="9"/>
            <color indexed="81"/>
            <rFont val="Tahoma"/>
            <family val="2"/>
          </rPr>
          <t>Michael Julien:</t>
        </r>
        <r>
          <rPr>
            <sz val="9"/>
            <color indexed="81"/>
            <rFont val="Tahoma"/>
            <family val="2"/>
          </rPr>
          <t xml:space="preserve">
29mins water added to tank 5 too fast and the temperature drop.</t>
        </r>
      </text>
    </comment>
    <comment ref="B164" authorId="0" shapeId="0" xr:uid="{D7B175F4-4702-4C0C-B4DE-55BAA8AF94DE}">
      <text>
        <r>
          <rPr>
            <b/>
            <sz val="9"/>
            <color indexed="81"/>
            <rFont val="Tahoma"/>
            <family val="2"/>
          </rPr>
          <t>Dorien Andrew:</t>
        </r>
        <r>
          <rPr>
            <sz val="9"/>
            <color indexed="81"/>
            <rFont val="Tahoma"/>
            <family val="2"/>
          </rPr>
          <t xml:space="preserve">
142 mins lost for hydraulic isses </t>
        </r>
      </text>
    </comment>
    <comment ref="I229" authorId="1" shapeId="0" xr:uid="{3434DD43-DE34-40D3-9FCF-0A35EC32EBD5}">
      <text>
        <r>
          <rPr>
            <b/>
            <sz val="9"/>
            <color indexed="81"/>
            <rFont val="Tahoma"/>
            <family val="2"/>
          </rPr>
          <t xml:space="preserve">Kaylil Baptiste:
</t>
        </r>
        <r>
          <rPr>
            <sz val="9"/>
            <color indexed="81"/>
            <rFont val="Tahoma"/>
            <family val="2"/>
          </rPr>
          <t>waiting on dry run</t>
        </r>
      </text>
    </comment>
    <comment ref="D308" authorId="1" shapeId="0" xr:uid="{74C494C4-24D8-4361-BCAF-D494F20E5362}">
      <text>
        <r>
          <rPr>
            <b/>
            <sz val="9"/>
            <color indexed="81"/>
            <rFont val="Tahoma"/>
            <family val="2"/>
          </rPr>
          <t>Kaylil Baptiste:</t>
        </r>
        <r>
          <rPr>
            <sz val="9"/>
            <color indexed="81"/>
            <rFont val="Tahoma"/>
            <family val="2"/>
          </rPr>
          <t xml:space="preserve">
missing rail at pasteurizer (commissioning)</t>
        </r>
      </text>
    </comment>
    <comment ref="I309" authorId="4" shapeId="0" xr:uid="{B86D5918-EA7F-42F1-B175-4CEABE2219E5}">
      <text>
        <r>
          <rPr>
            <b/>
            <sz val="9"/>
            <color indexed="81"/>
            <rFont val="Tahoma"/>
            <family val="2"/>
          </rPr>
          <t>Tyrell Bartholomew:</t>
        </r>
        <r>
          <rPr>
            <sz val="9"/>
            <color indexed="81"/>
            <rFont val="Tahoma"/>
            <family val="2"/>
          </rPr>
          <t xml:space="preserve">
62mins awaiting dry run to be completed</t>
        </r>
      </text>
    </comment>
    <comment ref="K309" authorId="1" shapeId="0" xr:uid="{45234AF1-3496-4456-A7A2-869DD41EFDAC}">
      <text>
        <r>
          <rPr>
            <b/>
            <sz val="9"/>
            <color indexed="81"/>
            <rFont val="Tahoma"/>
            <family val="2"/>
          </rPr>
          <t>Kaylil Baptiste:</t>
        </r>
        <r>
          <rPr>
            <sz val="9"/>
            <color indexed="81"/>
            <rFont val="Tahoma"/>
            <family val="2"/>
          </rPr>
          <t xml:space="preserve">
 69mins waiting on san martin techs to heat up pasteurizer</t>
        </r>
      </text>
    </comment>
    <comment ref="V309" authorId="1" shapeId="0" xr:uid="{C6C48943-ACC6-4993-B174-3C904EF86E2A}">
      <text>
        <r>
          <rPr>
            <b/>
            <sz val="9"/>
            <color indexed="81"/>
            <rFont val="Tahoma"/>
            <family val="2"/>
          </rPr>
          <t>Kaylil Baptiste:</t>
        </r>
        <r>
          <rPr>
            <sz val="9"/>
            <color indexed="81"/>
            <rFont val="Tahoma"/>
            <family val="2"/>
          </rPr>
          <t xml:space="preserve">
14mins pasteurizer tank 3 malfunction resulting in the tank overflowing and temperature drop, 16 mins tank #3 flap jammed</t>
        </r>
      </text>
    </comment>
    <comment ref="X309" authorId="2" shapeId="0" xr:uid="{F659C753-A873-4FCE-B68E-C24F4C19DC4A}">
      <text>
        <r>
          <rPr>
            <b/>
            <sz val="9"/>
            <color indexed="81"/>
            <rFont val="Tahoma"/>
            <family val="2"/>
          </rPr>
          <t>Micah Noel:</t>
        </r>
        <r>
          <rPr>
            <sz val="9"/>
            <color indexed="81"/>
            <rFont val="Tahoma"/>
            <family val="2"/>
          </rPr>
          <t xml:space="preserve">
8 mins tank #4 Flap jammed  30mins flap jammed</t>
        </r>
      </text>
    </comment>
    <comment ref="D310" authorId="1" shapeId="0" xr:uid="{624B5419-AA4E-4F2A-9F1D-78A001B30A62}">
      <text>
        <r>
          <rPr>
            <b/>
            <sz val="9"/>
            <color indexed="81"/>
            <rFont val="Tahoma"/>
            <family val="2"/>
          </rPr>
          <t>Kaylil Baptiste:</t>
        </r>
        <r>
          <rPr>
            <sz val="9"/>
            <color indexed="81"/>
            <rFont val="Tahoma"/>
            <family val="2"/>
          </rPr>
          <t xml:space="preserve">
185mins working on pasteurizer tank flap </t>
        </r>
      </text>
    </comment>
    <comment ref="F310" authorId="1" shapeId="0" xr:uid="{331F9A2C-6AEA-4F04-B64A-26137805E304}">
      <text>
        <r>
          <rPr>
            <b/>
            <sz val="9"/>
            <color indexed="81"/>
            <rFont val="Tahoma"/>
            <family val="2"/>
          </rPr>
          <t>Kaylil Baptiste:</t>
        </r>
        <r>
          <rPr>
            <sz val="9"/>
            <color indexed="81"/>
            <rFont val="Tahoma"/>
            <family val="2"/>
          </rPr>
          <t xml:space="preserve">
 17 mins pasteurizer adjustment by San Martin team </t>
        </r>
      </text>
    </comment>
    <comment ref="H311" authorId="2" shapeId="0" xr:uid="{FF73DF99-D477-4FC4-98E2-505713E0AE3B}">
      <text>
        <r>
          <rPr>
            <b/>
            <sz val="9"/>
            <color indexed="81"/>
            <rFont val="Tahoma"/>
            <family val="2"/>
          </rPr>
          <t>Micah Noel:</t>
        </r>
        <r>
          <rPr>
            <sz val="9"/>
            <color indexed="81"/>
            <rFont val="Tahoma"/>
            <family val="2"/>
          </rPr>
          <t xml:space="preserve">
line stopped by lab tech …monitor reporting low PU</t>
        </r>
      </text>
    </comment>
    <comment ref="I311" authorId="1" shapeId="0" xr:uid="{15DC8D85-B7E6-437E-827B-47FF7837589E}">
      <text>
        <r>
          <rPr>
            <b/>
            <sz val="9"/>
            <color indexed="81"/>
            <rFont val="Tahoma"/>
            <family val="2"/>
          </rPr>
          <t>Kaylil Baptiste:</t>
        </r>
        <r>
          <rPr>
            <sz val="9"/>
            <color indexed="81"/>
            <rFont val="Tahoma"/>
            <family val="2"/>
          </rPr>
          <t xml:space="preserve">
60 mins dry run was done twice, 25 mins technician adjusting pasteurizer</t>
        </r>
      </text>
    </comment>
    <comment ref="D312" authorId="3" shapeId="0" xr:uid="{E0B2DAD6-9B45-482E-8A23-70103966715E}">
      <text>
        <r>
          <rPr>
            <b/>
            <sz val="9"/>
            <color indexed="81"/>
            <rFont val="Tahoma"/>
            <family val="2"/>
          </rPr>
          <t>Michael Julien:</t>
        </r>
        <r>
          <rPr>
            <sz val="9"/>
            <color indexed="81"/>
            <rFont val="Tahoma"/>
            <family val="2"/>
          </rPr>
          <t xml:space="preserve">
Pasteurizer trip off.</t>
        </r>
      </text>
    </comment>
    <comment ref="D313" authorId="1" shapeId="0" xr:uid="{FA90974E-9006-458F-8592-8220C780EE1C}">
      <text>
        <r>
          <rPr>
            <b/>
            <sz val="9"/>
            <color indexed="81"/>
            <rFont val="Tahoma"/>
            <family val="2"/>
          </rPr>
          <t>Kaylil Baptiste:</t>
        </r>
        <r>
          <rPr>
            <sz val="9"/>
            <color indexed="81"/>
            <rFont val="Tahoma"/>
            <family val="2"/>
          </rPr>
          <t xml:space="preserve">
54mins lost due to pasteurizer malfunction( detained mesh waiting up)</t>
        </r>
      </text>
    </comment>
    <comment ref="D314" authorId="1" shapeId="0" xr:uid="{8C4E061A-76D5-4302-85E4-7EC965A710AF}">
      <text>
        <r>
          <rPr>
            <b/>
            <sz val="9"/>
            <color indexed="81"/>
            <rFont val="Tahoma"/>
            <family val="2"/>
          </rPr>
          <t>Kaylil Baptiste:</t>
        </r>
        <r>
          <rPr>
            <sz val="9"/>
            <color indexed="81"/>
            <rFont val="Tahoma"/>
            <family val="2"/>
          </rPr>
          <t xml:space="preserve">
22mins pasteurizer malfunction</t>
        </r>
      </text>
    </comment>
    <comment ref="D315" authorId="1" shapeId="0" xr:uid="{B47A8A75-C086-4788-9089-E568508E54DD}">
      <text>
        <r>
          <rPr>
            <b/>
            <sz val="9"/>
            <color indexed="81"/>
            <rFont val="Tahoma"/>
            <family val="2"/>
          </rPr>
          <t>Kaylil Baptiste:</t>
        </r>
        <r>
          <rPr>
            <sz val="9"/>
            <color indexed="81"/>
            <rFont val="Tahoma"/>
            <family val="2"/>
          </rPr>
          <t xml:space="preserve">
4mins pasteurizer malfunction(san-martin tech making adjustments).</t>
        </r>
      </text>
    </comment>
    <comment ref="G315" authorId="1" shapeId="0" xr:uid="{2E9992C1-1090-4DE0-9089-4DABBD631DC7}">
      <text>
        <r>
          <rPr>
            <b/>
            <sz val="9"/>
            <color indexed="81"/>
            <rFont val="Tahoma"/>
            <family val="2"/>
          </rPr>
          <t>Kaylil Baptiste:</t>
        </r>
        <r>
          <rPr>
            <sz val="9"/>
            <color indexed="81"/>
            <rFont val="Tahoma"/>
            <family val="2"/>
          </rPr>
          <t xml:space="preserve">
120mins adjusting PU</t>
        </r>
      </text>
    </comment>
    <comment ref="I315" authorId="1" shapeId="0" xr:uid="{266C1A71-E6F3-425B-963B-CC8B01FAA8B3}">
      <text>
        <r>
          <rPr>
            <b/>
            <sz val="9"/>
            <color indexed="81"/>
            <rFont val="Tahoma"/>
            <family val="2"/>
          </rPr>
          <t>Kaylil Baptiste:</t>
        </r>
        <r>
          <rPr>
            <sz val="9"/>
            <color indexed="81"/>
            <rFont val="Tahoma"/>
            <family val="2"/>
          </rPr>
          <t xml:space="preserve">
 42 mins waiting for dry run results</t>
        </r>
      </text>
    </comment>
    <comment ref="T315" authorId="1" shapeId="0" xr:uid="{7E3DBCD9-79B7-4021-B702-EF4759278CA9}">
      <text>
        <r>
          <rPr>
            <b/>
            <sz val="9"/>
            <color indexed="81"/>
            <rFont val="Tahoma"/>
            <family val="2"/>
          </rPr>
          <t>Kaylil Baptiste:</t>
        </r>
        <r>
          <rPr>
            <sz val="9"/>
            <color indexed="81"/>
            <rFont val="Tahoma"/>
            <family val="2"/>
          </rPr>
          <t xml:space="preserve">
45mins waiting on PU monitor </t>
        </r>
      </text>
    </comment>
    <comment ref="D316" authorId="1" shapeId="0" xr:uid="{0C99C5BD-0428-441C-A931-4E6DBEC0BB4A}">
      <text>
        <r>
          <rPr>
            <b/>
            <sz val="9"/>
            <color indexed="81"/>
            <rFont val="Tahoma"/>
            <family val="2"/>
          </rPr>
          <t>Kaylil Baptiste:</t>
        </r>
        <r>
          <rPr>
            <sz val="9"/>
            <color indexed="81"/>
            <rFont val="Tahoma"/>
            <family val="2"/>
          </rPr>
          <t xml:space="preserve">
7mins pastuerizer running program(line back up).9 mins technician adjustment to pasteurizer</t>
        </r>
      </text>
    </comment>
    <comment ref="K316" authorId="4" shapeId="0" xr:uid="{1356CB44-6EEC-4557-907C-1DFC382B4F19}">
      <text>
        <r>
          <rPr>
            <b/>
            <sz val="9"/>
            <color indexed="81"/>
            <rFont val="Tahoma"/>
            <family val="2"/>
          </rPr>
          <t>Tyrell Bartholomew:</t>
        </r>
        <r>
          <rPr>
            <sz val="9"/>
            <color indexed="81"/>
            <rFont val="Tahoma"/>
            <family val="2"/>
          </rPr>
          <t xml:space="preserve">
27 mins lost due to low temperature in tanks.</t>
        </r>
      </text>
    </comment>
    <comment ref="E317" authorId="1" shapeId="0" xr:uid="{143B45B7-655D-42B2-A6E7-FCE0AD47DEE0}">
      <text>
        <r>
          <rPr>
            <b/>
            <sz val="9"/>
            <color indexed="81"/>
            <rFont val="Tahoma"/>
            <family val="2"/>
          </rPr>
          <t>Kaylil Baptiste:</t>
        </r>
        <r>
          <rPr>
            <sz val="9"/>
            <color indexed="81"/>
            <rFont val="Tahoma"/>
            <family val="2"/>
          </rPr>
          <t xml:space="preserve">
94 mins pasteurizer preparation for carib (san martin tech adjusting parameters)</t>
        </r>
      </text>
    </comment>
    <comment ref="G317" authorId="1" shapeId="0" xr:uid="{A9A890A9-5EAD-4892-B121-345CB379D07C}">
      <text>
        <r>
          <rPr>
            <b/>
            <sz val="9"/>
            <color indexed="81"/>
            <rFont val="Tahoma"/>
            <family val="2"/>
          </rPr>
          <t>Kaylil Baptiste:</t>
        </r>
        <r>
          <rPr>
            <sz val="9"/>
            <color indexed="81"/>
            <rFont val="Tahoma"/>
            <family val="2"/>
          </rPr>
          <t xml:space="preserve">
PU adjustments</t>
        </r>
      </text>
    </comment>
    <comment ref="F319" authorId="2" shapeId="0" xr:uid="{12BDEB0D-1429-4059-B2D3-3208905D4509}">
      <text>
        <r>
          <rPr>
            <b/>
            <sz val="9"/>
            <color indexed="81"/>
            <rFont val="Tahoma"/>
            <family val="2"/>
          </rPr>
          <t>Micah Noel:</t>
        </r>
        <r>
          <rPr>
            <sz val="9"/>
            <color indexed="81"/>
            <rFont val="Tahoma"/>
            <family val="2"/>
          </rPr>
          <t xml:space="preserve">
3 mins pump #3 cut off</t>
        </r>
      </text>
    </comment>
    <comment ref="H319" authorId="4" shapeId="0" xr:uid="{A636B93E-EE92-4881-A9AE-9CE133383CFF}">
      <text>
        <r>
          <rPr>
            <b/>
            <sz val="9"/>
            <color indexed="81"/>
            <rFont val="Tahoma"/>
            <family val="2"/>
          </rPr>
          <t>Tyrell Bartholomew:</t>
        </r>
        <r>
          <rPr>
            <sz val="9"/>
            <color indexed="81"/>
            <rFont val="Tahoma"/>
            <family val="2"/>
          </rPr>
          <t xml:space="preserve">
4mins waiting on pasteurizer. </t>
        </r>
      </text>
    </comment>
    <comment ref="F320" authorId="3" shapeId="0" xr:uid="{1FD6DB71-36AB-4E00-9424-D80D0EBECC4F}">
      <text>
        <r>
          <rPr>
            <b/>
            <sz val="9"/>
            <color indexed="81"/>
            <rFont val="Tahoma"/>
            <family val="2"/>
          </rPr>
          <t>Michael Julien:</t>
        </r>
        <r>
          <rPr>
            <sz val="9"/>
            <color indexed="81"/>
            <rFont val="Tahoma"/>
            <family val="2"/>
          </rPr>
          <t xml:space="preserve">
Technician making adjustments</t>
        </r>
      </text>
    </comment>
    <comment ref="L320" authorId="3" shapeId="0" xr:uid="{6DCA15E4-3234-403D-9D24-2B70233AD1C4}">
      <text>
        <r>
          <rPr>
            <b/>
            <sz val="9"/>
            <color indexed="81"/>
            <rFont val="Tahoma"/>
            <family val="2"/>
          </rPr>
          <t>Michael Julien:</t>
        </r>
        <r>
          <rPr>
            <sz val="9"/>
            <color indexed="81"/>
            <rFont val="Tahoma"/>
            <family val="2"/>
          </rPr>
          <t xml:space="preserve">
sensor for conveyor stop pasteurizer</t>
        </r>
      </text>
    </comment>
    <comment ref="G321" authorId="1" shapeId="0" xr:uid="{9805BB71-B8C1-4F40-BC22-9F33E0743C2C}">
      <text>
        <r>
          <rPr>
            <b/>
            <sz val="9"/>
            <color indexed="81"/>
            <rFont val="Tahoma"/>
            <family val="2"/>
          </rPr>
          <t>Kaylil Baptiste:</t>
        </r>
        <r>
          <rPr>
            <sz val="9"/>
            <color indexed="81"/>
            <rFont val="Tahoma"/>
            <family val="2"/>
          </rPr>
          <t xml:space="preserve">
pu adjustments</t>
        </r>
      </text>
    </comment>
    <comment ref="K322" authorId="4" shapeId="0" xr:uid="{E83F58D7-5197-4CBD-97AB-9CCA67DED2E5}">
      <text>
        <r>
          <rPr>
            <b/>
            <sz val="9"/>
            <color indexed="81"/>
            <rFont val="Tahoma"/>
            <family val="2"/>
          </rPr>
          <t>Tyrell Bartholomew:</t>
        </r>
        <r>
          <rPr>
            <sz val="9"/>
            <color indexed="81"/>
            <rFont val="Tahoma"/>
            <family val="2"/>
          </rPr>
          <t xml:space="preserve">
3mins unit waiting tank temperatures .</t>
        </r>
      </text>
    </comment>
    <comment ref="F323" authorId="2" shapeId="0" xr:uid="{80FAC7FB-0629-4AED-A28E-A418C578FA53}">
      <text>
        <r>
          <rPr>
            <b/>
            <sz val="9"/>
            <color indexed="81"/>
            <rFont val="Tahoma"/>
            <family val="2"/>
          </rPr>
          <t>Micah Noel:</t>
        </r>
        <r>
          <rPr>
            <sz val="9"/>
            <color indexed="81"/>
            <rFont val="Tahoma"/>
            <family val="2"/>
          </rPr>
          <t xml:space="preserve">
pasteurizer commissioning
adjustment to temperature probes + electrical problem  (pasteurizer pumps cable burn)</t>
        </r>
      </text>
    </comment>
    <comment ref="K325" authorId="4" shapeId="0" xr:uid="{4E886FFC-E984-48CB-B6FA-385F0E719CE1}">
      <text>
        <r>
          <rPr>
            <b/>
            <sz val="9"/>
            <color indexed="81"/>
            <rFont val="Tahoma"/>
            <family val="2"/>
          </rPr>
          <t>Tyrell Bartholomew:</t>
        </r>
        <r>
          <rPr>
            <sz val="9"/>
            <color indexed="81"/>
            <rFont val="Tahoma"/>
            <family val="2"/>
          </rPr>
          <t xml:space="preserve">
15mins stop low tank temperature(self pu adjustment)</t>
        </r>
      </text>
    </comment>
    <comment ref="I326" authorId="4" shapeId="0" xr:uid="{3EEC3F21-2465-4D18-BBFA-9A640D738485}">
      <text>
        <r>
          <rPr>
            <b/>
            <sz val="9"/>
            <color indexed="81"/>
            <rFont val="Tahoma"/>
            <family val="2"/>
          </rPr>
          <t>Tyrell Bartholomew:</t>
        </r>
        <r>
          <rPr>
            <sz val="9"/>
            <color indexed="81"/>
            <rFont val="Tahoma"/>
            <family val="2"/>
          </rPr>
          <t xml:space="preserve">
46mins waiting on dry run</t>
        </r>
      </text>
    </comment>
    <comment ref="L326" authorId="3" shapeId="0" xr:uid="{8EA28AD0-D59B-4CDE-85D2-5CC86724E27B}">
      <text>
        <r>
          <rPr>
            <b/>
            <sz val="9"/>
            <color indexed="81"/>
            <rFont val="Tahoma"/>
            <family val="2"/>
          </rPr>
          <t>Michael Julien:</t>
        </r>
        <r>
          <rPr>
            <sz val="9"/>
            <color indexed="81"/>
            <rFont val="Tahoma"/>
            <family val="2"/>
          </rPr>
          <t xml:space="preserve">
Pasteurizer self adjusting.</t>
        </r>
      </text>
    </comment>
    <comment ref="K328" authorId="1" shapeId="0" xr:uid="{B321A434-19AA-4EED-AF67-6A949DBDD862}">
      <text>
        <r>
          <rPr>
            <b/>
            <sz val="9"/>
            <color indexed="81"/>
            <rFont val="Tahoma"/>
            <family val="2"/>
          </rPr>
          <t>Kaylil Baptiste:</t>
        </r>
        <r>
          <rPr>
            <sz val="9"/>
            <color indexed="81"/>
            <rFont val="Tahoma"/>
            <family val="2"/>
          </rPr>
          <t xml:space="preserve">
19mins waiting on pasteurizer temperature to be within spec.</t>
        </r>
      </text>
    </comment>
    <comment ref="L329" authorId="1" shapeId="0" xr:uid="{356A98FA-7B05-4028-98D3-6A67FAA30699}">
      <text>
        <r>
          <rPr>
            <b/>
            <sz val="9"/>
            <color indexed="81"/>
            <rFont val="Tahoma"/>
            <family val="2"/>
          </rPr>
          <t>Kaylil Baptiste:</t>
        </r>
        <r>
          <rPr>
            <sz val="9"/>
            <color indexed="81"/>
            <rFont val="Tahoma"/>
            <family val="2"/>
          </rPr>
          <t xml:space="preserve">
40mins panel adjustments on pasteurizer by tech</t>
        </r>
      </text>
    </comment>
    <comment ref="K366" authorId="2" shapeId="0" xr:uid="{6F6D0CF5-C4F3-4524-9EF9-91F4B28444DA}">
      <text>
        <r>
          <rPr>
            <b/>
            <sz val="9"/>
            <color indexed="81"/>
            <rFont val="Tahoma"/>
            <family val="2"/>
          </rPr>
          <t>Micah Noel:</t>
        </r>
        <r>
          <rPr>
            <sz val="9"/>
            <color indexed="81"/>
            <rFont val="Tahoma"/>
            <family val="2"/>
          </rPr>
          <t xml:space="preserve">
pasteurizer regulating temperature</t>
        </r>
      </text>
    </comment>
    <comment ref="D369" authorId="2" shapeId="0" xr:uid="{DB82A080-0CB8-45A3-852A-22F9FE2D7894}">
      <text>
        <r>
          <rPr>
            <b/>
            <sz val="9"/>
            <color indexed="81"/>
            <rFont val="Tahoma"/>
            <family val="2"/>
          </rPr>
          <t>Micah Noel:</t>
        </r>
        <r>
          <rPr>
            <sz val="9"/>
            <color indexed="81"/>
            <rFont val="Tahoma"/>
            <family val="2"/>
          </rPr>
          <t xml:space="preserve">
Sanmartin technician indicated that there may have been a power drop for which the unit is very sensitive to  </t>
        </r>
      </text>
    </comment>
    <comment ref="I369" authorId="4" shapeId="0" xr:uid="{30C96F20-D4B9-458A-9E81-4B5B4872EE06}">
      <text>
        <r>
          <rPr>
            <b/>
            <sz val="9"/>
            <color indexed="81"/>
            <rFont val="Tahoma"/>
            <family val="2"/>
          </rPr>
          <t>Tyrell Bartholomew:</t>
        </r>
        <r>
          <rPr>
            <sz val="9"/>
            <color indexed="81"/>
            <rFont val="Tahoma"/>
            <family val="2"/>
          </rPr>
          <t xml:space="preserve">
waiting on dry run.</t>
        </r>
      </text>
    </comment>
    <comment ref="I371" authorId="4" shapeId="0" xr:uid="{87AC961C-98C1-481B-99CD-BE334EE20321}">
      <text>
        <r>
          <rPr>
            <b/>
            <sz val="9"/>
            <color indexed="81"/>
            <rFont val="Tahoma"/>
            <family val="2"/>
          </rPr>
          <t>Tyrell Bartholomew:</t>
        </r>
        <r>
          <rPr>
            <sz val="9"/>
            <color indexed="81"/>
            <rFont val="Tahoma"/>
            <family val="2"/>
          </rPr>
          <t xml:space="preserve">
waiting on dry run.</t>
        </r>
      </text>
    </comment>
    <comment ref="F373" authorId="2" shapeId="0" xr:uid="{D128A495-2AE2-4D96-8292-B1D655EBAED6}">
      <text>
        <r>
          <rPr>
            <b/>
            <sz val="9"/>
            <color indexed="81"/>
            <rFont val="Tahoma"/>
            <family val="2"/>
          </rPr>
          <t>Micah Noel:</t>
        </r>
        <r>
          <rPr>
            <sz val="9"/>
            <color indexed="81"/>
            <rFont val="Tahoma"/>
            <family val="2"/>
          </rPr>
          <t xml:space="preserve">
pasteurizer pumps shutting down </t>
        </r>
      </text>
    </comment>
    <comment ref="K373" authorId="2" shapeId="0" xr:uid="{4AEEDF35-09CF-41F3-B270-994E18249F05}">
      <text>
        <r>
          <rPr>
            <b/>
            <sz val="9"/>
            <color indexed="81"/>
            <rFont val="Tahoma"/>
            <family val="2"/>
          </rPr>
          <t>Micah Noel:</t>
        </r>
        <r>
          <rPr>
            <sz val="9"/>
            <color indexed="81"/>
            <rFont val="Tahoma"/>
            <family val="2"/>
          </rPr>
          <t xml:space="preserve">
low temps on pasteurizer</t>
        </r>
      </text>
    </comment>
    <comment ref="I374" authorId="3" shapeId="0" xr:uid="{CB15D132-1B18-401B-9985-BACF74AE3C8F}">
      <text>
        <r>
          <rPr>
            <b/>
            <sz val="9"/>
            <color indexed="81"/>
            <rFont val="Tahoma"/>
            <family val="2"/>
          </rPr>
          <t>Michael Julien:</t>
        </r>
        <r>
          <rPr>
            <sz val="9"/>
            <color indexed="81"/>
            <rFont val="Tahoma"/>
            <family val="2"/>
          </rPr>
          <t xml:space="preserve">
dry run testing for starmalt and ginseng</t>
        </r>
      </text>
    </comment>
    <comment ref="D381" authorId="1" shapeId="0" xr:uid="{65100C74-7E75-434B-AE37-2775C043A989}">
      <text>
        <r>
          <rPr>
            <b/>
            <sz val="9"/>
            <color indexed="81"/>
            <rFont val="Tahoma"/>
            <family val="2"/>
          </rPr>
          <t>Kaylil Baptiste:</t>
        </r>
        <r>
          <rPr>
            <sz val="9"/>
            <color indexed="81"/>
            <rFont val="Tahoma"/>
            <family val="2"/>
          </rPr>
          <t xml:space="preserve">
14mins tech making adjustments </t>
        </r>
      </text>
    </comment>
    <comment ref="K382" authorId="1" shapeId="0" xr:uid="{1611A96F-426B-4177-B874-23610C045B98}">
      <text>
        <r>
          <rPr>
            <b/>
            <sz val="9"/>
            <color indexed="81"/>
            <rFont val="Tahoma"/>
            <family val="2"/>
          </rPr>
          <t>Kaylil Baptiste:</t>
        </r>
        <r>
          <rPr>
            <sz val="9"/>
            <color indexed="81"/>
            <rFont val="Tahoma"/>
            <family val="2"/>
          </rPr>
          <t xml:space="preserve">
4mins waiting on paseurizer tank temperature.</t>
        </r>
      </text>
    </comment>
    <comment ref="K383" authorId="2" shapeId="0" xr:uid="{26896979-985A-41EE-858E-6145F5D7EB5B}">
      <text>
        <r>
          <rPr>
            <b/>
            <sz val="9"/>
            <color indexed="81"/>
            <rFont val="Tahoma"/>
            <family val="2"/>
          </rPr>
          <t>Micah Noel:</t>
        </r>
        <r>
          <rPr>
            <sz val="9"/>
            <color indexed="81"/>
            <rFont val="Tahoma"/>
            <family val="2"/>
          </rPr>
          <t xml:space="preserve">
8mins temperature normalizing after long labeler downtime</t>
        </r>
      </text>
    </comment>
    <comment ref="F385" authorId="2" shapeId="0" xr:uid="{D79CA659-AB36-4DB5-82E3-EBAEC836BCD7}">
      <text>
        <r>
          <rPr>
            <b/>
            <sz val="9"/>
            <color indexed="81"/>
            <rFont val="Tahoma"/>
            <family val="2"/>
          </rPr>
          <t>Micah Noel:</t>
        </r>
        <r>
          <rPr>
            <sz val="9"/>
            <color indexed="81"/>
            <rFont val="Tahoma"/>
            <family val="2"/>
          </rPr>
          <t xml:space="preserve">
pump #4 had to be reset</t>
        </r>
      </text>
    </comment>
    <comment ref="I385" authorId="0" shapeId="0" xr:uid="{77C0B671-996E-4761-9393-AF4C78805D1A}">
      <text>
        <r>
          <rPr>
            <b/>
            <sz val="9"/>
            <color indexed="81"/>
            <rFont val="Tahoma"/>
            <family val="2"/>
          </rPr>
          <t>Dorien Andrew:</t>
        </r>
        <r>
          <rPr>
            <sz val="9"/>
            <color indexed="81"/>
            <rFont val="Tahoma"/>
            <family val="2"/>
          </rPr>
          <t xml:space="preserve">
dry run went in late </t>
        </r>
      </text>
    </comment>
    <comment ref="Y394" authorId="0" shapeId="0" xr:uid="{CB232DD8-EA28-4BC6-8658-3E5A5FD27828}">
      <text>
        <r>
          <rPr>
            <b/>
            <sz val="9"/>
            <color indexed="81"/>
            <rFont val="Tahoma"/>
            <family val="2"/>
          </rPr>
          <t>Dorien Andrew:</t>
        </r>
        <r>
          <rPr>
            <sz val="9"/>
            <color indexed="81"/>
            <rFont val="Tahoma"/>
            <family val="2"/>
          </rPr>
          <t xml:space="preserve">
air line blow off in control panel as a result machine had to stop for repair after repair temp went low so we waited for 11 mins but once temp went back up machine restarted but temp keep going up we lost an extra 14 mins as aresult </t>
        </r>
      </text>
    </comment>
    <comment ref="I395" authorId="1" shapeId="0" xr:uid="{98A1D7BF-F135-4583-AFF0-08196C7CF09C}">
      <text>
        <r>
          <rPr>
            <b/>
            <sz val="9"/>
            <color indexed="81"/>
            <rFont val="Tahoma"/>
            <family val="2"/>
          </rPr>
          <t>Kaylil Baptiste:</t>
        </r>
        <r>
          <rPr>
            <sz val="9"/>
            <color indexed="81"/>
            <rFont val="Tahoma"/>
            <family val="2"/>
          </rPr>
          <t xml:space="preserve">
220 mins awaiting dry run results ( had to be conducted twice)</t>
        </r>
      </text>
    </comment>
    <comment ref="F400" authorId="1" shapeId="0" xr:uid="{DC77636D-E2F7-4F77-B299-C897B78FCA50}">
      <text>
        <r>
          <rPr>
            <b/>
            <sz val="9"/>
            <color indexed="81"/>
            <rFont val="Tahoma"/>
            <family val="2"/>
          </rPr>
          <t>Kaylil Baptiste:</t>
        </r>
        <r>
          <rPr>
            <sz val="9"/>
            <color indexed="81"/>
            <rFont val="Tahoma"/>
            <family val="2"/>
          </rPr>
          <t xml:space="preserve">
90 mins extended dry run due to pump #5 failure to start ( monitor was stuck in tank six as issue with pump failure stopped pasteurizer)</t>
        </r>
      </text>
    </comment>
    <comment ref="X412" authorId="1" shapeId="0" xr:uid="{01806087-992D-4522-B8D5-47EE54966F20}">
      <text>
        <r>
          <rPr>
            <b/>
            <sz val="9"/>
            <color indexed="81"/>
            <rFont val="Tahoma"/>
            <family val="2"/>
          </rPr>
          <t>Kaylil Baptiste:</t>
        </r>
        <r>
          <rPr>
            <sz val="9"/>
            <color indexed="81"/>
            <rFont val="Tahoma"/>
            <family val="2"/>
          </rPr>
          <t xml:space="preserve">
flap jam</t>
        </r>
      </text>
    </comment>
    <comment ref="F425" authorId="2" shapeId="0" xr:uid="{5C377FA3-F419-4EC1-8629-1EF3E47C41CD}">
      <text>
        <r>
          <rPr>
            <b/>
            <sz val="9"/>
            <color indexed="81"/>
            <rFont val="Tahoma"/>
            <family val="2"/>
          </rPr>
          <t>Micah Noel:</t>
        </r>
        <r>
          <rPr>
            <sz val="9"/>
            <color indexed="81"/>
            <rFont val="Tahoma"/>
            <family val="2"/>
          </rPr>
          <t xml:space="preserve">
17mins pump #4 cut off</t>
        </r>
      </text>
    </comment>
    <comment ref="L425" authorId="1" shapeId="0" xr:uid="{50B6525A-EC39-441C-A9A0-92E374C71635}">
      <text>
        <r>
          <rPr>
            <b/>
            <sz val="9"/>
            <color indexed="81"/>
            <rFont val="Tahoma"/>
            <family val="2"/>
          </rPr>
          <t>Kaylil Baptiste:</t>
        </r>
        <r>
          <rPr>
            <sz val="9"/>
            <color indexed="81"/>
            <rFont val="Tahoma"/>
            <family val="2"/>
          </rPr>
          <t xml:space="preserve">
sensor malfunction at pasteurizer infeed</t>
        </r>
      </text>
    </comment>
    <comment ref="S425" authorId="1" shapeId="0" xr:uid="{9D968CD6-8047-4DDA-9DD1-D2DCF12C72D5}">
      <text>
        <r>
          <rPr>
            <b/>
            <sz val="9"/>
            <color indexed="81"/>
            <rFont val="Tahoma"/>
            <family val="2"/>
          </rPr>
          <t>Kaylil Baptiste:</t>
        </r>
        <r>
          <rPr>
            <sz val="9"/>
            <color indexed="81"/>
            <rFont val="Tahoma"/>
            <family val="2"/>
          </rPr>
          <t xml:space="preserve">
12 mins low water level on pasteurizer (long stop- temp regulation)</t>
        </r>
      </text>
    </comment>
    <comment ref="F426" authorId="3" shapeId="0" xr:uid="{3D5ACD56-17E3-4F2A-B1A8-055FEC1CD635}">
      <text>
        <r>
          <rPr>
            <b/>
            <sz val="9"/>
            <color indexed="81"/>
            <rFont val="Tahoma"/>
            <family val="2"/>
          </rPr>
          <t>Michael Julien:</t>
        </r>
        <r>
          <rPr>
            <sz val="9"/>
            <color indexed="81"/>
            <rFont val="Tahoma"/>
            <family val="2"/>
          </rPr>
          <t xml:space="preserve">
tank 2 overflowing.</t>
        </r>
      </text>
    </comment>
    <comment ref="S426" authorId="0" shapeId="0" xr:uid="{6DB1E95F-234F-4520-9CF3-DEAE3B20B423}">
      <text>
        <r>
          <rPr>
            <b/>
            <sz val="9"/>
            <color indexed="81"/>
            <rFont val="Tahoma"/>
            <family val="2"/>
          </rPr>
          <t>Dorien Andrew:</t>
        </r>
        <r>
          <rPr>
            <sz val="9"/>
            <color indexed="81"/>
            <rFont val="Tahoma"/>
            <family val="2"/>
          </rPr>
          <t xml:space="preserve">
waiting temp to go down from guinness </t>
        </r>
      </text>
    </comment>
    <comment ref="K430" authorId="5" shapeId="0" xr:uid="{C043CB18-73D2-4BDE-A4FD-F00710E08F23}">
      <text>
        <r>
          <rPr>
            <b/>
            <sz val="9"/>
            <color indexed="81"/>
            <rFont val="Tahoma"/>
            <family val="2"/>
          </rPr>
          <t>Reshelle Fleming:</t>
        </r>
        <r>
          <rPr>
            <sz val="9"/>
            <color indexed="81"/>
            <rFont val="Tahoma"/>
            <family val="2"/>
          </rPr>
          <t xml:space="preserve">
6mins pasteurizer stop fo low temp</t>
        </r>
      </text>
    </comment>
    <comment ref="M430" authorId="5" shapeId="0" xr:uid="{0B5E6DC1-3AE3-4AD6-8C03-1E966B3A45F5}">
      <text>
        <r>
          <rPr>
            <b/>
            <sz val="9"/>
            <color indexed="81"/>
            <rFont val="Tahoma"/>
            <family val="2"/>
          </rPr>
          <t>Reshelle Fleming:</t>
        </r>
        <r>
          <rPr>
            <sz val="9"/>
            <color indexed="81"/>
            <rFont val="Tahoma"/>
            <family val="2"/>
          </rPr>
          <t xml:space="preserve">
4mins TK5 Valve 26 on Pasteurizer flap stuck</t>
        </r>
      </text>
    </comment>
    <comment ref="W430" authorId="3" shapeId="0" xr:uid="{200129F9-25C1-45C0-9825-AF3A809F9B27}">
      <text>
        <r>
          <rPr>
            <b/>
            <sz val="9"/>
            <color indexed="81"/>
            <rFont val="Tahoma"/>
            <family val="2"/>
          </rPr>
          <t>Michael Julien:</t>
        </r>
        <r>
          <rPr>
            <sz val="9"/>
            <color indexed="81"/>
            <rFont val="Tahoma"/>
            <family val="2"/>
          </rPr>
          <t xml:space="preserve">
PU monitor stuck in pasteurizer discharge.</t>
        </r>
      </text>
    </comment>
    <comment ref="F431" authorId="2" shapeId="0" xr:uid="{F72D653A-2359-47DD-8FBD-1B03E52CEAC1}">
      <text>
        <r>
          <rPr>
            <b/>
            <sz val="9"/>
            <color indexed="81"/>
            <rFont val="Tahoma"/>
            <family val="2"/>
          </rPr>
          <t>Micah Noel:</t>
        </r>
        <r>
          <rPr>
            <sz val="9"/>
            <color indexed="81"/>
            <rFont val="Tahoma"/>
            <family val="2"/>
          </rPr>
          <t xml:space="preserve">
6mins pump #5 on pasteurizer cut off and 4 mins on pump#4. </t>
        </r>
      </text>
    </comment>
    <comment ref="I431" authorId="5" shapeId="0" xr:uid="{827F3D6F-2C85-4462-BF5C-1581519FE6C8}">
      <text>
        <r>
          <rPr>
            <b/>
            <sz val="9"/>
            <color indexed="81"/>
            <rFont val="Tahoma"/>
            <family val="2"/>
          </rPr>
          <t>Reshelle Fleming:</t>
        </r>
        <r>
          <rPr>
            <sz val="9"/>
            <color indexed="81"/>
            <rFont val="Tahoma"/>
            <family val="2"/>
          </rPr>
          <t xml:space="preserve">
80mins late start waiting for dry run </t>
        </r>
      </text>
    </comment>
    <comment ref="K431" authorId="0" shapeId="0" xr:uid="{6066C478-5FE9-41A5-92FB-493BB4A3C67B}">
      <text>
        <r>
          <rPr>
            <b/>
            <sz val="9"/>
            <color indexed="81"/>
            <rFont val="Tahoma"/>
            <family val="2"/>
          </rPr>
          <t>Dorien Andrew:</t>
        </r>
        <r>
          <rPr>
            <sz val="9"/>
            <color indexed="81"/>
            <rFont val="Tahoma"/>
            <family val="2"/>
          </rPr>
          <t xml:space="preserve">
35mins pasteurizer stop fo low temp (16mins tank 4)</t>
        </r>
      </text>
    </comment>
    <comment ref="F433" authorId="2" shapeId="0" xr:uid="{AACD31E8-0011-4348-93AB-473C13A3E789}">
      <text>
        <r>
          <rPr>
            <b/>
            <sz val="9"/>
            <color indexed="81"/>
            <rFont val="Tahoma"/>
            <family val="2"/>
          </rPr>
          <t>Micah Noel:</t>
        </r>
        <r>
          <rPr>
            <sz val="9"/>
            <color indexed="81"/>
            <rFont val="Tahoma"/>
            <family val="2"/>
          </rPr>
          <t xml:space="preserve">
31mins Pasteurizer pump #4 cut off </t>
        </r>
      </text>
    </comment>
    <comment ref="K433" authorId="5" shapeId="0" xr:uid="{09C9F958-DDAF-42D4-BD58-35432D13B6E8}">
      <text>
        <r>
          <rPr>
            <b/>
            <sz val="9"/>
            <color indexed="81"/>
            <rFont val="Tahoma"/>
            <family val="2"/>
          </rPr>
          <t>Reshelle Fleming:</t>
        </r>
        <r>
          <rPr>
            <sz val="9"/>
            <color indexed="81"/>
            <rFont val="Tahoma"/>
            <family val="2"/>
          </rPr>
          <t xml:space="preserve">
8mins low temperature on pasteurizer (pump 2 and 3 cut off)</t>
        </r>
      </text>
    </comment>
    <comment ref="L433" authorId="2" shapeId="0" xr:uid="{F34F3D97-1C5A-4ECA-AF5B-538C45FC3D99}">
      <text>
        <r>
          <rPr>
            <b/>
            <sz val="9"/>
            <color indexed="81"/>
            <rFont val="Tahoma"/>
            <family val="2"/>
          </rPr>
          <t>Micah Noel:</t>
        </r>
        <r>
          <rPr>
            <sz val="9"/>
            <color indexed="81"/>
            <rFont val="Tahoma"/>
            <family val="2"/>
          </rPr>
          <t xml:space="preserve">
5mins broken bottle jammed discharge conveyor sensor</t>
        </r>
      </text>
    </comment>
    <comment ref="T433" authorId="2" shapeId="0" xr:uid="{6C12588C-B2BF-4C8B-88FE-245D7156725B}">
      <text>
        <r>
          <rPr>
            <b/>
            <sz val="9"/>
            <color indexed="81"/>
            <rFont val="Tahoma"/>
            <family val="2"/>
          </rPr>
          <t>Micah Noel:</t>
        </r>
        <r>
          <rPr>
            <sz val="9"/>
            <color indexed="81"/>
            <rFont val="Tahoma"/>
            <family val="2"/>
          </rPr>
          <t xml:space="preserve">
low temp </t>
        </r>
      </text>
    </comment>
    <comment ref="F437" authorId="5" shapeId="0" xr:uid="{62082CA6-30F6-4588-BEA0-2BBE665CD515}">
      <text>
        <r>
          <rPr>
            <b/>
            <sz val="9"/>
            <color indexed="81"/>
            <rFont val="Tahoma"/>
            <family val="2"/>
          </rPr>
          <t>Reshelle Fleming:</t>
        </r>
        <r>
          <rPr>
            <sz val="9"/>
            <color indexed="81"/>
            <rFont val="Tahoma"/>
            <family val="2"/>
          </rPr>
          <t xml:space="preserve">
25mins Pasteurizer pump malfunction </t>
        </r>
      </text>
    </comment>
    <comment ref="K437" authorId="5" shapeId="0" xr:uid="{9A224C31-C94E-4336-82FB-E438506BDB40}">
      <text>
        <r>
          <rPr>
            <b/>
            <sz val="9"/>
            <color indexed="81"/>
            <rFont val="Tahoma"/>
            <family val="2"/>
          </rPr>
          <t>Reshelle Fleming:</t>
        </r>
        <r>
          <rPr>
            <sz val="9"/>
            <color indexed="81"/>
            <rFont val="Tahoma"/>
            <family val="2"/>
          </rPr>
          <t xml:space="preserve">
6mins low temperature on pasteurizer </t>
        </r>
      </text>
    </comment>
    <comment ref="I444" authorId="4" shapeId="0" xr:uid="{366298DE-D477-47A5-BC88-8E0E78541A06}">
      <text>
        <r>
          <rPr>
            <b/>
            <sz val="9"/>
            <color indexed="81"/>
            <rFont val="Tahoma"/>
            <family val="2"/>
          </rPr>
          <t>Tyrell Bartholomew:</t>
        </r>
        <r>
          <rPr>
            <sz val="9"/>
            <color indexed="81"/>
            <rFont val="Tahoma"/>
            <family val="2"/>
          </rPr>
          <t xml:space="preserve">
118mins waiting on dry run.(came out low the first time)</t>
        </r>
      </text>
    </comment>
    <comment ref="F445" authorId="2" shapeId="0" xr:uid="{54D00230-80C8-48D3-B3EA-5CC6EF84D568}">
      <text>
        <r>
          <rPr>
            <b/>
            <sz val="9"/>
            <color indexed="81"/>
            <rFont val="Tahoma"/>
            <family val="2"/>
          </rPr>
          <t>Micah Noel:</t>
        </r>
        <r>
          <rPr>
            <sz val="9"/>
            <color indexed="81"/>
            <rFont val="Tahoma"/>
            <family val="2"/>
          </rPr>
          <t xml:space="preserve">
7mins pasteurizer pump 5 cut off</t>
        </r>
      </text>
    </comment>
    <comment ref="F449" authorId="2" shapeId="0" xr:uid="{AB93065D-FA31-43B8-BCC6-8D1700C90385}">
      <text>
        <r>
          <rPr>
            <b/>
            <sz val="9"/>
            <color indexed="81"/>
            <rFont val="Tahoma"/>
            <family val="2"/>
          </rPr>
          <t>Micah Noel:</t>
        </r>
        <r>
          <rPr>
            <sz val="9"/>
            <color indexed="81"/>
            <rFont val="Tahoma"/>
            <family val="2"/>
          </rPr>
          <t xml:space="preserve">
pump #4 &amp; #5 cut off (flap jammed)</t>
        </r>
      </text>
    </comment>
    <comment ref="V449" authorId="1" shapeId="0" xr:uid="{8DCD7263-CA9F-49F1-B48C-0212D249362F}">
      <text>
        <r>
          <rPr>
            <b/>
            <sz val="9"/>
            <color indexed="81"/>
            <rFont val="Tahoma"/>
            <family val="2"/>
          </rPr>
          <t>Kaylil Baptiste:</t>
        </r>
        <r>
          <rPr>
            <sz val="9"/>
            <color indexed="81"/>
            <rFont val="Tahoma"/>
            <family val="2"/>
          </rPr>
          <t xml:space="preserve">
flap jamming on pasteurizer </t>
        </r>
      </text>
    </comment>
    <comment ref="F451" authorId="3" shapeId="0" xr:uid="{EF8D4A32-86A4-4C4F-81AD-C392CE1C7B0B}">
      <text>
        <r>
          <rPr>
            <b/>
            <sz val="9"/>
            <color indexed="81"/>
            <rFont val="Tahoma"/>
            <family val="2"/>
          </rPr>
          <t>Michael Julien:</t>
        </r>
        <r>
          <rPr>
            <sz val="9"/>
            <color indexed="81"/>
            <rFont val="Tahoma"/>
            <family val="2"/>
          </rPr>
          <t xml:space="preserve">
Pump 3 and 4 trip off</t>
        </r>
      </text>
    </comment>
    <comment ref="I459" authorId="2" shapeId="0" xr:uid="{39C652CD-AC14-4D3D-BF72-879F65646646}">
      <text>
        <r>
          <rPr>
            <b/>
            <sz val="9"/>
            <color indexed="81"/>
            <rFont val="Tahoma"/>
            <family val="2"/>
          </rPr>
          <t>Micah Noel:</t>
        </r>
        <r>
          <rPr>
            <sz val="9"/>
            <color indexed="81"/>
            <rFont val="Tahoma"/>
            <family val="2"/>
          </rPr>
          <t xml:space="preserve">
waiting for dry run results (apparently monitor got stuck at the infeed of the pasteurizer)</t>
        </r>
      </text>
    </comment>
    <comment ref="F480" authorId="2" shapeId="0" xr:uid="{5EA2A739-6AA9-4918-976E-501B7B7CA50C}">
      <text>
        <r>
          <rPr>
            <b/>
            <sz val="9"/>
            <color indexed="81"/>
            <rFont val="Tahoma"/>
            <family val="2"/>
          </rPr>
          <t>Micah Noel:</t>
        </r>
        <r>
          <rPr>
            <sz val="9"/>
            <color indexed="81"/>
            <rFont val="Tahoma"/>
            <family val="2"/>
          </rPr>
          <t xml:space="preserve">
pump #5 cut off</t>
        </r>
      </text>
    </comment>
    <comment ref="F481" authorId="2" shapeId="0" xr:uid="{77C0C067-A8D0-4909-A6C5-8AE438E29DDA}">
      <text>
        <r>
          <rPr>
            <b/>
            <sz val="9"/>
            <color indexed="81"/>
            <rFont val="Tahoma"/>
            <family val="2"/>
          </rPr>
          <t>Micah Noel:</t>
        </r>
        <r>
          <rPr>
            <sz val="9"/>
            <color indexed="81"/>
            <rFont val="Tahoma"/>
            <family val="2"/>
          </rPr>
          <t xml:space="preserve">
pump #4 cut off</t>
        </r>
      </text>
    </comment>
    <comment ref="W482" authorId="0" shapeId="0" xr:uid="{57127799-E736-4284-A7F4-F1B44D0429A2}">
      <text>
        <r>
          <rPr>
            <b/>
            <sz val="9"/>
            <color indexed="81"/>
            <rFont val="Tahoma"/>
            <family val="2"/>
          </rPr>
          <t>Dorien Andrew:</t>
        </r>
        <r>
          <rPr>
            <sz val="9"/>
            <color indexed="81"/>
            <rFont val="Tahoma"/>
            <family val="2"/>
          </rPr>
          <t xml:space="preserve">
dead plate repair</t>
        </r>
      </text>
    </comment>
    <comment ref="F486" authorId="1" shapeId="0" xr:uid="{3AA3C48D-5EB9-424B-8A4C-D23B05393461}">
      <text>
        <r>
          <rPr>
            <b/>
            <sz val="9"/>
            <color indexed="81"/>
            <rFont val="Tahoma"/>
            <family val="2"/>
          </rPr>
          <t>Kaylil Baptiste:</t>
        </r>
        <r>
          <rPr>
            <sz val="9"/>
            <color indexed="81"/>
            <rFont val="Tahoma"/>
            <family val="2"/>
          </rPr>
          <t xml:space="preserve">
pump #5 cut off</t>
        </r>
      </text>
    </comment>
    <comment ref="I489" authorId="1" shapeId="0" xr:uid="{D17996FA-DFEC-4F09-948F-F1B428C0B5CF}">
      <text>
        <r>
          <rPr>
            <b/>
            <sz val="9"/>
            <color indexed="81"/>
            <rFont val="Tahoma"/>
            <family val="2"/>
          </rPr>
          <t>Kaylil Baptiste:</t>
        </r>
        <r>
          <rPr>
            <sz val="9"/>
            <color indexed="81"/>
            <rFont val="Tahoma"/>
            <family val="2"/>
          </rPr>
          <t xml:space="preserve">
30mins waiting on dry run</t>
        </r>
      </text>
    </comment>
    <comment ref="O489" authorId="0" shapeId="0" xr:uid="{A6379C3F-5487-4C1E-AF38-47E57DF948BC}">
      <text>
        <r>
          <rPr>
            <b/>
            <sz val="9"/>
            <color indexed="81"/>
            <rFont val="Tahoma"/>
            <family val="2"/>
          </rPr>
          <t>Dorien Andrew:</t>
        </r>
        <r>
          <rPr>
            <sz val="9"/>
            <color indexed="81"/>
            <rFont val="Tahoma"/>
            <family val="2"/>
          </rPr>
          <t xml:space="preserve">
stop to drop tank level and refill</t>
        </r>
      </text>
    </comment>
    <comment ref="I491" authorId="4" shapeId="0" xr:uid="{93EF140F-0ABA-4A1C-BFA1-49EEFD8F03F6}">
      <text>
        <r>
          <rPr>
            <b/>
            <sz val="9"/>
            <color indexed="81"/>
            <rFont val="Tahoma"/>
            <family val="2"/>
          </rPr>
          <t>Tyrell Bartholomew:</t>
        </r>
        <r>
          <rPr>
            <sz val="9"/>
            <color indexed="81"/>
            <rFont val="Tahoma"/>
            <family val="2"/>
          </rPr>
          <t xml:space="preserve">
waiting dry run.</t>
        </r>
      </text>
    </comment>
    <comment ref="I493" authorId="4" shapeId="0" xr:uid="{0AD042DE-6F19-42C3-9F55-CD15E945E8D4}">
      <text>
        <r>
          <rPr>
            <b/>
            <sz val="9"/>
            <color indexed="81"/>
            <rFont val="Tahoma"/>
            <family val="2"/>
          </rPr>
          <t>Tyrell Bartholomew:</t>
        </r>
        <r>
          <rPr>
            <sz val="9"/>
            <color indexed="81"/>
            <rFont val="Tahoma"/>
            <family val="2"/>
          </rPr>
          <t xml:space="preserve">
83mins waiting on dry run</t>
        </r>
      </text>
    </comment>
    <comment ref="I495" authorId="1" shapeId="0" xr:uid="{B5197D33-D247-4FE5-8614-F11C49D67C9C}">
      <text>
        <r>
          <rPr>
            <b/>
            <sz val="9"/>
            <color indexed="81"/>
            <rFont val="Tahoma"/>
            <family val="2"/>
          </rPr>
          <t>Kaylil Baptiste:</t>
        </r>
        <r>
          <rPr>
            <sz val="9"/>
            <color indexed="81"/>
            <rFont val="Tahoma"/>
            <family val="2"/>
          </rPr>
          <t xml:space="preserve">
40 mins awaiting dry run</t>
        </r>
      </text>
    </comment>
    <comment ref="S495" authorId="1" shapeId="0" xr:uid="{1287A623-3943-4B37-BB4B-611835D3518F}">
      <text>
        <r>
          <rPr>
            <b/>
            <sz val="9"/>
            <color indexed="81"/>
            <rFont val="Tahoma"/>
            <family val="2"/>
          </rPr>
          <t>Kaylil Baptiste:</t>
        </r>
        <r>
          <rPr>
            <sz val="9"/>
            <color indexed="81"/>
            <rFont val="Tahoma"/>
            <family val="2"/>
          </rPr>
          <t xml:space="preserve">
11 mins waiting on pasteurizer temperature drop</t>
        </r>
      </text>
    </comment>
    <comment ref="F502" authorId="2" shapeId="0" xr:uid="{61054C51-BED7-4273-92BF-A787212AABD0}">
      <text>
        <r>
          <rPr>
            <b/>
            <sz val="9"/>
            <color indexed="81"/>
            <rFont val="Tahoma"/>
            <family val="2"/>
          </rPr>
          <t>Micah Noel:</t>
        </r>
        <r>
          <rPr>
            <sz val="9"/>
            <color indexed="81"/>
            <rFont val="Tahoma"/>
            <family val="2"/>
          </rPr>
          <t xml:space="preserve">
pump # 5 cut off ( downtime on labeler)</t>
        </r>
      </text>
    </comment>
    <comment ref="D514" authorId="1" shapeId="0" xr:uid="{3E334CD3-3A36-437C-AA80-B0F3C970C184}">
      <text>
        <r>
          <rPr>
            <b/>
            <sz val="9"/>
            <color indexed="81"/>
            <rFont val="Tahoma"/>
            <family val="2"/>
          </rPr>
          <t>Kaylil Baptiste:</t>
        </r>
        <r>
          <rPr>
            <sz val="9"/>
            <color indexed="81"/>
            <rFont val="Tahoma"/>
            <family val="2"/>
          </rPr>
          <t xml:space="preserve">
65mins mesh conveyor in pasteurizer stopped during the dry run causing a delay.</t>
        </r>
      </text>
    </comment>
    <comment ref="X517" authorId="1" shapeId="0" xr:uid="{3C531BA2-36B3-4EA2-847F-2C0B58D3E838}">
      <text>
        <r>
          <rPr>
            <b/>
            <sz val="9"/>
            <color indexed="81"/>
            <rFont val="Tahoma"/>
            <family val="2"/>
          </rPr>
          <t>Kaylil Baptiste:</t>
        </r>
        <r>
          <rPr>
            <sz val="9"/>
            <color indexed="81"/>
            <rFont val="Tahoma"/>
            <family val="2"/>
          </rPr>
          <t xml:space="preserve">
pump cut off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Michael Julien</author>
    <author>David Samuel</author>
    <author>Micah Noel</author>
    <author>Reshelle Fleming</author>
  </authors>
  <commentList>
    <comment ref="J41" authorId="0" shapeId="0" xr:uid="{7FCB98A7-BC7C-4025-ADB3-9A9784AE1B3E}">
      <text>
        <r>
          <rPr>
            <b/>
            <sz val="9"/>
            <color indexed="81"/>
            <rFont val="Tahoma"/>
            <family val="2"/>
          </rPr>
          <t>Michael Julien:</t>
        </r>
        <r>
          <rPr>
            <sz val="9"/>
            <color indexed="81"/>
            <rFont val="Tahoma"/>
            <family val="2"/>
          </rPr>
          <t xml:space="preserve">
make up fluid finish in machine and it took a while for the viscosity to be adjusted.</t>
        </r>
      </text>
    </comment>
    <comment ref="U153" authorId="1" shapeId="0" xr:uid="{00000000-0006-0000-0900-00001B000000}">
      <text>
        <r>
          <rPr>
            <b/>
            <sz val="9"/>
            <rFont val="Tahoma"/>
            <family val="2"/>
          </rPr>
          <t>David Samuel:</t>
        </r>
        <r>
          <rPr>
            <sz val="9"/>
            <rFont val="Tahoma"/>
            <family val="2"/>
          </rPr>
          <t xml:space="preserve">
11mins adjusting videojet head, 9mins changing time on Videojet </t>
        </r>
      </text>
    </comment>
    <comment ref="B376" authorId="2" shapeId="0" xr:uid="{C78C668F-418B-4F3D-A81D-16B68A902560}">
      <text>
        <r>
          <rPr>
            <b/>
            <sz val="9"/>
            <color indexed="81"/>
            <rFont val="Tahoma"/>
            <family val="2"/>
          </rPr>
          <t>Micah Noel:</t>
        </r>
        <r>
          <rPr>
            <sz val="9"/>
            <color indexed="81"/>
            <rFont val="Tahoma"/>
            <family val="2"/>
          </rPr>
          <t xml:space="preserve">
Maintenance personnel indicated that both unit were down</t>
        </r>
      </text>
    </comment>
    <comment ref="B437" authorId="3" shapeId="0" xr:uid="{BDACB1B5-E4B6-4D96-84EB-898513C6CF0F}">
      <text>
        <r>
          <rPr>
            <b/>
            <sz val="9"/>
            <color indexed="81"/>
            <rFont val="Tahoma"/>
            <family val="2"/>
          </rPr>
          <t>Reshelle Fleming:</t>
        </r>
        <r>
          <rPr>
            <sz val="9"/>
            <color indexed="81"/>
            <rFont val="Tahoma"/>
            <family val="2"/>
          </rPr>
          <t xml:space="preserve">
15mins Videojet not printing properly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Micah Noel</author>
    <author>Kaylil Baptiste</author>
    <author>Michael Julien</author>
    <author>Dorien Andrew</author>
    <author>Tyrell Bartholomew</author>
    <author>Reshelle Fleming</author>
  </authors>
  <commentList>
    <comment ref="AM11" authorId="0" shapeId="0" xr:uid="{9264E61A-F057-41CA-905C-BD33CDCFF75F}">
      <text>
        <r>
          <rPr>
            <b/>
            <sz val="9"/>
            <color indexed="81"/>
            <rFont val="Tahoma"/>
            <family val="2"/>
          </rPr>
          <t>Micah Noel:</t>
        </r>
        <r>
          <rPr>
            <sz val="9"/>
            <color indexed="81"/>
            <rFont val="Tahoma"/>
            <family val="2"/>
          </rPr>
          <t xml:space="preserve">
worm skipped timing</t>
        </r>
      </text>
    </comment>
    <comment ref="M18" authorId="0" shapeId="0" xr:uid="{00171A63-8C30-4F4B-A855-A692838F0A3E}">
      <text>
        <r>
          <rPr>
            <b/>
            <sz val="9"/>
            <color indexed="81"/>
            <rFont val="Tahoma"/>
            <family val="2"/>
          </rPr>
          <t>Micah Noel:</t>
        </r>
        <r>
          <rPr>
            <sz val="9"/>
            <color indexed="81"/>
            <rFont val="Tahoma"/>
            <family val="2"/>
          </rPr>
          <t xml:space="preserve">
detached sponge</t>
        </r>
      </text>
    </comment>
    <comment ref="M24" authorId="0" shapeId="0" xr:uid="{A10D7221-D7BF-4204-8FB9-80F232E3C6A2}">
      <text>
        <r>
          <rPr>
            <b/>
            <sz val="9"/>
            <color indexed="81"/>
            <rFont val="Tahoma"/>
            <family val="2"/>
          </rPr>
          <t>Micah Noel:</t>
        </r>
        <r>
          <rPr>
            <sz val="9"/>
            <color indexed="81"/>
            <rFont val="Tahoma"/>
            <family val="2"/>
          </rPr>
          <t xml:space="preserve">
changing neck sponge (fell off)</t>
        </r>
      </text>
    </comment>
    <comment ref="AL24" authorId="1" shapeId="0" xr:uid="{2900890F-E57C-4C94-8F44-935831F4D546}">
      <text>
        <r>
          <rPr>
            <b/>
            <sz val="9"/>
            <color indexed="81"/>
            <rFont val="Tahoma"/>
            <family val="2"/>
          </rPr>
          <t>Kaylil Baptiste:</t>
        </r>
        <r>
          <rPr>
            <sz val="9"/>
            <color indexed="81"/>
            <rFont val="Tahoma"/>
            <family val="2"/>
          </rPr>
          <t xml:space="preserve">
5mins cleaning labeler base </t>
        </r>
      </text>
    </comment>
    <comment ref="F26" authorId="2" shapeId="0" xr:uid="{988E42A5-25D3-48C2-8F82-ABDBDCDD50C9}">
      <text>
        <r>
          <rPr>
            <b/>
            <sz val="9"/>
            <color indexed="81"/>
            <rFont val="Tahoma"/>
            <family val="2"/>
          </rPr>
          <t>Michael Julien:</t>
        </r>
        <r>
          <rPr>
            <sz val="9"/>
            <color indexed="81"/>
            <rFont val="Tahoma"/>
            <family val="2"/>
          </rPr>
          <t xml:space="preserve">
adjustments for start of stag</t>
        </r>
      </text>
    </comment>
    <comment ref="R40" authorId="0" shapeId="0" xr:uid="{4121BA90-6D8F-4B1A-AA63-680AE179DFD4}">
      <text>
        <r>
          <rPr>
            <b/>
            <sz val="9"/>
            <color indexed="81"/>
            <rFont val="Tahoma"/>
            <family val="2"/>
          </rPr>
          <t>Micah Noel:</t>
        </r>
        <r>
          <rPr>
            <sz val="9"/>
            <color indexed="81"/>
            <rFont val="Tahoma"/>
            <family val="2"/>
          </rPr>
          <t xml:space="preserve">
Pump cut off</t>
        </r>
      </text>
    </comment>
    <comment ref="Z90" authorId="0" shapeId="0" xr:uid="{12A00790-F73E-4DF9-9286-9F7D0614DF6E}">
      <text>
        <r>
          <rPr>
            <b/>
            <sz val="9"/>
            <color indexed="81"/>
            <rFont val="Tahoma"/>
            <family val="2"/>
          </rPr>
          <t>Micah Noel:</t>
        </r>
        <r>
          <rPr>
            <sz val="9"/>
            <color indexed="81"/>
            <rFont val="Tahoma"/>
            <family val="2"/>
          </rPr>
          <t xml:space="preserve">
adjustments to stop bottles exiting half labeled</t>
        </r>
      </text>
    </comment>
    <comment ref="Q100" authorId="3" shapeId="0" xr:uid="{59618A9C-9F7D-4852-BE4D-F216654FE8E3}">
      <text>
        <r>
          <rPr>
            <b/>
            <sz val="9"/>
            <color indexed="81"/>
            <rFont val="Tahoma"/>
            <family val="2"/>
          </rPr>
          <t>Dorien Andrew:</t>
        </r>
        <r>
          <rPr>
            <sz val="9"/>
            <color indexed="81"/>
            <rFont val="Tahoma"/>
            <family val="2"/>
          </rPr>
          <t xml:space="preserve">
17mins damaged star wheel </t>
        </r>
      </text>
    </comment>
    <comment ref="C105" authorId="0" shapeId="0" xr:uid="{EE6D37DB-54C4-411B-A52C-B4B1D6812994}">
      <text>
        <r>
          <rPr>
            <b/>
            <sz val="9"/>
            <color indexed="81"/>
            <rFont val="Tahoma"/>
            <family val="2"/>
          </rPr>
          <t>Micah Noel:</t>
        </r>
        <r>
          <rPr>
            <sz val="9"/>
            <color indexed="81"/>
            <rFont val="Tahoma"/>
            <family val="2"/>
          </rPr>
          <t xml:space="preserve">
adjustments to stop flagging labels</t>
        </r>
      </text>
    </comment>
    <comment ref="Q137" authorId="1" shapeId="0" xr:uid="{6F140B26-2F71-45F4-A2CF-AEF52E91FC57}">
      <text>
        <r>
          <rPr>
            <b/>
            <sz val="9"/>
            <color indexed="81"/>
            <rFont val="Tahoma"/>
            <family val="2"/>
          </rPr>
          <t>Kaylil Baptiste:</t>
        </r>
        <r>
          <rPr>
            <sz val="9"/>
            <color indexed="81"/>
            <rFont val="Tahoma"/>
            <family val="2"/>
          </rPr>
          <t xml:space="preserve">
aggregate adjustor break</t>
        </r>
      </text>
    </comment>
    <comment ref="I145" authorId="2" shapeId="0" xr:uid="{24F650BB-E46E-4026-98E4-CB493F54B388}">
      <text>
        <r>
          <rPr>
            <b/>
            <sz val="9"/>
            <color indexed="81"/>
            <rFont val="Tahoma"/>
            <family val="2"/>
          </rPr>
          <t>Michael Julien:</t>
        </r>
        <r>
          <rPr>
            <sz val="9"/>
            <color indexed="81"/>
            <rFont val="Tahoma"/>
            <family val="2"/>
          </rPr>
          <t xml:space="preserve">
cleaning broken bottle</t>
        </r>
      </text>
    </comment>
    <comment ref="Z173" authorId="4" shapeId="0" xr:uid="{993B4F75-E98A-4BEA-806A-4218ADB42A60}">
      <text>
        <r>
          <rPr>
            <b/>
            <sz val="9"/>
            <color indexed="81"/>
            <rFont val="Tahoma"/>
            <family val="2"/>
          </rPr>
          <t>Tyrell Bartholomew:</t>
        </r>
        <r>
          <rPr>
            <sz val="9"/>
            <color indexed="81"/>
            <rFont val="Tahoma"/>
            <family val="2"/>
          </rPr>
          <t xml:space="preserve">
Making adjustments to neck magazine</t>
        </r>
      </text>
    </comment>
    <comment ref="Z177" authorId="4" shapeId="0" xr:uid="{F6AEB733-E4AD-41F9-84E1-8B79F643A618}">
      <text>
        <r>
          <rPr>
            <b/>
            <sz val="9"/>
            <color indexed="81"/>
            <rFont val="Tahoma"/>
            <family val="2"/>
          </rPr>
          <t>Tyrell Bartholomew:</t>
        </r>
        <r>
          <rPr>
            <sz val="9"/>
            <color indexed="81"/>
            <rFont val="Tahoma"/>
            <family val="2"/>
          </rPr>
          <t xml:space="preserve">
adjusting body label magazine.</t>
        </r>
      </text>
    </comment>
    <comment ref="AH196" authorId="0" shapeId="0" xr:uid="{1A9CE837-7D7A-4C28-B461-4B1C685B7016}">
      <text>
        <r>
          <rPr>
            <b/>
            <sz val="9"/>
            <color indexed="81"/>
            <rFont val="Tahoma"/>
            <family val="2"/>
          </rPr>
          <t>Micah Noel:</t>
        </r>
        <r>
          <rPr>
            <sz val="9"/>
            <color indexed="81"/>
            <rFont val="Tahoma"/>
            <family val="2"/>
          </rPr>
          <t xml:space="preserve">
machine rotating slow</t>
        </r>
      </text>
    </comment>
    <comment ref="Q201" authorId="2" shapeId="0" xr:uid="{9625710C-F779-4BC0-A419-95EE35677B00}">
      <text>
        <r>
          <rPr>
            <b/>
            <sz val="9"/>
            <color indexed="81"/>
            <rFont val="Tahoma"/>
            <family val="2"/>
          </rPr>
          <t>Michael Julien:</t>
        </r>
        <r>
          <rPr>
            <sz val="9"/>
            <color indexed="81"/>
            <rFont val="Tahoma"/>
            <family val="2"/>
          </rPr>
          <t xml:space="preserve">
Problem with hand control and back aggregate unable to adjust.</t>
        </r>
      </text>
    </comment>
    <comment ref="R201" authorId="1" shapeId="0" xr:uid="{C600559F-CD09-41DC-B2D3-21B402F5D677}">
      <text>
        <r>
          <rPr>
            <b/>
            <sz val="9"/>
            <color indexed="81"/>
            <rFont val="Tahoma"/>
            <family val="2"/>
          </rPr>
          <t>Kaylil Baptiste:</t>
        </r>
        <r>
          <rPr>
            <sz val="9"/>
            <color indexed="81"/>
            <rFont val="Tahoma"/>
            <family val="2"/>
          </rPr>
          <t xml:space="preserve">
13mins glue pump not coming on </t>
        </r>
      </text>
    </comment>
    <comment ref="AA209" authorId="2" shapeId="0" xr:uid="{B531112E-88DE-4B60-BFDA-AD7D14F05F3A}">
      <text>
        <r>
          <rPr>
            <b/>
            <sz val="9"/>
            <color indexed="81"/>
            <rFont val="Tahoma"/>
            <family val="2"/>
          </rPr>
          <t>Michael Julien:</t>
        </r>
        <r>
          <rPr>
            <sz val="9"/>
            <color indexed="81"/>
            <rFont val="Tahoma"/>
            <family val="2"/>
          </rPr>
          <t xml:space="preserve">
damage pallet had to be replaced.</t>
        </r>
      </text>
    </comment>
    <comment ref="AE212" authorId="3" shapeId="0" xr:uid="{246E2217-A0D7-44A8-A0A7-DF47EDBBFAE4}">
      <text>
        <r>
          <rPr>
            <b/>
            <sz val="9"/>
            <color indexed="81"/>
            <rFont val="Tahoma"/>
            <family val="2"/>
          </rPr>
          <t>Dorien Andrew:</t>
        </r>
        <r>
          <rPr>
            <sz val="9"/>
            <color indexed="81"/>
            <rFont val="Tahoma"/>
            <family val="2"/>
          </rPr>
          <t xml:space="preserve">
gripper jam</t>
        </r>
      </text>
    </comment>
    <comment ref="H213" authorId="1" shapeId="0" xr:uid="{DAF8E20B-9757-483B-907C-3481F7190209}">
      <text>
        <r>
          <rPr>
            <b/>
            <sz val="9"/>
            <color indexed="81"/>
            <rFont val="Tahoma"/>
            <family val="2"/>
          </rPr>
          <t>Kaylil Baptiste:</t>
        </r>
        <r>
          <rPr>
            <sz val="9"/>
            <color indexed="81"/>
            <rFont val="Tahoma"/>
            <family val="2"/>
          </rPr>
          <t xml:space="preserve">
13 mins adding oil to labeler</t>
        </r>
      </text>
    </comment>
    <comment ref="AE213" authorId="2" shapeId="0" xr:uid="{78D094DA-403D-4051-AE6F-0C32DB6EBBB7}">
      <text>
        <r>
          <rPr>
            <b/>
            <sz val="9"/>
            <color indexed="81"/>
            <rFont val="Tahoma"/>
            <family val="2"/>
          </rPr>
          <t>Michael Julien:</t>
        </r>
        <r>
          <rPr>
            <sz val="9"/>
            <color indexed="81"/>
            <rFont val="Tahoma"/>
            <family val="2"/>
          </rPr>
          <t xml:space="preserve">
neck gripper jammed</t>
        </r>
      </text>
    </comment>
    <comment ref="Z214" authorId="0" shapeId="0" xr:uid="{271C5B73-5C70-4318-86E0-2ABF73807925}">
      <text>
        <r>
          <rPr>
            <b/>
            <sz val="9"/>
            <color indexed="81"/>
            <rFont val="Tahoma"/>
            <family val="2"/>
          </rPr>
          <t>Micah Noel:</t>
        </r>
        <r>
          <rPr>
            <sz val="9"/>
            <color indexed="81"/>
            <rFont val="Tahoma"/>
            <family val="2"/>
          </rPr>
          <t xml:space="preserve">
2 mins adjustment</t>
        </r>
      </text>
    </comment>
    <comment ref="AL217" authorId="0" shapeId="0" xr:uid="{3CE6E723-2811-425D-B904-186B3A5E8A66}">
      <text>
        <r>
          <rPr>
            <b/>
            <sz val="9"/>
            <color indexed="81"/>
            <rFont val="Tahoma"/>
            <family val="2"/>
          </rPr>
          <t>Micah Noel:</t>
        </r>
        <r>
          <rPr>
            <sz val="9"/>
            <color indexed="81"/>
            <rFont val="Tahoma"/>
            <family val="2"/>
          </rPr>
          <t xml:space="preserve">
out going operator (11-7) stop to clean unit</t>
        </r>
      </text>
    </comment>
    <comment ref="Z224" authorId="0" shapeId="0" xr:uid="{F0194F1C-AE84-4A3F-B8A9-C574261064CB}">
      <text>
        <r>
          <rPr>
            <b/>
            <sz val="9"/>
            <color indexed="81"/>
            <rFont val="Tahoma"/>
            <family val="2"/>
          </rPr>
          <t>Micah Noel:</t>
        </r>
        <r>
          <rPr>
            <sz val="9"/>
            <color indexed="81"/>
            <rFont val="Tahoma"/>
            <family val="2"/>
          </rPr>
          <t xml:space="preserve">
adjustment</t>
        </r>
      </text>
    </comment>
    <comment ref="Z249" authorId="0" shapeId="0" xr:uid="{58295682-A433-409C-8ACC-0A9EE6EE2CAD}">
      <text>
        <r>
          <rPr>
            <b/>
            <sz val="9"/>
            <color indexed="81"/>
            <rFont val="Tahoma"/>
            <family val="2"/>
          </rPr>
          <t>Micah Noel:</t>
        </r>
        <r>
          <rPr>
            <sz val="9"/>
            <color indexed="81"/>
            <rFont val="Tahoma"/>
            <family val="2"/>
          </rPr>
          <t xml:space="preserve">
adjustment</t>
        </r>
      </text>
    </comment>
    <comment ref="Z256" authorId="0" shapeId="0" xr:uid="{EFC183A7-D709-4A84-93E6-42D2CD306F96}">
      <text>
        <r>
          <rPr>
            <b/>
            <sz val="9"/>
            <color indexed="81"/>
            <rFont val="Tahoma"/>
            <family val="2"/>
          </rPr>
          <t>Micah Noel:</t>
        </r>
        <r>
          <rPr>
            <sz val="9"/>
            <color indexed="81"/>
            <rFont val="Tahoma"/>
            <family val="2"/>
          </rPr>
          <t xml:space="preserve">
adjustment to stop flagging and twisted labels</t>
        </r>
      </text>
    </comment>
    <comment ref="AE273" authorId="0" shapeId="0" xr:uid="{C13CA02E-B21F-477D-9824-598762D900D8}">
      <text>
        <r>
          <rPr>
            <b/>
            <sz val="9"/>
            <color indexed="81"/>
            <rFont val="Tahoma"/>
            <family val="2"/>
          </rPr>
          <t>Micah Noel:</t>
        </r>
        <r>
          <rPr>
            <sz val="9"/>
            <color indexed="81"/>
            <rFont val="Tahoma"/>
            <family val="2"/>
          </rPr>
          <t xml:space="preserve">
adjustment to stop flagging / missing labels</t>
        </r>
      </text>
    </comment>
    <comment ref="Z274" authorId="4" shapeId="0" xr:uid="{A0D0965C-3EFF-4ACA-AEE3-925B834D4098}">
      <text>
        <r>
          <rPr>
            <b/>
            <sz val="9"/>
            <color indexed="81"/>
            <rFont val="Tahoma"/>
            <family val="2"/>
          </rPr>
          <t>Tyrell Bartholomew:</t>
        </r>
        <r>
          <rPr>
            <sz val="9"/>
            <color indexed="81"/>
            <rFont val="Tahoma"/>
            <family val="2"/>
          </rPr>
          <t xml:space="preserve">
making adjustment to neck label magazine</t>
        </r>
      </text>
    </comment>
    <comment ref="AM274" authorId="4" shapeId="0" xr:uid="{E1AFD262-5D08-4474-A71E-344E77CB8109}">
      <text>
        <r>
          <rPr>
            <b/>
            <sz val="9"/>
            <color indexed="81"/>
            <rFont val="Tahoma"/>
            <family val="2"/>
          </rPr>
          <t>Tyrell Bartholomew:</t>
        </r>
        <r>
          <rPr>
            <sz val="9"/>
            <color indexed="81"/>
            <rFont val="Tahoma"/>
            <family val="2"/>
          </rPr>
          <t xml:space="preserve">
4mins bottles jam in labeler infeed worm.</t>
        </r>
      </text>
    </comment>
    <comment ref="AM279" authorId="0" shapeId="0" xr:uid="{B0304034-A7CB-4065-98DC-B898130F415C}">
      <text>
        <r>
          <rPr>
            <b/>
            <sz val="9"/>
            <color indexed="81"/>
            <rFont val="Tahoma"/>
            <family val="2"/>
          </rPr>
          <t>Micah Noel:</t>
        </r>
        <r>
          <rPr>
            <sz val="9"/>
            <color indexed="81"/>
            <rFont val="Tahoma"/>
            <family val="2"/>
          </rPr>
          <t xml:space="preserve">
bottle stuck in worm</t>
        </r>
      </text>
    </comment>
    <comment ref="B307" authorId="4" shapeId="0" xr:uid="{CDB1261F-9A19-45D9-958C-C1788DF3DF2B}">
      <text>
        <r>
          <rPr>
            <b/>
            <sz val="9"/>
            <color indexed="81"/>
            <rFont val="Tahoma"/>
            <family val="2"/>
          </rPr>
          <t>Tyrell Bartholomew:</t>
        </r>
        <r>
          <rPr>
            <sz val="9"/>
            <color indexed="81"/>
            <rFont val="Tahoma"/>
            <family val="2"/>
          </rPr>
          <t xml:space="preserve">
27 mins making adjustments to magazine prongs and brushes.</t>
        </r>
      </text>
    </comment>
    <comment ref="AM310" authorId="1" shapeId="0" xr:uid="{06183C8C-607C-4E89-B75F-C7078613ED47}">
      <text>
        <r>
          <rPr>
            <b/>
            <sz val="9"/>
            <color indexed="81"/>
            <rFont val="Tahoma"/>
            <family val="2"/>
          </rPr>
          <t>Kaylil Baptiste:</t>
        </r>
        <r>
          <rPr>
            <sz val="9"/>
            <color indexed="81"/>
            <rFont val="Tahoma"/>
            <family val="2"/>
          </rPr>
          <t xml:space="preserve">
fallen bottles jam</t>
        </r>
      </text>
    </comment>
    <comment ref="AM314" authorId="4" shapeId="0" xr:uid="{23F7D1C1-A7C1-49DB-80F6-2BD0792EF71A}">
      <text>
        <r>
          <rPr>
            <b/>
            <sz val="9"/>
            <color indexed="81"/>
            <rFont val="Tahoma"/>
            <family val="2"/>
          </rPr>
          <t>Tyrell Bartholomew:</t>
        </r>
        <r>
          <rPr>
            <sz val="9"/>
            <color indexed="81"/>
            <rFont val="Tahoma"/>
            <family val="2"/>
          </rPr>
          <t xml:space="preserve">
8mins fallen bottle jam in  worm</t>
        </r>
      </text>
    </comment>
    <comment ref="Z317" authorId="4" shapeId="0" xr:uid="{E99809EB-9302-4839-B260-AA8F546B95FE}">
      <text>
        <r>
          <rPr>
            <b/>
            <sz val="9"/>
            <color indexed="81"/>
            <rFont val="Tahoma"/>
            <family val="2"/>
          </rPr>
          <t>Tyrell Bartholomew:</t>
        </r>
        <r>
          <rPr>
            <sz val="9"/>
            <color indexed="81"/>
            <rFont val="Tahoma"/>
            <family val="2"/>
          </rPr>
          <t xml:space="preserve">
13 mins addressing loose body magazine tensioner.</t>
        </r>
      </text>
    </comment>
    <comment ref="B365" authorId="1" shapeId="0" xr:uid="{A8A1B255-662A-49B8-B0DC-33E15C031692}">
      <text>
        <r>
          <rPr>
            <b/>
            <sz val="9"/>
            <color indexed="81"/>
            <rFont val="Tahoma"/>
            <family val="2"/>
          </rPr>
          <t>Kaylil Baptiste:</t>
        </r>
        <r>
          <rPr>
            <sz val="9"/>
            <color indexed="81"/>
            <rFont val="Tahoma"/>
            <family val="2"/>
          </rPr>
          <t xml:space="preserve">
41mins removing partially labeles bottles from line</t>
        </r>
      </text>
    </comment>
    <comment ref="Z367" authorId="0" shapeId="0" xr:uid="{D13A7CF0-6BC7-4108-AB66-1FB84AE3B38C}">
      <text>
        <r>
          <rPr>
            <b/>
            <sz val="9"/>
            <color indexed="81"/>
            <rFont val="Tahoma"/>
            <family val="2"/>
          </rPr>
          <t>Micah Noel:</t>
        </r>
        <r>
          <rPr>
            <sz val="9"/>
            <color indexed="81"/>
            <rFont val="Tahoma"/>
            <family val="2"/>
          </rPr>
          <t xml:space="preserve">
adjustment</t>
        </r>
      </text>
    </comment>
    <comment ref="Z369" authorId="0" shapeId="0" xr:uid="{03FC892B-353B-46B2-AADC-C89109E6E216}">
      <text>
        <r>
          <rPr>
            <b/>
            <sz val="9"/>
            <color indexed="81"/>
            <rFont val="Tahoma"/>
            <family val="2"/>
          </rPr>
          <t>Micah Noel:</t>
        </r>
        <r>
          <rPr>
            <sz val="9"/>
            <color indexed="81"/>
            <rFont val="Tahoma"/>
            <family val="2"/>
          </rPr>
          <t xml:space="preserve">
making adjustment</t>
        </r>
      </text>
    </comment>
    <comment ref="AA369" authorId="0" shapeId="0" xr:uid="{9AA4A555-D49C-4BCB-B41E-072A6B628F86}">
      <text>
        <r>
          <rPr>
            <b/>
            <sz val="9"/>
            <color indexed="81"/>
            <rFont val="Tahoma"/>
            <family val="2"/>
          </rPr>
          <t>Micah Noel:</t>
        </r>
        <r>
          <rPr>
            <sz val="9"/>
            <color indexed="81"/>
            <rFont val="Tahoma"/>
            <family val="2"/>
          </rPr>
          <t xml:space="preserve">
cleaning pallets</t>
        </r>
      </text>
    </comment>
    <comment ref="W370" authorId="4" shapeId="0" xr:uid="{FAA0CDFD-23C1-4CA7-BEC2-A5155A54CCA5}">
      <text>
        <r>
          <rPr>
            <b/>
            <sz val="9"/>
            <color indexed="81"/>
            <rFont val="Tahoma"/>
            <family val="2"/>
          </rPr>
          <t>Tyrell Bartholomew:</t>
        </r>
        <r>
          <rPr>
            <sz val="9"/>
            <color indexed="81"/>
            <rFont val="Tahoma"/>
            <family val="2"/>
          </rPr>
          <t xml:space="preserve">
4mins infeed worm sensor malfunction.</t>
        </r>
      </text>
    </comment>
    <comment ref="W379" authorId="4" shapeId="0" xr:uid="{C46C6427-3F66-43C0-8882-2B0D7759C569}">
      <text>
        <r>
          <rPr>
            <b/>
            <sz val="9"/>
            <color indexed="81"/>
            <rFont val="Tahoma"/>
            <family val="2"/>
          </rPr>
          <t>Tyrell Bartholomew:</t>
        </r>
        <r>
          <rPr>
            <sz val="9"/>
            <color indexed="81"/>
            <rFont val="Tahoma"/>
            <family val="2"/>
          </rPr>
          <t xml:space="preserve">
5 mins labeler infeed sensor malfunction ( closeing the infeed regardless of if the line is full)</t>
        </r>
      </text>
    </comment>
    <comment ref="W380" authorId="4" shapeId="0" xr:uid="{7B34C5E6-BAD2-4350-A256-8B1DC7FCA55A}">
      <text>
        <r>
          <rPr>
            <b/>
            <sz val="9"/>
            <color indexed="81"/>
            <rFont val="Tahoma"/>
            <family val="2"/>
          </rPr>
          <t>Tyrell Bartholomew:</t>
        </r>
        <r>
          <rPr>
            <sz val="9"/>
            <color indexed="81"/>
            <rFont val="Tahoma"/>
            <family val="2"/>
          </rPr>
          <t xml:space="preserve">
labeler infeed sensor malfunction</t>
        </r>
      </text>
    </comment>
    <comment ref="S381" authorId="0" shapeId="0" xr:uid="{4D56EA37-CD24-491F-AD3A-FB3E6616802D}">
      <text>
        <r>
          <rPr>
            <b/>
            <sz val="9"/>
            <color indexed="81"/>
            <rFont val="Tahoma"/>
            <family val="2"/>
          </rPr>
          <t>Micah Noel:</t>
        </r>
        <r>
          <rPr>
            <sz val="9"/>
            <color indexed="81"/>
            <rFont val="Tahoma"/>
            <family val="2"/>
          </rPr>
          <t xml:space="preserve">
90 mins labeler unresponsive(maintenance trying to resolve)</t>
        </r>
      </text>
    </comment>
    <comment ref="W381" authorId="0" shapeId="0" xr:uid="{9AA99C42-34D1-42DD-894C-DAA1C43E87EB}">
      <text>
        <r>
          <rPr>
            <b/>
            <sz val="9"/>
            <color indexed="81"/>
            <rFont val="Tahoma"/>
            <family val="2"/>
          </rPr>
          <t>Micah Noel:</t>
        </r>
        <r>
          <rPr>
            <sz val="9"/>
            <color indexed="81"/>
            <rFont val="Tahoma"/>
            <family val="2"/>
          </rPr>
          <t xml:space="preserve">
labeler infeed sensor malfinction</t>
        </r>
      </text>
    </comment>
    <comment ref="Z381" authorId="0" shapeId="0" xr:uid="{5C57A5AD-F1B8-4F69-8BEF-88CBBFA5AF43}">
      <text>
        <r>
          <rPr>
            <b/>
            <sz val="9"/>
            <color indexed="81"/>
            <rFont val="Tahoma"/>
            <family val="2"/>
          </rPr>
          <t>Micah Noel:</t>
        </r>
        <r>
          <rPr>
            <sz val="9"/>
            <color indexed="81"/>
            <rFont val="Tahoma"/>
            <family val="2"/>
          </rPr>
          <t xml:space="preserve">
adjustment to stop missing labels</t>
        </r>
      </text>
    </comment>
    <comment ref="W383" authorId="3" shapeId="0" xr:uid="{0ABA7F5B-C2D8-4411-B0A3-A77C82A7D2D1}">
      <text>
        <r>
          <rPr>
            <b/>
            <sz val="9"/>
            <color indexed="81"/>
            <rFont val="Tahoma"/>
            <family val="2"/>
          </rPr>
          <t>Dorien Andrew:</t>
        </r>
        <r>
          <rPr>
            <sz val="9"/>
            <color indexed="81"/>
            <rFont val="Tahoma"/>
            <family val="2"/>
          </rPr>
          <t xml:space="preserve">
17 mins for safety circuit fault caused by broken wire 5 mins for labeller infeed sensor adjustments </t>
        </r>
      </text>
    </comment>
    <comment ref="AE383" authorId="1" shapeId="0" xr:uid="{BFACBBD6-E2A8-4A30-B801-E23A085D8422}">
      <text>
        <r>
          <rPr>
            <b/>
            <sz val="9"/>
            <color indexed="81"/>
            <rFont val="Tahoma"/>
            <family val="2"/>
          </rPr>
          <t>Kaylil Baptiste:</t>
        </r>
        <r>
          <rPr>
            <sz val="9"/>
            <color indexed="81"/>
            <rFont val="Tahoma"/>
            <family val="2"/>
          </rPr>
          <t xml:space="preserve">
changing spacing on back cylinder</t>
        </r>
      </text>
    </comment>
    <comment ref="W387" authorId="1" shapeId="0" xr:uid="{DA114D14-4435-4462-A9F3-E0C0297DB13D}">
      <text>
        <r>
          <rPr>
            <b/>
            <sz val="9"/>
            <color indexed="81"/>
            <rFont val="Tahoma"/>
            <family val="2"/>
          </rPr>
          <t>Kaylil Baptiste:</t>
        </r>
        <r>
          <rPr>
            <sz val="9"/>
            <color indexed="81"/>
            <rFont val="Tahoma"/>
            <family val="2"/>
          </rPr>
          <t xml:space="preserve">
Break down on the labeler. Power failure.</t>
        </r>
      </text>
    </comment>
    <comment ref="Z401" authorId="1" shapeId="0" xr:uid="{90C00517-5235-4ACE-BEA4-74378A6C8199}">
      <text>
        <r>
          <rPr>
            <b/>
            <sz val="9"/>
            <color indexed="81"/>
            <rFont val="Tahoma"/>
            <family val="2"/>
          </rPr>
          <t>Kaylil Baptiste:</t>
        </r>
        <r>
          <rPr>
            <sz val="9"/>
            <color indexed="81"/>
            <rFont val="Tahoma"/>
            <family val="2"/>
          </rPr>
          <t xml:space="preserve">
Adjustment to neck magazine (label is too big for magazine)</t>
        </r>
      </text>
    </comment>
    <comment ref="Z424" authorId="0" shapeId="0" xr:uid="{3D919DC4-DF2C-4DE7-A835-81586C857A50}">
      <text>
        <r>
          <rPr>
            <b/>
            <sz val="9"/>
            <color indexed="81"/>
            <rFont val="Tahoma"/>
            <family val="2"/>
          </rPr>
          <t>Micah Noel:</t>
        </r>
        <r>
          <rPr>
            <sz val="9"/>
            <color indexed="81"/>
            <rFont val="Tahoma"/>
            <family val="2"/>
          </rPr>
          <t xml:space="preserve">
magazine repairs and adjustment</t>
        </r>
      </text>
    </comment>
    <comment ref="AD428" authorId="3" shapeId="0" xr:uid="{C46405FE-5A1F-4600-B036-A295B7599275}">
      <text>
        <r>
          <rPr>
            <b/>
            <sz val="9"/>
            <color indexed="81"/>
            <rFont val="Tahoma"/>
            <family val="2"/>
          </rPr>
          <t>Dorien Andrew:</t>
        </r>
        <r>
          <rPr>
            <sz val="9"/>
            <color indexed="81"/>
            <rFont val="Tahoma"/>
            <family val="2"/>
          </rPr>
          <t xml:space="preserve">
29mins Labeller safety circuit fault  </t>
        </r>
      </text>
    </comment>
    <comment ref="F429" authorId="5" shapeId="0" xr:uid="{FDFB5FD8-7601-480F-B60A-94A65ACF0A09}">
      <text>
        <r>
          <rPr>
            <b/>
            <sz val="9"/>
            <color indexed="81"/>
            <rFont val="Tahoma"/>
            <family val="2"/>
          </rPr>
          <t>Reshelle Fleming:</t>
        </r>
        <r>
          <rPr>
            <sz val="9"/>
            <color indexed="81"/>
            <rFont val="Tahoma"/>
            <family val="2"/>
          </rPr>
          <t xml:space="preserve">
7mins making adjustments to the Labeller </t>
        </r>
      </text>
    </comment>
    <comment ref="Z429" authorId="5" shapeId="0" xr:uid="{CBA272F4-4BD1-4269-98CA-26D0E1CEDA04}">
      <text>
        <r>
          <rPr>
            <b/>
            <sz val="9"/>
            <color indexed="81"/>
            <rFont val="Tahoma"/>
            <family val="2"/>
          </rPr>
          <t>Reshelle Fleming:</t>
        </r>
        <r>
          <rPr>
            <sz val="9"/>
            <color indexed="81"/>
            <rFont val="Tahoma"/>
            <family val="2"/>
          </rPr>
          <t xml:space="preserve">
making adjustments to Labeller magazine </t>
        </r>
      </text>
    </comment>
    <comment ref="F430" authorId="5" shapeId="0" xr:uid="{11037855-0153-45AF-A872-DF8468B57B39}">
      <text>
        <r>
          <rPr>
            <b/>
            <sz val="9"/>
            <color indexed="81"/>
            <rFont val="Tahoma"/>
            <family val="2"/>
          </rPr>
          <t>Reshelle Fleming:</t>
        </r>
        <r>
          <rPr>
            <sz val="9"/>
            <color indexed="81"/>
            <rFont val="Tahoma"/>
            <family val="2"/>
          </rPr>
          <t xml:space="preserve">
11mins making adjustments to neck labels </t>
        </r>
      </text>
    </comment>
    <comment ref="B432" authorId="5" shapeId="0" xr:uid="{CC45889A-BC46-4A2D-B2A0-154F35E6C370}">
      <text>
        <r>
          <rPr>
            <b/>
            <sz val="9"/>
            <color indexed="81"/>
            <rFont val="Tahoma"/>
            <family val="2"/>
          </rPr>
          <t>Reshelle Fleming:</t>
        </r>
        <r>
          <rPr>
            <sz val="9"/>
            <color indexed="81"/>
            <rFont val="Tahoma"/>
            <family val="2"/>
          </rPr>
          <t xml:space="preserve">
13mins missing back labels </t>
        </r>
      </text>
    </comment>
    <comment ref="I438" authorId="4" shapeId="0" xr:uid="{B789EA04-6C68-4B4A-AB0B-33AA463553ED}">
      <text>
        <r>
          <rPr>
            <b/>
            <sz val="9"/>
            <color indexed="81"/>
            <rFont val="Tahoma"/>
            <family val="2"/>
          </rPr>
          <t>Tyrell Bartholomew:</t>
        </r>
        <r>
          <rPr>
            <sz val="9"/>
            <color indexed="81"/>
            <rFont val="Tahoma"/>
            <family val="2"/>
          </rPr>
          <t xml:space="preserve">
24mins replacing starwheel and making adjustments</t>
        </r>
      </text>
    </comment>
    <comment ref="R438" authorId="0" shapeId="0" xr:uid="{FC129DF4-D4E6-47AB-9964-8005D2189C63}">
      <text>
        <r>
          <rPr>
            <b/>
            <sz val="9"/>
            <color indexed="81"/>
            <rFont val="Tahoma"/>
            <family val="2"/>
          </rPr>
          <t>Micah Noel:</t>
        </r>
        <r>
          <rPr>
            <sz val="9"/>
            <color indexed="81"/>
            <rFont val="Tahoma"/>
            <family val="2"/>
          </rPr>
          <t xml:space="preserve">
22mins back station glue pump cut off</t>
        </r>
      </text>
    </comment>
    <comment ref="Z438" authorId="4" shapeId="0" xr:uid="{AF056797-86B6-43DC-AA6E-4EB7486FDD6E}">
      <text>
        <r>
          <rPr>
            <b/>
            <sz val="9"/>
            <color indexed="81"/>
            <rFont val="Tahoma"/>
            <family val="2"/>
          </rPr>
          <t>Tyrell Bartholomew:</t>
        </r>
        <r>
          <rPr>
            <sz val="9"/>
            <color indexed="81"/>
            <rFont val="Tahoma"/>
            <family val="2"/>
          </rPr>
          <t xml:space="preserve">
18mins making adjustments to Labeller magazine</t>
        </r>
      </text>
    </comment>
    <comment ref="AB438" authorId="4" shapeId="0" xr:uid="{0FC479AD-0271-4733-9374-C58C26CFA0DE}">
      <text>
        <r>
          <rPr>
            <b/>
            <sz val="9"/>
            <color indexed="81"/>
            <rFont val="Tahoma"/>
            <family val="2"/>
          </rPr>
          <t>Tyrell Bartholomew:</t>
        </r>
        <r>
          <rPr>
            <sz val="9"/>
            <color indexed="81"/>
            <rFont val="Tahoma"/>
            <family val="2"/>
          </rPr>
          <t xml:space="preserve">
34mins repairing bent bottle pad.</t>
        </r>
      </text>
    </comment>
    <comment ref="AE438" authorId="0" shapeId="0" xr:uid="{54B3E9F8-50EC-402F-8854-2D69807C8BD1}">
      <text>
        <r>
          <rPr>
            <b/>
            <sz val="9"/>
            <color indexed="81"/>
            <rFont val="Tahoma"/>
            <family val="2"/>
          </rPr>
          <t>Micah Noel:</t>
        </r>
        <r>
          <rPr>
            <sz val="9"/>
            <color indexed="81"/>
            <rFont val="Tahoma"/>
            <family val="2"/>
          </rPr>
          <t xml:space="preserve">
16mins adjusting fingers on Labeller Gripper cylinder</t>
        </r>
      </text>
    </comment>
    <comment ref="Z441" authorId="4" shapeId="0" xr:uid="{5A4B4E6A-10DD-45ED-A631-A2365489DA87}">
      <text>
        <r>
          <rPr>
            <b/>
            <sz val="9"/>
            <color indexed="81"/>
            <rFont val="Tahoma"/>
            <family val="2"/>
          </rPr>
          <t>Tyrell Bartholomew:</t>
        </r>
        <r>
          <rPr>
            <sz val="9"/>
            <color indexed="81"/>
            <rFont val="Tahoma"/>
            <family val="2"/>
          </rPr>
          <t xml:space="preserve">
making adjustment to magazines</t>
        </r>
      </text>
    </comment>
    <comment ref="S442" authorId="0" shapeId="0" xr:uid="{58DDF594-FD4A-4F42-8E0B-3417261B2BFF}">
      <text>
        <r>
          <rPr>
            <b/>
            <sz val="9"/>
            <color indexed="81"/>
            <rFont val="Tahoma"/>
            <family val="2"/>
          </rPr>
          <t>Micah Noel:</t>
        </r>
        <r>
          <rPr>
            <sz val="9"/>
            <color indexed="81"/>
            <rFont val="Tahoma"/>
            <family val="2"/>
          </rPr>
          <t xml:space="preserve">
12mins emergency switch malfunction- labeller </t>
        </r>
      </text>
    </comment>
    <comment ref="N459" authorId="3" shapeId="0" xr:uid="{D6E12BDF-27E6-423C-B2C4-BBC82D534E54}">
      <text>
        <r>
          <rPr>
            <b/>
            <sz val="9"/>
            <color indexed="81"/>
            <rFont val="Tahoma"/>
            <family val="2"/>
          </rPr>
          <t>Dorien Andrew:</t>
        </r>
        <r>
          <rPr>
            <sz val="9"/>
            <color indexed="81"/>
            <rFont val="Tahoma"/>
            <family val="2"/>
          </rPr>
          <t xml:space="preserve">
damaged card on labeller </t>
        </r>
      </text>
    </comment>
    <comment ref="F480" authorId="0" shapeId="0" xr:uid="{10224764-17A0-43B0-B4B9-6B8B4F343817}">
      <text>
        <r>
          <rPr>
            <b/>
            <sz val="9"/>
            <color indexed="81"/>
            <rFont val="Tahoma"/>
            <family val="2"/>
          </rPr>
          <t>Micah Noel:</t>
        </r>
        <r>
          <rPr>
            <sz val="9"/>
            <color indexed="81"/>
            <rFont val="Tahoma"/>
            <family val="2"/>
          </rPr>
          <t xml:space="preserve">
jog switch malfunction during start up of carib export</t>
        </r>
      </text>
    </comment>
    <comment ref="R496" authorId="0" shapeId="0" xr:uid="{56B2F79F-B58B-4C84-94C5-5AF9423AED56}">
      <text>
        <r>
          <rPr>
            <b/>
            <sz val="9"/>
            <color indexed="81"/>
            <rFont val="Tahoma"/>
            <family val="2"/>
          </rPr>
          <t>Micah Noel:</t>
        </r>
        <r>
          <rPr>
            <sz val="9"/>
            <color indexed="81"/>
            <rFont val="Tahoma"/>
            <family val="2"/>
          </rPr>
          <t xml:space="preserve">
glue pump cut off</t>
        </r>
      </text>
    </comment>
    <comment ref="Z509" authorId="2" shapeId="0" xr:uid="{AB53B186-A55C-409A-AA1A-29F2354A2812}">
      <text>
        <r>
          <rPr>
            <b/>
            <sz val="9"/>
            <color indexed="81"/>
            <rFont val="Tahoma"/>
            <family val="2"/>
          </rPr>
          <t>Michael Julien:</t>
        </r>
        <r>
          <rPr>
            <sz val="9"/>
            <color indexed="81"/>
            <rFont val="Tahoma"/>
            <family val="2"/>
          </rPr>
          <t xml:space="preserve">
Adjusting neck magazine</t>
        </r>
      </text>
    </comment>
    <comment ref="E510" authorId="1" shapeId="0" xr:uid="{902B35F7-00BB-4BE4-9BAD-BB1127A83069}">
      <text>
        <r>
          <rPr>
            <b/>
            <sz val="9"/>
            <color indexed="81"/>
            <rFont val="Tahoma"/>
            <family val="2"/>
          </rPr>
          <t>Kaylil Baptiste:</t>
        </r>
        <r>
          <rPr>
            <sz val="9"/>
            <color indexed="81"/>
            <rFont val="Tahoma"/>
            <family val="2"/>
          </rPr>
          <t xml:space="preserve">
running slow</t>
        </r>
      </text>
    </comment>
    <comment ref="M511" authorId="1" shapeId="0" xr:uid="{3CC4569C-DCC9-4BFA-9312-58A97C3C108B}">
      <text>
        <r>
          <rPr>
            <b/>
            <sz val="9"/>
            <color indexed="81"/>
            <rFont val="Tahoma"/>
            <family val="2"/>
          </rPr>
          <t>Kaylil Baptiste:</t>
        </r>
        <r>
          <rPr>
            <sz val="9"/>
            <color indexed="81"/>
            <rFont val="Tahoma"/>
            <family val="2"/>
          </rPr>
          <t xml:space="preserve">
sponge fell off</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Michael Julien</author>
    <author>Dorien Andrew</author>
    <author>Micah Noel</author>
    <author>Kaylil Baptiste</author>
    <author>Reshelle Fleming</author>
    <author>Tyrell Bartholomew</author>
  </authors>
  <commentList>
    <comment ref="K22" authorId="0" shapeId="0" xr:uid="{6DE01555-4B29-493D-ADB5-CF5903D91327}">
      <text>
        <r>
          <rPr>
            <b/>
            <sz val="9"/>
            <color indexed="81"/>
            <rFont val="Tahoma"/>
            <family val="2"/>
          </rPr>
          <t>Michael Julien:</t>
        </r>
        <r>
          <rPr>
            <sz val="9"/>
            <color indexed="81"/>
            <rFont val="Tahoma"/>
            <family val="2"/>
          </rPr>
          <t xml:space="preserve">
29 mins repairing the centering device for packer.
</t>
        </r>
      </text>
    </comment>
    <comment ref="AC89" authorId="1" shapeId="0" xr:uid="{D0C3059C-93A7-44FC-8034-D1092B4063D3}">
      <text>
        <r>
          <rPr>
            <b/>
            <sz val="9"/>
            <color indexed="81"/>
            <rFont val="Tahoma"/>
            <family val="2"/>
          </rPr>
          <t>Dorien Andrew:</t>
        </r>
        <r>
          <rPr>
            <sz val="9"/>
            <color indexed="81"/>
            <rFont val="Tahoma"/>
            <family val="2"/>
          </rPr>
          <t xml:space="preserve">
leaking cups </t>
        </r>
      </text>
    </comment>
    <comment ref="AC93" authorId="2" shapeId="0" xr:uid="{FA028385-1258-4A3C-BD8A-3E8539FD6245}">
      <text>
        <r>
          <rPr>
            <b/>
            <sz val="9"/>
            <color indexed="81"/>
            <rFont val="Tahoma"/>
            <family val="2"/>
          </rPr>
          <t>Micah Noel:</t>
        </r>
        <r>
          <rPr>
            <sz val="9"/>
            <color indexed="81"/>
            <rFont val="Tahoma"/>
            <family val="2"/>
          </rPr>
          <t xml:space="preserve">
changing leaking cups</t>
        </r>
      </text>
    </comment>
    <comment ref="AC95" authorId="2" shapeId="0" xr:uid="{4ADCB2E9-E28E-4EBB-91A5-50326FCF6690}">
      <text>
        <r>
          <rPr>
            <b/>
            <sz val="9"/>
            <color indexed="81"/>
            <rFont val="Tahoma"/>
            <family val="2"/>
          </rPr>
          <t>Micah Noel:</t>
        </r>
        <r>
          <rPr>
            <sz val="9"/>
            <color indexed="81"/>
            <rFont val="Tahoma"/>
            <family val="2"/>
          </rPr>
          <t xml:space="preserve">
changing leaking cups</t>
        </r>
      </text>
    </comment>
    <comment ref="D99" authorId="2" shapeId="0" xr:uid="{F8303CB0-A693-467D-96C9-B07B13E05B44}">
      <text>
        <r>
          <rPr>
            <b/>
            <sz val="9"/>
            <color indexed="81"/>
            <rFont val="Tahoma"/>
            <family val="2"/>
          </rPr>
          <t>Micah Noel:</t>
        </r>
        <r>
          <rPr>
            <sz val="9"/>
            <color indexed="81"/>
            <rFont val="Tahoma"/>
            <family val="2"/>
          </rPr>
          <t xml:space="preserve">
sensor damaged by bottle dropping from a compromised suction cup</t>
        </r>
      </text>
    </comment>
    <comment ref="E129" authorId="2" shapeId="0" xr:uid="{68711DEC-509E-4E52-927F-69473871E34B}">
      <text>
        <r>
          <rPr>
            <b/>
            <sz val="9"/>
            <color indexed="81"/>
            <rFont val="Tahoma"/>
            <family val="2"/>
          </rPr>
          <t>Micah Noel:</t>
        </r>
        <r>
          <rPr>
            <sz val="9"/>
            <color indexed="81"/>
            <rFont val="Tahoma"/>
            <family val="2"/>
          </rPr>
          <t xml:space="preserve">
head not moving</t>
        </r>
      </text>
    </comment>
    <comment ref="D136" authorId="2" shapeId="0" xr:uid="{34BEB4F1-03E5-481F-A85D-20BA4FE3FE47}">
      <text>
        <r>
          <rPr>
            <b/>
            <sz val="9"/>
            <color indexed="81"/>
            <rFont val="Tahoma"/>
            <family val="2"/>
          </rPr>
          <t>Micah Noel:</t>
        </r>
        <r>
          <rPr>
            <sz val="9"/>
            <color indexed="81"/>
            <rFont val="Tahoma"/>
            <family val="2"/>
          </rPr>
          <t xml:space="preserve">
head sensor malfunction</t>
        </r>
      </text>
    </comment>
    <comment ref="K146" authorId="2" shapeId="0" xr:uid="{88E188F4-DFB8-4DB4-8899-8D3D81C46A3B}">
      <text>
        <r>
          <rPr>
            <b/>
            <sz val="9"/>
            <color indexed="81"/>
            <rFont val="Tahoma"/>
            <family val="2"/>
          </rPr>
          <t>Micah Noel:</t>
        </r>
        <r>
          <rPr>
            <sz val="9"/>
            <color indexed="81"/>
            <rFont val="Tahoma"/>
            <family val="2"/>
          </rPr>
          <t xml:space="preserve">
adjustments</t>
        </r>
      </text>
    </comment>
    <comment ref="C164" authorId="3" shapeId="0" xr:uid="{C0D9934A-4574-4632-90FD-28A74CA4B1FB}">
      <text>
        <r>
          <rPr>
            <b/>
            <sz val="9"/>
            <color indexed="81"/>
            <rFont val="Tahoma"/>
            <family val="2"/>
          </rPr>
          <t>Kaylil Baptiste:</t>
        </r>
        <r>
          <rPr>
            <sz val="9"/>
            <color indexed="81"/>
            <rFont val="Tahoma"/>
            <family val="2"/>
          </rPr>
          <t xml:space="preserve">
changing fingers</t>
        </r>
      </text>
    </comment>
    <comment ref="T173" authorId="3" shapeId="0" xr:uid="{2863CE2C-F097-4B98-8FDB-9364C3D17433}">
      <text>
        <r>
          <rPr>
            <b/>
            <sz val="9"/>
            <color indexed="81"/>
            <rFont val="Tahoma"/>
            <family val="2"/>
          </rPr>
          <t>Kaylil Baptiste:</t>
        </r>
        <r>
          <rPr>
            <sz val="9"/>
            <color indexed="81"/>
            <rFont val="Tahoma"/>
            <family val="2"/>
          </rPr>
          <t xml:space="preserve">
leaking air hose</t>
        </r>
      </text>
    </comment>
    <comment ref="B199" authorId="0" shapeId="0" xr:uid="{CA0C1196-8EAB-4656-98BF-CA3026B18B12}">
      <text>
        <r>
          <rPr>
            <b/>
            <sz val="9"/>
            <color indexed="81"/>
            <rFont val="Tahoma"/>
            <family val="2"/>
          </rPr>
          <t>Michael Julien:</t>
        </r>
        <r>
          <rPr>
            <sz val="9"/>
            <color indexed="81"/>
            <rFont val="Tahoma"/>
            <family val="2"/>
          </rPr>
          <t xml:space="preserve">
20mins changing fingers</t>
        </r>
      </text>
    </comment>
    <comment ref="F211" authorId="2" shapeId="0" xr:uid="{41A6B829-47D6-4D69-91F1-4A5C1739BF00}">
      <text>
        <r>
          <rPr>
            <b/>
            <sz val="9"/>
            <color indexed="81"/>
            <rFont val="Tahoma"/>
            <family val="2"/>
          </rPr>
          <t>Micah Noel:</t>
        </r>
        <r>
          <rPr>
            <sz val="9"/>
            <color indexed="81"/>
            <rFont val="Tahoma"/>
            <family val="2"/>
          </rPr>
          <t xml:space="preserve">
communication problem</t>
        </r>
      </text>
    </comment>
    <comment ref="E218" authorId="3" shapeId="0" xr:uid="{F872DAD6-BEDD-4486-B558-94AF6475DC6D}">
      <text>
        <r>
          <rPr>
            <b/>
            <sz val="9"/>
            <color indexed="81"/>
            <rFont val="Tahoma"/>
            <family val="2"/>
          </rPr>
          <t>Kaylil Baptiste:</t>
        </r>
        <r>
          <rPr>
            <sz val="9"/>
            <color indexed="81"/>
            <rFont val="Tahoma"/>
            <family val="2"/>
          </rPr>
          <t xml:space="preserve">
32mins stop to change packer head</t>
        </r>
      </text>
    </comment>
    <comment ref="T218" authorId="2" shapeId="0" xr:uid="{60F22D33-4284-403B-B2B4-8557EA0263EF}">
      <text>
        <r>
          <rPr>
            <b/>
            <sz val="9"/>
            <color indexed="81"/>
            <rFont val="Tahoma"/>
            <family val="2"/>
          </rPr>
          <t>Micah Noel:</t>
        </r>
        <r>
          <rPr>
            <sz val="9"/>
            <color indexed="81"/>
            <rFont val="Tahoma"/>
            <family val="2"/>
          </rPr>
          <t xml:space="preserve">
leaking air hose</t>
        </r>
      </text>
    </comment>
    <comment ref="J227" authorId="2" shapeId="0" xr:uid="{7BF6AE3B-5B75-46ED-B5C0-C6BCEDE89109}">
      <text>
        <r>
          <rPr>
            <b/>
            <sz val="9"/>
            <color indexed="81"/>
            <rFont val="Tahoma"/>
            <family val="2"/>
          </rPr>
          <t>Micah Noel:</t>
        </r>
        <r>
          <rPr>
            <sz val="9"/>
            <color indexed="81"/>
            <rFont val="Tahoma"/>
            <family val="2"/>
          </rPr>
          <t xml:space="preserve">
fingers jamming on damaged crates</t>
        </r>
      </text>
    </comment>
    <comment ref="AC227" authorId="2" shapeId="0" xr:uid="{42279557-3332-4DD3-A895-519BA7A6C27C}">
      <text>
        <r>
          <rPr>
            <b/>
            <sz val="9"/>
            <color indexed="81"/>
            <rFont val="Tahoma"/>
            <family val="2"/>
          </rPr>
          <t>Micah Noel:</t>
        </r>
        <r>
          <rPr>
            <sz val="9"/>
            <color indexed="81"/>
            <rFont val="Tahoma"/>
            <family val="2"/>
          </rPr>
          <t xml:space="preserve">
leaking cups had to be changed</t>
        </r>
      </text>
    </comment>
    <comment ref="B252" authorId="1" shapeId="0" xr:uid="{EFB35BD7-38D2-49C6-85D3-1C31D2F78869}">
      <text>
        <r>
          <rPr>
            <b/>
            <sz val="9"/>
            <color indexed="81"/>
            <rFont val="Tahoma"/>
            <family val="2"/>
          </rPr>
          <t>Dorien Andrew:</t>
        </r>
        <r>
          <rPr>
            <sz val="9"/>
            <color indexed="81"/>
            <rFont val="Tahoma"/>
            <family val="2"/>
          </rPr>
          <t xml:space="preserve">
replacing fingers </t>
        </r>
      </text>
    </comment>
    <comment ref="T256" authorId="1" shapeId="0" xr:uid="{5554EF7C-E359-4E4F-ABCC-A5EA1E2912C9}">
      <text>
        <r>
          <rPr>
            <b/>
            <sz val="9"/>
            <color indexed="81"/>
            <rFont val="Tahoma"/>
            <family val="2"/>
          </rPr>
          <t>Dorien Andrew:</t>
        </r>
        <r>
          <rPr>
            <sz val="9"/>
            <color indexed="81"/>
            <rFont val="Tahoma"/>
            <family val="2"/>
          </rPr>
          <t xml:space="preserve">
replacing air hose</t>
        </r>
      </text>
    </comment>
    <comment ref="D268" authorId="1" shapeId="0" xr:uid="{1CA64473-3C2E-47FF-BC32-0808AC2301B5}">
      <text>
        <r>
          <rPr>
            <b/>
            <sz val="9"/>
            <color indexed="81"/>
            <rFont val="Tahoma"/>
            <family val="2"/>
          </rPr>
          <t>Dorien Andrew:</t>
        </r>
        <r>
          <rPr>
            <sz val="9"/>
            <color indexed="81"/>
            <rFont val="Tahoma"/>
            <family val="2"/>
          </rPr>
          <t xml:space="preserve">
sensor issue on head </t>
        </r>
      </text>
    </comment>
    <comment ref="M318" authorId="2" shapeId="0" xr:uid="{C4C8B215-7904-484F-9A0E-1119486F5A99}">
      <text>
        <r>
          <rPr>
            <b/>
            <sz val="9"/>
            <color indexed="81"/>
            <rFont val="Tahoma"/>
            <family val="2"/>
          </rPr>
          <t>Micah Noel:</t>
        </r>
        <r>
          <rPr>
            <sz val="9"/>
            <color indexed="81"/>
            <rFont val="Tahoma"/>
            <family val="2"/>
          </rPr>
          <t xml:space="preserve">
bottle stuck at shuffler</t>
        </r>
      </text>
    </comment>
    <comment ref="E393" authorId="1" shapeId="0" xr:uid="{67CEC932-94F9-4756-A631-9C8F77BB4BF7}">
      <text>
        <r>
          <rPr>
            <b/>
            <sz val="9"/>
            <color indexed="81"/>
            <rFont val="Tahoma"/>
            <family val="2"/>
          </rPr>
          <t>Dorien Andrew:</t>
        </r>
        <r>
          <rPr>
            <sz val="9"/>
            <color indexed="81"/>
            <rFont val="Tahoma"/>
            <family val="2"/>
          </rPr>
          <t xml:space="preserve">
head adjustements being made </t>
        </r>
      </text>
    </comment>
    <comment ref="AC394" authorId="3" shapeId="0" xr:uid="{22B311B5-083C-4CB6-9A96-FA5652FB7136}">
      <text>
        <r>
          <rPr>
            <b/>
            <sz val="9"/>
            <color indexed="81"/>
            <rFont val="Tahoma"/>
            <family val="2"/>
          </rPr>
          <t>Kaylil Baptiste:</t>
        </r>
        <r>
          <rPr>
            <sz val="9"/>
            <color indexed="81"/>
            <rFont val="Tahoma"/>
            <family val="2"/>
          </rPr>
          <t xml:space="preserve">
changing cups </t>
        </r>
      </text>
    </comment>
    <comment ref="C399" authorId="2" shapeId="0" xr:uid="{0A52AAF1-52E7-4799-B509-C3C7A348CC78}">
      <text>
        <r>
          <rPr>
            <b/>
            <sz val="9"/>
            <color indexed="81"/>
            <rFont val="Tahoma"/>
            <family val="2"/>
          </rPr>
          <t>Micah Noel:</t>
        </r>
        <r>
          <rPr>
            <sz val="9"/>
            <color indexed="81"/>
            <rFont val="Tahoma"/>
            <family val="2"/>
          </rPr>
          <t xml:space="preserve">
head malfunction -servo motor on head had to be replaced</t>
        </r>
      </text>
    </comment>
    <comment ref="O432" authorId="4" shapeId="0" xr:uid="{7BD9BE81-1111-4FE2-90F1-008DF334BBC8}">
      <text>
        <r>
          <rPr>
            <b/>
            <sz val="9"/>
            <color indexed="81"/>
            <rFont val="Tahoma"/>
            <family val="2"/>
          </rPr>
          <t>Reshelle Fleming:</t>
        </r>
        <r>
          <rPr>
            <sz val="9"/>
            <color indexed="81"/>
            <rFont val="Tahoma"/>
            <family val="2"/>
          </rPr>
          <t xml:space="preserve">
8mins Side guard on packer outfeed came out </t>
        </r>
      </text>
    </comment>
    <comment ref="K442" authorId="4" shapeId="0" xr:uid="{6345A20A-123F-4284-9D33-6DF74B29AFB2}">
      <text>
        <r>
          <rPr>
            <b/>
            <sz val="9"/>
            <color indexed="81"/>
            <rFont val="Tahoma"/>
            <family val="2"/>
          </rPr>
          <t>Reshelle Fleming:</t>
        </r>
        <r>
          <rPr>
            <sz val="9"/>
            <color indexed="81"/>
            <rFont val="Tahoma"/>
            <family val="2"/>
          </rPr>
          <t xml:space="preserve">
Carib Program and centering </t>
        </r>
      </text>
    </comment>
    <comment ref="Q444" authorId="5" shapeId="0" xr:uid="{9E0EABF6-BA6B-4204-9615-EFA6F65E4613}">
      <text>
        <r>
          <rPr>
            <b/>
            <sz val="9"/>
            <color indexed="81"/>
            <rFont val="Tahoma"/>
            <family val="2"/>
          </rPr>
          <t>Tyrell Bartholomew:</t>
        </r>
        <r>
          <rPr>
            <sz val="9"/>
            <color indexed="81"/>
            <rFont val="Tahoma"/>
            <family val="2"/>
          </rPr>
          <t xml:space="preserve">
7mins making adjustment to crate stopper.</t>
        </r>
      </text>
    </comment>
    <comment ref="E485" authorId="3" shapeId="0" xr:uid="{193CBE15-ABEE-4D86-AB3D-073F81050153}">
      <text>
        <r>
          <rPr>
            <b/>
            <sz val="9"/>
            <color indexed="81"/>
            <rFont val="Tahoma"/>
            <family val="2"/>
          </rPr>
          <t>Kaylil Baptiste:</t>
        </r>
        <r>
          <rPr>
            <sz val="9"/>
            <color indexed="81"/>
            <rFont val="Tahoma"/>
            <family val="2"/>
          </rPr>
          <t xml:space="preserve">
25mins issue with packer head prolonged the change over</t>
        </r>
      </text>
    </comment>
    <comment ref="D490" authorId="2" shapeId="0" xr:uid="{A0A6E7B2-B7DD-4F05-8820-D23761B5B192}">
      <text>
        <r>
          <rPr>
            <b/>
            <sz val="9"/>
            <color indexed="81"/>
            <rFont val="Tahoma"/>
            <family val="2"/>
          </rPr>
          <t>Micah Noel:</t>
        </r>
        <r>
          <rPr>
            <sz val="9"/>
            <color indexed="81"/>
            <rFont val="Tahoma"/>
            <family val="2"/>
          </rPr>
          <t xml:space="preserve">
sensor on head malfunction</t>
        </r>
      </text>
    </comment>
    <comment ref="Y490" authorId="2" shapeId="0" xr:uid="{86AE8583-FB0B-4596-B767-A6E22D3EF2C0}">
      <text>
        <r>
          <rPr>
            <b/>
            <sz val="9"/>
            <color indexed="81"/>
            <rFont val="Tahoma"/>
            <family val="2"/>
          </rPr>
          <t xml:space="preserve">Micah Noel:
</t>
        </r>
        <r>
          <rPr>
            <sz val="9"/>
            <color indexed="81"/>
            <rFont val="Tahoma"/>
            <family val="2"/>
          </rPr>
          <t>suction cup stem broke off</t>
        </r>
      </text>
    </comment>
    <comment ref="D505" authorId="2" shapeId="0" xr:uid="{1C882C94-EB18-4066-A4E7-E20BC2A6090D}">
      <text>
        <r>
          <rPr>
            <b/>
            <sz val="9"/>
            <color indexed="81"/>
            <rFont val="Tahoma"/>
            <family val="2"/>
          </rPr>
          <t>Micah Noel:</t>
        </r>
        <r>
          <rPr>
            <sz val="9"/>
            <color indexed="81"/>
            <rFont val="Tahoma"/>
            <family val="2"/>
          </rPr>
          <t xml:space="preserve">
broken cable on sensor</t>
        </r>
      </text>
    </comment>
    <comment ref="D507" authorId="2" shapeId="0" xr:uid="{D284EE39-0515-4D96-BCFE-E970A1A9B044}">
      <text>
        <r>
          <rPr>
            <b/>
            <sz val="9"/>
            <color indexed="81"/>
            <rFont val="Tahoma"/>
            <family val="2"/>
          </rPr>
          <t>Micah Noel:</t>
        </r>
        <r>
          <rPr>
            <sz val="9"/>
            <color indexed="81"/>
            <rFont val="Tahoma"/>
            <family val="2"/>
          </rPr>
          <t xml:space="preserve">
sensor malfunction</t>
        </r>
      </text>
    </comment>
    <comment ref="T507" authorId="1" shapeId="0" xr:uid="{AA533056-C79F-46FC-AE7F-9ADCDB38A70F}">
      <text>
        <r>
          <rPr>
            <b/>
            <sz val="9"/>
            <color indexed="81"/>
            <rFont val="Tahoma"/>
            <family val="2"/>
          </rPr>
          <t>Dorien Andrew:</t>
        </r>
        <r>
          <rPr>
            <sz val="9"/>
            <color indexed="81"/>
            <rFont val="Tahoma"/>
            <family val="2"/>
          </rPr>
          <t xml:space="preserve">
4 mins replacing air hose </t>
        </r>
      </text>
    </comment>
    <comment ref="AC628" authorId="5" shapeId="0" xr:uid="{538385EF-8C3C-4A8B-AA6B-2805AF329021}">
      <text>
        <r>
          <rPr>
            <b/>
            <sz val="9"/>
            <color indexed="81"/>
            <rFont val="Tahoma"/>
            <family val="2"/>
          </rPr>
          <t>Tyrell Bartholomew:</t>
        </r>
        <r>
          <rPr>
            <sz val="9"/>
            <color indexed="81"/>
            <rFont val="Tahoma"/>
            <family val="2"/>
          </rPr>
          <t xml:space="preserve">
changing leaking cups.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Micah Noel</author>
    <author>Michael Julien</author>
    <author>Tyrell Bartholomew</author>
    <author>Kaylil Baptiste</author>
    <author>Dorien Andrew</author>
    <author>Reshelle Fleming</author>
  </authors>
  <commentList>
    <comment ref="O60" authorId="0" shapeId="0" xr:uid="{AF48EA63-E299-4CB8-A90A-9332999AA46E}">
      <text>
        <r>
          <rPr>
            <b/>
            <sz val="9"/>
            <color indexed="81"/>
            <rFont val="Tahoma"/>
            <family val="2"/>
          </rPr>
          <t>Micah Noel:</t>
        </r>
        <r>
          <rPr>
            <sz val="9"/>
            <color indexed="81"/>
            <rFont val="Tahoma"/>
            <family val="2"/>
          </rPr>
          <t xml:space="preserve">
78 mins low air pressure problem </t>
        </r>
      </text>
    </comment>
    <comment ref="O154" authorId="1" shapeId="0" xr:uid="{E75A8A29-687C-4DC4-A931-F620A11D9022}">
      <text>
        <r>
          <rPr>
            <b/>
            <sz val="9"/>
            <color indexed="81"/>
            <rFont val="Tahoma"/>
            <family val="2"/>
          </rPr>
          <t>Michael Julien:</t>
        </r>
        <r>
          <rPr>
            <sz val="9"/>
            <color indexed="81"/>
            <rFont val="Tahoma"/>
            <family val="2"/>
          </rPr>
          <t xml:space="preserve">
Tentioners came out</t>
        </r>
      </text>
    </comment>
    <comment ref="M156" authorId="0" shapeId="0" xr:uid="{2EB44DDA-88B3-48CD-814C-19DAAF0368B6}">
      <text>
        <r>
          <rPr>
            <b/>
            <sz val="9"/>
            <color indexed="81"/>
            <rFont val="Tahoma"/>
            <family val="2"/>
          </rPr>
          <t>Micah Noel:</t>
        </r>
        <r>
          <rPr>
            <sz val="9"/>
            <color indexed="81"/>
            <rFont val="Tahoma"/>
            <family val="2"/>
          </rPr>
          <t xml:space="preserve">
not sealing</t>
        </r>
      </text>
    </comment>
    <comment ref="H185" authorId="1" shapeId="0" xr:uid="{F81CDE64-6DA9-4B2E-935C-01934840C3EB}">
      <text>
        <r>
          <rPr>
            <b/>
            <sz val="9"/>
            <color indexed="81"/>
            <rFont val="Tahoma"/>
            <family val="2"/>
          </rPr>
          <t>Michael Julien:</t>
        </r>
        <r>
          <rPr>
            <sz val="9"/>
            <color indexed="81"/>
            <rFont val="Tahoma"/>
            <family val="2"/>
          </rPr>
          <t xml:space="preserve">
working with the OEM to repair carton erector.</t>
        </r>
      </text>
    </comment>
    <comment ref="E206" authorId="0" shapeId="0" xr:uid="{21762E2E-24CA-47D6-BFBA-CB1E2B7531F8}">
      <text>
        <r>
          <rPr>
            <b/>
            <sz val="9"/>
            <color indexed="81"/>
            <rFont val="Tahoma"/>
            <family val="2"/>
          </rPr>
          <t>Micah Noel:</t>
        </r>
        <r>
          <rPr>
            <sz val="9"/>
            <color indexed="81"/>
            <rFont val="Tahoma"/>
            <family val="2"/>
          </rPr>
          <t xml:space="preserve">
carton coder not printing properly</t>
        </r>
      </text>
    </comment>
    <comment ref="O206" authorId="0" shapeId="0" xr:uid="{D0764BAC-3C51-4609-A025-3CA2CFD1454F}">
      <text>
        <r>
          <rPr>
            <b/>
            <sz val="9"/>
            <color indexed="81"/>
            <rFont val="Tahoma"/>
            <family val="2"/>
          </rPr>
          <t>Micah Noel:</t>
        </r>
        <r>
          <rPr>
            <sz val="9"/>
            <color indexed="81"/>
            <rFont val="Tahoma"/>
            <family val="2"/>
          </rPr>
          <t xml:space="preserve">
carton erector malfunction</t>
        </r>
      </text>
    </comment>
    <comment ref="M263" authorId="0" shapeId="0" xr:uid="{71AB50C6-FDC3-4C4C-9EB3-9BF3F9A4ECBD}">
      <text>
        <r>
          <rPr>
            <b/>
            <sz val="9"/>
            <color indexed="81"/>
            <rFont val="Tahoma"/>
            <family val="2"/>
          </rPr>
          <t>Micah Noel:</t>
        </r>
        <r>
          <rPr>
            <sz val="9"/>
            <color indexed="81"/>
            <rFont val="Tahoma"/>
            <family val="2"/>
          </rPr>
          <t xml:space="preserve">
cartons not sealing properly</t>
        </r>
      </text>
    </comment>
    <comment ref="L269" authorId="1" shapeId="0" xr:uid="{FBF63AD0-F954-450F-8B48-80E48D170B7B}">
      <text>
        <r>
          <rPr>
            <b/>
            <sz val="9"/>
            <color indexed="81"/>
            <rFont val="Tahoma"/>
            <family val="2"/>
          </rPr>
          <t>Michael Julien:</t>
        </r>
        <r>
          <rPr>
            <sz val="9"/>
            <color indexed="81"/>
            <rFont val="Tahoma"/>
            <family val="2"/>
          </rPr>
          <t xml:space="preserve">
Cartons upside down and had to be removed
</t>
        </r>
      </text>
    </comment>
    <comment ref="O368" authorId="2" shapeId="0" xr:uid="{71813628-B833-4ECB-B7BC-969C657F1D67}">
      <text>
        <r>
          <rPr>
            <b/>
            <sz val="9"/>
            <color indexed="81"/>
            <rFont val="Tahoma"/>
            <family val="2"/>
          </rPr>
          <t>Tyrell Bartholomew:</t>
        </r>
        <r>
          <rPr>
            <sz val="9"/>
            <color indexed="81"/>
            <rFont val="Tahoma"/>
            <family val="2"/>
          </rPr>
          <t xml:space="preserve">
communition fault.</t>
        </r>
      </text>
    </comment>
    <comment ref="O369" authorId="2" shapeId="0" xr:uid="{EE988679-CFA7-4E3E-8DAA-763FC6223457}">
      <text>
        <r>
          <rPr>
            <b/>
            <sz val="9"/>
            <color indexed="81"/>
            <rFont val="Tahoma"/>
            <family val="2"/>
          </rPr>
          <t>Tyrell Bartholomew:</t>
        </r>
        <r>
          <rPr>
            <sz val="9"/>
            <color indexed="81"/>
            <rFont val="Tahoma"/>
            <family val="2"/>
          </rPr>
          <t xml:space="preserve">
communication fault between the machine and the discharge conveyor</t>
        </r>
      </text>
    </comment>
    <comment ref="D372" authorId="3" shapeId="0" xr:uid="{3DC6FC8C-B986-4C05-BAFE-F3E0FE53D089}">
      <text>
        <r>
          <rPr>
            <b/>
            <sz val="9"/>
            <color indexed="81"/>
            <rFont val="Tahoma"/>
            <family val="2"/>
          </rPr>
          <t>Kaylil Baptiste:</t>
        </r>
        <r>
          <rPr>
            <sz val="9"/>
            <color indexed="81"/>
            <rFont val="Tahoma"/>
            <family val="2"/>
          </rPr>
          <t xml:space="preserve">
waiting on boxes </t>
        </r>
      </text>
    </comment>
    <comment ref="E393" authorId="4" shapeId="0" xr:uid="{91F25270-E639-4F32-A2D0-EA9D5CB36480}">
      <text>
        <r>
          <rPr>
            <b/>
            <sz val="9"/>
            <color indexed="81"/>
            <rFont val="Tahoma"/>
            <family val="2"/>
          </rPr>
          <t>Dorien Andrew:</t>
        </r>
        <r>
          <rPr>
            <sz val="9"/>
            <color indexed="81"/>
            <rFont val="Tahoma"/>
            <family val="2"/>
          </rPr>
          <t xml:space="preserve">
not printing</t>
        </r>
      </text>
    </comment>
    <comment ref="M393" authorId="0" shapeId="0" xr:uid="{50FFDE13-AC84-43CE-8482-C35993F12E1C}">
      <text>
        <r>
          <rPr>
            <b/>
            <sz val="9"/>
            <color indexed="81"/>
            <rFont val="Tahoma"/>
            <family val="2"/>
          </rPr>
          <t>Micah Noel:</t>
        </r>
        <r>
          <rPr>
            <sz val="9"/>
            <color indexed="81"/>
            <rFont val="Tahoma"/>
            <family val="2"/>
          </rPr>
          <t xml:space="preserve">
replacing damaged belt on carton sealer</t>
        </r>
      </text>
    </comment>
    <comment ref="O394" authorId="0" shapeId="0" xr:uid="{09F4C9BE-B6BE-4C25-8179-5361C0AB501C}">
      <text>
        <r>
          <rPr>
            <b/>
            <sz val="9"/>
            <color indexed="81"/>
            <rFont val="Tahoma"/>
            <family val="2"/>
          </rPr>
          <t>Micah Noel:</t>
        </r>
        <r>
          <rPr>
            <sz val="9"/>
            <color indexed="81"/>
            <rFont val="Tahoma"/>
            <family val="2"/>
          </rPr>
          <t xml:space="preserve">
40 mins broken air supply pipe to carton erector</t>
        </r>
      </text>
    </comment>
    <comment ref="M395" authorId="0" shapeId="0" xr:uid="{DA471572-B2A8-4FC4-B4FE-8129C8DAD532}">
      <text>
        <r>
          <rPr>
            <b/>
            <sz val="9"/>
            <color indexed="81"/>
            <rFont val="Tahoma"/>
            <family val="2"/>
          </rPr>
          <t>Micah Noel:</t>
        </r>
        <r>
          <rPr>
            <sz val="9"/>
            <color indexed="81"/>
            <rFont val="Tahoma"/>
            <family val="2"/>
          </rPr>
          <t xml:space="preserve">
carton sealer not sealing all cartons (skipping cartons)</t>
        </r>
      </text>
    </comment>
    <comment ref="O399" authorId="4" shapeId="0" xr:uid="{FBC80FA5-BC33-4998-ABC7-14513107EDEA}">
      <text>
        <r>
          <rPr>
            <b/>
            <sz val="9"/>
            <color indexed="81"/>
            <rFont val="Tahoma"/>
            <family val="2"/>
          </rPr>
          <t>Dorien Andrew:</t>
        </r>
        <r>
          <rPr>
            <sz val="9"/>
            <color indexed="81"/>
            <rFont val="Tahoma"/>
            <family val="2"/>
          </rPr>
          <t xml:space="preserve">
10 mins lost for not printing 10 mins lost for chain repair 
29mins carton coder malfunction</t>
        </r>
      </text>
    </comment>
    <comment ref="C401" authorId="3" shapeId="0" xr:uid="{8B42FBEF-1C23-4291-86E3-A96555C81D48}">
      <text>
        <r>
          <rPr>
            <b/>
            <sz val="9"/>
            <color indexed="81"/>
            <rFont val="Tahoma"/>
            <family val="2"/>
          </rPr>
          <t>Kaylil Baptiste:</t>
        </r>
        <r>
          <rPr>
            <sz val="9"/>
            <color indexed="81"/>
            <rFont val="Tahoma"/>
            <family val="2"/>
          </rPr>
          <t xml:space="preserve">
low glue temperature</t>
        </r>
      </text>
    </comment>
    <comment ref="B427" authorId="5" shapeId="0" xr:uid="{9C54B5D7-4200-4BA6-8BB9-63538508C7E2}">
      <text>
        <r>
          <rPr>
            <b/>
            <sz val="9"/>
            <color indexed="81"/>
            <rFont val="Tahoma"/>
            <family val="2"/>
          </rPr>
          <t>Reshelle Fleming:</t>
        </r>
        <r>
          <rPr>
            <sz val="9"/>
            <color indexed="81"/>
            <rFont val="Tahoma"/>
            <family val="2"/>
          </rPr>
          <t xml:space="preserve">
60mins Sealer malfunction - not sealing </t>
        </r>
      </text>
    </comment>
    <comment ref="K427" authorId="5" shapeId="0" xr:uid="{6E643310-7E8E-470A-B81A-40C39332714A}">
      <text>
        <r>
          <rPr>
            <b/>
            <sz val="9"/>
            <color indexed="81"/>
            <rFont val="Tahoma"/>
            <family val="2"/>
          </rPr>
          <t>Reshelle Fleming:</t>
        </r>
        <r>
          <rPr>
            <sz val="9"/>
            <color indexed="81"/>
            <rFont val="Tahoma"/>
            <family val="2"/>
          </rPr>
          <t xml:space="preserve">
10mins Carton errector malfunction- bended flats </t>
        </r>
      </text>
    </comment>
    <comment ref="B428" authorId="5" shapeId="0" xr:uid="{FAE9DA7F-F489-49CC-A11A-181B7106908F}">
      <text>
        <r>
          <rPr>
            <b/>
            <sz val="9"/>
            <color indexed="81"/>
            <rFont val="Tahoma"/>
            <family val="2"/>
          </rPr>
          <t>Reshelle Fleming:</t>
        </r>
        <r>
          <rPr>
            <sz val="9"/>
            <color indexed="81"/>
            <rFont val="Tahoma"/>
            <family val="2"/>
          </rPr>
          <t xml:space="preserve">
10mins Sealer malfunction - not sealing </t>
        </r>
      </text>
    </comment>
    <comment ref="B433" authorId="5" shapeId="0" xr:uid="{032AD640-6038-43FD-9858-1EAC5A1A5BC2}">
      <text>
        <r>
          <rPr>
            <b/>
            <sz val="9"/>
            <color indexed="81"/>
            <rFont val="Tahoma"/>
            <family val="2"/>
          </rPr>
          <t>Reshelle Fleming:</t>
        </r>
        <r>
          <rPr>
            <sz val="9"/>
            <color indexed="81"/>
            <rFont val="Tahoma"/>
            <family val="2"/>
          </rPr>
          <t xml:space="preserve">
12mins sealer not taping properly </t>
        </r>
      </text>
    </comment>
    <comment ref="O433" authorId="1" shapeId="0" xr:uid="{0DE59067-D176-470D-B684-B8BB6F64056E}">
      <text>
        <r>
          <rPr>
            <b/>
            <sz val="9"/>
            <color indexed="81"/>
            <rFont val="Tahoma"/>
            <family val="2"/>
          </rPr>
          <t>Michael Julien:</t>
        </r>
        <r>
          <rPr>
            <sz val="9"/>
            <color indexed="81"/>
            <rFont val="Tahoma"/>
            <family val="2"/>
          </rPr>
          <t xml:space="preserve">
80mins adjusting drive belt for carton sealer.</t>
        </r>
      </text>
    </comment>
    <comment ref="O481" authorId="1" shapeId="0" xr:uid="{4602599B-F821-4CC8-845F-CF4FB52A3A63}">
      <text>
        <r>
          <rPr>
            <b/>
            <sz val="9"/>
            <color indexed="81"/>
            <rFont val="Tahoma"/>
            <family val="2"/>
          </rPr>
          <t>Michael Julien:</t>
        </r>
        <r>
          <rPr>
            <sz val="9"/>
            <color indexed="81"/>
            <rFont val="Tahoma"/>
            <family val="2"/>
          </rPr>
          <t xml:space="preserve">
trying to sort out case anomomaly fault.
</t>
        </r>
      </text>
    </comment>
    <comment ref="M510" authorId="1" shapeId="0" xr:uid="{1701C429-0C6C-49C8-9C2B-2BEDE315EA65}">
      <text>
        <r>
          <rPr>
            <b/>
            <sz val="9"/>
            <color indexed="81"/>
            <rFont val="Tahoma"/>
            <family val="2"/>
          </rPr>
          <t>Michael Julien:</t>
        </r>
        <r>
          <rPr>
            <sz val="9"/>
            <color indexed="81"/>
            <rFont val="Tahoma"/>
            <family val="2"/>
          </rPr>
          <t xml:space="preserve">
Boxes not sealing properly.</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Royd</author>
    <author>Kaylil Baptiste</author>
    <author>Dorien Andrew</author>
    <author>Michael Julien</author>
    <author>Micah Noel</author>
    <author>Tyrell Bartholomew</author>
    <author>Reshelle Fleming</author>
  </authors>
  <commentList>
    <comment ref="S3" authorId="0" shapeId="0" xr:uid="{00000000-0006-0000-0E00-000001000000}">
      <text>
        <r>
          <rPr>
            <b/>
            <sz val="9"/>
            <rFont val="Tahoma"/>
            <family val="2"/>
          </rPr>
          <t>Royd:</t>
        </r>
        <r>
          <rPr>
            <sz val="9"/>
            <rFont val="Tahoma"/>
            <family val="2"/>
          </rPr>
          <t xml:space="preserve">
shuffler</t>
        </r>
      </text>
    </comment>
    <comment ref="V7" authorId="1" shapeId="0" xr:uid="{1F4FC0B7-810A-4DA1-84FC-07AC4EE6F2D4}">
      <text>
        <r>
          <rPr>
            <b/>
            <sz val="9"/>
            <color indexed="81"/>
            <rFont val="Tahoma"/>
            <family val="2"/>
          </rPr>
          <t>Kaylil Baptiste:</t>
        </r>
        <r>
          <rPr>
            <sz val="9"/>
            <color indexed="81"/>
            <rFont val="Tahoma"/>
            <family val="2"/>
          </rPr>
          <t xml:space="preserve">
1320mins communication unit fault between Filler and EBI (Krones device)</t>
        </r>
      </text>
    </comment>
    <comment ref="V8" authorId="1" shapeId="0" xr:uid="{29C5CBD8-F010-49EE-A596-E1D7DA779509}">
      <text>
        <r>
          <rPr>
            <b/>
            <sz val="9"/>
            <color indexed="81"/>
            <rFont val="Tahoma"/>
            <family val="2"/>
          </rPr>
          <t>Kaylil Baptiste:</t>
        </r>
        <r>
          <rPr>
            <sz val="9"/>
            <color indexed="81"/>
            <rFont val="Tahoma"/>
            <family val="2"/>
          </rPr>
          <t xml:space="preserve">
1440mins communication unit fault between Filler and EBI (Krones device)</t>
        </r>
      </text>
    </comment>
    <comment ref="V9" authorId="1" shapeId="0" xr:uid="{9B051490-FC4E-4318-B412-42E78E04AF19}">
      <text>
        <r>
          <rPr>
            <b/>
            <sz val="9"/>
            <color indexed="81"/>
            <rFont val="Tahoma"/>
            <family val="2"/>
          </rPr>
          <t>Kaylil Baptiste:</t>
        </r>
        <r>
          <rPr>
            <sz val="9"/>
            <color indexed="81"/>
            <rFont val="Tahoma"/>
            <family val="2"/>
          </rPr>
          <t xml:space="preserve">
1440mins communication unit fault between Filler and EBI (Krones device)</t>
        </r>
      </text>
    </comment>
    <comment ref="V10" authorId="2" shapeId="0" xr:uid="{7F28F7C2-D99A-4764-8390-D1DC402612CC}">
      <text>
        <r>
          <rPr>
            <b/>
            <sz val="9"/>
            <color indexed="81"/>
            <rFont val="Tahoma"/>
            <family val="2"/>
          </rPr>
          <t>Dorien Andrew:</t>
        </r>
        <r>
          <rPr>
            <sz val="9"/>
            <color indexed="81"/>
            <rFont val="Tahoma"/>
            <family val="2"/>
          </rPr>
          <t xml:space="preserve">
1180mins lost for communication fault 37 mins lost for adjustments to speed control</t>
        </r>
      </text>
    </comment>
    <comment ref="AE11" authorId="3" shapeId="0" xr:uid="{E8DC76B4-C015-4AD3-B83B-63721DAE0801}">
      <text>
        <r>
          <rPr>
            <b/>
            <sz val="9"/>
            <color indexed="81"/>
            <rFont val="Tahoma"/>
            <family val="2"/>
          </rPr>
          <t>Michael Julien:</t>
        </r>
        <r>
          <rPr>
            <sz val="9"/>
            <color indexed="81"/>
            <rFont val="Tahoma"/>
            <family val="2"/>
          </rPr>
          <t xml:space="preserve">
fallen bottles caused a stop</t>
        </r>
      </text>
    </comment>
    <comment ref="AH11" authorId="1" shapeId="0" xr:uid="{5315775C-FF4F-4109-9BE4-CED13CE50CEA}">
      <text>
        <r>
          <rPr>
            <b/>
            <sz val="9"/>
            <color indexed="81"/>
            <rFont val="Tahoma"/>
            <family val="2"/>
          </rPr>
          <t>Kaylil Baptiste:</t>
        </r>
        <r>
          <rPr>
            <sz val="9"/>
            <color indexed="81"/>
            <rFont val="Tahoma"/>
            <family val="2"/>
          </rPr>
          <t xml:space="preserve">
keeps jamming</t>
        </r>
      </text>
    </comment>
    <comment ref="AD13" authorId="4" shapeId="0" xr:uid="{E8E93011-F06E-40B1-AB0A-1BC8CE2BD488}">
      <text>
        <r>
          <rPr>
            <b/>
            <sz val="9"/>
            <color indexed="81"/>
            <rFont val="Tahoma"/>
            <family val="2"/>
          </rPr>
          <t>Micah Noel:</t>
        </r>
        <r>
          <rPr>
            <sz val="9"/>
            <color indexed="81"/>
            <rFont val="Tahoma"/>
            <family val="2"/>
          </rPr>
          <t xml:space="preserve">
Fallen bottles stuck on conveyor</t>
        </r>
      </text>
    </comment>
    <comment ref="E14" authorId="2" shapeId="0" xr:uid="{4DD2CD90-54FE-40E7-9B1F-88847E8CB9B2}">
      <text>
        <r>
          <rPr>
            <b/>
            <sz val="9"/>
            <color indexed="81"/>
            <rFont val="Tahoma"/>
            <family val="2"/>
          </rPr>
          <t>Dorien Andrew:</t>
        </r>
        <r>
          <rPr>
            <sz val="9"/>
            <color indexed="81"/>
            <rFont val="Tahoma"/>
            <family val="2"/>
          </rPr>
          <t xml:space="preserve">
10mins stop for trip conveyor</t>
        </r>
      </text>
    </comment>
    <comment ref="T14" authorId="1" shapeId="0" xr:uid="{E8D637C4-7B0B-4D3F-A517-334C4F021BC5}">
      <text>
        <r>
          <rPr>
            <b/>
            <sz val="9"/>
            <color indexed="81"/>
            <rFont val="Tahoma"/>
            <family val="2"/>
          </rPr>
          <t>Kaylil Baptiste:</t>
        </r>
        <r>
          <rPr>
            <sz val="9"/>
            <color indexed="81"/>
            <rFont val="Tahoma"/>
            <family val="2"/>
          </rPr>
          <t xml:space="preserve">
bottles jamming</t>
        </r>
      </text>
    </comment>
    <comment ref="AH17" authorId="2" shapeId="0" xr:uid="{3303A987-870D-4B20-8621-1C2EC569209E}">
      <text>
        <r>
          <rPr>
            <b/>
            <sz val="9"/>
            <color indexed="81"/>
            <rFont val="Tahoma"/>
            <family val="2"/>
          </rPr>
          <t>Dorien Andrew:</t>
        </r>
        <r>
          <rPr>
            <sz val="9"/>
            <color indexed="81"/>
            <rFont val="Tahoma"/>
            <family val="2"/>
          </rPr>
          <t xml:space="preserve">
stop for damaged sprocket </t>
        </r>
      </text>
    </comment>
    <comment ref="AH18" authorId="4" shapeId="0" xr:uid="{C2660872-16EE-4F33-83A8-CACF77E2A117}">
      <text>
        <r>
          <rPr>
            <b/>
            <sz val="9"/>
            <color indexed="81"/>
            <rFont val="Tahoma"/>
            <family val="2"/>
          </rPr>
          <t>Micah Noel:</t>
        </r>
        <r>
          <rPr>
            <sz val="9"/>
            <color indexed="81"/>
            <rFont val="Tahoma"/>
            <family val="2"/>
          </rPr>
          <t xml:space="preserve">
7 mins labeler infeed conveyor stuttering 40 mins repairs to broken labeler infeed conveyor</t>
        </r>
      </text>
    </comment>
    <comment ref="R20" authorId="4" shapeId="0" xr:uid="{7435A032-E406-4A0F-8292-E2432E3A7039}">
      <text>
        <r>
          <rPr>
            <b/>
            <sz val="9"/>
            <color indexed="81"/>
            <rFont val="Tahoma"/>
            <family val="2"/>
          </rPr>
          <t>Micah Noel:</t>
        </r>
        <r>
          <rPr>
            <sz val="9"/>
            <color indexed="81"/>
            <rFont val="Tahoma"/>
            <family val="2"/>
          </rPr>
          <t xml:space="preserve">
maintenance working on conveyor</t>
        </r>
      </text>
    </comment>
    <comment ref="AD40" authorId="1" shapeId="0" xr:uid="{72932925-4F96-42F6-B829-0BB9FD6DF43B}">
      <text>
        <r>
          <rPr>
            <b/>
            <sz val="9"/>
            <color indexed="81"/>
            <rFont val="Tahoma"/>
            <family val="2"/>
          </rPr>
          <t>Kaylil Baptiste:</t>
        </r>
        <r>
          <rPr>
            <sz val="9"/>
            <color indexed="81"/>
            <rFont val="Tahoma"/>
            <family val="2"/>
          </rPr>
          <t xml:space="preserve">
8mins syop at pasteurizer discharge conveyor</t>
        </r>
      </text>
    </comment>
    <comment ref="Z41" authorId="1" shapeId="0" xr:uid="{49A2B996-B350-499B-9C23-4F32BD3CA6FF}">
      <text>
        <r>
          <rPr>
            <b/>
            <sz val="9"/>
            <color indexed="81"/>
            <rFont val="Tahoma"/>
            <family val="2"/>
          </rPr>
          <t>Kaylil Baptiste:</t>
        </r>
        <r>
          <rPr>
            <sz val="9"/>
            <color indexed="81"/>
            <rFont val="Tahoma"/>
            <family val="2"/>
          </rPr>
          <t xml:space="preserve">
6mins fallen bottles on filler discharge 1</t>
        </r>
      </text>
    </comment>
    <comment ref="R42" authorId="1" shapeId="0" xr:uid="{91E2219C-49E5-4838-812B-52FD93A93728}">
      <text>
        <r>
          <rPr>
            <b/>
            <sz val="9"/>
            <color indexed="81"/>
            <rFont val="Tahoma"/>
            <family val="2"/>
          </rPr>
          <t>Kaylil Baptiste:</t>
        </r>
        <r>
          <rPr>
            <sz val="9"/>
            <color indexed="81"/>
            <rFont val="Tahoma"/>
            <family val="2"/>
          </rPr>
          <t xml:space="preserve">
Bottles jamming </t>
        </r>
      </text>
    </comment>
    <comment ref="AD43" authorId="4" shapeId="0" xr:uid="{FCB43A0C-99FA-49FC-9C8E-A056676B7C10}">
      <text>
        <r>
          <rPr>
            <b/>
            <sz val="9"/>
            <color indexed="81"/>
            <rFont val="Tahoma"/>
            <family val="2"/>
          </rPr>
          <t>Micah Noel:</t>
        </r>
        <r>
          <rPr>
            <sz val="9"/>
            <color indexed="81"/>
            <rFont val="Tahoma"/>
            <family val="2"/>
          </rPr>
          <t xml:space="preserve">
bottles falling on pasteurizer discharge activated the back up sensor causing unit to stop several times</t>
        </r>
      </text>
    </comment>
    <comment ref="F47" authorId="4" shapeId="0" xr:uid="{4BBA1BF0-CEB1-4EC9-88D1-FE0D2569E819}">
      <text>
        <r>
          <rPr>
            <b/>
            <sz val="9"/>
            <color indexed="81"/>
            <rFont val="Tahoma"/>
            <family val="2"/>
          </rPr>
          <t>Micah Noel:</t>
        </r>
        <r>
          <rPr>
            <sz val="9"/>
            <color indexed="81"/>
            <rFont val="Tahoma"/>
            <family val="2"/>
          </rPr>
          <t xml:space="preserve">
conveyor jumped out from sprocket</t>
        </r>
      </text>
    </comment>
    <comment ref="AP47" authorId="1" shapeId="0" xr:uid="{8E476F57-4E78-45E1-8D8C-EB32981C2093}">
      <text>
        <r>
          <rPr>
            <b/>
            <sz val="9"/>
            <color indexed="81"/>
            <rFont val="Tahoma"/>
            <family val="2"/>
          </rPr>
          <t>Kaylil Baptiste:</t>
        </r>
        <r>
          <rPr>
            <sz val="9"/>
            <color indexed="81"/>
            <rFont val="Tahoma"/>
            <family val="2"/>
          </rPr>
          <t xml:space="preserve">
jumped out of track</t>
        </r>
      </text>
    </comment>
    <comment ref="R50" authorId="4" shapeId="0" xr:uid="{4E0D0FAC-8803-4CB1-B894-D912F29F05FF}">
      <text>
        <r>
          <rPr>
            <b/>
            <sz val="9"/>
            <color indexed="81"/>
            <rFont val="Tahoma"/>
            <family val="2"/>
          </rPr>
          <t>Micah Noel:</t>
        </r>
        <r>
          <rPr>
            <sz val="9"/>
            <color indexed="81"/>
            <rFont val="Tahoma"/>
            <family val="2"/>
          </rPr>
          <t xml:space="preserve">
2 mins fallen bottle stuck</t>
        </r>
      </text>
    </comment>
    <comment ref="AT50" authorId="1" shapeId="0" xr:uid="{A0FAD3FF-570A-451F-A754-9D6C85CCE862}">
      <text>
        <r>
          <rPr>
            <b/>
            <sz val="9"/>
            <color indexed="81"/>
            <rFont val="Tahoma"/>
            <family val="2"/>
          </rPr>
          <t>Kaylil Baptiste:</t>
        </r>
        <r>
          <rPr>
            <sz val="9"/>
            <color indexed="81"/>
            <rFont val="Tahoma"/>
            <family val="2"/>
          </rPr>
          <t xml:space="preserve">
came off track</t>
        </r>
      </text>
    </comment>
    <comment ref="R68" authorId="4" shapeId="0" xr:uid="{D51AD18F-4563-4F88-90F4-479E28EF9324}">
      <text>
        <r>
          <rPr>
            <b/>
            <sz val="9"/>
            <color indexed="81"/>
            <rFont val="Tahoma"/>
            <family val="2"/>
          </rPr>
          <t>Micah Noel:</t>
        </r>
        <r>
          <rPr>
            <sz val="9"/>
            <color indexed="81"/>
            <rFont val="Tahoma"/>
            <family val="2"/>
          </rPr>
          <t xml:space="preserve">
fallen bottle on conveyor</t>
        </r>
      </text>
    </comment>
    <comment ref="R69" authorId="4" shapeId="0" xr:uid="{7701E3F7-DDE3-4D82-ABB9-23BA04AE3E54}">
      <text>
        <r>
          <rPr>
            <b/>
            <sz val="9"/>
            <color indexed="81"/>
            <rFont val="Tahoma"/>
            <family val="2"/>
          </rPr>
          <t>Micah Noel:</t>
        </r>
        <r>
          <rPr>
            <sz val="9"/>
            <color indexed="81"/>
            <rFont val="Tahoma"/>
            <family val="2"/>
          </rPr>
          <t xml:space="preserve">
bottles stuck on conveyor</t>
        </r>
      </text>
    </comment>
    <comment ref="B71" authorId="4" shapeId="0" xr:uid="{2B738F08-7D52-43FE-991B-5E1BFB44E299}">
      <text>
        <r>
          <rPr>
            <b/>
            <sz val="9"/>
            <color indexed="81"/>
            <rFont val="Tahoma"/>
            <family val="2"/>
          </rPr>
          <t>Micah Noel:</t>
        </r>
        <r>
          <rPr>
            <sz val="9"/>
            <color indexed="81"/>
            <rFont val="Tahoma"/>
            <family val="2"/>
          </rPr>
          <t xml:space="preserve">
conveyor cut off</t>
        </r>
      </text>
    </comment>
    <comment ref="AD72" authorId="1" shapeId="0" xr:uid="{EEC1BCBE-B0F0-40F5-8908-607DB37C1C26}">
      <text>
        <r>
          <rPr>
            <b/>
            <sz val="9"/>
            <color indexed="81"/>
            <rFont val="Tahoma"/>
            <family val="2"/>
          </rPr>
          <t>Kaylil Baptiste:</t>
        </r>
        <r>
          <rPr>
            <sz val="9"/>
            <color indexed="81"/>
            <rFont val="Tahoma"/>
            <family val="2"/>
          </rPr>
          <t xml:space="preserve">
fallen bottles jam</t>
        </r>
      </text>
    </comment>
    <comment ref="R77" authorId="4" shapeId="0" xr:uid="{A4810874-F99A-4255-89D2-2790001AEE87}">
      <text>
        <r>
          <rPr>
            <b/>
            <sz val="9"/>
            <color indexed="81"/>
            <rFont val="Tahoma"/>
            <family val="2"/>
          </rPr>
          <t>Micah Noel:</t>
        </r>
        <r>
          <rPr>
            <sz val="9"/>
            <color indexed="81"/>
            <rFont val="Tahoma"/>
            <family val="2"/>
          </rPr>
          <t xml:space="preserve">
bbottle stuck on conveyor</t>
        </r>
      </text>
    </comment>
    <comment ref="R80" authorId="4" shapeId="0" xr:uid="{F8B80BFF-6A43-4EF2-9669-571E161AF5C4}">
      <text>
        <r>
          <rPr>
            <b/>
            <sz val="9"/>
            <color indexed="81"/>
            <rFont val="Tahoma"/>
            <family val="2"/>
          </rPr>
          <t>Micah Noel:</t>
        </r>
        <r>
          <rPr>
            <sz val="9"/>
            <color indexed="81"/>
            <rFont val="Tahoma"/>
            <family val="2"/>
          </rPr>
          <t xml:space="preserve">
35 mins conveyor running slow (ENI working to resolve)</t>
        </r>
      </text>
    </comment>
    <comment ref="R83" authorId="4" shapeId="0" xr:uid="{09E77FAB-EBFD-48E1-B90A-F12A5FE4F49D}">
      <text>
        <r>
          <rPr>
            <b/>
            <sz val="9"/>
            <color indexed="81"/>
            <rFont val="Tahoma"/>
            <family val="2"/>
          </rPr>
          <t>Micah Noel:</t>
        </r>
        <r>
          <rPr>
            <sz val="9"/>
            <color indexed="81"/>
            <rFont val="Tahoma"/>
            <family val="2"/>
          </rPr>
          <t xml:space="preserve">
fallen bottle stuck on conveyor</t>
        </r>
      </text>
    </comment>
    <comment ref="V83" authorId="4" shapeId="0" xr:uid="{40BD9BBB-7F76-49EB-B259-48DE7A080441}">
      <text>
        <r>
          <rPr>
            <b/>
            <sz val="9"/>
            <color indexed="81"/>
            <rFont val="Tahoma"/>
            <family val="2"/>
          </rPr>
          <t>Micah Noel:</t>
        </r>
        <r>
          <rPr>
            <sz val="9"/>
            <color indexed="81"/>
            <rFont val="Tahoma"/>
            <family val="2"/>
          </rPr>
          <t xml:space="preserve">
Fallen bottle stuck on conveyor</t>
        </r>
      </text>
    </comment>
    <comment ref="F85" authorId="1" shapeId="0" xr:uid="{A4ABE088-04F3-4DBE-A467-FFCDCCC41E6A}">
      <text>
        <r>
          <rPr>
            <b/>
            <sz val="9"/>
            <color indexed="81"/>
            <rFont val="Tahoma"/>
            <family val="2"/>
          </rPr>
          <t>Kaylil Baptiste:</t>
        </r>
        <r>
          <rPr>
            <sz val="9"/>
            <color indexed="81"/>
            <rFont val="Tahoma"/>
            <family val="2"/>
          </rPr>
          <t xml:space="preserve">
5mins crate washer sensor malfunction</t>
        </r>
      </text>
    </comment>
    <comment ref="R85" authorId="4" shapeId="0" xr:uid="{2FE07D02-F9AA-40AB-8278-D392E84E9CA6}">
      <text>
        <r>
          <rPr>
            <b/>
            <sz val="9"/>
            <color indexed="81"/>
            <rFont val="Tahoma"/>
            <family val="2"/>
          </rPr>
          <t>Micah Noel:</t>
        </r>
        <r>
          <rPr>
            <sz val="9"/>
            <color indexed="81"/>
            <rFont val="Tahoma"/>
            <family val="2"/>
          </rPr>
          <t xml:space="preserve">
20mins conveyor running extremely fast causing bottles to trip at EBI starwheel</t>
        </r>
      </text>
    </comment>
    <comment ref="Y85" authorId="3" shapeId="0" xr:uid="{E32F4D1F-7265-40C7-9C0E-E3F85D6B06D5}">
      <text>
        <r>
          <rPr>
            <b/>
            <sz val="9"/>
            <color indexed="81"/>
            <rFont val="Tahoma"/>
            <family val="2"/>
          </rPr>
          <t>Michael Julien:</t>
        </r>
        <r>
          <rPr>
            <sz val="9"/>
            <color indexed="81"/>
            <rFont val="Tahoma"/>
            <family val="2"/>
          </rPr>
          <t xml:space="preserve">
conveyor trip off then was running slow while engineering worked on it.
</t>
        </r>
      </text>
    </comment>
    <comment ref="W88" authorId="4" shapeId="0" xr:uid="{9B033DCB-8375-46FE-8490-ECD314666429}">
      <text>
        <r>
          <rPr>
            <b/>
            <sz val="9"/>
            <color indexed="81"/>
            <rFont val="Tahoma"/>
            <family val="2"/>
          </rPr>
          <t>Micah Noel:</t>
        </r>
        <r>
          <rPr>
            <sz val="9"/>
            <color indexed="81"/>
            <rFont val="Tahoma"/>
            <family val="2"/>
          </rPr>
          <t xml:space="preserve">
15mins EBI discharge conveyor not running</t>
        </r>
      </text>
    </comment>
    <comment ref="AD88" authorId="4" shapeId="0" xr:uid="{FF2050FB-F9AA-4B4D-9ECA-E13753E7D335}">
      <text>
        <r>
          <rPr>
            <b/>
            <sz val="9"/>
            <color indexed="81"/>
            <rFont val="Tahoma"/>
            <family val="2"/>
          </rPr>
          <t>Micah Noel:</t>
        </r>
        <r>
          <rPr>
            <sz val="9"/>
            <color indexed="81"/>
            <rFont val="Tahoma"/>
            <family val="2"/>
          </rPr>
          <t xml:space="preserve">
Fallen bottle stuck on conveyor</t>
        </r>
      </text>
    </comment>
    <comment ref="R91" authorId="4" shapeId="0" xr:uid="{25A86BF9-4D34-4560-94C1-FA0DE415A8C7}">
      <text>
        <r>
          <rPr>
            <b/>
            <sz val="9"/>
            <color indexed="81"/>
            <rFont val="Tahoma"/>
            <family val="2"/>
          </rPr>
          <t>Micah Noel:</t>
        </r>
        <r>
          <rPr>
            <sz val="9"/>
            <color indexed="81"/>
            <rFont val="Tahoma"/>
            <family val="2"/>
          </rPr>
          <t xml:space="preserve">
conveyor malfunction caused bottle jam at starwheel</t>
        </r>
      </text>
    </comment>
    <comment ref="R96" authorId="4" shapeId="0" xr:uid="{7FC2CB1D-B07B-4A96-8336-58ACA0852A83}">
      <text>
        <r>
          <rPr>
            <b/>
            <sz val="9"/>
            <color indexed="81"/>
            <rFont val="Tahoma"/>
            <family val="2"/>
          </rPr>
          <t>Micah Noel:</t>
        </r>
        <r>
          <rPr>
            <sz val="9"/>
            <color indexed="81"/>
            <rFont val="Tahoma"/>
            <family val="2"/>
          </rPr>
          <t xml:space="preserve">
infeed conveyor is not stopping when emergency button is pressed while 
discharge #2 is taking longer to rest than is normal (ENI called in to rectify)</t>
        </r>
      </text>
    </comment>
    <comment ref="X96" authorId="2" shapeId="0" xr:uid="{948A7856-C7F6-45A5-8788-83774CB8FCC6}">
      <text>
        <r>
          <rPr>
            <b/>
            <sz val="9"/>
            <color indexed="81"/>
            <rFont val="Tahoma"/>
            <family val="2"/>
          </rPr>
          <t>Dorien Andrew:</t>
        </r>
        <r>
          <rPr>
            <sz val="9"/>
            <color indexed="81"/>
            <rFont val="Tahoma"/>
            <family val="2"/>
          </rPr>
          <t xml:space="preserve">
conveyor not coming on </t>
        </r>
      </text>
    </comment>
    <comment ref="AH98" authorId="4" shapeId="0" xr:uid="{9984239F-F7C0-4E4B-928C-F563B30A96A9}">
      <text>
        <r>
          <rPr>
            <b/>
            <sz val="9"/>
            <color indexed="81"/>
            <rFont val="Tahoma"/>
            <family val="2"/>
          </rPr>
          <t>Micah Noel:</t>
        </r>
        <r>
          <rPr>
            <sz val="9"/>
            <color indexed="81"/>
            <rFont val="Tahoma"/>
            <family val="2"/>
          </rPr>
          <t xml:space="preserve">
Conveyor repairs (stuttering)</t>
        </r>
      </text>
    </comment>
    <comment ref="R99" authorId="4" shapeId="0" xr:uid="{D162CD71-ED66-4F34-8E76-AF28E050C9E5}">
      <text>
        <r>
          <rPr>
            <b/>
            <sz val="9"/>
            <color indexed="81"/>
            <rFont val="Tahoma"/>
            <family val="2"/>
          </rPr>
          <t>Micah Noel:</t>
        </r>
        <r>
          <rPr>
            <sz val="9"/>
            <color indexed="81"/>
            <rFont val="Tahoma"/>
            <family val="2"/>
          </rPr>
          <t xml:space="preserve">
conveyors not running</t>
        </r>
      </text>
    </comment>
    <comment ref="V99" authorId="4" shapeId="0" xr:uid="{1BFCD880-6BFE-476F-BA2F-694B4BF8525B}">
      <text>
        <r>
          <rPr>
            <b/>
            <sz val="9"/>
            <color indexed="81"/>
            <rFont val="Tahoma"/>
            <family val="2"/>
          </rPr>
          <t>Micah Noel:</t>
        </r>
        <r>
          <rPr>
            <sz val="9"/>
            <color indexed="81"/>
            <rFont val="Tahoma"/>
            <family val="2"/>
          </rPr>
          <t xml:space="preserve">
conveyors running faster than normal is causing bottle jam at discharge</t>
        </r>
      </text>
    </comment>
    <comment ref="AC99" authorId="2" shapeId="0" xr:uid="{A86374BF-BD2E-4753-BB7B-78F2C893B954}">
      <text>
        <r>
          <rPr>
            <b/>
            <sz val="9"/>
            <color indexed="81"/>
            <rFont val="Tahoma"/>
            <family val="2"/>
          </rPr>
          <t>Dorien Andrew:</t>
        </r>
        <r>
          <rPr>
            <sz val="9"/>
            <color indexed="81"/>
            <rFont val="Tahoma"/>
            <family val="2"/>
          </rPr>
          <t xml:space="preserve">
85 mins lost in total for the infeed line to the pasteuriser (came out of track)</t>
        </r>
      </text>
    </comment>
    <comment ref="R100" authorId="4" shapeId="0" xr:uid="{F67C92D2-4F9E-45AA-A47B-266088220E35}">
      <text>
        <r>
          <rPr>
            <b/>
            <sz val="9"/>
            <color indexed="81"/>
            <rFont val="Tahoma"/>
            <family val="2"/>
          </rPr>
          <t>Micah Noel:</t>
        </r>
        <r>
          <rPr>
            <sz val="9"/>
            <color indexed="81"/>
            <rFont val="Tahoma"/>
            <family val="2"/>
          </rPr>
          <t xml:space="preserve">
20mins adjustment to EBI conveyors </t>
        </r>
      </text>
    </comment>
    <comment ref="T100" authorId="4" shapeId="0" xr:uid="{442D27AF-129E-4BEF-8948-96BB328A012B}">
      <text>
        <r>
          <rPr>
            <b/>
            <sz val="9"/>
            <color indexed="81"/>
            <rFont val="Tahoma"/>
            <family val="2"/>
          </rPr>
          <t>Micah Noel:</t>
        </r>
        <r>
          <rPr>
            <sz val="9"/>
            <color indexed="81"/>
            <rFont val="Tahoma"/>
            <family val="2"/>
          </rPr>
          <t xml:space="preserve">
conveyor running slow</t>
        </r>
      </text>
    </comment>
    <comment ref="W104" authorId="4" shapeId="0" xr:uid="{9F66726C-1B87-45C7-BFE6-5A84E9F04E13}">
      <text>
        <r>
          <rPr>
            <b/>
            <sz val="9"/>
            <color indexed="81"/>
            <rFont val="Tahoma"/>
            <family val="2"/>
          </rPr>
          <t>Micah Noel:</t>
        </r>
        <r>
          <rPr>
            <sz val="9"/>
            <color indexed="81"/>
            <rFont val="Tahoma"/>
            <family val="2"/>
          </rPr>
          <t xml:space="preserve">
fallen bottle on conveyor</t>
        </r>
      </text>
    </comment>
    <comment ref="W106" authorId="4" shapeId="0" xr:uid="{15C820D7-9243-4FC7-A943-01D12298F89E}">
      <text>
        <r>
          <rPr>
            <b/>
            <sz val="9"/>
            <color indexed="81"/>
            <rFont val="Tahoma"/>
            <family val="2"/>
          </rPr>
          <t>Micah Noel:</t>
        </r>
        <r>
          <rPr>
            <sz val="9"/>
            <color indexed="81"/>
            <rFont val="Tahoma"/>
            <family val="2"/>
          </rPr>
          <t xml:space="preserve">
fallen bottles on conveyor</t>
        </r>
      </text>
    </comment>
    <comment ref="W126" authorId="4" shapeId="0" xr:uid="{42FDBFB4-1FE5-49E6-9AC1-D3D2C5B162BF}">
      <text>
        <r>
          <rPr>
            <b/>
            <sz val="9"/>
            <color indexed="81"/>
            <rFont val="Tahoma"/>
            <family val="2"/>
          </rPr>
          <t>Micah Noel:</t>
        </r>
        <r>
          <rPr>
            <sz val="9"/>
            <color indexed="81"/>
            <rFont val="Tahoma"/>
            <family val="2"/>
          </rPr>
          <t xml:space="preserve">
fallen bottles stuck on conveyor</t>
        </r>
      </text>
    </comment>
    <comment ref="AC126" authorId="4" shapeId="0" xr:uid="{D3EA7047-8C94-48D9-96AB-04379CF32125}">
      <text>
        <r>
          <rPr>
            <b/>
            <sz val="9"/>
            <color indexed="81"/>
            <rFont val="Tahoma"/>
            <family val="2"/>
          </rPr>
          <t>Micah Noel:</t>
        </r>
        <r>
          <rPr>
            <sz val="9"/>
            <color indexed="81"/>
            <rFont val="Tahoma"/>
            <family val="2"/>
          </rPr>
          <t xml:space="preserve">
bottles stuck on conveyor</t>
        </r>
      </text>
    </comment>
    <comment ref="M128" authorId="2" shapeId="0" xr:uid="{D32ABEAD-8CED-4D0E-8559-EFF59CE0BA72}">
      <text>
        <r>
          <rPr>
            <b/>
            <sz val="9"/>
            <color indexed="81"/>
            <rFont val="Tahoma"/>
            <family val="2"/>
          </rPr>
          <t>Dorien Andrew:</t>
        </r>
        <r>
          <rPr>
            <sz val="9"/>
            <color indexed="81"/>
            <rFont val="Tahoma"/>
            <family val="2"/>
          </rPr>
          <t xml:space="preserve">
stop to repair conveyer </t>
        </r>
      </text>
    </comment>
    <comment ref="X128" authorId="5" shapeId="0" xr:uid="{37CB9639-1863-4DAF-914F-D74AA92918EB}">
      <text>
        <r>
          <rPr>
            <b/>
            <sz val="9"/>
            <color indexed="81"/>
            <rFont val="Tahoma"/>
            <family val="2"/>
          </rPr>
          <t>Tyrell Bartholomew:</t>
        </r>
        <r>
          <rPr>
            <sz val="9"/>
            <color indexed="81"/>
            <rFont val="Tahoma"/>
            <family val="2"/>
          </rPr>
          <t xml:space="preserve">
6mins unresponsive discharge conveyor.</t>
        </r>
      </text>
    </comment>
    <comment ref="AC128" authorId="5" shapeId="0" xr:uid="{565C1D91-C414-4BE7-A19E-E16A69BDCBE1}">
      <text>
        <r>
          <rPr>
            <b/>
            <sz val="9"/>
            <color indexed="81"/>
            <rFont val="Tahoma"/>
            <family val="2"/>
          </rPr>
          <t>Tyrell Bartholomew:</t>
        </r>
        <r>
          <rPr>
            <sz val="9"/>
            <color indexed="81"/>
            <rFont val="Tahoma"/>
            <family val="2"/>
          </rPr>
          <t xml:space="preserve">
62mins conductiing repairs to derailed pasteurizer infeed conveyor.</t>
        </r>
      </text>
    </comment>
    <comment ref="AC131" authorId="4" shapeId="0" xr:uid="{ED84F616-E2B9-467C-92E5-C56DA2FE4229}">
      <text>
        <r>
          <rPr>
            <b/>
            <sz val="9"/>
            <color indexed="81"/>
            <rFont val="Tahoma"/>
            <family val="2"/>
          </rPr>
          <t>Micah Noel:</t>
        </r>
        <r>
          <rPr>
            <sz val="9"/>
            <color indexed="81"/>
            <rFont val="Tahoma"/>
            <family val="2"/>
          </rPr>
          <t xml:space="preserve">
derailed conveyor</t>
        </r>
      </text>
    </comment>
    <comment ref="V132" authorId="1" shapeId="0" xr:uid="{16FAE517-C3D5-47BD-8E37-5356C128E7C9}">
      <text>
        <r>
          <rPr>
            <b/>
            <sz val="9"/>
            <color indexed="81"/>
            <rFont val="Tahoma"/>
            <family val="2"/>
          </rPr>
          <t>Kaylil Baptiste:</t>
        </r>
        <r>
          <rPr>
            <sz val="9"/>
            <color indexed="81"/>
            <rFont val="Tahoma"/>
            <family val="2"/>
          </rPr>
          <t xml:space="preserve">
CUT OFF</t>
        </r>
      </text>
    </comment>
    <comment ref="AD141" authorId="4" shapeId="0" xr:uid="{B3622036-54E2-41E0-BD50-5EA1389C09A9}">
      <text>
        <r>
          <rPr>
            <b/>
            <sz val="9"/>
            <color indexed="81"/>
            <rFont val="Tahoma"/>
            <family val="2"/>
          </rPr>
          <t>Micah Noel:</t>
        </r>
        <r>
          <rPr>
            <sz val="9"/>
            <color indexed="81"/>
            <rFont val="Tahoma"/>
            <family val="2"/>
          </rPr>
          <t xml:space="preserve">
Bottles falling / jamming on line</t>
        </r>
      </text>
    </comment>
    <comment ref="H143" authorId="4" shapeId="0" xr:uid="{0FB3EE80-4357-40FE-8AEB-091B4BC09896}">
      <text>
        <r>
          <rPr>
            <b/>
            <sz val="9"/>
            <color indexed="81"/>
            <rFont val="Tahoma"/>
            <family val="2"/>
          </rPr>
          <t>Micah Noel:</t>
        </r>
        <r>
          <rPr>
            <sz val="9"/>
            <color indexed="81"/>
            <rFont val="Tahoma"/>
            <family val="2"/>
          </rPr>
          <t xml:space="preserve">
conveyor derailed</t>
        </r>
      </text>
    </comment>
    <comment ref="V145" authorId="1" shapeId="0" xr:uid="{BEDC0B44-F982-4F35-AE47-824B6C6616E1}">
      <text>
        <r>
          <rPr>
            <b/>
            <sz val="9"/>
            <color indexed="81"/>
            <rFont val="Tahoma"/>
            <family val="2"/>
          </rPr>
          <t>Kaylil Baptiste:</t>
        </r>
        <r>
          <rPr>
            <sz val="9"/>
            <color indexed="81"/>
            <rFont val="Tahoma"/>
            <family val="2"/>
          </rPr>
          <t xml:space="preserve">
not coming on</t>
        </r>
      </text>
    </comment>
    <comment ref="G148" authorId="4" shapeId="0" xr:uid="{338CE7AA-D152-48E0-9EB6-7FE9D5C75AE0}">
      <text>
        <r>
          <rPr>
            <b/>
            <sz val="9"/>
            <color indexed="81"/>
            <rFont val="Tahoma"/>
            <family val="2"/>
          </rPr>
          <t>Micah Noel:</t>
        </r>
        <r>
          <rPr>
            <sz val="9"/>
            <color indexed="81"/>
            <rFont val="Tahoma"/>
            <family val="2"/>
          </rPr>
          <t xml:space="preserve">
all crate rinser conveyors cut off</t>
        </r>
      </text>
    </comment>
    <comment ref="R150" authorId="4" shapeId="0" xr:uid="{2632B506-B19F-4F35-A54A-F40F8F39C01B}">
      <text>
        <r>
          <rPr>
            <b/>
            <sz val="9"/>
            <color indexed="81"/>
            <rFont val="Tahoma"/>
            <family val="2"/>
          </rPr>
          <t>Micah Noel:</t>
        </r>
        <r>
          <rPr>
            <sz val="9"/>
            <color indexed="81"/>
            <rFont val="Tahoma"/>
            <family val="2"/>
          </rPr>
          <t xml:space="preserve">
fallen bottle on conveyor</t>
        </r>
      </text>
    </comment>
    <comment ref="AD151" authorId="4" shapeId="0" xr:uid="{8205837B-B18E-4DF2-BB00-5197792C7588}">
      <text>
        <r>
          <rPr>
            <b/>
            <sz val="9"/>
            <color indexed="81"/>
            <rFont val="Tahoma"/>
            <family val="2"/>
          </rPr>
          <t>Micah Noel:</t>
        </r>
        <r>
          <rPr>
            <sz val="9"/>
            <color indexed="81"/>
            <rFont val="Tahoma"/>
            <family val="2"/>
          </rPr>
          <t xml:space="preserve">
fallen bottles stuck on conveyor</t>
        </r>
      </text>
    </comment>
    <comment ref="AU152" authorId="1" shapeId="0" xr:uid="{5D4461B0-2106-4743-BF29-2A7506BE6D28}">
      <text>
        <r>
          <rPr>
            <b/>
            <sz val="9"/>
            <color indexed="81"/>
            <rFont val="Tahoma"/>
            <family val="2"/>
          </rPr>
          <t>Kaylil Baptiste:</t>
        </r>
        <r>
          <rPr>
            <sz val="9"/>
            <color indexed="81"/>
            <rFont val="Tahoma"/>
            <family val="2"/>
          </rPr>
          <t xml:space="preserve">
malfunction at packer discharge #2</t>
        </r>
      </text>
    </comment>
    <comment ref="AD153" authorId="4" shapeId="0" xr:uid="{BCAEB51A-FC7B-46CA-A95B-33E0E2254AE2}">
      <text>
        <r>
          <rPr>
            <b/>
            <sz val="9"/>
            <color indexed="81"/>
            <rFont val="Tahoma"/>
            <family val="2"/>
          </rPr>
          <t>Micah Noel:</t>
        </r>
        <r>
          <rPr>
            <sz val="9"/>
            <color indexed="81"/>
            <rFont val="Tahoma"/>
            <family val="2"/>
          </rPr>
          <t xml:space="preserve">
fallen bottles stuck on conveyor</t>
        </r>
      </text>
    </comment>
    <comment ref="AD154" authorId="4" shapeId="0" xr:uid="{FAF1A902-220F-493F-AA76-F910D5518AE1}">
      <text>
        <r>
          <rPr>
            <b/>
            <sz val="9"/>
            <color indexed="81"/>
            <rFont val="Tahoma"/>
            <family val="2"/>
          </rPr>
          <t>Micah Noel:</t>
        </r>
        <r>
          <rPr>
            <sz val="9"/>
            <color indexed="81"/>
            <rFont val="Tahoma"/>
            <family val="2"/>
          </rPr>
          <t xml:space="preserve">
fallen bottles stuck on conveyor</t>
        </r>
      </text>
    </comment>
    <comment ref="R157" authorId="4" shapeId="0" xr:uid="{2A92C76C-B0BE-49F1-A2A7-D756439DD277}">
      <text>
        <r>
          <rPr>
            <b/>
            <sz val="9"/>
            <color indexed="81"/>
            <rFont val="Tahoma"/>
            <family val="2"/>
          </rPr>
          <t>Micah Noel:</t>
        </r>
        <r>
          <rPr>
            <sz val="9"/>
            <color indexed="81"/>
            <rFont val="Tahoma"/>
            <family val="2"/>
          </rPr>
          <t xml:space="preserve">
unresponsive conveyors</t>
        </r>
      </text>
    </comment>
    <comment ref="AD157" authorId="4" shapeId="0" xr:uid="{78270199-5B9D-496E-95AE-A1DCB0BBBD9D}">
      <text>
        <r>
          <rPr>
            <b/>
            <sz val="9"/>
            <color indexed="81"/>
            <rFont val="Tahoma"/>
            <family val="2"/>
          </rPr>
          <t>Micah Noel:</t>
        </r>
        <r>
          <rPr>
            <sz val="9"/>
            <color indexed="81"/>
            <rFont val="Tahoma"/>
            <family val="2"/>
          </rPr>
          <t xml:space="preserve">
fallen bottles stuck on conveyor</t>
        </r>
      </text>
    </comment>
    <comment ref="V161" authorId="1" shapeId="0" xr:uid="{2B498F27-3ECF-4F33-ADDF-5B7D8CCEF364}">
      <text>
        <r>
          <rPr>
            <b/>
            <sz val="9"/>
            <color indexed="81"/>
            <rFont val="Tahoma"/>
            <family val="2"/>
          </rPr>
          <t>Kaylil Baptiste:</t>
        </r>
        <r>
          <rPr>
            <sz val="9"/>
            <color indexed="81"/>
            <rFont val="Tahoma"/>
            <family val="2"/>
          </rPr>
          <t xml:space="preserve">
conveyor rail came out </t>
        </r>
      </text>
    </comment>
    <comment ref="R169" authorId="4" shapeId="0" xr:uid="{ECA069D4-E7EC-46ED-96CD-0075A06B29AF}">
      <text>
        <r>
          <rPr>
            <b/>
            <sz val="9"/>
            <color indexed="81"/>
            <rFont val="Tahoma"/>
            <family val="2"/>
          </rPr>
          <t>Micah Noel:</t>
        </r>
        <r>
          <rPr>
            <sz val="9"/>
            <color indexed="81"/>
            <rFont val="Tahoma"/>
            <family val="2"/>
          </rPr>
          <t xml:space="preserve">
fallen bottle stuck on conveyor</t>
        </r>
      </text>
    </comment>
    <comment ref="AD169" authorId="4" shapeId="0" xr:uid="{A8C25364-7BE4-445F-BB5D-50E3C0DBED86}">
      <text>
        <r>
          <rPr>
            <b/>
            <sz val="9"/>
            <color indexed="81"/>
            <rFont val="Tahoma"/>
            <family val="2"/>
          </rPr>
          <t>Micah Noel:</t>
        </r>
        <r>
          <rPr>
            <sz val="9"/>
            <color indexed="81"/>
            <rFont val="Tahoma"/>
            <family val="2"/>
          </rPr>
          <t xml:space="preserve">
fallen bottle on conveyor
</t>
        </r>
      </text>
    </comment>
    <comment ref="AJ169" authorId="4" shapeId="0" xr:uid="{8A8876F4-3DBA-4DFE-8134-042C0E4973A0}">
      <text>
        <r>
          <rPr>
            <b/>
            <sz val="9"/>
            <color indexed="81"/>
            <rFont val="Tahoma"/>
            <family val="2"/>
          </rPr>
          <t>Micah Noel:</t>
        </r>
        <r>
          <rPr>
            <sz val="9"/>
            <color indexed="81"/>
            <rFont val="Tahoma"/>
            <family val="2"/>
          </rPr>
          <t xml:space="preserve">
proximity sensor malfunction</t>
        </r>
      </text>
    </comment>
    <comment ref="AD172" authorId="4" shapeId="0" xr:uid="{6C2C981A-D221-40CD-A0D1-E188E1A82604}">
      <text>
        <r>
          <rPr>
            <b/>
            <sz val="9"/>
            <color indexed="81"/>
            <rFont val="Tahoma"/>
            <family val="2"/>
          </rPr>
          <t>Micah Noel:</t>
        </r>
        <r>
          <rPr>
            <sz val="9"/>
            <color indexed="81"/>
            <rFont val="Tahoma"/>
            <family val="2"/>
          </rPr>
          <t xml:space="preserve">
clearing conveyors of all Flint bottles</t>
        </r>
      </text>
    </comment>
    <comment ref="T187" authorId="1" shapeId="0" xr:uid="{D3599809-47AA-4DEC-87DD-1FA90C83AFA1}">
      <text>
        <r>
          <rPr>
            <b/>
            <sz val="9"/>
            <color indexed="81"/>
            <rFont val="Tahoma"/>
            <family val="2"/>
          </rPr>
          <t>Kaylil Baptiste:</t>
        </r>
        <r>
          <rPr>
            <sz val="9"/>
            <color indexed="81"/>
            <rFont val="Tahoma"/>
            <family val="2"/>
          </rPr>
          <t xml:space="preserve">
bottles jamming</t>
        </r>
      </text>
    </comment>
    <comment ref="AI197" authorId="4" shapeId="0" xr:uid="{E6993035-DBBD-418F-8DE9-E5BDEBD32CAB}">
      <text>
        <r>
          <rPr>
            <b/>
            <sz val="9"/>
            <color indexed="81"/>
            <rFont val="Tahoma"/>
            <family val="2"/>
          </rPr>
          <t>Micah Noel:</t>
        </r>
        <r>
          <rPr>
            <sz val="9"/>
            <color indexed="81"/>
            <rFont val="Tahoma"/>
            <family val="2"/>
          </rPr>
          <t xml:space="preserve">
line proximity sensor malfunction</t>
        </r>
      </text>
    </comment>
    <comment ref="O198" authorId="4" shapeId="0" xr:uid="{00AB420A-008E-4402-9FAB-DB2E0513161A}">
      <text>
        <r>
          <rPr>
            <b/>
            <sz val="9"/>
            <color indexed="81"/>
            <rFont val="Tahoma"/>
            <family val="2"/>
          </rPr>
          <t>Micah Noel:</t>
        </r>
        <r>
          <rPr>
            <sz val="9"/>
            <color indexed="81"/>
            <rFont val="Tahoma"/>
            <family val="2"/>
          </rPr>
          <t xml:space="preserve">
Fallen bottle stuck on conveyor</t>
        </r>
      </text>
    </comment>
    <comment ref="R198" authorId="1" shapeId="0" xr:uid="{7ABF3720-6450-4F72-B2A3-DC48D7104905}">
      <text>
        <r>
          <rPr>
            <b/>
            <sz val="9"/>
            <color indexed="81"/>
            <rFont val="Tahoma"/>
            <family val="2"/>
          </rPr>
          <t>Kaylil Baptiste:</t>
        </r>
        <r>
          <rPr>
            <sz val="9"/>
            <color indexed="81"/>
            <rFont val="Tahoma"/>
            <family val="2"/>
          </rPr>
          <t xml:space="preserve">
bottles sticking </t>
        </r>
      </text>
    </comment>
    <comment ref="X199" authorId="1" shapeId="0" xr:uid="{CAA81CB7-2E7F-4644-94E2-8F7C622ED531}">
      <text>
        <r>
          <rPr>
            <b/>
            <sz val="9"/>
            <color indexed="81"/>
            <rFont val="Tahoma"/>
            <family val="2"/>
          </rPr>
          <t>Kaylil Baptiste:</t>
        </r>
        <r>
          <rPr>
            <sz val="9"/>
            <color indexed="81"/>
            <rFont val="Tahoma"/>
            <family val="2"/>
          </rPr>
          <t xml:space="preserve">
conveyor cut off </t>
        </r>
      </text>
    </comment>
    <comment ref="R200" authorId="4" shapeId="0" xr:uid="{6C06A732-FDAC-4A8B-A08C-53F9115A1690}">
      <text>
        <r>
          <rPr>
            <b/>
            <sz val="9"/>
            <color indexed="81"/>
            <rFont val="Tahoma"/>
            <family val="2"/>
          </rPr>
          <t>Micah Noel:</t>
        </r>
        <r>
          <rPr>
            <sz val="9"/>
            <color indexed="81"/>
            <rFont val="Tahoma"/>
            <family val="2"/>
          </rPr>
          <t xml:space="preserve">
fallen bottle stuck on conveyor</t>
        </r>
      </text>
    </comment>
    <comment ref="AF200" authorId="4" shapeId="0" xr:uid="{5D9893C9-8A30-413C-8074-590E093FC902}">
      <text>
        <r>
          <rPr>
            <b/>
            <sz val="9"/>
            <color indexed="81"/>
            <rFont val="Tahoma"/>
            <family val="2"/>
          </rPr>
          <t>Micah Noel:</t>
        </r>
        <r>
          <rPr>
            <sz val="9"/>
            <color indexed="81"/>
            <rFont val="Tahoma"/>
            <family val="2"/>
          </rPr>
          <t xml:space="preserve">
fallen bottles jammed on conveyor</t>
        </r>
      </text>
    </comment>
    <comment ref="O205" authorId="4" shapeId="0" xr:uid="{4D6F4434-DC79-4BC1-8324-93D1AD37C6E9}">
      <text>
        <r>
          <rPr>
            <b/>
            <sz val="9"/>
            <color indexed="81"/>
            <rFont val="Tahoma"/>
            <family val="2"/>
          </rPr>
          <t>Micah Noel:</t>
        </r>
        <r>
          <rPr>
            <sz val="9"/>
            <color indexed="81"/>
            <rFont val="Tahoma"/>
            <family val="2"/>
          </rPr>
          <t xml:space="preserve">
Bottles falling / sticking on conveyor</t>
        </r>
      </text>
    </comment>
    <comment ref="R207" authorId="4" shapeId="0" xr:uid="{37346C4C-692B-4A47-B2E4-B84D47C1CAFD}">
      <text>
        <r>
          <rPr>
            <b/>
            <sz val="9"/>
            <color indexed="81"/>
            <rFont val="Tahoma"/>
            <family val="2"/>
          </rPr>
          <t>Micah Noel:</t>
        </r>
        <r>
          <rPr>
            <sz val="9"/>
            <color indexed="81"/>
            <rFont val="Tahoma"/>
            <family val="2"/>
          </rPr>
          <t xml:space="preserve">
fallen bottles stuck on conveyor</t>
        </r>
      </text>
    </comment>
    <comment ref="AD207" authorId="4" shapeId="0" xr:uid="{9C40F203-DDD7-49E3-9F60-0C4CF9867BCF}">
      <text>
        <r>
          <rPr>
            <b/>
            <sz val="9"/>
            <color indexed="81"/>
            <rFont val="Tahoma"/>
            <family val="2"/>
          </rPr>
          <t>Micah Noel:</t>
        </r>
        <r>
          <rPr>
            <sz val="9"/>
            <color indexed="81"/>
            <rFont val="Tahoma"/>
            <family val="2"/>
          </rPr>
          <t xml:space="preserve">
PU monitor stuck on line caused bottles to back up</t>
        </r>
      </text>
    </comment>
    <comment ref="AE207" authorId="4" shapeId="0" xr:uid="{DE509160-0C49-4481-B429-2FAB441B8984}">
      <text>
        <r>
          <rPr>
            <b/>
            <sz val="9"/>
            <color indexed="81"/>
            <rFont val="Tahoma"/>
            <family val="2"/>
          </rPr>
          <t>Micah Noel:</t>
        </r>
        <r>
          <rPr>
            <sz val="9"/>
            <color indexed="81"/>
            <rFont val="Tahoma"/>
            <family val="2"/>
          </rPr>
          <t xml:space="preserve">
fallen bottle jammed on conveyor</t>
        </r>
      </text>
    </comment>
    <comment ref="O209" authorId="4" shapeId="0" xr:uid="{EA91FD14-512F-4F27-8F28-46FB03EEE05A}">
      <text>
        <r>
          <rPr>
            <b/>
            <sz val="9"/>
            <color indexed="81"/>
            <rFont val="Tahoma"/>
            <family val="2"/>
          </rPr>
          <t>Micah Noel:</t>
        </r>
        <r>
          <rPr>
            <sz val="9"/>
            <color indexed="81"/>
            <rFont val="Tahoma"/>
            <family val="2"/>
          </rPr>
          <t xml:space="preserve">
botles stuck on conveyor</t>
        </r>
      </text>
    </comment>
    <comment ref="AD209" authorId="4" shapeId="0" xr:uid="{0792679E-CE67-4ECA-9350-227A9202AD86}">
      <text>
        <r>
          <rPr>
            <b/>
            <sz val="9"/>
            <color indexed="81"/>
            <rFont val="Tahoma"/>
            <family val="2"/>
          </rPr>
          <t>Micah Noel:</t>
        </r>
        <r>
          <rPr>
            <sz val="9"/>
            <color indexed="81"/>
            <rFont val="Tahoma"/>
            <family val="2"/>
          </rPr>
          <t xml:space="preserve">
Fallen bottle jammed on conveyor</t>
        </r>
      </text>
    </comment>
    <comment ref="AG215" authorId="2" shapeId="0" xr:uid="{FB0E6B68-6250-4B33-9B32-2DDD9CBB04D1}">
      <text>
        <r>
          <rPr>
            <b/>
            <sz val="9"/>
            <color indexed="81"/>
            <rFont val="Tahoma"/>
            <family val="2"/>
          </rPr>
          <t xml:space="preserve">Dorien Andrew: 
</t>
        </r>
        <r>
          <rPr>
            <sz val="9"/>
            <color indexed="81"/>
            <rFont val="Tahoma"/>
            <family val="2"/>
          </rPr>
          <t xml:space="preserve">chain slipping causing bottles to dekay coming to labeller </t>
        </r>
      </text>
    </comment>
    <comment ref="AC217" authorId="4" shapeId="0" xr:uid="{6E9A8874-DFBE-4304-B800-86642BAE38A1}">
      <text>
        <r>
          <rPr>
            <b/>
            <sz val="9"/>
            <color indexed="81"/>
            <rFont val="Tahoma"/>
            <family val="2"/>
          </rPr>
          <t>Micah Noel:</t>
        </r>
        <r>
          <rPr>
            <sz val="9"/>
            <color indexed="81"/>
            <rFont val="Tahoma"/>
            <family val="2"/>
          </rPr>
          <t xml:space="preserve">
bottles stuck on conveyor</t>
        </r>
      </text>
    </comment>
    <comment ref="AD217" authorId="4" shapeId="0" xr:uid="{E52AD886-7A7A-490F-9067-D42F6BADBFFA}">
      <text>
        <r>
          <rPr>
            <b/>
            <sz val="9"/>
            <color indexed="81"/>
            <rFont val="Tahoma"/>
            <family val="2"/>
          </rPr>
          <t>Micah Noel:</t>
        </r>
        <r>
          <rPr>
            <sz val="9"/>
            <color indexed="81"/>
            <rFont val="Tahoma"/>
            <family val="2"/>
          </rPr>
          <t xml:space="preserve">
fallen/ stuck bottles on pasteurizer discharge </t>
        </r>
      </text>
    </comment>
    <comment ref="AF217" authorId="4" shapeId="0" xr:uid="{88874EC2-2585-4B40-9D1D-50A731E11749}">
      <text>
        <r>
          <rPr>
            <b/>
            <sz val="9"/>
            <color indexed="81"/>
            <rFont val="Tahoma"/>
            <family val="2"/>
          </rPr>
          <t>Micah Noel:</t>
        </r>
        <r>
          <rPr>
            <sz val="9"/>
            <color indexed="81"/>
            <rFont val="Tahoma"/>
            <family val="2"/>
          </rPr>
          <t xml:space="preserve">
16mins problem with sprocket caused frequent bottle jam 86 mins making preparations to repair damages on conveyor 24 mins doing repairs to conveyor</t>
        </r>
      </text>
    </comment>
    <comment ref="AC219" authorId="3" shapeId="0" xr:uid="{7D71103B-7901-4A83-A9F6-3878C154CCB3}">
      <text>
        <r>
          <rPr>
            <b/>
            <sz val="9"/>
            <color indexed="81"/>
            <rFont val="Tahoma"/>
            <family val="2"/>
          </rPr>
          <t>Michael Julien:</t>
        </r>
        <r>
          <rPr>
            <sz val="9"/>
            <color indexed="81"/>
            <rFont val="Tahoma"/>
            <family val="2"/>
          </rPr>
          <t xml:space="preserve">
Damage key way on gearbox</t>
        </r>
      </text>
    </comment>
    <comment ref="D220" authorId="4" shapeId="0" xr:uid="{E33A8CDD-20C9-4764-BB7F-5EB72BBD2036}">
      <text>
        <r>
          <rPr>
            <b/>
            <sz val="9"/>
            <color indexed="81"/>
            <rFont val="Tahoma"/>
            <family val="2"/>
          </rPr>
          <t>Micah Noel:</t>
        </r>
        <r>
          <rPr>
            <sz val="9"/>
            <color indexed="81"/>
            <rFont val="Tahoma"/>
            <family val="2"/>
          </rPr>
          <t xml:space="preserve">
removing pallets with crates</t>
        </r>
      </text>
    </comment>
    <comment ref="AC220" authorId="1" shapeId="0" xr:uid="{30C0CC9E-C9B6-4114-BD8E-88407B74AA15}">
      <text>
        <r>
          <rPr>
            <b/>
            <sz val="9"/>
            <color indexed="81"/>
            <rFont val="Tahoma"/>
            <family val="2"/>
          </rPr>
          <t>Kaylil Baptiste:</t>
        </r>
        <r>
          <rPr>
            <sz val="9"/>
            <color indexed="81"/>
            <rFont val="Tahoma"/>
            <family val="2"/>
          </rPr>
          <t xml:space="preserve">
conveyor down </t>
        </r>
      </text>
    </comment>
    <comment ref="AE220" authorId="1" shapeId="0" xr:uid="{39DE214B-99D1-44B5-9B2C-C40AF1BF8576}">
      <text>
        <r>
          <rPr>
            <b/>
            <sz val="9"/>
            <color indexed="81"/>
            <rFont val="Tahoma"/>
            <family val="2"/>
          </rPr>
          <t>Kaylil Baptiste:</t>
        </r>
        <r>
          <rPr>
            <sz val="9"/>
            <color indexed="81"/>
            <rFont val="Tahoma"/>
            <family val="2"/>
          </rPr>
          <t xml:space="preserve">
5mins to pick up fallen bottles at pasteurizer discharge 2</t>
        </r>
      </text>
    </comment>
    <comment ref="R222" authorId="1" shapeId="0" xr:uid="{E20A801D-FD4F-49DE-A860-3646CC0F846E}">
      <text>
        <r>
          <rPr>
            <b/>
            <sz val="9"/>
            <color indexed="81"/>
            <rFont val="Tahoma"/>
            <family val="2"/>
          </rPr>
          <t>Kaylil Baptiste:</t>
        </r>
        <r>
          <rPr>
            <sz val="9"/>
            <color indexed="81"/>
            <rFont val="Tahoma"/>
            <family val="2"/>
          </rPr>
          <t xml:space="preserve">
conveyor was off</t>
        </r>
      </text>
    </comment>
    <comment ref="AC222" authorId="1" shapeId="0" xr:uid="{BB1FE014-CBD8-43EC-9CD1-47CCABFF1FBF}">
      <text>
        <r>
          <rPr>
            <b/>
            <sz val="9"/>
            <color indexed="81"/>
            <rFont val="Tahoma"/>
            <family val="2"/>
          </rPr>
          <t>Kaylil Baptiste:</t>
        </r>
        <r>
          <rPr>
            <sz val="9"/>
            <color indexed="81"/>
            <rFont val="Tahoma"/>
            <family val="2"/>
          </rPr>
          <t xml:space="preserve">
maintenance working on conveyor </t>
        </r>
      </text>
    </comment>
    <comment ref="AG222" authorId="3" shapeId="0" xr:uid="{F3759388-2B3F-4FFC-894E-2A573E6E1D07}">
      <text>
        <r>
          <rPr>
            <b/>
            <sz val="9"/>
            <color indexed="81"/>
            <rFont val="Tahoma"/>
            <family val="2"/>
          </rPr>
          <t>Michael Julien:</t>
        </r>
        <r>
          <rPr>
            <sz val="9"/>
            <color indexed="81"/>
            <rFont val="Tahoma"/>
            <family val="2"/>
          </rPr>
          <t xml:space="preserve">
fallen bottle jam line</t>
        </r>
      </text>
    </comment>
    <comment ref="AF224" authorId="1" shapeId="0" xr:uid="{0973F6B5-46F1-490B-84AE-577241448BFE}">
      <text>
        <r>
          <rPr>
            <b/>
            <sz val="9"/>
            <color indexed="81"/>
            <rFont val="Tahoma"/>
            <family val="2"/>
          </rPr>
          <t>Kaylil Baptiste:</t>
        </r>
        <r>
          <rPr>
            <sz val="9"/>
            <color indexed="81"/>
            <rFont val="Tahoma"/>
            <family val="2"/>
          </rPr>
          <t xml:space="preserve">
chain jump out</t>
        </r>
      </text>
    </comment>
    <comment ref="W225" authorId="4" shapeId="0" xr:uid="{45F82664-C15C-474D-A1B1-359A2B9C2C1A}">
      <text>
        <r>
          <rPr>
            <b/>
            <sz val="9"/>
            <color indexed="81"/>
            <rFont val="Tahoma"/>
            <family val="2"/>
          </rPr>
          <t>Micah Noel:</t>
        </r>
        <r>
          <rPr>
            <sz val="9"/>
            <color indexed="81"/>
            <rFont val="Tahoma"/>
            <family val="2"/>
          </rPr>
          <t xml:space="preserve">
Conveyor cut off</t>
        </r>
      </text>
    </comment>
    <comment ref="AD225" authorId="4" shapeId="0" xr:uid="{C9D7078E-300F-4912-A49F-23AE66A1953A}">
      <text>
        <r>
          <rPr>
            <b/>
            <sz val="9"/>
            <color indexed="81"/>
            <rFont val="Tahoma"/>
            <family val="2"/>
          </rPr>
          <t>Micah Noel:</t>
        </r>
        <r>
          <rPr>
            <sz val="9"/>
            <color indexed="81"/>
            <rFont val="Tahoma"/>
            <family val="2"/>
          </rPr>
          <t xml:space="preserve">
fallen bottles on conveyor</t>
        </r>
      </text>
    </comment>
    <comment ref="AN225" authorId="2" shapeId="0" xr:uid="{1F83C9F5-83EA-4ED6-8769-F55577BF43D9}">
      <text>
        <r>
          <rPr>
            <b/>
            <sz val="9"/>
            <color indexed="81"/>
            <rFont val="Tahoma"/>
            <family val="2"/>
          </rPr>
          <t>Dorien Andrew:</t>
        </r>
        <r>
          <rPr>
            <sz val="9"/>
            <color indexed="81"/>
            <rFont val="Tahoma"/>
            <family val="2"/>
          </rPr>
          <t xml:space="preserve">
conveyor chain derailed</t>
        </r>
      </text>
    </comment>
    <comment ref="AD226" authorId="4" shapeId="0" xr:uid="{A803B4CD-CC25-4479-911C-0E7CAB8E8F48}">
      <text>
        <r>
          <rPr>
            <b/>
            <sz val="9"/>
            <color indexed="81"/>
            <rFont val="Tahoma"/>
            <family val="2"/>
          </rPr>
          <t>Micah Noel:</t>
        </r>
        <r>
          <rPr>
            <sz val="9"/>
            <color indexed="81"/>
            <rFont val="Tahoma"/>
            <family val="2"/>
          </rPr>
          <t xml:space="preserve">
Fallen bottle stuck on conveyor</t>
        </r>
      </text>
    </comment>
    <comment ref="AO226" authorId="2" shapeId="0" xr:uid="{02D4C9A1-34FA-4B45-A15F-BE97A0DAB87C}">
      <text>
        <r>
          <rPr>
            <b/>
            <sz val="9"/>
            <color indexed="81"/>
            <rFont val="Tahoma"/>
            <family val="2"/>
          </rPr>
          <t>Dorien Andrew:</t>
        </r>
        <r>
          <rPr>
            <sz val="9"/>
            <color indexed="81"/>
            <rFont val="Tahoma"/>
            <family val="2"/>
          </rPr>
          <t xml:space="preserve">
conveyor trip off</t>
        </r>
      </text>
    </comment>
    <comment ref="J227" authorId="4" shapeId="0" xr:uid="{30B0CEA1-EA03-4E1E-B5A4-111C5FC02788}">
      <text>
        <r>
          <rPr>
            <b/>
            <sz val="9"/>
            <color indexed="81"/>
            <rFont val="Tahoma"/>
            <family val="2"/>
          </rPr>
          <t>Micah Noel:</t>
        </r>
        <r>
          <rPr>
            <sz val="9"/>
            <color indexed="81"/>
            <rFont val="Tahoma"/>
            <family val="2"/>
          </rPr>
          <t xml:space="preserve">
sensor malfunction</t>
        </r>
      </text>
    </comment>
    <comment ref="AI249" authorId="1" shapeId="0" xr:uid="{A05E5F04-B562-4E2D-B8C8-D48C117E1EEF}">
      <text>
        <r>
          <rPr>
            <b/>
            <sz val="9"/>
            <color indexed="81"/>
            <rFont val="Tahoma"/>
            <family val="2"/>
          </rPr>
          <t>Kaylil Baptiste:</t>
        </r>
        <r>
          <rPr>
            <sz val="9"/>
            <color indexed="81"/>
            <rFont val="Tahoma"/>
            <family val="2"/>
          </rPr>
          <t xml:space="preserve">
jumping</t>
        </r>
      </text>
    </comment>
    <comment ref="V250" authorId="1" shapeId="0" xr:uid="{0E14A1F7-ED5C-48D9-8615-2F797DC83C2E}">
      <text>
        <r>
          <rPr>
            <b/>
            <sz val="9"/>
            <color indexed="81"/>
            <rFont val="Tahoma"/>
            <family val="2"/>
          </rPr>
          <t>Kaylil Baptiste:</t>
        </r>
        <r>
          <rPr>
            <sz val="9"/>
            <color indexed="81"/>
            <rFont val="Tahoma"/>
            <family val="2"/>
          </rPr>
          <t xml:space="preserve">
conveyor dropped</t>
        </r>
      </text>
    </comment>
    <comment ref="AA250" authorId="1" shapeId="0" xr:uid="{F95373C7-2FD8-4504-894E-EB2E67716D4A}">
      <text>
        <r>
          <rPr>
            <b/>
            <sz val="9"/>
            <color indexed="81"/>
            <rFont val="Tahoma"/>
            <family val="2"/>
          </rPr>
          <t>Kaylil Baptiste:</t>
        </r>
        <r>
          <rPr>
            <sz val="9"/>
            <color indexed="81"/>
            <rFont val="Tahoma"/>
            <family val="2"/>
          </rPr>
          <t xml:space="preserve">
cut off</t>
        </r>
      </text>
    </comment>
    <comment ref="AH250" authorId="1" shapeId="0" xr:uid="{701EA6B9-9010-4B66-A865-2BF0C90E2153}">
      <text>
        <r>
          <rPr>
            <b/>
            <sz val="9"/>
            <color indexed="81"/>
            <rFont val="Tahoma"/>
            <family val="2"/>
          </rPr>
          <t>Kaylil Baptiste:</t>
        </r>
        <r>
          <rPr>
            <sz val="9"/>
            <color indexed="81"/>
            <rFont val="Tahoma"/>
            <family val="2"/>
          </rPr>
          <t xml:space="preserve">
not coming on</t>
        </r>
      </text>
    </comment>
    <comment ref="R251" authorId="4" shapeId="0" xr:uid="{05F56516-9CD8-46CD-8B7D-3CFDB5ECEB62}">
      <text>
        <r>
          <rPr>
            <b/>
            <sz val="9"/>
            <color indexed="81"/>
            <rFont val="Tahoma"/>
            <family val="2"/>
          </rPr>
          <t>Micah Noel:</t>
        </r>
        <r>
          <rPr>
            <sz val="9"/>
            <color indexed="81"/>
            <rFont val="Tahoma"/>
            <family val="2"/>
          </rPr>
          <t xml:space="preserve">
infeed worm jam</t>
        </r>
      </text>
    </comment>
    <comment ref="R252" authorId="4" shapeId="0" xr:uid="{75C75927-73FE-4666-AE35-98213DC667F3}">
      <text>
        <r>
          <rPr>
            <b/>
            <sz val="9"/>
            <color indexed="81"/>
            <rFont val="Tahoma"/>
            <family val="2"/>
          </rPr>
          <t>Micah Noel:</t>
        </r>
        <r>
          <rPr>
            <sz val="9"/>
            <color indexed="81"/>
            <rFont val="Tahoma"/>
            <family val="2"/>
          </rPr>
          <t xml:space="preserve">
bottle jammed on conveyor</t>
        </r>
      </text>
    </comment>
    <comment ref="P256" authorId="4" shapeId="0" xr:uid="{1857CB7B-9594-4C42-A68C-CEFA632CD0D1}">
      <text>
        <r>
          <rPr>
            <b/>
            <sz val="9"/>
            <color indexed="81"/>
            <rFont val="Tahoma"/>
            <family val="2"/>
          </rPr>
          <t>Micah Noel:</t>
        </r>
        <r>
          <rPr>
            <sz val="9"/>
            <color indexed="81"/>
            <rFont val="Tahoma"/>
            <family val="2"/>
          </rPr>
          <t xml:space="preserve">
fallen bottle stuck on conveyor</t>
        </r>
      </text>
    </comment>
    <comment ref="O259" authorId="4" shapeId="0" xr:uid="{17532ED9-132C-4E09-898E-A77E71880C7F}">
      <text>
        <r>
          <rPr>
            <b/>
            <sz val="9"/>
            <color indexed="81"/>
            <rFont val="Tahoma"/>
            <family val="2"/>
          </rPr>
          <t>Micah Noel:</t>
        </r>
        <r>
          <rPr>
            <sz val="9"/>
            <color indexed="81"/>
            <rFont val="Tahoma"/>
            <family val="2"/>
          </rPr>
          <t xml:space="preserve">
bottles jamming on conveyor</t>
        </r>
      </text>
    </comment>
    <comment ref="I261" authorId="2" shapeId="0" xr:uid="{B34CD002-471D-4735-A9A4-DCF23B31B2D8}">
      <text>
        <r>
          <rPr>
            <b/>
            <sz val="9"/>
            <color indexed="81"/>
            <rFont val="Tahoma"/>
            <family val="2"/>
          </rPr>
          <t>Dorien Andrew:</t>
        </r>
        <r>
          <rPr>
            <sz val="9"/>
            <color indexed="81"/>
            <rFont val="Tahoma"/>
            <family val="2"/>
          </rPr>
          <t xml:space="preserve">
sensor issues </t>
        </r>
      </text>
    </comment>
    <comment ref="U263" authorId="1" shapeId="0" xr:uid="{639C7AC9-2D25-4108-B1A1-ABD2B57C031E}">
      <text>
        <r>
          <rPr>
            <b/>
            <sz val="9"/>
            <color indexed="81"/>
            <rFont val="Tahoma"/>
            <family val="2"/>
          </rPr>
          <t>Kaylil Baptiste:</t>
        </r>
        <r>
          <rPr>
            <sz val="9"/>
            <color indexed="81"/>
            <rFont val="Tahoma"/>
            <family val="2"/>
          </rPr>
          <t xml:space="preserve">
conveyor slow down </t>
        </r>
      </text>
    </comment>
    <comment ref="AE263" authorId="1" shapeId="0" xr:uid="{2893BD05-27FA-4AFC-B4A5-0BB5A48D8883}">
      <text>
        <r>
          <rPr>
            <b/>
            <sz val="9"/>
            <color indexed="81"/>
            <rFont val="Tahoma"/>
            <family val="2"/>
          </rPr>
          <t>Kaylil Baptiste:</t>
        </r>
        <r>
          <rPr>
            <sz val="9"/>
            <color indexed="81"/>
            <rFont val="Tahoma"/>
            <family val="2"/>
          </rPr>
          <t xml:space="preserve">
fallen bottles stick </t>
        </r>
      </text>
    </comment>
    <comment ref="AD265" authorId="4" shapeId="0" xr:uid="{49428399-EA80-407E-BA45-F048F9CAF1A4}">
      <text>
        <r>
          <rPr>
            <b/>
            <sz val="9"/>
            <color indexed="81"/>
            <rFont val="Tahoma"/>
            <family val="2"/>
          </rPr>
          <t>Micah Noel:</t>
        </r>
        <r>
          <rPr>
            <sz val="9"/>
            <color indexed="81"/>
            <rFont val="Tahoma"/>
            <family val="2"/>
          </rPr>
          <t xml:space="preserve">
fallen bottle stuck on conveyor</t>
        </r>
      </text>
    </comment>
    <comment ref="S268" authorId="4" shapeId="0" xr:uid="{4D021FD6-F01E-4549-8270-60A30ED2EEF3}">
      <text>
        <r>
          <rPr>
            <b/>
            <sz val="9"/>
            <color indexed="81"/>
            <rFont val="Tahoma"/>
            <family val="2"/>
          </rPr>
          <t>Micah Noel:</t>
        </r>
        <r>
          <rPr>
            <sz val="9"/>
            <color indexed="81"/>
            <rFont val="Tahoma"/>
            <family val="2"/>
          </rPr>
          <t xml:space="preserve">
5 mins 330ml vita malt bottles stuck at shuffler</t>
        </r>
      </text>
    </comment>
    <comment ref="AC268" authorId="4" shapeId="0" xr:uid="{7B53A5B4-7C5B-4D28-A635-9BB8FEE02957}">
      <text>
        <r>
          <rPr>
            <b/>
            <sz val="9"/>
            <color indexed="81"/>
            <rFont val="Tahoma"/>
            <family val="2"/>
          </rPr>
          <t>Micah Noel:</t>
        </r>
        <r>
          <rPr>
            <sz val="9"/>
            <color indexed="81"/>
            <rFont val="Tahoma"/>
            <family val="2"/>
          </rPr>
          <t xml:space="preserve">
Conveyor jammed</t>
        </r>
      </text>
    </comment>
    <comment ref="G270" authorId="2" shapeId="0" xr:uid="{C6632214-A669-4488-A8B0-24F7AC5EA303}">
      <text>
        <r>
          <rPr>
            <b/>
            <sz val="9"/>
            <color indexed="81"/>
            <rFont val="Tahoma"/>
            <family val="2"/>
          </rPr>
          <t>Dorien Andrew:</t>
        </r>
        <r>
          <rPr>
            <sz val="9"/>
            <color indexed="81"/>
            <rFont val="Tahoma"/>
            <family val="2"/>
          </rPr>
          <t xml:space="preserve">
infeed sensor malfunction </t>
        </r>
      </text>
    </comment>
    <comment ref="J270" authorId="4" shapeId="0" xr:uid="{0430835A-42A8-410C-B3DB-C6B3135D9553}">
      <text>
        <r>
          <rPr>
            <b/>
            <sz val="9"/>
            <color indexed="81"/>
            <rFont val="Tahoma"/>
            <family val="2"/>
          </rPr>
          <t>Micah Noel:</t>
        </r>
        <r>
          <rPr>
            <sz val="9"/>
            <color indexed="81"/>
            <rFont val="Tahoma"/>
            <family val="2"/>
          </rPr>
          <t xml:space="preserve">
crates sticking on conveyor</t>
        </r>
      </text>
    </comment>
    <comment ref="O270" authorId="4" shapeId="0" xr:uid="{3DE63487-BAA0-48CC-8D5B-E9046F0FF91E}">
      <text>
        <r>
          <rPr>
            <b/>
            <sz val="9"/>
            <color indexed="81"/>
            <rFont val="Tahoma"/>
            <family val="2"/>
          </rPr>
          <t>Micah Noel:</t>
        </r>
        <r>
          <rPr>
            <sz val="9"/>
            <color indexed="81"/>
            <rFont val="Tahoma"/>
            <family val="2"/>
          </rPr>
          <t xml:space="preserve">
bottles jammed on conveyor</t>
        </r>
      </text>
    </comment>
    <comment ref="R270" authorId="4" shapeId="0" xr:uid="{96C55D73-2B5C-4577-AE42-89A877AE390A}">
      <text>
        <r>
          <rPr>
            <b/>
            <sz val="9"/>
            <color indexed="81"/>
            <rFont val="Tahoma"/>
            <family val="2"/>
          </rPr>
          <t>Micah Noel:</t>
        </r>
        <r>
          <rPr>
            <sz val="9"/>
            <color indexed="81"/>
            <rFont val="Tahoma"/>
            <family val="2"/>
          </rPr>
          <t xml:space="preserve">
conveyor running slow</t>
        </r>
      </text>
    </comment>
    <comment ref="R271" authorId="2" shapeId="0" xr:uid="{B8C79DDC-3E54-472A-A7B8-7AA092DD5BCF}">
      <text>
        <r>
          <rPr>
            <b/>
            <sz val="9"/>
            <color indexed="81"/>
            <rFont val="Tahoma"/>
            <family val="2"/>
          </rPr>
          <t>Dorien Andrew:</t>
        </r>
        <r>
          <rPr>
            <sz val="9"/>
            <color indexed="81"/>
            <rFont val="Tahoma"/>
            <family val="2"/>
          </rPr>
          <t xml:space="preserve">
30 mins lost for conveyor not coming on </t>
        </r>
      </text>
    </comment>
    <comment ref="V271" authorId="3" shapeId="0" xr:uid="{D4753F52-35F0-4EB4-9648-5B40B52118A5}">
      <text>
        <r>
          <rPr>
            <b/>
            <sz val="9"/>
            <color indexed="81"/>
            <rFont val="Tahoma"/>
            <family val="2"/>
          </rPr>
          <t xml:space="preserve">Michael Julien
</t>
        </r>
        <r>
          <rPr>
            <sz val="9"/>
            <color indexed="81"/>
            <rFont val="Tahoma"/>
            <family val="2"/>
          </rPr>
          <t xml:space="preserve">EBI conveyor running slow </t>
        </r>
        <r>
          <rPr>
            <b/>
            <sz val="9"/>
            <color indexed="81"/>
            <rFont val="Tahoma"/>
            <family val="2"/>
          </rPr>
          <t xml:space="preserve">
</t>
        </r>
      </text>
    </comment>
    <comment ref="AC272" authorId="4" shapeId="0" xr:uid="{9972EF6E-FE8E-431C-8F1E-EDFFBA709F5E}">
      <text>
        <r>
          <rPr>
            <b/>
            <sz val="9"/>
            <color indexed="81"/>
            <rFont val="Tahoma"/>
            <family val="2"/>
          </rPr>
          <t>Micah Noel:</t>
        </r>
        <r>
          <rPr>
            <sz val="9"/>
            <color indexed="81"/>
            <rFont val="Tahoma"/>
            <family val="2"/>
          </rPr>
          <t xml:space="preserve">
fallen bottles stuck on conveyor</t>
        </r>
      </text>
    </comment>
    <comment ref="AD273" authorId="1" shapeId="0" xr:uid="{C0BCD250-BCAD-467B-9AF5-502F5D6C5277}">
      <text>
        <r>
          <rPr>
            <b/>
            <sz val="9"/>
            <color indexed="81"/>
            <rFont val="Tahoma"/>
            <family val="2"/>
          </rPr>
          <t>Kaylil Baptiste:</t>
        </r>
        <r>
          <rPr>
            <sz val="9"/>
            <color indexed="81"/>
            <rFont val="Tahoma"/>
            <family val="2"/>
          </rPr>
          <t xml:space="preserve">
conveyor malfunction </t>
        </r>
      </text>
    </comment>
    <comment ref="V274" authorId="1" shapeId="0" xr:uid="{4AAB0971-52E2-41BD-B7F6-3273E9660114}">
      <text>
        <r>
          <rPr>
            <b/>
            <sz val="9"/>
            <color indexed="81"/>
            <rFont val="Tahoma"/>
            <family val="2"/>
          </rPr>
          <t>Kaylil Baptiste:</t>
        </r>
        <r>
          <rPr>
            <sz val="9"/>
            <color indexed="81"/>
            <rFont val="Tahoma"/>
            <family val="2"/>
          </rPr>
          <t xml:space="preserve">
malfunction</t>
        </r>
      </text>
    </comment>
    <comment ref="R275" authorId="1" shapeId="0" xr:uid="{04887B3A-C63B-44D8-A7A8-EAE5286414E4}">
      <text>
        <r>
          <rPr>
            <b/>
            <sz val="9"/>
            <color indexed="81"/>
            <rFont val="Tahoma"/>
            <family val="2"/>
          </rPr>
          <t>Kaylil Baptiste:</t>
        </r>
        <r>
          <rPr>
            <sz val="9"/>
            <color indexed="81"/>
            <rFont val="Tahoma"/>
            <family val="2"/>
          </rPr>
          <t xml:space="preserve">
7mins EBI conveyor running slow </t>
        </r>
      </text>
    </comment>
    <comment ref="AF279" authorId="2" shapeId="0" xr:uid="{55A1A40B-2419-4159-AAA1-05E85A4F35ED}">
      <text>
        <r>
          <rPr>
            <b/>
            <sz val="9"/>
            <color indexed="81"/>
            <rFont val="Tahoma"/>
            <family val="2"/>
          </rPr>
          <t>Dorien Andrew:</t>
        </r>
        <r>
          <rPr>
            <sz val="9"/>
            <color indexed="81"/>
            <rFont val="Tahoma"/>
            <family val="2"/>
          </rPr>
          <t xml:space="preserve">
conveyor trip off</t>
        </r>
      </text>
    </comment>
    <comment ref="O280" authorId="4" shapeId="0" xr:uid="{713CAE46-465C-42AA-8E07-DB068E258A42}">
      <text>
        <r>
          <rPr>
            <b/>
            <sz val="9"/>
            <color indexed="81"/>
            <rFont val="Tahoma"/>
            <family val="2"/>
          </rPr>
          <t>Micah Noel:</t>
        </r>
        <r>
          <rPr>
            <sz val="9"/>
            <color indexed="81"/>
            <rFont val="Tahoma"/>
            <family val="2"/>
          </rPr>
          <t xml:space="preserve">
Conveyor cut off</t>
        </r>
      </text>
    </comment>
    <comment ref="R280" authorId="4" shapeId="0" xr:uid="{200C74F4-3A64-415C-A843-ED608BBF7900}">
      <text>
        <r>
          <rPr>
            <b/>
            <sz val="9"/>
            <color indexed="81"/>
            <rFont val="Tahoma"/>
            <family val="2"/>
          </rPr>
          <t>Micah Noel:</t>
        </r>
        <r>
          <rPr>
            <sz val="9"/>
            <color indexed="81"/>
            <rFont val="Tahoma"/>
            <family val="2"/>
          </rPr>
          <t xml:space="preserve">
fallen bottle stuck on conveyor</t>
        </r>
      </text>
    </comment>
    <comment ref="V280" authorId="4" shapeId="0" xr:uid="{80793564-FBE9-4AE0-B604-A6CD8D3B33A5}">
      <text>
        <r>
          <rPr>
            <b/>
            <sz val="9"/>
            <color indexed="81"/>
            <rFont val="Tahoma"/>
            <family val="2"/>
          </rPr>
          <t>Micah Noel:</t>
        </r>
        <r>
          <rPr>
            <sz val="9"/>
            <color indexed="81"/>
            <rFont val="Tahoma"/>
            <family val="2"/>
          </rPr>
          <t xml:space="preserve">
bottles stuck on conveyor</t>
        </r>
      </text>
    </comment>
    <comment ref="AD280" authorId="4" shapeId="0" xr:uid="{5483D46D-719F-4D5D-85B2-1F63AEDEB923}">
      <text>
        <r>
          <rPr>
            <b/>
            <sz val="9"/>
            <color indexed="81"/>
            <rFont val="Tahoma"/>
            <family val="2"/>
          </rPr>
          <t>Micah Noel:</t>
        </r>
        <r>
          <rPr>
            <sz val="9"/>
            <color indexed="81"/>
            <rFont val="Tahoma"/>
            <family val="2"/>
          </rPr>
          <t xml:space="preserve">
42 mins unresponsive Pasteurizer discharge #1 conveyor</t>
        </r>
      </text>
    </comment>
    <comment ref="E282" authorId="4" shapeId="0" xr:uid="{4EF42F90-4A01-4C3E-98BB-5B918EC0C0BC}">
      <text>
        <r>
          <rPr>
            <b/>
            <sz val="9"/>
            <color indexed="81"/>
            <rFont val="Tahoma"/>
            <family val="2"/>
          </rPr>
          <t>Micah Noel:</t>
        </r>
        <r>
          <rPr>
            <sz val="9"/>
            <color indexed="81"/>
            <rFont val="Tahoma"/>
            <family val="2"/>
          </rPr>
          <t xml:space="preserve">
conveyor cut off</t>
        </r>
      </text>
    </comment>
    <comment ref="V283" authorId="4" shapeId="0" xr:uid="{0F67B8DB-9D9E-4D5B-AB0C-2BE46E558F9D}">
      <text>
        <r>
          <rPr>
            <b/>
            <sz val="9"/>
            <color indexed="81"/>
            <rFont val="Tahoma"/>
            <family val="2"/>
          </rPr>
          <t>Micah Noel:</t>
        </r>
        <r>
          <rPr>
            <sz val="9"/>
            <color indexed="81"/>
            <rFont val="Tahoma"/>
            <family val="2"/>
          </rPr>
          <t xml:space="preserve">
line stopped (sensor ran slack)</t>
        </r>
      </text>
    </comment>
    <comment ref="T308" authorId="1" shapeId="0" xr:uid="{3155B900-66AA-4629-9E52-50CD85C5BC27}">
      <text>
        <r>
          <rPr>
            <b/>
            <sz val="9"/>
            <color indexed="81"/>
            <rFont val="Tahoma"/>
            <family val="2"/>
          </rPr>
          <t>Kaylil Baptiste:</t>
        </r>
        <r>
          <rPr>
            <sz val="9"/>
            <color indexed="81"/>
            <rFont val="Tahoma"/>
            <family val="2"/>
          </rPr>
          <t xml:space="preserve">
running slow</t>
        </r>
      </text>
    </comment>
    <comment ref="V309" authorId="1" shapeId="0" xr:uid="{FA788F9D-4926-4B07-B88C-F2CBD4CBD6AD}">
      <text>
        <r>
          <rPr>
            <b/>
            <sz val="9"/>
            <color indexed="81"/>
            <rFont val="Tahoma"/>
            <family val="2"/>
          </rPr>
          <t>Kaylil Baptiste:</t>
        </r>
        <r>
          <rPr>
            <sz val="9"/>
            <color indexed="81"/>
            <rFont val="Tahoma"/>
            <family val="2"/>
          </rPr>
          <t xml:space="preserve">
4 mins conveyor refusing to run after power outage, 5mins conveyor runing slow</t>
        </r>
      </text>
    </comment>
    <comment ref="AC309" authorId="5" shapeId="0" xr:uid="{54DB6B71-5D72-4624-B405-EE2AD136F5AC}">
      <text>
        <r>
          <rPr>
            <b/>
            <sz val="9"/>
            <color indexed="81"/>
            <rFont val="Tahoma"/>
            <family val="2"/>
          </rPr>
          <t>Tyrell Bartholomew:</t>
        </r>
        <r>
          <rPr>
            <sz val="9"/>
            <color indexed="81"/>
            <rFont val="Tahoma"/>
            <family val="2"/>
          </rPr>
          <t xml:space="preserve">
15mins san martin technician making adjustment to conveyor</t>
        </r>
      </text>
    </comment>
    <comment ref="AH309" authorId="1" shapeId="0" xr:uid="{D85BEF7F-7175-464F-85C2-C72CCA5CECA6}">
      <text>
        <r>
          <rPr>
            <b/>
            <sz val="9"/>
            <color indexed="81"/>
            <rFont val="Tahoma"/>
            <family val="2"/>
          </rPr>
          <t>Kaylil Baptiste:</t>
        </r>
        <r>
          <rPr>
            <sz val="9"/>
            <color indexed="81"/>
            <rFont val="Tahoma"/>
            <family val="2"/>
          </rPr>
          <t xml:space="preserve">
16 mins making adjustments to labeler infeed conveyor.(san martin conveyor)</t>
        </r>
      </text>
    </comment>
    <comment ref="R311" authorId="4" shapeId="0" xr:uid="{5BFEAE1A-AC1B-4FA8-B53B-FBC43032E324}">
      <text>
        <r>
          <rPr>
            <b/>
            <sz val="9"/>
            <color indexed="81"/>
            <rFont val="Tahoma"/>
            <family val="2"/>
          </rPr>
          <t>Micah Noel:</t>
        </r>
        <r>
          <rPr>
            <sz val="9"/>
            <color indexed="81"/>
            <rFont val="Tahoma"/>
            <family val="2"/>
          </rPr>
          <t xml:space="preserve">
broken bottle stuck on conveyor</t>
        </r>
      </text>
    </comment>
    <comment ref="Z316" authorId="4" shapeId="0" xr:uid="{6AA5FD5E-88DD-4494-A45C-64AC007F58BA}">
      <text>
        <r>
          <rPr>
            <b/>
            <sz val="9"/>
            <color indexed="81"/>
            <rFont val="Tahoma"/>
            <family val="2"/>
          </rPr>
          <t>Micah Noel:</t>
        </r>
        <r>
          <rPr>
            <sz val="9"/>
            <color indexed="81"/>
            <rFont val="Tahoma"/>
            <family val="2"/>
          </rPr>
          <t xml:space="preserve">
adjustment being done to sensor on conveyor</t>
        </r>
      </text>
    </comment>
    <comment ref="AC316" authorId="5" shapeId="0" xr:uid="{45F60E22-6ACF-4207-B3C2-68F98F4A85BB}">
      <text>
        <r>
          <rPr>
            <b/>
            <sz val="9"/>
            <color indexed="81"/>
            <rFont val="Tahoma"/>
            <family val="2"/>
          </rPr>
          <t>Tyrell Bartholomew:</t>
        </r>
        <r>
          <rPr>
            <sz val="9"/>
            <color indexed="81"/>
            <rFont val="Tahoma"/>
            <family val="2"/>
          </rPr>
          <t xml:space="preserve">
2mins making adjustment to pasteurizer infeed rail.
14 mins bottles jamming at pasteurizer infeed mouth</t>
        </r>
      </text>
    </comment>
    <comment ref="P317" authorId="4" shapeId="0" xr:uid="{9EC9CDB7-8899-489F-96E6-131D54D227C2}">
      <text>
        <r>
          <rPr>
            <b/>
            <sz val="9"/>
            <color indexed="81"/>
            <rFont val="Tahoma"/>
            <family val="2"/>
          </rPr>
          <t>Micah Noel:</t>
        </r>
        <r>
          <rPr>
            <sz val="9"/>
            <color indexed="81"/>
            <rFont val="Tahoma"/>
            <family val="2"/>
          </rPr>
          <t xml:space="preserve">
52mins conveyor unresponsive</t>
        </r>
      </text>
    </comment>
    <comment ref="R317" authorId="1" shapeId="0" xr:uid="{5EA9C4DF-3AA4-4E11-8D4F-9FAFD2E32495}">
      <text>
        <r>
          <rPr>
            <b/>
            <sz val="9"/>
            <color indexed="81"/>
            <rFont val="Tahoma"/>
            <family val="2"/>
          </rPr>
          <t>Kaylil Baptiste:</t>
        </r>
        <r>
          <rPr>
            <sz val="9"/>
            <color indexed="81"/>
            <rFont val="Tahoma"/>
            <family val="2"/>
          </rPr>
          <t xml:space="preserve">
malfunction</t>
        </r>
      </text>
    </comment>
    <comment ref="AC318" authorId="5" shapeId="0" xr:uid="{7FD0C57D-7BD7-4FE9-B515-BFA8D0B136CA}">
      <text>
        <r>
          <rPr>
            <b/>
            <sz val="9"/>
            <color indexed="81"/>
            <rFont val="Tahoma"/>
            <family val="2"/>
          </rPr>
          <t>Tyrell Bartholomew:</t>
        </r>
        <r>
          <rPr>
            <sz val="9"/>
            <color indexed="81"/>
            <rFont val="Tahoma"/>
            <family val="2"/>
          </rPr>
          <t xml:space="preserve">
2 mins bottles jam at pasteurizer Infeed</t>
        </r>
      </text>
    </comment>
    <comment ref="AC319" authorId="5" shapeId="0" xr:uid="{92D130CE-D1BE-42F1-B6DE-50077D4F58CA}">
      <text>
        <r>
          <rPr>
            <b/>
            <sz val="9"/>
            <color indexed="81"/>
            <rFont val="Tahoma"/>
            <family val="2"/>
          </rPr>
          <t>Tyrell Bartholomew:</t>
        </r>
        <r>
          <rPr>
            <sz val="9"/>
            <color indexed="81"/>
            <rFont val="Tahoma"/>
            <family val="2"/>
          </rPr>
          <t xml:space="preserve">
11 mins bottle jam at pasteurizer infeed.</t>
        </r>
      </text>
    </comment>
    <comment ref="T321" authorId="5" shapeId="0" xr:uid="{A3E6F513-83DA-4AA5-BB8B-26093C74CCB5}">
      <text>
        <r>
          <rPr>
            <b/>
            <sz val="9"/>
            <color indexed="81"/>
            <rFont val="Tahoma"/>
            <family val="2"/>
          </rPr>
          <t>Tyrell Bartholomew:</t>
        </r>
        <r>
          <rPr>
            <sz val="9"/>
            <color indexed="81"/>
            <rFont val="Tahoma"/>
            <family val="2"/>
          </rPr>
          <t xml:space="preserve">
40mins conveyor unresponsive due to communication issue.</t>
        </r>
      </text>
    </comment>
    <comment ref="T322" authorId="5" shapeId="0" xr:uid="{11E59BB6-6002-4489-B61E-26A6F85FCA65}">
      <text>
        <r>
          <rPr>
            <b/>
            <sz val="9"/>
            <color indexed="81"/>
            <rFont val="Tahoma"/>
            <family val="2"/>
          </rPr>
          <t>Tyrell Bartholomew:</t>
        </r>
        <r>
          <rPr>
            <sz val="9"/>
            <color indexed="81"/>
            <rFont val="Tahoma"/>
            <family val="2"/>
          </rPr>
          <t xml:space="preserve">
25mins conveyor unresponsive due to communication error.</t>
        </r>
      </text>
    </comment>
    <comment ref="O324" authorId="4" shapeId="0" xr:uid="{BA83CE65-00F3-4F7C-B59F-594CC135A0DC}">
      <text>
        <r>
          <rPr>
            <b/>
            <sz val="9"/>
            <color indexed="81"/>
            <rFont val="Tahoma"/>
            <family val="2"/>
          </rPr>
          <t>Micah Noel:</t>
        </r>
        <r>
          <rPr>
            <sz val="9"/>
            <color indexed="81"/>
            <rFont val="Tahoma"/>
            <family val="2"/>
          </rPr>
          <t xml:space="preserve">
conveyor cut off</t>
        </r>
      </text>
    </comment>
    <comment ref="W324" authorId="4" shapeId="0" xr:uid="{CCEB5093-4B5A-4902-9958-68BAC41C1A32}">
      <text>
        <r>
          <rPr>
            <b/>
            <sz val="9"/>
            <color indexed="81"/>
            <rFont val="Tahoma"/>
            <family val="2"/>
          </rPr>
          <t>Micah Noel:</t>
        </r>
        <r>
          <rPr>
            <sz val="9"/>
            <color indexed="81"/>
            <rFont val="Tahoma"/>
            <family val="2"/>
          </rPr>
          <t xml:space="preserve">
Ebi discharge #2 unresponsive</t>
        </r>
      </text>
    </comment>
    <comment ref="AC372" authorId="3" shapeId="0" xr:uid="{C52849E0-036F-4D7D-B618-5C4E7234D432}">
      <text>
        <r>
          <rPr>
            <b/>
            <sz val="9"/>
            <color indexed="81"/>
            <rFont val="Tahoma"/>
            <family val="2"/>
          </rPr>
          <t>Michael Julien:</t>
        </r>
        <r>
          <rPr>
            <sz val="9"/>
            <color indexed="81"/>
            <rFont val="Tahoma"/>
            <family val="2"/>
          </rPr>
          <t xml:space="preserve">
Replacing bolts on infeed conveyor</t>
        </r>
      </text>
    </comment>
    <comment ref="AH372" authorId="5" shapeId="0" xr:uid="{F5416630-F15E-457F-AE46-3AF4D0540F7B}">
      <text>
        <r>
          <rPr>
            <b/>
            <sz val="9"/>
            <color indexed="81"/>
            <rFont val="Tahoma"/>
            <family val="2"/>
          </rPr>
          <t>Tyrell Bartholomew:</t>
        </r>
        <r>
          <rPr>
            <sz val="9"/>
            <color indexed="81"/>
            <rFont val="Tahoma"/>
            <family val="2"/>
          </rPr>
          <t xml:space="preserve">
3mins labeler conveyor is runninig slow(line back up).</t>
        </r>
      </text>
    </comment>
    <comment ref="AH375" authorId="5" shapeId="0" xr:uid="{74DB8D8D-779A-4114-A6FC-6CF879CCF82B}">
      <text>
        <r>
          <rPr>
            <b/>
            <sz val="9"/>
            <color indexed="81"/>
            <rFont val="Tahoma"/>
            <family val="2"/>
          </rPr>
          <t>Tyrell Bartholomew:</t>
        </r>
        <r>
          <rPr>
            <sz val="9"/>
            <color indexed="81"/>
            <rFont val="Tahoma"/>
            <family val="2"/>
          </rPr>
          <t xml:space="preserve">
8mins bottle blocking sensor </t>
        </r>
      </text>
    </comment>
    <comment ref="R376" authorId="4" shapeId="0" xr:uid="{70E10DBD-9AA9-4AA8-B878-029945191E84}">
      <text>
        <r>
          <rPr>
            <b/>
            <sz val="9"/>
            <color indexed="81"/>
            <rFont val="Tahoma"/>
            <family val="2"/>
          </rPr>
          <t>Micah Noel:</t>
        </r>
        <r>
          <rPr>
            <sz val="9"/>
            <color indexed="81"/>
            <rFont val="Tahoma"/>
            <family val="2"/>
          </rPr>
          <t xml:space="preserve">
bottles stuck on conveyor</t>
        </r>
      </text>
    </comment>
    <comment ref="AD379" authorId="5" shapeId="0" xr:uid="{7714C0EC-C1FA-47BB-8EA8-8A025F5C8C9B}">
      <text>
        <r>
          <rPr>
            <b/>
            <sz val="9"/>
            <color indexed="81"/>
            <rFont val="Tahoma"/>
            <family val="2"/>
          </rPr>
          <t>Tyrell Bartholomew:</t>
        </r>
        <r>
          <rPr>
            <sz val="9"/>
            <color indexed="81"/>
            <rFont val="Tahoma"/>
            <family val="2"/>
          </rPr>
          <t xml:space="preserve">
123mins pu monitor jam at pastuerizer discharge leading to the conveyor belt derail from track.</t>
        </r>
      </text>
    </comment>
    <comment ref="AH379" authorId="5" shapeId="0" xr:uid="{B2E86BF7-B871-47AA-A63F-70D4E964B052}">
      <text>
        <r>
          <rPr>
            <b/>
            <sz val="9"/>
            <color indexed="81"/>
            <rFont val="Tahoma"/>
            <family val="2"/>
          </rPr>
          <t>Tyrell Bartholomew:</t>
        </r>
        <r>
          <rPr>
            <sz val="9"/>
            <color indexed="81"/>
            <rFont val="Tahoma"/>
            <family val="2"/>
          </rPr>
          <t xml:space="preserve">
7 mins labeler conveyor is runninig slow(line back up).</t>
        </r>
      </text>
    </comment>
    <comment ref="O380" authorId="4" shapeId="0" xr:uid="{18FC2178-50B8-4871-AFAD-9B55CC0CFB6C}">
      <text>
        <r>
          <rPr>
            <b/>
            <sz val="9"/>
            <color indexed="81"/>
            <rFont val="Tahoma"/>
            <family val="2"/>
          </rPr>
          <t>Micah Noel:</t>
        </r>
        <r>
          <rPr>
            <sz val="9"/>
            <color indexed="81"/>
            <rFont val="Tahoma"/>
            <family val="2"/>
          </rPr>
          <t xml:space="preserve">
fallen bottle stuck on conveyor</t>
        </r>
      </text>
    </comment>
    <comment ref="AD380" authorId="4" shapeId="0" xr:uid="{FFC9112F-357C-4ECC-A209-D9A5F4206D40}">
      <text>
        <r>
          <rPr>
            <b/>
            <sz val="9"/>
            <color indexed="81"/>
            <rFont val="Tahoma"/>
            <family val="2"/>
          </rPr>
          <t>Micah Noel:</t>
        </r>
        <r>
          <rPr>
            <sz val="9"/>
            <color indexed="81"/>
            <rFont val="Tahoma"/>
            <family val="2"/>
          </rPr>
          <t xml:space="preserve">
Derailed conveyor</t>
        </r>
      </text>
    </comment>
    <comment ref="G382" authorId="4" shapeId="0" xr:uid="{B567E2A5-EA98-47C8-AA4F-A9F8BF28F408}">
      <text>
        <r>
          <rPr>
            <b/>
            <sz val="9"/>
            <color indexed="81"/>
            <rFont val="Tahoma"/>
            <family val="2"/>
          </rPr>
          <t>Micah Noel:</t>
        </r>
        <r>
          <rPr>
            <sz val="9"/>
            <color indexed="81"/>
            <rFont val="Tahoma"/>
            <family val="2"/>
          </rPr>
          <t xml:space="preserve">
cut off</t>
        </r>
      </text>
    </comment>
    <comment ref="AR385" authorId="5" shapeId="0" xr:uid="{CF8F15BC-C19E-4169-8563-C19AC42FC510}">
      <text>
        <r>
          <rPr>
            <b/>
            <sz val="9"/>
            <color indexed="81"/>
            <rFont val="Tahoma"/>
            <family val="2"/>
          </rPr>
          <t xml:space="preserve">Tyrell Bartholomew:
</t>
        </r>
        <r>
          <rPr>
            <sz val="9"/>
            <color indexed="81"/>
            <rFont val="Tahoma"/>
            <family val="2"/>
          </rPr>
          <t>combiner unresponsive boxes needed to be pull manually.( boxes stick)</t>
        </r>
      </text>
    </comment>
    <comment ref="AS385" authorId="5" shapeId="0" xr:uid="{579F920F-EBDF-4C89-85F9-0483E02F98DD}">
      <text>
        <r>
          <rPr>
            <b/>
            <sz val="9"/>
            <color indexed="81"/>
            <rFont val="Tahoma"/>
            <family val="2"/>
          </rPr>
          <t>Tyrell Bartholomew:</t>
        </r>
        <r>
          <rPr>
            <sz val="9"/>
            <color indexed="81"/>
            <rFont val="Tahoma"/>
            <family val="2"/>
          </rPr>
          <t xml:space="preserve">
6mins maintenance replacing rollers.</t>
        </r>
      </text>
    </comment>
    <comment ref="AC388" authorId="1" shapeId="0" xr:uid="{0D934724-5141-4F62-809E-DC38DEB8009B}">
      <text>
        <r>
          <rPr>
            <b/>
            <sz val="9"/>
            <color indexed="81"/>
            <rFont val="Tahoma"/>
            <family val="2"/>
          </rPr>
          <t>Kaylil Baptiste:</t>
        </r>
        <r>
          <rPr>
            <sz val="9"/>
            <color indexed="81"/>
            <rFont val="Tahoma"/>
            <family val="2"/>
          </rPr>
          <t xml:space="preserve">
cut off </t>
        </r>
      </text>
    </comment>
    <comment ref="AD389" authorId="5" shapeId="0" xr:uid="{AFF3065C-7F0E-423D-A79A-49FCCE5E5EFE}">
      <text>
        <r>
          <rPr>
            <b/>
            <sz val="9"/>
            <color indexed="81"/>
            <rFont val="Tahoma"/>
            <family val="2"/>
          </rPr>
          <t>Tyrell Bartholomew:</t>
        </r>
        <r>
          <rPr>
            <sz val="9"/>
            <color indexed="81"/>
            <rFont val="Tahoma"/>
            <family val="2"/>
          </rPr>
          <t xml:space="preserve">
fallen bottle stuck at pasteurizer discharge.</t>
        </r>
      </text>
    </comment>
    <comment ref="AO390" authorId="1" shapeId="0" xr:uid="{BE2CFC70-A8F4-4CE0-922B-AEC2B0A2A630}">
      <text>
        <r>
          <rPr>
            <b/>
            <sz val="9"/>
            <color indexed="81"/>
            <rFont val="Tahoma"/>
            <family val="2"/>
          </rPr>
          <t>Kaylil Baptiste:</t>
        </r>
        <r>
          <rPr>
            <sz val="9"/>
            <color indexed="81"/>
            <rFont val="Tahoma"/>
            <family val="2"/>
          </rPr>
          <t xml:space="preserve">
cut off</t>
        </r>
      </text>
    </comment>
    <comment ref="AC391" authorId="5" shapeId="0" xr:uid="{882164C7-A5DE-49BC-A77B-94A94FA9DB67}">
      <text>
        <r>
          <rPr>
            <b/>
            <sz val="9"/>
            <color indexed="81"/>
            <rFont val="Tahoma"/>
            <family val="2"/>
          </rPr>
          <t>Tyrell Bartholomew:</t>
        </r>
        <r>
          <rPr>
            <sz val="9"/>
            <color indexed="81"/>
            <rFont val="Tahoma"/>
            <family val="2"/>
          </rPr>
          <t xml:space="preserve">
fallen bottles jamming at pasteurizer infeed.</t>
        </r>
      </text>
    </comment>
    <comment ref="AE391" authorId="1" shapeId="0" xr:uid="{57AFF2D4-10B1-4016-B399-3D78A4FAFEA4}">
      <text>
        <r>
          <rPr>
            <b/>
            <sz val="9"/>
            <color indexed="81"/>
            <rFont val="Tahoma"/>
            <family val="2"/>
          </rPr>
          <t>Kaylil Baptiste:</t>
        </r>
        <r>
          <rPr>
            <sz val="9"/>
            <color indexed="81"/>
            <rFont val="Tahoma"/>
            <family val="2"/>
          </rPr>
          <t xml:space="preserve">
13mins communication issue between the pasteurizer discharge and labeler infeed conveyor creating gaps in the line ultimately slows down the labeler resulting is line backing up</t>
        </r>
      </text>
    </comment>
    <comment ref="AT391" authorId="1" shapeId="0" xr:uid="{BE0B37A2-B165-4B05-AAFD-3CF3F7C877B8}">
      <text>
        <r>
          <rPr>
            <b/>
            <sz val="9"/>
            <color indexed="81"/>
            <rFont val="Tahoma"/>
            <family val="2"/>
          </rPr>
          <t>Kaylil Baptiste:</t>
        </r>
        <r>
          <rPr>
            <sz val="9"/>
            <color indexed="81"/>
            <rFont val="Tahoma"/>
            <family val="2"/>
          </rPr>
          <t xml:space="preserve">
running slow</t>
        </r>
      </text>
    </comment>
    <comment ref="G392" authorId="4" shapeId="0" xr:uid="{B1679ADE-BE69-468D-BE63-DD915B0C4FFA}">
      <text>
        <r>
          <rPr>
            <b/>
            <sz val="9"/>
            <color indexed="81"/>
            <rFont val="Tahoma"/>
            <family val="2"/>
          </rPr>
          <t>Micah Noel:</t>
        </r>
        <r>
          <rPr>
            <sz val="9"/>
            <color indexed="81"/>
            <rFont val="Tahoma"/>
            <family val="2"/>
          </rPr>
          <t xml:space="preserve">
8 mins conveyor cutting off</t>
        </r>
      </text>
    </comment>
    <comment ref="AC392" authorId="4" shapeId="0" xr:uid="{C1389749-747B-4366-B248-AB7066FA38EE}">
      <text>
        <r>
          <rPr>
            <b/>
            <sz val="9"/>
            <color indexed="81"/>
            <rFont val="Tahoma"/>
            <family val="2"/>
          </rPr>
          <t>Micah Noel:</t>
        </r>
        <r>
          <rPr>
            <sz val="9"/>
            <color indexed="81"/>
            <rFont val="Tahoma"/>
            <family val="2"/>
          </rPr>
          <t xml:space="preserve">
5 mins broken bottle stuck on conveyor caused line back up 15 mins conveyor stopping 15 pasteurizer in feed runnng slow. 24 mins pasteurizer infeed conveyor running slow</t>
        </r>
      </text>
    </comment>
    <comment ref="AD392" authorId="4" shapeId="0" xr:uid="{0724467A-AA7A-4FB0-AE01-93C26BF10BC2}">
      <text>
        <r>
          <rPr>
            <b/>
            <sz val="9"/>
            <color indexed="81"/>
            <rFont val="Tahoma"/>
            <family val="2"/>
          </rPr>
          <t>Micah Noel:</t>
        </r>
        <r>
          <rPr>
            <sz val="9"/>
            <color indexed="81"/>
            <rFont val="Tahoma"/>
            <family val="2"/>
          </rPr>
          <t xml:space="preserve">
conveyor stopping</t>
        </r>
      </text>
    </comment>
    <comment ref="AC393" authorId="1" shapeId="0" xr:uid="{3ED51CC7-E0C0-46A6-8C28-2E63C37580B5}">
      <text>
        <r>
          <rPr>
            <b/>
            <sz val="9"/>
            <color indexed="81"/>
            <rFont val="Tahoma"/>
            <family val="2"/>
          </rPr>
          <t>Kaylil Baptiste:</t>
        </r>
        <r>
          <rPr>
            <sz val="9"/>
            <color indexed="81"/>
            <rFont val="Tahoma"/>
            <family val="2"/>
          </rPr>
          <t xml:space="preserve">
running slow </t>
        </r>
      </text>
    </comment>
    <comment ref="I394" authorId="1" shapeId="0" xr:uid="{0E26C508-BCF3-4EDD-8424-CB0F24A831EE}">
      <text>
        <r>
          <rPr>
            <b/>
            <sz val="9"/>
            <color indexed="81"/>
            <rFont val="Tahoma"/>
            <family val="2"/>
          </rPr>
          <t>Kaylil Baptiste:</t>
        </r>
        <r>
          <rPr>
            <sz val="9"/>
            <color indexed="81"/>
            <rFont val="Tahoma"/>
            <family val="2"/>
          </rPr>
          <t xml:space="preserve">
malfunction </t>
        </r>
      </text>
    </comment>
    <comment ref="AE395" authorId="4" shapeId="0" xr:uid="{62B99907-7585-4534-BEEE-A2D029305945}">
      <text>
        <r>
          <rPr>
            <b/>
            <sz val="9"/>
            <color indexed="81"/>
            <rFont val="Tahoma"/>
            <family val="2"/>
          </rPr>
          <t>Micah Noel:</t>
        </r>
        <r>
          <rPr>
            <sz val="9"/>
            <color indexed="81"/>
            <rFont val="Tahoma"/>
            <family val="2"/>
          </rPr>
          <t xml:space="preserve">
10 mins conveyor running too slow</t>
        </r>
      </text>
    </comment>
    <comment ref="T398" authorId="1" shapeId="0" xr:uid="{A889BA95-B3AF-4E46-B04B-7D1AD04A2057}">
      <text>
        <r>
          <rPr>
            <b/>
            <sz val="9"/>
            <color indexed="81"/>
            <rFont val="Tahoma"/>
            <family val="2"/>
          </rPr>
          <t>Kaylil Baptiste:</t>
        </r>
        <r>
          <rPr>
            <sz val="9"/>
            <color indexed="81"/>
            <rFont val="Tahoma"/>
            <family val="2"/>
          </rPr>
          <t xml:space="preserve">
running slow</t>
        </r>
      </text>
    </comment>
    <comment ref="AC398" authorId="4" shapeId="0" xr:uid="{5334125D-E5E5-452C-9F3D-DE6BDED0CBCE}">
      <text>
        <r>
          <rPr>
            <b/>
            <sz val="9"/>
            <color indexed="81"/>
            <rFont val="Tahoma"/>
            <family val="2"/>
          </rPr>
          <t>Micah Noel:</t>
        </r>
        <r>
          <rPr>
            <sz val="9"/>
            <color indexed="81"/>
            <rFont val="Tahoma"/>
            <family val="2"/>
          </rPr>
          <t xml:space="preserve">
7 mins conveyor running too slow which create gaps on line  ultimately closing labeler infeed due to lack of adequate  bottle feed to machine 4 mins fallen bottle stuck on conveyor</t>
        </r>
      </text>
    </comment>
    <comment ref="AC399" authorId="4" shapeId="0" xr:uid="{7F995872-B0AA-430D-B298-1E052C34793F}">
      <text>
        <r>
          <rPr>
            <b/>
            <sz val="9"/>
            <color indexed="81"/>
            <rFont val="Tahoma"/>
            <family val="2"/>
          </rPr>
          <t>Micah Noel:</t>
        </r>
        <r>
          <rPr>
            <sz val="9"/>
            <color indexed="81"/>
            <rFont val="Tahoma"/>
            <family val="2"/>
          </rPr>
          <t xml:space="preserve">
pasteurizer infeed stopped it was later discovered by Itrad that the isolator for that conveyor was turned off</t>
        </r>
      </text>
    </comment>
    <comment ref="AG400" authorId="1" shapeId="0" xr:uid="{A019124F-15A5-4058-BABE-990C8EDA4CDA}">
      <text>
        <r>
          <rPr>
            <b/>
            <sz val="9"/>
            <color indexed="81"/>
            <rFont val="Tahoma"/>
            <family val="2"/>
          </rPr>
          <t>Kaylil Baptiste:</t>
        </r>
        <r>
          <rPr>
            <sz val="9"/>
            <color indexed="81"/>
            <rFont val="Tahoma"/>
            <family val="2"/>
          </rPr>
          <t xml:space="preserve">
fallen bottles</t>
        </r>
      </text>
    </comment>
    <comment ref="AH400" authorId="3" shapeId="0" xr:uid="{2C986669-CDB9-41C6-9FF0-BB0468347836}">
      <text>
        <r>
          <rPr>
            <b/>
            <sz val="9"/>
            <color indexed="81"/>
            <rFont val="Tahoma"/>
            <family val="2"/>
          </rPr>
          <t>Michael Julien:</t>
        </r>
        <r>
          <rPr>
            <sz val="9"/>
            <color indexed="81"/>
            <rFont val="Tahoma"/>
            <family val="2"/>
          </rPr>
          <t xml:space="preserve">
conveyor running slow</t>
        </r>
      </text>
    </comment>
    <comment ref="AC401" authorId="1" shapeId="0" xr:uid="{B5623278-8BF3-4616-8869-7372FD7D09F8}">
      <text>
        <r>
          <rPr>
            <b/>
            <sz val="9"/>
            <color indexed="81"/>
            <rFont val="Tahoma"/>
            <family val="2"/>
          </rPr>
          <t>Kaylil Baptiste:</t>
        </r>
        <r>
          <rPr>
            <sz val="9"/>
            <color indexed="81"/>
            <rFont val="Tahoma"/>
            <family val="2"/>
          </rPr>
          <t xml:space="preserve">
running slow </t>
        </r>
      </text>
    </comment>
    <comment ref="AC403" authorId="4" shapeId="0" xr:uid="{28580F0F-B17F-4832-954C-50D3C4DE9409}">
      <text>
        <r>
          <rPr>
            <b/>
            <sz val="9"/>
            <color indexed="81"/>
            <rFont val="Tahoma"/>
            <family val="2"/>
          </rPr>
          <t>Micah Noel:</t>
        </r>
        <r>
          <rPr>
            <sz val="9"/>
            <color indexed="81"/>
            <rFont val="Tahoma"/>
            <family val="2"/>
          </rPr>
          <t xml:space="preserve">
running slow</t>
        </r>
      </text>
    </comment>
    <comment ref="Z407" authorId="4" shapeId="0" xr:uid="{650DC913-D64C-4821-AA22-197F5FB4CAF6}">
      <text>
        <r>
          <rPr>
            <b/>
            <sz val="9"/>
            <color indexed="81"/>
            <rFont val="Tahoma"/>
            <family val="2"/>
          </rPr>
          <t>Micah Noel:</t>
        </r>
        <r>
          <rPr>
            <sz val="9"/>
            <color indexed="81"/>
            <rFont val="Tahoma"/>
            <family val="2"/>
          </rPr>
          <t xml:space="preserve">
adjustment to conveyor ( bottles falling as they transferred  from filler discharge unto pasteurizer infeed</t>
        </r>
      </text>
    </comment>
    <comment ref="AD411" authorId="4" shapeId="0" xr:uid="{DD7FCE2E-6B02-4BC3-8FFD-D91A23353BA1}">
      <text>
        <r>
          <rPr>
            <b/>
            <sz val="9"/>
            <color indexed="81"/>
            <rFont val="Tahoma"/>
            <family val="2"/>
          </rPr>
          <t>Micah Noel:</t>
        </r>
        <r>
          <rPr>
            <sz val="9"/>
            <color indexed="81"/>
            <rFont val="Tahoma"/>
            <family val="2"/>
          </rPr>
          <t xml:space="preserve">
 5 mins fallen bottle stuck on line</t>
        </r>
      </text>
    </comment>
    <comment ref="U412" authorId="4" shapeId="0" xr:uid="{02ADB0F4-D7E2-4152-84AA-7E0AED3C5EA7}">
      <text>
        <r>
          <rPr>
            <b/>
            <sz val="9"/>
            <color indexed="81"/>
            <rFont val="Tahoma"/>
            <family val="2"/>
          </rPr>
          <t>Micah Noel:</t>
        </r>
        <r>
          <rPr>
            <sz val="9"/>
            <color indexed="81"/>
            <rFont val="Tahoma"/>
            <family val="2"/>
          </rPr>
          <t xml:space="preserve">
8 mins Incorrect bottle type stuck on conveyor</t>
        </r>
      </text>
    </comment>
    <comment ref="AD412" authorId="4" shapeId="0" xr:uid="{6358F7EB-1DA1-4742-B809-9F4E5E285F4A}">
      <text>
        <r>
          <rPr>
            <b/>
            <sz val="9"/>
            <color indexed="81"/>
            <rFont val="Tahoma"/>
            <family val="2"/>
          </rPr>
          <t>Micah Noel:</t>
        </r>
        <r>
          <rPr>
            <sz val="9"/>
            <color indexed="81"/>
            <rFont val="Tahoma"/>
            <family val="2"/>
          </rPr>
          <t xml:space="preserve">
2 mins pU monitor stuck on conveyor 2 mins conveyor running slow (cause back up)</t>
        </r>
      </text>
    </comment>
    <comment ref="V414" authorId="1" shapeId="0" xr:uid="{5A4E9935-9A1B-4D76-9709-04645AB73DB6}">
      <text>
        <r>
          <rPr>
            <b/>
            <sz val="9"/>
            <color indexed="81"/>
            <rFont val="Tahoma"/>
            <family val="2"/>
          </rPr>
          <t>Kaylil Baptiste:</t>
        </r>
        <r>
          <rPr>
            <sz val="9"/>
            <color indexed="81"/>
            <rFont val="Tahoma"/>
            <family val="2"/>
          </rPr>
          <t xml:space="preserve">
22mins EBI discharge sensor malfunction, 5mins EBI discharge conveyor not running</t>
        </r>
      </text>
    </comment>
    <comment ref="V415" authorId="4" shapeId="0" xr:uid="{7EC4B5AF-A899-42E4-8759-8A6B5CE5C6EF}">
      <text>
        <r>
          <rPr>
            <b/>
            <sz val="9"/>
            <color indexed="81"/>
            <rFont val="Tahoma"/>
            <family val="2"/>
          </rPr>
          <t>Micah Noel:</t>
        </r>
        <r>
          <rPr>
            <sz val="9"/>
            <color indexed="81"/>
            <rFont val="Tahoma"/>
            <family val="2"/>
          </rPr>
          <t xml:space="preserve">
fallen bottle stuck on conveyor</t>
        </r>
      </text>
    </comment>
    <comment ref="V420" authorId="4" shapeId="0" xr:uid="{578CC7DA-CD37-4AD3-A0BA-B0A9E5D9F7AB}">
      <text>
        <r>
          <rPr>
            <b/>
            <sz val="9"/>
            <color indexed="81"/>
            <rFont val="Tahoma"/>
            <family val="2"/>
          </rPr>
          <t>Micah Noel:</t>
        </r>
        <r>
          <rPr>
            <sz val="9"/>
            <color indexed="81"/>
            <rFont val="Tahoma"/>
            <family val="2"/>
          </rPr>
          <t xml:space="preserve">
conveyor running slow causing gaps on line ultimately closing filler infeed</t>
        </r>
      </text>
    </comment>
    <comment ref="AD420" authorId="4" shapeId="0" xr:uid="{5419C3DB-3A4D-4DF2-AF91-011CB47DE15C}">
      <text>
        <r>
          <rPr>
            <b/>
            <sz val="9"/>
            <color indexed="81"/>
            <rFont val="Tahoma"/>
            <family val="2"/>
          </rPr>
          <t>Micah Noel:</t>
        </r>
        <r>
          <rPr>
            <sz val="9"/>
            <color indexed="81"/>
            <rFont val="Tahoma"/>
            <family val="2"/>
          </rPr>
          <t xml:space="preserve">
bottles jammed on conveyor</t>
        </r>
      </text>
    </comment>
    <comment ref="AD421" authorId="4" shapeId="0" xr:uid="{83D66F46-A1C2-4653-B5E7-2FBA7C2B6701}">
      <text/>
    </comment>
    <comment ref="AD422" authorId="1" shapeId="0" xr:uid="{2D017437-1CFE-4BE7-8FCD-E0AA926BEA71}">
      <text>
        <r>
          <rPr>
            <b/>
            <sz val="9"/>
            <color indexed="81"/>
            <rFont val="Tahoma"/>
            <family val="2"/>
          </rPr>
          <t>Micah Noel:</t>
        </r>
        <r>
          <rPr>
            <sz val="9"/>
            <color indexed="81"/>
            <rFont val="Tahoma"/>
            <family val="2"/>
          </rPr>
          <t xml:space="preserve">
pu monitor stuck at conveyor</t>
        </r>
      </text>
    </comment>
    <comment ref="AD423" authorId="4" shapeId="0" xr:uid="{6B65297A-1545-4A59-BC93-F3C8BC0434B4}">
      <text>
        <r>
          <rPr>
            <b/>
            <sz val="9"/>
            <color indexed="81"/>
            <rFont val="Tahoma"/>
            <family val="2"/>
          </rPr>
          <t>Micah Noel:</t>
        </r>
        <r>
          <rPr>
            <sz val="9"/>
            <color indexed="81"/>
            <rFont val="Tahoma"/>
            <family val="2"/>
          </rPr>
          <t xml:space="preserve">
9 mins Pu monitor stuck</t>
        </r>
      </text>
    </comment>
    <comment ref="AD434" authorId="4" shapeId="0" xr:uid="{1A357D22-697F-47F8-B6D7-EE5698C6B7A9}">
      <text>
        <r>
          <rPr>
            <b/>
            <sz val="9"/>
            <color indexed="81"/>
            <rFont val="Tahoma"/>
            <family val="2"/>
          </rPr>
          <t>Micah Noel:</t>
        </r>
        <r>
          <rPr>
            <sz val="9"/>
            <color indexed="81"/>
            <rFont val="Tahoma"/>
            <family val="2"/>
          </rPr>
          <t xml:space="preserve">
sensor on conveyor jammed by broken bottle which caused the conveyor to remain in a stop position</t>
        </r>
      </text>
    </comment>
    <comment ref="S435" authorId="6" shapeId="0" xr:uid="{D51A97F7-4A66-4EB0-A830-ECE0E8AFDC5A}">
      <text>
        <r>
          <rPr>
            <b/>
            <sz val="9"/>
            <color indexed="81"/>
            <rFont val="Tahoma"/>
            <family val="2"/>
          </rPr>
          <t>Reshelle Fleming:</t>
        </r>
        <r>
          <rPr>
            <sz val="9"/>
            <color indexed="81"/>
            <rFont val="Tahoma"/>
            <family val="2"/>
          </rPr>
          <t xml:space="preserve">
4mins fallen bottles on shuffer before the EBI</t>
        </r>
      </text>
    </comment>
    <comment ref="AD436" authorId="4" shapeId="0" xr:uid="{7C734B7A-5B54-4AAF-9987-8E2C69AA83A8}">
      <text>
        <r>
          <rPr>
            <b/>
            <sz val="9"/>
            <color indexed="81"/>
            <rFont val="Tahoma"/>
            <family val="2"/>
          </rPr>
          <t>Micah Noel:</t>
        </r>
        <r>
          <rPr>
            <sz val="9"/>
            <color indexed="81"/>
            <rFont val="Tahoma"/>
            <family val="2"/>
          </rPr>
          <t xml:space="preserve">
7mins Pasteurizer conveyor sensor malfunction, 25 mins pasteurizer discharge conveyors cut off</t>
        </r>
      </text>
    </comment>
    <comment ref="AD438" authorId="4" shapeId="0" xr:uid="{7AB594BC-EDEC-4042-8465-5FAC1BCB7330}">
      <text>
        <r>
          <rPr>
            <b/>
            <sz val="9"/>
            <color indexed="81"/>
            <rFont val="Tahoma"/>
            <family val="2"/>
          </rPr>
          <t>Micah Noel:</t>
        </r>
        <r>
          <rPr>
            <sz val="9"/>
            <color indexed="81"/>
            <rFont val="Tahoma"/>
            <family val="2"/>
          </rPr>
          <t xml:space="preserve">
8mins PU monitor stuck at discharge conveyor</t>
        </r>
      </text>
    </comment>
    <comment ref="AD439" authorId="6" shapeId="0" xr:uid="{F08BFFDC-449F-4745-8462-703E145804A9}">
      <text>
        <r>
          <rPr>
            <b/>
            <sz val="9"/>
            <color indexed="81"/>
            <rFont val="Tahoma"/>
            <family val="2"/>
          </rPr>
          <t>Reshelle Fleming:</t>
        </r>
        <r>
          <rPr>
            <sz val="9"/>
            <color indexed="81"/>
            <rFont val="Tahoma"/>
            <family val="2"/>
          </rPr>
          <t xml:space="preserve">
5mins bottle jam at pasteurizer discharge </t>
        </r>
      </text>
    </comment>
    <comment ref="R441" authorId="4" shapeId="0" xr:uid="{CEFDC118-5AC7-483F-8048-42B723C0FCBA}">
      <text>
        <r>
          <rPr>
            <b/>
            <sz val="9"/>
            <color indexed="81"/>
            <rFont val="Tahoma"/>
            <family val="2"/>
          </rPr>
          <t>Micah Noel:</t>
        </r>
        <r>
          <rPr>
            <sz val="9"/>
            <color indexed="81"/>
            <rFont val="Tahoma"/>
            <family val="2"/>
          </rPr>
          <t xml:space="preserve">
fallen bottle jammed on conveyor</t>
        </r>
      </text>
    </comment>
    <comment ref="AD445" authorId="4" shapeId="0" xr:uid="{8A801529-08BB-41C1-A2EB-42F290E96023}">
      <text>
        <r>
          <rPr>
            <b/>
            <sz val="9"/>
            <color indexed="81"/>
            <rFont val="Tahoma"/>
            <family val="2"/>
          </rPr>
          <t>Micah Noel:</t>
        </r>
        <r>
          <rPr>
            <sz val="9"/>
            <color indexed="81"/>
            <rFont val="Tahoma"/>
            <family val="2"/>
          </rPr>
          <t xml:space="preserve">
bottles jamming at discharge</t>
        </r>
      </text>
    </comment>
    <comment ref="R447" authorId="4" shapeId="0" xr:uid="{798D3A49-E493-4A5E-B798-BA5DE427E1CD}">
      <text>
        <r>
          <rPr>
            <b/>
            <sz val="9"/>
            <color indexed="81"/>
            <rFont val="Tahoma"/>
            <family val="2"/>
          </rPr>
          <t>Micah Noel:</t>
        </r>
        <r>
          <rPr>
            <sz val="9"/>
            <color indexed="81"/>
            <rFont val="Tahoma"/>
            <family val="2"/>
          </rPr>
          <t xml:space="preserve">
fallen bottle stuck on conveyor</t>
        </r>
      </text>
    </comment>
    <comment ref="AC447" authorId="4" shapeId="0" xr:uid="{F524D1E0-DADA-4E7B-BC33-964AAA76CEF9}">
      <text>
        <r>
          <rPr>
            <b/>
            <sz val="9"/>
            <color indexed="81"/>
            <rFont val="Tahoma"/>
            <family val="2"/>
          </rPr>
          <t>Micah Noel:</t>
        </r>
        <r>
          <rPr>
            <sz val="9"/>
            <color indexed="81"/>
            <rFont val="Tahoma"/>
            <family val="2"/>
          </rPr>
          <t xml:space="preserve">
fallen bottles stuck on conveyor</t>
        </r>
      </text>
    </comment>
    <comment ref="AD447" authorId="5" shapeId="0" xr:uid="{F9158C4A-7FE0-4091-A9C7-7711FA7F8B4F}">
      <text>
        <r>
          <rPr>
            <b/>
            <sz val="9"/>
            <color indexed="81"/>
            <rFont val="Tahoma"/>
            <family val="2"/>
          </rPr>
          <t>Tyrell Bartholomew:</t>
        </r>
        <r>
          <rPr>
            <sz val="9"/>
            <color indexed="81"/>
            <rFont val="Tahoma"/>
            <family val="2"/>
          </rPr>
          <t xml:space="preserve">
conveyor malfunction</t>
        </r>
      </text>
    </comment>
    <comment ref="AQ447" authorId="6" shapeId="0" xr:uid="{46C1585A-09A1-4A6E-B706-B90A49E90CB8}">
      <text>
        <r>
          <rPr>
            <b/>
            <sz val="9"/>
            <color indexed="81"/>
            <rFont val="Tahoma"/>
            <family val="2"/>
          </rPr>
          <t>Reshelle Fleming:</t>
        </r>
        <r>
          <rPr>
            <sz val="9"/>
            <color indexed="81"/>
            <rFont val="Tahoma"/>
            <family val="2"/>
          </rPr>
          <t xml:space="preserve">
12mins broken crate infeed guide rail </t>
        </r>
      </text>
    </comment>
    <comment ref="AT447" authorId="6" shapeId="0" xr:uid="{39B051D1-5E1B-48FD-9ED4-C6522A0A2410}">
      <text>
        <r>
          <rPr>
            <b/>
            <sz val="9"/>
            <color indexed="81"/>
            <rFont val="Tahoma"/>
            <family val="2"/>
          </rPr>
          <t>Reshelle Fleming:</t>
        </r>
        <r>
          <rPr>
            <sz val="9"/>
            <color indexed="81"/>
            <rFont val="Tahoma"/>
            <family val="2"/>
          </rPr>
          <t xml:space="preserve">
26mins welding rail at Packer discharge </t>
        </r>
      </text>
    </comment>
    <comment ref="V449" authorId="4" shapeId="0" xr:uid="{B4B6E1B9-E961-4092-BD35-9276F3297EA9}">
      <text>
        <r>
          <rPr>
            <b/>
            <sz val="9"/>
            <color indexed="81"/>
            <rFont val="Tahoma"/>
            <family val="2"/>
          </rPr>
          <t>Micah Noel:</t>
        </r>
        <r>
          <rPr>
            <sz val="9"/>
            <color indexed="81"/>
            <rFont val="Tahoma"/>
            <family val="2"/>
          </rPr>
          <t xml:space="preserve">
10mins making adjustments to sensor on EBI discharge conveyor line</t>
        </r>
      </text>
    </comment>
    <comment ref="AD450" authorId="4" shapeId="0" xr:uid="{70E7B5F7-671F-4A68-A5D2-7F17934056FE}">
      <text>
        <r>
          <rPr>
            <b/>
            <sz val="9"/>
            <color indexed="81"/>
            <rFont val="Tahoma"/>
            <family val="2"/>
          </rPr>
          <t>Micah Noel:</t>
        </r>
        <r>
          <rPr>
            <sz val="9"/>
            <color indexed="81"/>
            <rFont val="Tahoma"/>
            <family val="2"/>
          </rPr>
          <t xml:space="preserve">
Bottles stuck on conveyor</t>
        </r>
      </text>
    </comment>
    <comment ref="AD451" authorId="4" shapeId="0" xr:uid="{0940EFB2-A547-40A9-93BA-BC0EF117D7AC}">
      <text>
        <r>
          <rPr>
            <b/>
            <sz val="9"/>
            <color indexed="81"/>
            <rFont val="Tahoma"/>
            <family val="2"/>
          </rPr>
          <t>Micah Noel:</t>
        </r>
        <r>
          <rPr>
            <sz val="9"/>
            <color indexed="81"/>
            <rFont val="Tahoma"/>
            <family val="2"/>
          </rPr>
          <t xml:space="preserve">
3 mins fallen bottle stuck on conveyor</t>
        </r>
      </text>
    </comment>
    <comment ref="R452" authorId="4" shapeId="0" xr:uid="{E93DE487-8E22-4D8D-8E5F-922A6ABB4BB7}">
      <text>
        <r>
          <rPr>
            <b/>
            <sz val="9"/>
            <color indexed="81"/>
            <rFont val="Tahoma"/>
            <family val="2"/>
          </rPr>
          <t>Micah Noel:</t>
        </r>
        <r>
          <rPr>
            <sz val="9"/>
            <color indexed="81"/>
            <rFont val="Tahoma"/>
            <family val="2"/>
          </rPr>
          <t xml:space="preserve">
2 mins bottle stuck on conveyor</t>
        </r>
      </text>
    </comment>
    <comment ref="J454" authorId="6" shapeId="0" xr:uid="{B93B38ED-61C4-4E30-B9A8-98C5BBC60089}">
      <text>
        <r>
          <rPr>
            <b/>
            <sz val="9"/>
            <color indexed="81"/>
            <rFont val="Tahoma"/>
            <family val="2"/>
          </rPr>
          <t>Reshelle Fleming:</t>
        </r>
        <r>
          <rPr>
            <sz val="9"/>
            <color indexed="81"/>
            <rFont val="Tahoma"/>
            <family val="2"/>
          </rPr>
          <t xml:space="preserve">
13mins malfunction on crate conveyor </t>
        </r>
      </text>
    </comment>
    <comment ref="AO454" authorId="6" shapeId="0" xr:uid="{76CC6F5F-145C-4314-BF6D-EEC66DEEAA88}">
      <text>
        <r>
          <rPr>
            <b/>
            <sz val="9"/>
            <color indexed="81"/>
            <rFont val="Tahoma"/>
            <family val="2"/>
          </rPr>
          <t>Reshelle Fleming:</t>
        </r>
        <r>
          <rPr>
            <sz val="9"/>
            <color indexed="81"/>
            <rFont val="Tahoma"/>
            <family val="2"/>
          </rPr>
          <t xml:space="preserve">
2mins adjusting packer infeed frame </t>
        </r>
      </text>
    </comment>
    <comment ref="E455" authorId="1" shapeId="0" xr:uid="{663EF19F-6FE2-4A4B-BDE3-BF3C82A3CE24}">
      <text>
        <r>
          <rPr>
            <b/>
            <sz val="9"/>
            <color indexed="81"/>
            <rFont val="Tahoma"/>
            <family val="2"/>
          </rPr>
          <t>Kaylil Baptiste:</t>
        </r>
        <r>
          <rPr>
            <sz val="9"/>
            <color indexed="81"/>
            <rFont val="Tahoma"/>
            <family val="2"/>
          </rPr>
          <t xml:space="preserve">
cover for motor fell off</t>
        </r>
      </text>
    </comment>
    <comment ref="R455" authorId="4" shapeId="0" xr:uid="{B244B86F-4008-4A03-BBED-D4B390ED5EB8}">
      <text>
        <r>
          <rPr>
            <b/>
            <sz val="9"/>
            <color indexed="81"/>
            <rFont val="Tahoma"/>
            <family val="2"/>
          </rPr>
          <t>Micah Noel:</t>
        </r>
        <r>
          <rPr>
            <sz val="9"/>
            <color indexed="81"/>
            <rFont val="Tahoma"/>
            <family val="2"/>
          </rPr>
          <t xml:space="preserve">
fallen bottle stuck on conveyor</t>
        </r>
      </text>
    </comment>
    <comment ref="AU455" authorId="4" shapeId="0" xr:uid="{AB47741B-65A9-47E6-A1A7-7342CC4ED441}">
      <text>
        <r>
          <rPr>
            <b/>
            <sz val="9"/>
            <color indexed="81"/>
            <rFont val="Tahoma"/>
            <family val="2"/>
          </rPr>
          <t>Micah Noel:</t>
        </r>
        <r>
          <rPr>
            <sz val="9"/>
            <color indexed="81"/>
            <rFont val="Tahoma"/>
            <family val="2"/>
          </rPr>
          <t xml:space="preserve">
Detached chain</t>
        </r>
      </text>
    </comment>
    <comment ref="M456" authorId="4" shapeId="0" xr:uid="{F2D8DC89-2BBF-4696-BD17-F47EA9E84CDF}">
      <text>
        <r>
          <rPr>
            <b/>
            <sz val="9"/>
            <color indexed="81"/>
            <rFont val="Tahoma"/>
            <family val="2"/>
          </rPr>
          <t>Micah Noel:</t>
        </r>
        <r>
          <rPr>
            <sz val="9"/>
            <color indexed="81"/>
            <rFont val="Tahoma"/>
            <family val="2"/>
          </rPr>
          <t xml:space="preserve">
conveyor cut off</t>
        </r>
      </text>
    </comment>
    <comment ref="O456" authorId="4" shapeId="0" xr:uid="{85E9F759-520E-490E-A958-987ADFCAF9EF}">
      <text>
        <r>
          <rPr>
            <b/>
            <sz val="9"/>
            <color indexed="81"/>
            <rFont val="Tahoma"/>
            <family val="2"/>
          </rPr>
          <t>Micah Noel:</t>
        </r>
        <r>
          <rPr>
            <sz val="9"/>
            <color indexed="81"/>
            <rFont val="Tahoma"/>
            <family val="2"/>
          </rPr>
          <t xml:space="preserve">
burnt motor</t>
        </r>
      </text>
    </comment>
    <comment ref="B457" authorId="4" shapeId="0" xr:uid="{32E953A2-AC43-4DC9-9A7D-34F98C59B4FE}">
      <text>
        <r>
          <rPr>
            <b/>
            <sz val="9"/>
            <color indexed="81"/>
            <rFont val="Tahoma"/>
            <family val="2"/>
          </rPr>
          <t>Micah Noel:</t>
        </r>
        <r>
          <rPr>
            <sz val="9"/>
            <color indexed="81"/>
            <rFont val="Tahoma"/>
            <family val="2"/>
          </rPr>
          <t xml:space="preserve">
conveyor repairs plus lack of good crates to keep line fluid</t>
        </r>
      </text>
    </comment>
    <comment ref="AD457" authorId="4" shapeId="0" xr:uid="{2718D75F-C4A4-4CC4-95F0-A3FF490A39F1}">
      <text>
        <r>
          <rPr>
            <b/>
            <sz val="9"/>
            <color indexed="81"/>
            <rFont val="Tahoma"/>
            <family val="2"/>
          </rPr>
          <t>Micah Noel:</t>
        </r>
        <r>
          <rPr>
            <sz val="9"/>
            <color indexed="81"/>
            <rFont val="Tahoma"/>
            <family val="2"/>
          </rPr>
          <t xml:space="preserve">
PU monitor stuck on conveyor</t>
        </r>
      </text>
    </comment>
    <comment ref="Z459" authorId="4" shapeId="0" xr:uid="{19B6D07D-07C8-47AC-A248-6C82242B7253}">
      <text>
        <r>
          <rPr>
            <b/>
            <sz val="9"/>
            <color indexed="81"/>
            <rFont val="Tahoma"/>
            <family val="2"/>
          </rPr>
          <t>Micah Noel:</t>
        </r>
        <r>
          <rPr>
            <sz val="9"/>
            <color indexed="81"/>
            <rFont val="Tahoma"/>
            <family val="2"/>
          </rPr>
          <t xml:space="preserve">
fallen bottle on conveyor</t>
        </r>
      </text>
    </comment>
    <comment ref="B461" authorId="4" shapeId="0" xr:uid="{AC90197E-6C3B-4DBF-ACC8-E4910DFEBF8F}">
      <text>
        <r>
          <rPr>
            <b/>
            <sz val="9"/>
            <color indexed="81"/>
            <rFont val="Tahoma"/>
            <family val="2"/>
          </rPr>
          <t>Micah Noel:</t>
        </r>
        <r>
          <rPr>
            <sz val="9"/>
            <color indexed="81"/>
            <rFont val="Tahoma"/>
            <family val="2"/>
          </rPr>
          <t xml:space="preserve">
conveyor cut off</t>
        </r>
      </text>
    </comment>
    <comment ref="N461" authorId="4" shapeId="0" xr:uid="{F5894D46-257B-4410-BF1A-E582ADCD917E}">
      <text>
        <r>
          <rPr>
            <b/>
            <sz val="9"/>
            <color indexed="81"/>
            <rFont val="Tahoma"/>
            <family val="2"/>
          </rPr>
          <t>Micah Noel:</t>
        </r>
        <r>
          <rPr>
            <sz val="9"/>
            <color indexed="81"/>
            <rFont val="Tahoma"/>
            <family val="2"/>
          </rPr>
          <t xml:space="preserve">
fallen bottles stuck on conveyor</t>
        </r>
      </text>
    </comment>
    <comment ref="V464" authorId="2" shapeId="0" xr:uid="{EACEE076-6208-4A8E-9809-9D7420057AED}">
      <text>
        <r>
          <rPr>
            <b/>
            <sz val="9"/>
            <color indexed="81"/>
            <rFont val="Tahoma"/>
            <family val="2"/>
          </rPr>
          <t>Dorien Andrew:</t>
        </r>
        <r>
          <rPr>
            <sz val="9"/>
            <color indexed="81"/>
            <rFont val="Tahoma"/>
            <family val="2"/>
          </rPr>
          <t xml:space="preserve">
REPLACING DAMAGED SENSOR </t>
        </r>
      </text>
    </comment>
    <comment ref="R466" authorId="4" shapeId="0" xr:uid="{4C767C27-00ED-4559-BE10-D9A10EC4F9F4}">
      <text>
        <r>
          <rPr>
            <b/>
            <sz val="9"/>
            <color indexed="81"/>
            <rFont val="Tahoma"/>
            <family val="2"/>
          </rPr>
          <t>Micah Noel:</t>
        </r>
        <r>
          <rPr>
            <sz val="9"/>
            <color indexed="81"/>
            <rFont val="Tahoma"/>
            <family val="2"/>
          </rPr>
          <t xml:space="preserve">
6 mins conveyor cut off</t>
        </r>
      </text>
    </comment>
    <comment ref="R467" authorId="4" shapeId="0" xr:uid="{CC95139F-5C7F-405E-B469-01CAD7B665FA}">
      <text>
        <r>
          <rPr>
            <b/>
            <sz val="9"/>
            <color indexed="81"/>
            <rFont val="Tahoma"/>
            <family val="2"/>
          </rPr>
          <t>Micah Noel:</t>
        </r>
        <r>
          <rPr>
            <sz val="9"/>
            <color indexed="81"/>
            <rFont val="Tahoma"/>
            <family val="2"/>
          </rPr>
          <t xml:space="preserve">
50mins unresponsive EBI conveyors, 136 mins malfunction with conveyor.</t>
        </r>
      </text>
    </comment>
    <comment ref="AD468" authorId="4" shapeId="0" xr:uid="{0C87D390-670B-43C0-B74D-47DFB1BD2C70}">
      <text>
        <r>
          <rPr>
            <b/>
            <sz val="9"/>
            <color indexed="81"/>
            <rFont val="Tahoma"/>
            <family val="2"/>
          </rPr>
          <t>Micah Noel:</t>
        </r>
        <r>
          <rPr>
            <sz val="9"/>
            <color indexed="81"/>
            <rFont val="Tahoma"/>
            <family val="2"/>
          </rPr>
          <t xml:space="preserve">
Bottles falling at discharge</t>
        </r>
      </text>
    </comment>
    <comment ref="AD495" authorId="4" shapeId="0" xr:uid="{2748CD17-A194-48BF-8F1A-F514CD867163}">
      <text>
        <r>
          <rPr>
            <b/>
            <sz val="9"/>
            <color indexed="81"/>
            <rFont val="Tahoma"/>
            <family val="2"/>
          </rPr>
          <t>Micah Noel:</t>
        </r>
        <r>
          <rPr>
            <sz val="9"/>
            <color indexed="81"/>
            <rFont val="Tahoma"/>
            <family val="2"/>
          </rPr>
          <t xml:space="preserve">
 bottles stuck on conveyor</t>
        </r>
      </text>
    </comment>
    <comment ref="V497" authorId="4" shapeId="0" xr:uid="{2223AB64-0257-450C-AD15-0CC9640DD9F8}">
      <text>
        <r>
          <rPr>
            <b/>
            <sz val="9"/>
            <color indexed="81"/>
            <rFont val="Tahoma"/>
            <family val="2"/>
          </rPr>
          <t>Micah Noel:</t>
        </r>
        <r>
          <rPr>
            <sz val="9"/>
            <color indexed="81"/>
            <rFont val="Tahoma"/>
            <family val="2"/>
          </rPr>
          <t xml:space="preserve">
sensor malfunction</t>
        </r>
      </text>
    </comment>
    <comment ref="R503" authorId="1" shapeId="0" xr:uid="{359442CD-53B5-4792-96CA-47F50B70503F}">
      <text>
        <r>
          <rPr>
            <b/>
            <sz val="9"/>
            <color indexed="81"/>
            <rFont val="Tahoma"/>
            <family val="2"/>
          </rPr>
          <t>Kaylil Baptiste:</t>
        </r>
        <r>
          <rPr>
            <sz val="9"/>
            <color indexed="81"/>
            <rFont val="Tahoma"/>
            <family val="2"/>
          </rPr>
          <t xml:space="preserve">
20mins for EBI infeed sensor malfunction</t>
        </r>
      </text>
    </comment>
    <comment ref="Y503" authorId="1" shapeId="0" xr:uid="{1D12321C-93F0-436D-BFF4-8D5E677E0329}">
      <text>
        <r>
          <rPr>
            <b/>
            <sz val="9"/>
            <color indexed="81"/>
            <rFont val="Tahoma"/>
            <family val="2"/>
          </rPr>
          <t>Kaylil Baptiste:</t>
        </r>
        <r>
          <rPr>
            <sz val="9"/>
            <color indexed="81"/>
            <rFont val="Tahoma"/>
            <family val="2"/>
          </rPr>
          <t xml:space="preserve">
20mins filler bottle sensor malfunction</t>
        </r>
      </text>
    </comment>
    <comment ref="AD503" authorId="3" shapeId="0" xr:uid="{ACCE8F29-8C38-4B64-9BF4-A09449070BB8}">
      <text>
        <r>
          <rPr>
            <b/>
            <sz val="9"/>
            <color indexed="81"/>
            <rFont val="Tahoma"/>
            <family val="2"/>
          </rPr>
          <t>Michael Julien:</t>
        </r>
        <r>
          <rPr>
            <sz val="9"/>
            <color indexed="81"/>
            <rFont val="Tahoma"/>
            <family val="2"/>
          </rPr>
          <t xml:space="preserve">
PU monitor jam</t>
        </r>
      </text>
    </comment>
    <comment ref="AT503" authorId="1" shapeId="0" xr:uid="{9769A999-1A38-461A-B2D8-3FDA0B635789}">
      <text>
        <r>
          <rPr>
            <b/>
            <sz val="9"/>
            <color indexed="81"/>
            <rFont val="Tahoma"/>
            <family val="2"/>
          </rPr>
          <t>Kaylil Baptiste:</t>
        </r>
        <r>
          <rPr>
            <sz val="9"/>
            <color indexed="81"/>
            <rFont val="Tahoma"/>
            <family val="2"/>
          </rPr>
          <t xml:space="preserve">
40mins malfunction on packer discharge conveyor </t>
        </r>
      </text>
    </comment>
    <comment ref="V508" authorId="2" shapeId="0" xr:uid="{70921485-DC67-4EE5-BBB5-99B08C67E7C1}">
      <text>
        <r>
          <rPr>
            <b/>
            <sz val="9"/>
            <color indexed="81"/>
            <rFont val="Tahoma"/>
            <family val="2"/>
          </rPr>
          <t>Dorien Andrew:</t>
        </r>
        <r>
          <rPr>
            <sz val="9"/>
            <color indexed="81"/>
            <rFont val="Tahoma"/>
            <family val="2"/>
          </rPr>
          <t xml:space="preserve">
12 lost for conveyor issues</t>
        </r>
      </text>
    </comment>
    <comment ref="AC508" authorId="4" shapeId="0" xr:uid="{84E8D709-4FEC-4B60-8653-41FD8F235BF9}">
      <text>
        <r>
          <rPr>
            <b/>
            <sz val="9"/>
            <color indexed="81"/>
            <rFont val="Tahoma"/>
            <family val="2"/>
          </rPr>
          <t>Micah Noel:</t>
        </r>
        <r>
          <rPr>
            <sz val="9"/>
            <color indexed="81"/>
            <rFont val="Tahoma"/>
            <family val="2"/>
          </rPr>
          <t xml:space="preserve">
conveyor running slow</t>
        </r>
      </text>
    </comment>
    <comment ref="AD508" authorId="4" shapeId="0" xr:uid="{5490968A-4190-4656-949D-13712F2FCF74}">
      <text>
        <r>
          <rPr>
            <b/>
            <sz val="9"/>
            <color indexed="81"/>
            <rFont val="Tahoma"/>
            <family val="2"/>
          </rPr>
          <t>Micah Noel:</t>
        </r>
        <r>
          <rPr>
            <sz val="9"/>
            <color indexed="81"/>
            <rFont val="Tahoma"/>
            <family val="2"/>
          </rPr>
          <t xml:space="preserve">
pu monitor stuck at discharge</t>
        </r>
      </text>
    </comment>
    <comment ref="AN509" authorId="5" shapeId="0" xr:uid="{7A4928AE-ECE4-4C4E-B20D-7AC3B9916334}">
      <text>
        <r>
          <rPr>
            <b/>
            <sz val="9"/>
            <color indexed="81"/>
            <rFont val="Tahoma"/>
            <family val="2"/>
          </rPr>
          <t>Tyrell Bartholomew:</t>
        </r>
        <r>
          <rPr>
            <sz val="9"/>
            <color indexed="81"/>
            <rFont val="Tahoma"/>
            <family val="2"/>
          </rPr>
          <t xml:space="preserve">
conveyor unresponsive</t>
        </r>
      </text>
    </comment>
    <comment ref="R511" authorId="4" shapeId="0" xr:uid="{008B404A-D17C-4267-8C88-D57953BE64E2}">
      <text>
        <r>
          <rPr>
            <b/>
            <sz val="9"/>
            <color indexed="81"/>
            <rFont val="Tahoma"/>
            <family val="2"/>
          </rPr>
          <t>Micah Noel:</t>
        </r>
        <r>
          <rPr>
            <sz val="9"/>
            <color indexed="81"/>
            <rFont val="Tahoma"/>
            <family val="2"/>
          </rPr>
          <t xml:space="preserve">
bottle stuck on conveyor</t>
        </r>
      </text>
    </comment>
    <comment ref="AD511" authorId="4" shapeId="0" xr:uid="{E9075C1C-9A16-445F-A59B-661D83298AA5}">
      <text>
        <r>
          <rPr>
            <b/>
            <sz val="9"/>
            <color indexed="81"/>
            <rFont val="Tahoma"/>
            <family val="2"/>
          </rPr>
          <t>Micah Noel:</t>
        </r>
        <r>
          <rPr>
            <sz val="9"/>
            <color indexed="81"/>
            <rFont val="Tahoma"/>
            <family val="2"/>
          </rPr>
          <t xml:space="preserve">
2 mins PU monitor stuck at discharge 4 mins conveyor running slow</t>
        </r>
      </text>
    </comment>
    <comment ref="AH511" authorId="4" shapeId="0" xr:uid="{312135CF-6B13-40B7-9E2E-E9E6A3BA2A7D}">
      <text>
        <r>
          <rPr>
            <b/>
            <sz val="9"/>
            <color indexed="81"/>
            <rFont val="Tahoma"/>
            <family val="2"/>
          </rPr>
          <t>Micah Noel:</t>
        </r>
        <r>
          <rPr>
            <sz val="9"/>
            <color indexed="81"/>
            <rFont val="Tahoma"/>
            <family val="2"/>
          </rPr>
          <t xml:space="preserve">
2 mins fallen bottle stuck on conveyor</t>
        </r>
      </text>
    </comment>
    <comment ref="AD516" authorId="5" shapeId="0" xr:uid="{AC79ED75-F05F-4C7E-AFD1-328BB1CAECF9}">
      <text>
        <r>
          <rPr>
            <b/>
            <sz val="9"/>
            <color indexed="81"/>
            <rFont val="Tahoma"/>
            <family val="2"/>
          </rPr>
          <t>Tyrell Bartholomew:</t>
        </r>
        <r>
          <rPr>
            <sz val="9"/>
            <color indexed="81"/>
            <rFont val="Tahoma"/>
            <family val="2"/>
          </rPr>
          <t xml:space="preserve">
fallen bottle jam at discharge</t>
        </r>
      </text>
    </comment>
    <comment ref="Y517" authorId="2" shapeId="0" xr:uid="{65A72E6B-AE9E-4432-9877-958A4994F69E}">
      <text>
        <r>
          <rPr>
            <b/>
            <sz val="9"/>
            <color indexed="81"/>
            <rFont val="Tahoma"/>
            <family val="2"/>
          </rPr>
          <t>Dorien Andrew:</t>
        </r>
        <r>
          <rPr>
            <sz val="9"/>
            <color indexed="81"/>
            <rFont val="Tahoma"/>
            <family val="2"/>
          </rPr>
          <t xml:space="preserve">
conveyor not working </t>
        </r>
      </text>
    </comment>
    <comment ref="AD517" authorId="4" shapeId="0" xr:uid="{0212771A-BEA7-423E-A773-3E836E9B8E97}">
      <text>
        <r>
          <rPr>
            <b/>
            <sz val="9"/>
            <color indexed="81"/>
            <rFont val="Tahoma"/>
            <family val="2"/>
          </rPr>
          <t>Micah Noel:</t>
        </r>
        <r>
          <rPr>
            <sz val="9"/>
            <color indexed="81"/>
            <rFont val="Tahoma"/>
            <family val="2"/>
          </rPr>
          <t xml:space="preserve">
fallen bottle stuck on conveyor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Kaylil Baptiste</author>
    <author>Dorien Andrew</author>
    <author>Micah Noel</author>
    <author>Michael Julien</author>
    <author>Tyrell Bartholomew</author>
    <author>Royd</author>
  </authors>
  <commentList>
    <comment ref="I8" authorId="0" shapeId="0" xr:uid="{E9264C00-6F7C-414A-A1E8-E46BE1C1C46B}">
      <text>
        <r>
          <rPr>
            <b/>
            <sz val="9"/>
            <color indexed="81"/>
            <rFont val="Tahoma"/>
            <family val="2"/>
          </rPr>
          <t>Kaylil Baptiste:</t>
        </r>
        <r>
          <rPr>
            <sz val="9"/>
            <color indexed="81"/>
            <rFont val="Tahoma"/>
            <family val="2"/>
          </rPr>
          <t xml:space="preserve">
106mins filler change over from vita Malt to Stag</t>
        </r>
      </text>
    </comment>
    <comment ref="O8" authorId="0" shapeId="0" xr:uid="{35D9A18B-8A3D-47FA-B05C-FB9ADBAB7F86}">
      <text>
        <r>
          <rPr>
            <b/>
            <sz val="9"/>
            <color indexed="81"/>
            <rFont val="Tahoma"/>
            <family val="2"/>
          </rPr>
          <t>Kaylil Baptiste:</t>
        </r>
        <r>
          <rPr>
            <sz val="9"/>
            <color indexed="81"/>
            <rFont val="Tahoma"/>
            <family val="2"/>
          </rPr>
          <t xml:space="preserve">
32mins uncaser head malfunction, 6mins uncaser head hitting crates</t>
        </r>
      </text>
    </comment>
    <comment ref="P8" authorId="0" shapeId="0" xr:uid="{7E56FF5D-93E9-4B73-8952-08B300F7DE17}">
      <text>
        <r>
          <rPr>
            <b/>
            <sz val="9"/>
            <color indexed="81"/>
            <rFont val="Tahoma"/>
            <family val="2"/>
          </rPr>
          <t>Kaylil Baptiste:</t>
        </r>
        <r>
          <rPr>
            <sz val="9"/>
            <color indexed="81"/>
            <rFont val="Tahoma"/>
            <family val="2"/>
          </rPr>
          <t xml:space="preserve">
25mins high rejection due to labels</t>
        </r>
      </text>
    </comment>
    <comment ref="R8" authorId="0" shapeId="0" xr:uid="{7A6F06FE-57EE-4592-97F9-46DFA74537B2}">
      <text>
        <r>
          <rPr>
            <b/>
            <sz val="9"/>
            <color indexed="81"/>
            <rFont val="Tahoma"/>
            <family val="2"/>
          </rPr>
          <t>Kaylil Baptiste:</t>
        </r>
        <r>
          <rPr>
            <sz val="9"/>
            <color indexed="81"/>
            <rFont val="Tahoma"/>
            <family val="2"/>
          </rPr>
          <t xml:space="preserve">
35mins adjusting teflon </t>
        </r>
      </text>
    </comment>
    <comment ref="S8" authorId="0" shapeId="0" xr:uid="{4F05383D-5262-4F09-8EBD-59DC190E8A26}">
      <text>
        <r>
          <rPr>
            <b/>
            <sz val="9"/>
            <color indexed="81"/>
            <rFont val="Tahoma"/>
            <family val="2"/>
          </rPr>
          <t>Kaylil Baptiste:</t>
        </r>
        <r>
          <rPr>
            <sz val="9"/>
            <color indexed="81"/>
            <rFont val="Tahoma"/>
            <family val="2"/>
          </rPr>
          <t xml:space="preserve">
26mins low temp on pasteurizer </t>
        </r>
      </text>
    </comment>
    <comment ref="T8" authorId="0" shapeId="0" xr:uid="{B9D39EC5-2E71-40AC-9AA2-0C53134C8870}">
      <text>
        <r>
          <rPr>
            <b/>
            <sz val="9"/>
            <color indexed="81"/>
            <rFont val="Tahoma"/>
            <family val="2"/>
          </rPr>
          <t>Kaylil Baptiste:</t>
        </r>
        <r>
          <rPr>
            <sz val="9"/>
            <color indexed="81"/>
            <rFont val="Tahoma"/>
            <family val="2"/>
          </rPr>
          <t xml:space="preserve">
5mins missing labels</t>
        </r>
      </text>
    </comment>
    <comment ref="V8" authorId="0" shapeId="0" xr:uid="{4430AD87-144C-4B48-BD0A-D165F5523593}">
      <text>
        <r>
          <rPr>
            <b/>
            <sz val="9"/>
            <color indexed="81"/>
            <rFont val="Tahoma"/>
            <family val="2"/>
          </rPr>
          <t>Kaylil Baptiste:</t>
        </r>
        <r>
          <rPr>
            <sz val="9"/>
            <color indexed="81"/>
            <rFont val="Tahoma"/>
            <family val="2"/>
          </rPr>
          <t xml:space="preserve">
9mins fallen bottles on EBI shuffler, 8mins fallen bottles on EBI infeed</t>
        </r>
      </text>
    </comment>
    <comment ref="Z8" authorId="1" shapeId="0" xr:uid="{8FC97064-29B6-4077-912A-A078C92B71BD}">
      <text>
        <r>
          <rPr>
            <b/>
            <sz val="9"/>
            <color indexed="81"/>
            <rFont val="Tahoma"/>
            <family val="2"/>
          </rPr>
          <t>Dorien Andrew:</t>
        </r>
        <r>
          <rPr>
            <sz val="9"/>
            <color indexed="81"/>
            <rFont val="Tahoma"/>
            <family val="2"/>
          </rPr>
          <t xml:space="preserve">
12 mins filler preperation 40 mins stop for lunch</t>
        </r>
      </text>
    </comment>
    <comment ref="AB8" authorId="0" shapeId="0" xr:uid="{CAC23245-50F8-4A8F-B0E0-3E90C13E8556}">
      <text>
        <r>
          <rPr>
            <b/>
            <sz val="9"/>
            <color indexed="81"/>
            <rFont val="Tahoma"/>
            <family val="2"/>
          </rPr>
          <t>Kaylil Baptiste:</t>
        </r>
        <r>
          <rPr>
            <sz val="9"/>
            <color indexed="81"/>
            <rFont val="Tahoma"/>
            <family val="2"/>
          </rPr>
          <t xml:space="preserve">
11mins high rejection due to prewashed </t>
        </r>
      </text>
    </comment>
    <comment ref="I9" authorId="2" shapeId="0" xr:uid="{9DBD8394-AD25-4738-B536-0FBDA28D7F0A}">
      <text>
        <r>
          <rPr>
            <b/>
            <sz val="9"/>
            <color indexed="81"/>
            <rFont val="Tahoma"/>
            <family val="2"/>
          </rPr>
          <t>Micah Noel:</t>
        </r>
        <r>
          <rPr>
            <sz val="9"/>
            <color indexed="81"/>
            <rFont val="Tahoma"/>
            <family val="2"/>
          </rPr>
          <t xml:space="preserve">
20mins iller change over from Stag to Carib (export-explorer) 45 mins packer change over from crates to carton</t>
        </r>
      </text>
    </comment>
    <comment ref="J9" authorId="2" shapeId="0" xr:uid="{6CF8096F-9AFF-49C5-ABB0-84EFFD120705}">
      <text>
        <r>
          <rPr>
            <b/>
            <sz val="9"/>
            <color indexed="81"/>
            <rFont val="Tahoma"/>
            <family val="2"/>
          </rPr>
          <t>Micah Noel:</t>
        </r>
        <r>
          <rPr>
            <sz val="9"/>
            <color indexed="81"/>
            <rFont val="Tahoma"/>
            <family val="2"/>
          </rPr>
          <t xml:space="preserve">
5 mins drop in bowl level</t>
        </r>
      </text>
    </comment>
    <comment ref="L9" authorId="0" shapeId="0" xr:uid="{066E05EB-4A44-4243-8918-421E27908CAA}">
      <text>
        <r>
          <rPr>
            <b/>
            <sz val="9"/>
            <color indexed="81"/>
            <rFont val="Tahoma"/>
            <family val="2"/>
          </rPr>
          <t>Kaylil Baptiste:</t>
        </r>
        <r>
          <rPr>
            <sz val="9"/>
            <color indexed="81"/>
            <rFont val="Tahoma"/>
            <family val="2"/>
          </rPr>
          <t xml:space="preserve">
10mins CO2 level drop on filler </t>
        </r>
      </text>
    </comment>
    <comment ref="S9" authorId="0" shapeId="0" xr:uid="{78EC8EAB-487A-4F6B-AC89-F4B06ACE6436}">
      <text>
        <r>
          <rPr>
            <b/>
            <sz val="9"/>
            <color indexed="81"/>
            <rFont val="Tahoma"/>
            <family val="2"/>
          </rPr>
          <t>Kaylil Baptiste:</t>
        </r>
        <r>
          <rPr>
            <sz val="9"/>
            <color indexed="81"/>
            <rFont val="Tahoma"/>
            <family val="2"/>
          </rPr>
          <t xml:space="preserve">
5mins pump #4 cut off on pasteurizer</t>
        </r>
      </text>
    </comment>
    <comment ref="V9" authorId="0" shapeId="0" xr:uid="{C3690F16-BF6A-4E48-AA1C-4AE242F83003}">
      <text>
        <r>
          <rPr>
            <b/>
            <sz val="9"/>
            <color indexed="81"/>
            <rFont val="Tahoma"/>
            <family val="2"/>
          </rPr>
          <t>Kaylil Baptiste:</t>
        </r>
        <r>
          <rPr>
            <sz val="9"/>
            <color indexed="81"/>
            <rFont val="Tahoma"/>
            <family val="2"/>
          </rPr>
          <t xml:space="preserve">
12mins fallen bottles on EBI shuffler</t>
        </r>
      </text>
    </comment>
    <comment ref="W9" authorId="0" shapeId="0" xr:uid="{11CF04B9-BBA5-48DD-9E7B-9FE7C5ACDDA1}">
      <text>
        <r>
          <rPr>
            <b/>
            <sz val="9"/>
            <color indexed="81"/>
            <rFont val="Tahoma"/>
            <family val="2"/>
          </rPr>
          <t>Kaylil Baptiste:</t>
        </r>
        <r>
          <rPr>
            <sz val="9"/>
            <color indexed="81"/>
            <rFont val="Tahoma"/>
            <family val="2"/>
          </rPr>
          <t xml:space="preserve">
25mins issue with packer head prolonged the change over</t>
        </r>
      </text>
    </comment>
    <comment ref="X9" authorId="0" shapeId="0" xr:uid="{4D363FF2-55CF-4BE8-A3D9-5923C16850C0}">
      <text>
        <r>
          <rPr>
            <b/>
            <sz val="9"/>
            <color indexed="81"/>
            <rFont val="Tahoma"/>
            <family val="2"/>
          </rPr>
          <t>Kaylil Baptiste:</t>
        </r>
        <r>
          <rPr>
            <sz val="9"/>
            <color indexed="81"/>
            <rFont val="Tahoma"/>
            <family val="2"/>
          </rPr>
          <t xml:space="preserve">
53mins cartoon errector bending flat, 10mins date code adjusment on cartoon errector </t>
        </r>
      </text>
    </comment>
    <comment ref="Z9" authorId="2" shapeId="0" xr:uid="{EB35FB90-BE39-4CEC-8AB4-02C72A64A39C}">
      <text>
        <r>
          <rPr>
            <b/>
            <sz val="9"/>
            <color indexed="81"/>
            <rFont val="Tahoma"/>
            <family val="2"/>
          </rPr>
          <t>Micah Noel:</t>
        </r>
        <r>
          <rPr>
            <sz val="9"/>
            <color indexed="81"/>
            <rFont val="Tahoma"/>
            <family val="2"/>
          </rPr>
          <t xml:space="preserve">
16 mins removing excess stag bottles from washer 30 mins lunch. 7 mins no one at pasteurizer discharge.</t>
        </r>
      </text>
    </comment>
    <comment ref="AB9" authorId="2" shapeId="0" xr:uid="{F3D8DC71-6E8D-431A-AA76-7443856674D0}">
      <text>
        <r>
          <rPr>
            <b/>
            <sz val="9"/>
            <color indexed="81"/>
            <rFont val="Tahoma"/>
            <family val="2"/>
          </rPr>
          <t>Micah Noel:</t>
        </r>
        <r>
          <rPr>
            <sz val="9"/>
            <color indexed="81"/>
            <rFont val="Tahoma"/>
            <family val="2"/>
          </rPr>
          <t xml:space="preserve">
waiting for flats</t>
        </r>
      </text>
    </comment>
    <comment ref="J10" authorId="0" shapeId="0" xr:uid="{9934464B-F375-4AB2-AEB8-67D9784B900F}">
      <text>
        <r>
          <rPr>
            <b/>
            <sz val="9"/>
            <color indexed="81"/>
            <rFont val="Tahoma"/>
            <family val="2"/>
          </rPr>
          <t>Kaylil Baptiste:</t>
        </r>
        <r>
          <rPr>
            <sz val="9"/>
            <color indexed="81"/>
            <rFont val="Tahoma"/>
            <family val="2"/>
          </rPr>
          <t xml:space="preserve">
5mins bowl level drop</t>
        </r>
      </text>
    </comment>
    <comment ref="O10" authorId="0" shapeId="0" xr:uid="{6E39AC39-F1F4-488B-954D-4AE0E9CAD53E}">
      <text>
        <r>
          <rPr>
            <b/>
            <sz val="9"/>
            <color indexed="81"/>
            <rFont val="Tahoma"/>
            <family val="2"/>
          </rPr>
          <t>Kaylil Baptiste:</t>
        </r>
        <r>
          <rPr>
            <sz val="9"/>
            <color indexed="81"/>
            <rFont val="Tahoma"/>
            <family val="2"/>
          </rPr>
          <t xml:space="preserve">
7mins uncaser head hitting crates</t>
        </r>
      </text>
    </comment>
    <comment ref="S10" authorId="0" shapeId="0" xr:uid="{DB0333B7-1353-4A65-8903-885C03DF4F77}">
      <text>
        <r>
          <rPr>
            <b/>
            <sz val="9"/>
            <color indexed="81"/>
            <rFont val="Tahoma"/>
            <family val="2"/>
          </rPr>
          <t>Kaylil Baptiste:</t>
        </r>
        <r>
          <rPr>
            <sz val="9"/>
            <color indexed="81"/>
            <rFont val="Tahoma"/>
            <family val="2"/>
          </rPr>
          <t xml:space="preserve">
24mins dead plate repair on pasteurizer </t>
        </r>
      </text>
    </comment>
    <comment ref="V10" authorId="0" shapeId="0" xr:uid="{E4972BBA-E2C6-4AD0-89A9-D88E20AA4003}">
      <text>
        <r>
          <rPr>
            <b/>
            <sz val="9"/>
            <color indexed="81"/>
            <rFont val="Tahoma"/>
            <family val="2"/>
          </rPr>
          <t>Kaylil Baptiste:</t>
        </r>
        <r>
          <rPr>
            <sz val="9"/>
            <color indexed="81"/>
            <rFont val="Tahoma"/>
            <family val="2"/>
          </rPr>
          <t xml:space="preserve">
17mins fallen bottles on EBI shuffler</t>
        </r>
      </text>
    </comment>
    <comment ref="W10" authorId="0" shapeId="0" xr:uid="{D85882B3-EB2F-4DA0-81BC-C91A3A2C1A12}">
      <text>
        <r>
          <rPr>
            <b/>
            <sz val="9"/>
            <color indexed="81"/>
            <rFont val="Tahoma"/>
            <family val="2"/>
          </rPr>
          <t>Kaylil Baptiste:</t>
        </r>
        <r>
          <rPr>
            <sz val="9"/>
            <color indexed="81"/>
            <rFont val="Tahoma"/>
            <family val="2"/>
          </rPr>
          <t xml:space="preserve">
12mins packer sensor malfunction</t>
        </r>
      </text>
    </comment>
    <comment ref="X10" authorId="0" shapeId="0" xr:uid="{AEA9FA62-94FF-4F92-BA7E-89FFA8A97A01}">
      <text>
        <r>
          <rPr>
            <b/>
            <sz val="9"/>
            <color indexed="81"/>
            <rFont val="Tahoma"/>
            <family val="2"/>
          </rPr>
          <t>Kaylil Baptiste:</t>
        </r>
        <r>
          <rPr>
            <sz val="9"/>
            <color indexed="81"/>
            <rFont val="Tahoma"/>
            <family val="2"/>
          </rPr>
          <t xml:space="preserve">
56mins trying to sort out case anomomaly fault on carton errector</t>
        </r>
      </text>
    </comment>
    <comment ref="Z10" authorId="3" shapeId="0" xr:uid="{E031A202-63A5-44F7-A0C9-33B17DF75A13}">
      <text>
        <r>
          <rPr>
            <b/>
            <sz val="9"/>
            <color indexed="81"/>
            <rFont val="Tahoma"/>
            <family val="2"/>
          </rPr>
          <t>Michael Julien:</t>
        </r>
        <r>
          <rPr>
            <sz val="9"/>
            <color indexed="81"/>
            <rFont val="Tahoma"/>
            <family val="2"/>
          </rPr>
          <t xml:space="preserve">
12 mins greasing filler and taking midnight reading. 10 mins creating space in pasteurizer 30 mins for break and 13 mins to resume filling awaiting staff on the finish end who went on lunch 15 mins later.</t>
        </r>
      </text>
    </comment>
    <comment ref="I11" authorId="0" shapeId="0" xr:uid="{585E38A9-3E15-4B01-98E5-937A88753F9A}">
      <text>
        <r>
          <rPr>
            <b/>
            <sz val="9"/>
            <color indexed="81"/>
            <rFont val="Tahoma"/>
            <family val="2"/>
          </rPr>
          <t>Kaylil Baptiste:</t>
        </r>
        <r>
          <rPr>
            <sz val="9"/>
            <color indexed="81"/>
            <rFont val="Tahoma"/>
            <family val="2"/>
          </rPr>
          <t xml:space="preserve">
27mins change over</t>
        </r>
      </text>
    </comment>
    <comment ref="Q11" authorId="0" shapeId="0" xr:uid="{AFFB3403-097C-4780-8B68-C6867A5A6BA5}">
      <text>
        <r>
          <rPr>
            <b/>
            <sz val="9"/>
            <color indexed="81"/>
            <rFont val="Tahoma"/>
            <family val="2"/>
          </rPr>
          <t>Kaylil Baptiste:</t>
        </r>
        <r>
          <rPr>
            <sz val="9"/>
            <color indexed="81"/>
            <rFont val="Tahoma"/>
            <family val="2"/>
          </rPr>
          <t xml:space="preserve">
6mins high EBI rejection</t>
        </r>
      </text>
    </comment>
    <comment ref="R11" authorId="0" shapeId="0" xr:uid="{934C5B04-C13E-41DC-A3F6-CA55670E2441}">
      <text>
        <r>
          <rPr>
            <b/>
            <sz val="9"/>
            <color indexed="81"/>
            <rFont val="Tahoma"/>
            <family val="2"/>
          </rPr>
          <t>Kaylil Baptiste:</t>
        </r>
        <r>
          <rPr>
            <sz val="9"/>
            <color indexed="81"/>
            <rFont val="Tahoma"/>
            <family val="2"/>
          </rPr>
          <t xml:space="preserve">
19mins faulty sensor stopping filler infeed,  7mins stop to investigate valve #140 at filler pipe fence  </t>
        </r>
      </text>
    </comment>
    <comment ref="V11" authorId="0" shapeId="0" xr:uid="{B2A56CA0-9576-4C9A-8622-8EE75665264B}">
      <text>
        <r>
          <rPr>
            <b/>
            <sz val="9"/>
            <color indexed="81"/>
            <rFont val="Tahoma"/>
            <family val="2"/>
          </rPr>
          <t>Kaylil Baptiste:</t>
        </r>
        <r>
          <rPr>
            <sz val="9"/>
            <color indexed="81"/>
            <rFont val="Tahoma"/>
            <family val="2"/>
          </rPr>
          <t xml:space="preserve">
8mins EBI discharge  sensor malfunction</t>
        </r>
      </text>
    </comment>
    <comment ref="Z11" authorId="1" shapeId="0" xr:uid="{C7C77576-0493-4B7A-AAE2-2DFAAA94FAE5}">
      <text>
        <r>
          <rPr>
            <b/>
            <sz val="9"/>
            <color indexed="81"/>
            <rFont val="Tahoma"/>
            <family val="2"/>
          </rPr>
          <t>Dorien Andrew:</t>
        </r>
        <r>
          <rPr>
            <sz val="9"/>
            <color indexed="81"/>
            <rFont val="Tahoma"/>
            <family val="2"/>
          </rPr>
          <t xml:space="preserve">
45mins break for lunch</t>
        </r>
      </text>
    </comment>
    <comment ref="AB11" authorId="2" shapeId="0" xr:uid="{319EFC33-F821-44D5-80CD-3CB5E9A2F630}">
      <text>
        <r>
          <rPr>
            <b/>
            <sz val="9"/>
            <color indexed="81"/>
            <rFont val="Tahoma"/>
            <family val="2"/>
          </rPr>
          <t>Micah Noel:</t>
        </r>
        <r>
          <rPr>
            <sz val="9"/>
            <color indexed="81"/>
            <rFont val="Tahoma"/>
            <family val="2"/>
          </rPr>
          <t xml:space="preserve">
17mins incorrect bottle stuck at EBI starwheel</t>
        </r>
      </text>
    </comment>
    <comment ref="I12" authorId="2" shapeId="0" xr:uid="{48F48CD0-E156-4445-9356-79DE86783376}">
      <text>
        <r>
          <rPr>
            <b/>
            <sz val="9"/>
            <color indexed="81"/>
            <rFont val="Tahoma"/>
            <family val="2"/>
          </rPr>
          <t>Micah Noel:</t>
        </r>
        <r>
          <rPr>
            <sz val="9"/>
            <color indexed="81"/>
            <rFont val="Tahoma"/>
            <family val="2"/>
          </rPr>
          <t xml:space="preserve">
7 mins Filler stopped to make space between flint and amber inside pasteurizer 9 mins seperating flint from amber at pasteurizer discharge</t>
        </r>
      </text>
    </comment>
    <comment ref="J12" authorId="0" shapeId="0" xr:uid="{1168C8D8-8C17-4983-8D7B-35A94B94C3EB}">
      <text>
        <r>
          <rPr>
            <b/>
            <sz val="9"/>
            <color indexed="81"/>
            <rFont val="Tahoma"/>
            <family val="2"/>
          </rPr>
          <t>Kaylil Baptiste:</t>
        </r>
        <r>
          <rPr>
            <sz val="9"/>
            <color indexed="81"/>
            <rFont val="Tahoma"/>
            <family val="2"/>
          </rPr>
          <t xml:space="preserve">
2 mins low bowl level.</t>
        </r>
      </text>
    </comment>
    <comment ref="P12" authorId="0" shapeId="0" xr:uid="{C6E35DE0-1B56-4B55-B3B4-22FEE78EFA6A}">
      <text>
        <r>
          <rPr>
            <b/>
            <sz val="9"/>
            <color indexed="81"/>
            <rFont val="Tahoma"/>
            <family val="2"/>
          </rPr>
          <t>Kaylil Baptiste:</t>
        </r>
        <r>
          <rPr>
            <sz val="9"/>
            <color indexed="81"/>
            <rFont val="Tahoma"/>
            <family val="2"/>
          </rPr>
          <t xml:space="preserve">
9mins high rejection due to labels, 6mins fallen bottles jam at washer discharge</t>
        </r>
      </text>
    </comment>
    <comment ref="T12" authorId="0" shapeId="0" xr:uid="{83D9EA50-461C-4A54-BAE9-2792B4D27841}">
      <text>
        <r>
          <rPr>
            <b/>
            <sz val="9"/>
            <color indexed="81"/>
            <rFont val="Tahoma"/>
            <family val="2"/>
          </rPr>
          <t>Kaylil Baptiste:</t>
        </r>
        <r>
          <rPr>
            <sz val="9"/>
            <color indexed="81"/>
            <rFont val="Tahoma"/>
            <family val="2"/>
          </rPr>
          <t xml:space="preserve">
22mins adjustments on gripper cylinder, 12mins magazine adjustments</t>
        </r>
      </text>
    </comment>
    <comment ref="V12" authorId="0" shapeId="0" xr:uid="{18EB518A-1CA3-4F46-87B7-0C630287FBCF}">
      <text>
        <r>
          <rPr>
            <b/>
            <sz val="9"/>
            <color indexed="81"/>
            <rFont val="Tahoma"/>
            <family val="2"/>
          </rPr>
          <t>Kaylil Baptiste:</t>
        </r>
        <r>
          <rPr>
            <sz val="9"/>
            <color indexed="81"/>
            <rFont val="Tahoma"/>
            <family val="2"/>
          </rPr>
          <t xml:space="preserve">
5mins fallen bottles on EBI shuffler</t>
        </r>
      </text>
    </comment>
    <comment ref="Z12" authorId="3" shapeId="0" xr:uid="{10BA4B1E-75BE-4DF2-9416-A155F2D196C3}">
      <text>
        <r>
          <rPr>
            <b/>
            <sz val="9"/>
            <color indexed="81"/>
            <rFont val="Tahoma"/>
            <family val="2"/>
          </rPr>
          <t>Michael Julien:</t>
        </r>
        <r>
          <rPr>
            <sz val="9"/>
            <color indexed="81"/>
            <rFont val="Tahoma"/>
            <family val="2"/>
          </rPr>
          <t xml:space="preserve">
12 mins to discuss how we are going to sort out the night as it relates to short staff issues. </t>
        </r>
      </text>
    </comment>
    <comment ref="Q13" authorId="0" shapeId="0" xr:uid="{CAC462DB-1F35-4134-B064-39ED71C0AAB2}">
      <text>
        <r>
          <rPr>
            <b/>
            <sz val="9"/>
            <color indexed="81"/>
            <rFont val="Tahoma"/>
            <family val="2"/>
          </rPr>
          <t>Kaylil Baptiste:</t>
        </r>
        <r>
          <rPr>
            <sz val="9"/>
            <color indexed="81"/>
            <rFont val="Tahoma"/>
            <family val="2"/>
          </rPr>
          <t xml:space="preserve">
9mins malfunction on emergency push button on EBI</t>
        </r>
      </text>
    </comment>
    <comment ref="V13" authorId="0" shapeId="0" xr:uid="{23820093-3F54-4F0B-A803-1F62211699F6}">
      <text>
        <r>
          <rPr>
            <b/>
            <sz val="9"/>
            <color indexed="81"/>
            <rFont val="Tahoma"/>
            <family val="2"/>
          </rPr>
          <t>Kaylil Baptiste:</t>
        </r>
        <r>
          <rPr>
            <sz val="9"/>
            <color indexed="81"/>
            <rFont val="Tahoma"/>
            <family val="2"/>
          </rPr>
          <t xml:space="preserve">
9mins fallen bottles on EBI shuffler</t>
        </r>
      </text>
    </comment>
    <comment ref="I14" authorId="0" shapeId="0" xr:uid="{24F76F46-CA21-4DA7-B82F-8F6850851BFB}">
      <text>
        <r>
          <rPr>
            <b/>
            <sz val="9"/>
            <color indexed="81"/>
            <rFont val="Tahoma"/>
            <family val="2"/>
          </rPr>
          <t>Kaylil Baptiste:</t>
        </r>
        <r>
          <rPr>
            <sz val="9"/>
            <color indexed="81"/>
            <rFont val="Tahoma"/>
            <family val="2"/>
          </rPr>
          <t xml:space="preserve">
12mins labeler change over </t>
        </r>
      </text>
    </comment>
    <comment ref="P14" authorId="0" shapeId="0" xr:uid="{275615CD-7223-456D-8079-BBAEB8BEE024}">
      <text>
        <r>
          <rPr>
            <b/>
            <sz val="9"/>
            <color indexed="81"/>
            <rFont val="Tahoma"/>
            <family val="2"/>
          </rPr>
          <t>Kaylil Baptiste:</t>
        </r>
        <r>
          <rPr>
            <sz val="9"/>
            <color indexed="81"/>
            <rFont val="Tahoma"/>
            <family val="2"/>
          </rPr>
          <t xml:space="preserve">
11mins fallen bottles jam at washer discharge</t>
        </r>
      </text>
    </comment>
    <comment ref="Q14" authorId="0" shapeId="0" xr:uid="{3F57FC0D-F464-464A-A636-033548E09293}">
      <text>
        <r>
          <rPr>
            <b/>
            <sz val="9"/>
            <color indexed="81"/>
            <rFont val="Tahoma"/>
            <family val="2"/>
          </rPr>
          <t>Kaylil Baptiste:</t>
        </r>
        <r>
          <rPr>
            <sz val="9"/>
            <color indexed="81"/>
            <rFont val="Tahoma"/>
            <family val="2"/>
          </rPr>
          <t xml:space="preserve">
7mins high EBI rejection </t>
        </r>
      </text>
    </comment>
    <comment ref="S14" authorId="0" shapeId="0" xr:uid="{9FAC769D-D47A-480F-A024-F225A706FB1E}">
      <text>
        <r>
          <rPr>
            <b/>
            <sz val="9"/>
            <color indexed="81"/>
            <rFont val="Tahoma"/>
            <family val="2"/>
          </rPr>
          <t>Kaylil Baptiste:</t>
        </r>
        <r>
          <rPr>
            <sz val="9"/>
            <color indexed="81"/>
            <rFont val="Tahoma"/>
            <family val="2"/>
          </rPr>
          <t xml:space="preserve">
5mins pasteurizer pump #5 cut off</t>
        </r>
      </text>
    </comment>
    <comment ref="U14" authorId="0" shapeId="0" xr:uid="{241C142E-3650-43AF-9950-26AE79BF6409}">
      <text>
        <r>
          <rPr>
            <b/>
            <sz val="9"/>
            <color indexed="81"/>
            <rFont val="Tahoma"/>
            <family val="2"/>
          </rPr>
          <t>Kaylil Baptiste:</t>
        </r>
        <r>
          <rPr>
            <sz val="9"/>
            <color indexed="81"/>
            <rFont val="Tahoma"/>
            <family val="2"/>
          </rPr>
          <t xml:space="preserve">
44mins videojet not printing properly</t>
        </r>
      </text>
    </comment>
    <comment ref="V14" authorId="0" shapeId="0" xr:uid="{BFAB1C6B-7ECA-4269-AD2C-E351BC7AD332}">
      <text>
        <r>
          <rPr>
            <b/>
            <sz val="9"/>
            <color indexed="81"/>
            <rFont val="Tahoma"/>
            <family val="2"/>
          </rPr>
          <t>Kaylil Baptiste:</t>
        </r>
        <r>
          <rPr>
            <sz val="9"/>
            <color indexed="81"/>
            <rFont val="Tahoma"/>
            <family val="2"/>
          </rPr>
          <t xml:space="preserve">
11mins fallen bottles at pasteurier discharge, 9mins fallen bottles on EBI shuffler</t>
        </r>
      </text>
    </comment>
    <comment ref="W14" authorId="0" shapeId="0" xr:uid="{1A74CF25-C659-4E4E-B705-FD8A8BD74DDE}">
      <text>
        <r>
          <rPr>
            <b/>
            <sz val="9"/>
            <color indexed="81"/>
            <rFont val="Tahoma"/>
            <family val="2"/>
          </rPr>
          <t>Kaylil Baptiste:</t>
        </r>
        <r>
          <rPr>
            <sz val="9"/>
            <color indexed="81"/>
            <rFont val="Tahoma"/>
            <family val="2"/>
          </rPr>
          <t xml:space="preserve">
8mins sensor on packer head malfunction</t>
        </r>
      </text>
    </comment>
    <comment ref="Z14" authorId="3" shapeId="0" xr:uid="{FE36DA71-97D3-4E0C-AA2A-43B85E92DD9D}">
      <text>
        <r>
          <rPr>
            <b/>
            <sz val="9"/>
            <color indexed="81"/>
            <rFont val="Tahoma"/>
            <family val="2"/>
          </rPr>
          <t>Michael Julien:</t>
        </r>
        <r>
          <rPr>
            <sz val="9"/>
            <color indexed="81"/>
            <rFont val="Tahoma"/>
            <family val="2"/>
          </rPr>
          <t xml:space="preserve">
40 mins for break, 17 mins taking up stag to start up.
48 mins stop for lunch </t>
        </r>
      </text>
    </comment>
    <comment ref="AB14" authorId="0" shapeId="0" xr:uid="{1D6151CB-5704-44CA-82B7-F9248B71C65C}">
      <text>
        <r>
          <rPr>
            <b/>
            <sz val="9"/>
            <color indexed="81"/>
            <rFont val="Tahoma"/>
            <family val="2"/>
          </rPr>
          <t>Kaylil Baptiste:</t>
        </r>
        <r>
          <rPr>
            <sz val="9"/>
            <color indexed="81"/>
            <rFont val="Tahoma"/>
            <family val="2"/>
          </rPr>
          <t xml:space="preserve">
10mins high rejection due to rewashed </t>
        </r>
      </text>
    </comment>
    <comment ref="I15" authorId="2" shapeId="0" xr:uid="{1C023A8E-F115-42B4-AC74-BB553B0A3513}">
      <text>
        <r>
          <rPr>
            <b/>
            <sz val="9"/>
            <color indexed="81"/>
            <rFont val="Tahoma"/>
            <family val="2"/>
          </rPr>
          <t>Micah Noel:</t>
        </r>
        <r>
          <rPr>
            <sz val="9"/>
            <color indexed="81"/>
            <rFont val="Tahoma"/>
            <family val="2"/>
          </rPr>
          <t xml:space="preserve">
75 mins filler change over from Stag to Ginseng</t>
        </r>
      </text>
    </comment>
    <comment ref="J15" authorId="2" shapeId="0" xr:uid="{FBAD5F14-52D9-4C26-8ECA-184A8452924B}">
      <text>
        <r>
          <rPr>
            <b/>
            <sz val="9"/>
            <color indexed="81"/>
            <rFont val="Tahoma"/>
            <family val="2"/>
          </rPr>
          <t>Micah Noel:</t>
        </r>
        <r>
          <rPr>
            <sz val="9"/>
            <color indexed="81"/>
            <rFont val="Tahoma"/>
            <family val="2"/>
          </rPr>
          <t xml:space="preserve">
waiitng for product to be transferred into BBT and to be annalyzed</t>
        </r>
      </text>
    </comment>
    <comment ref="N15" authorId="0" shapeId="0" xr:uid="{6ADE12DD-47E4-4426-B386-EB14B99D968D}">
      <text>
        <r>
          <rPr>
            <b/>
            <sz val="9"/>
            <color indexed="81"/>
            <rFont val="Tahoma"/>
            <family val="2"/>
          </rPr>
          <t>Kaylil Baptiste:</t>
        </r>
        <r>
          <rPr>
            <sz val="9"/>
            <color indexed="81"/>
            <rFont val="Tahoma"/>
            <family val="2"/>
          </rPr>
          <t xml:space="preserve">
Boiler lock out</t>
        </r>
      </text>
    </comment>
    <comment ref="Q15" authorId="0" shapeId="0" xr:uid="{27DE240F-11E3-4A27-AF67-65A3CB262C9D}">
      <text>
        <r>
          <rPr>
            <b/>
            <sz val="9"/>
            <color indexed="81"/>
            <rFont val="Tahoma"/>
            <family val="2"/>
          </rPr>
          <t>Kaylil Baptiste:</t>
        </r>
        <r>
          <rPr>
            <sz val="9"/>
            <color indexed="81"/>
            <rFont val="Tahoma"/>
            <family val="2"/>
          </rPr>
          <t xml:space="preserve">
9mins fallen bottles on OSW</t>
        </r>
      </text>
    </comment>
    <comment ref="AB15" authorId="2" shapeId="0" xr:uid="{E48B050F-C0FC-4B07-B551-97131D0B35D2}">
      <text>
        <r>
          <rPr>
            <b/>
            <sz val="9"/>
            <color indexed="81"/>
            <rFont val="Tahoma"/>
            <family val="2"/>
          </rPr>
          <t>Micah Noel:</t>
        </r>
        <r>
          <rPr>
            <sz val="9"/>
            <color indexed="81"/>
            <rFont val="Tahoma"/>
            <family val="2"/>
          </rPr>
          <t xml:space="preserve">
5 min incorrect bottle type jammed EBI starwheel</t>
        </r>
      </text>
    </comment>
    <comment ref="N16" authorId="0" shapeId="0" xr:uid="{98D6791D-06F0-4857-9A2B-F550CDBA70FA}">
      <text>
        <r>
          <rPr>
            <b/>
            <sz val="9"/>
            <color indexed="81"/>
            <rFont val="Tahoma"/>
            <family val="2"/>
          </rPr>
          <t>Kaylil Baptiste:</t>
        </r>
        <r>
          <rPr>
            <sz val="9"/>
            <color indexed="81"/>
            <rFont val="Tahoma"/>
            <family val="2"/>
          </rPr>
          <t xml:space="preserve">
45mins boiler lock out</t>
        </r>
      </text>
    </comment>
    <comment ref="AB16" authorId="0" shapeId="0" xr:uid="{A9D7C61E-23C9-4955-8E21-F2FEB4A58D83}">
      <text>
        <r>
          <rPr>
            <b/>
            <sz val="9"/>
            <color indexed="81"/>
            <rFont val="Tahoma"/>
            <family val="2"/>
          </rPr>
          <t>Kaylil Baptiste:</t>
        </r>
        <r>
          <rPr>
            <sz val="9"/>
            <color indexed="81"/>
            <rFont val="Tahoma"/>
            <family val="2"/>
          </rPr>
          <t xml:space="preserve">
22mins tall bottles jamming starwheel</t>
        </r>
      </text>
    </comment>
    <comment ref="D17" authorId="0" shapeId="0" xr:uid="{7E068A34-7E67-4B65-8D8B-3EC51D0DE135}">
      <text>
        <r>
          <rPr>
            <b/>
            <sz val="9"/>
            <color indexed="81"/>
            <rFont val="Tahoma"/>
            <family val="2"/>
          </rPr>
          <t>Kaylil Baptiste:</t>
        </r>
        <r>
          <rPr>
            <sz val="9"/>
            <color indexed="81"/>
            <rFont val="Tahoma"/>
            <family val="2"/>
          </rPr>
          <t xml:space="preserve">
7:15</t>
        </r>
      </text>
    </comment>
    <comment ref="O17" authorId="0" shapeId="0" xr:uid="{B5ECF518-BD95-4275-A50C-B6084C6A201E}">
      <text>
        <r>
          <rPr>
            <b/>
            <sz val="9"/>
            <color indexed="81"/>
            <rFont val="Tahoma"/>
            <family val="2"/>
          </rPr>
          <t>Kaylil Baptiste:</t>
        </r>
        <r>
          <rPr>
            <sz val="9"/>
            <color indexed="81"/>
            <rFont val="Tahoma"/>
            <family val="2"/>
          </rPr>
          <t xml:space="preserve">
20mins uncaser head hitting crates</t>
        </r>
      </text>
    </comment>
    <comment ref="S17" authorId="0" shapeId="0" xr:uid="{2F4A011E-62F2-4469-A2E0-70E9D91FE1DE}">
      <text>
        <r>
          <rPr>
            <b/>
            <sz val="9"/>
            <color indexed="81"/>
            <rFont val="Tahoma"/>
            <family val="2"/>
          </rPr>
          <t>Kaylil Baptiste:</t>
        </r>
        <r>
          <rPr>
            <sz val="9"/>
            <color indexed="81"/>
            <rFont val="Tahoma"/>
            <family val="2"/>
          </rPr>
          <t xml:space="preserve">
147mins stop to drop pasteurizer tank level and refill, 30mins waiting on dry run</t>
        </r>
      </text>
    </comment>
    <comment ref="T17" authorId="0" shapeId="0" xr:uid="{8C34BD2B-2B84-4E98-B792-C22F76EC5B16}">
      <text>
        <r>
          <rPr>
            <b/>
            <sz val="9"/>
            <color indexed="81"/>
            <rFont val="Tahoma"/>
            <family val="2"/>
          </rPr>
          <t>Kaylil Baptiste:</t>
        </r>
        <r>
          <rPr>
            <sz val="9"/>
            <color indexed="81"/>
            <rFont val="Tahoma"/>
            <family val="2"/>
          </rPr>
          <t xml:space="preserve">
5mins adjusting labels</t>
        </r>
      </text>
    </comment>
    <comment ref="V17" authorId="0" shapeId="0" xr:uid="{1780C664-8E99-4FE8-9BA0-39FA3FA04ABB}">
      <text>
        <r>
          <rPr>
            <b/>
            <sz val="9"/>
            <color indexed="81"/>
            <rFont val="Tahoma"/>
            <family val="2"/>
          </rPr>
          <t>Kaylil Baptiste:</t>
        </r>
        <r>
          <rPr>
            <sz val="9"/>
            <color indexed="81"/>
            <rFont val="Tahoma"/>
            <family val="2"/>
          </rPr>
          <t xml:space="preserve">
40mins malfunction on packer discharge conveyor, 20mins for EBI infeed sensor malfunction, 20mins filler bottle sensor malfunction, 7mins fallen bottles in EBI shuffer</t>
        </r>
      </text>
    </comment>
    <comment ref="W17" authorId="0" shapeId="0" xr:uid="{132C8152-DD4D-4C2F-9753-930828A9CB77}">
      <text>
        <r>
          <rPr>
            <b/>
            <sz val="9"/>
            <color indexed="81"/>
            <rFont val="Tahoma"/>
            <family val="2"/>
          </rPr>
          <t>Kaylil Baptiste:</t>
        </r>
        <r>
          <rPr>
            <sz val="9"/>
            <color indexed="81"/>
            <rFont val="Tahoma"/>
            <family val="2"/>
          </rPr>
          <t xml:space="preserve">
50mins packer sensor malfunction</t>
        </r>
      </text>
    </comment>
    <comment ref="Z17" authorId="3" shapeId="0" xr:uid="{8BF0B98B-6D1C-4177-8C70-E4008BB11F60}">
      <text>
        <r>
          <rPr>
            <b/>
            <sz val="9"/>
            <color indexed="81"/>
            <rFont val="Tahoma"/>
            <family val="2"/>
          </rPr>
          <t>Michael Julien:</t>
        </r>
        <r>
          <rPr>
            <sz val="9"/>
            <color indexed="81"/>
            <rFont val="Tahoma"/>
            <family val="2"/>
          </rPr>
          <t xml:space="preserve">
60 mins for washer loading, 8mins product preparation</t>
        </r>
      </text>
    </comment>
    <comment ref="H18" authorId="4" shapeId="0" xr:uid="{2474C339-38BE-48BC-B364-57E8A03DC4CF}">
      <text>
        <r>
          <rPr>
            <b/>
            <sz val="9"/>
            <color indexed="81"/>
            <rFont val="Tahoma"/>
            <family val="2"/>
          </rPr>
          <t>Tyrell Bartholomew:</t>
        </r>
        <r>
          <rPr>
            <sz val="9"/>
            <color indexed="81"/>
            <rFont val="Tahoma"/>
            <family val="2"/>
          </rPr>
          <t xml:space="preserve">
1Min crown hopper empty.</t>
        </r>
      </text>
    </comment>
    <comment ref="J18" authorId="4" shapeId="0" xr:uid="{BB93118C-BFD9-4080-A1B3-2C7E00763151}">
      <text>
        <r>
          <rPr>
            <b/>
            <sz val="9"/>
            <color indexed="81"/>
            <rFont val="Tahoma"/>
            <family val="2"/>
          </rPr>
          <t>Tyrell Bartholomew:</t>
        </r>
        <r>
          <rPr>
            <sz val="9"/>
            <color indexed="81"/>
            <rFont val="Tahoma"/>
            <family val="2"/>
          </rPr>
          <t xml:space="preserve">
5mins bowl level drop.</t>
        </r>
      </text>
    </comment>
    <comment ref="N18" authorId="4" shapeId="0" xr:uid="{80C76257-C4BE-4F6B-AA1B-6B4CD9E4D702}">
      <text>
        <r>
          <rPr>
            <b/>
            <sz val="9"/>
            <color indexed="81"/>
            <rFont val="Tahoma"/>
            <family val="2"/>
          </rPr>
          <t>Tyrell Bartholomew:</t>
        </r>
        <r>
          <rPr>
            <sz val="9"/>
            <color indexed="81"/>
            <rFont val="Tahoma"/>
            <family val="2"/>
          </rPr>
          <t xml:space="preserve">
30mins boiler lock out.</t>
        </r>
      </text>
    </comment>
    <comment ref="O18" authorId="0" shapeId="0" xr:uid="{AB2D0A06-E187-47A3-BAE4-6746F49893BF}">
      <text>
        <r>
          <rPr>
            <b/>
            <sz val="9"/>
            <color indexed="81"/>
            <rFont val="Tahoma"/>
            <family val="2"/>
          </rPr>
          <t>Kaylil Baptiste:</t>
        </r>
        <r>
          <rPr>
            <sz val="9"/>
            <color indexed="81"/>
            <rFont val="Tahoma"/>
            <family val="2"/>
          </rPr>
          <t xml:space="preserve">
6mins uncaser head hitting cates </t>
        </r>
      </text>
    </comment>
    <comment ref="R18" authorId="0" shapeId="0" xr:uid="{BC7381E1-6413-471A-A9D2-B631278146F8}">
      <text>
        <r>
          <rPr>
            <b/>
            <sz val="9"/>
            <color indexed="81"/>
            <rFont val="Tahoma"/>
            <family val="2"/>
          </rPr>
          <t>Kaylil Baptiste:</t>
        </r>
        <r>
          <rPr>
            <sz val="9"/>
            <color indexed="81"/>
            <rFont val="Tahoma"/>
            <family val="2"/>
          </rPr>
          <t xml:space="preserve">
7mins crowner self flushing</t>
        </r>
      </text>
    </comment>
    <comment ref="V18" authorId="0" shapeId="0" xr:uid="{B4292DE9-1DAC-4679-9812-E90017DDBC07}">
      <text>
        <r>
          <rPr>
            <b/>
            <sz val="9"/>
            <color indexed="81"/>
            <rFont val="Tahoma"/>
            <family val="2"/>
          </rPr>
          <t>Kaylil Baptiste:</t>
        </r>
        <r>
          <rPr>
            <sz val="9"/>
            <color indexed="81"/>
            <rFont val="Tahoma"/>
            <family val="2"/>
          </rPr>
          <t xml:space="preserve">
21mins mins fallen bottles on EBI shuffler</t>
        </r>
      </text>
    </comment>
    <comment ref="Z18" authorId="0" shapeId="0" xr:uid="{2ECC0A9D-6218-449D-99CE-4BD833772CFB}">
      <text>
        <r>
          <rPr>
            <b/>
            <sz val="9"/>
            <color indexed="81"/>
            <rFont val="Tahoma"/>
            <family val="2"/>
          </rPr>
          <t>Kaylil Baptiste:</t>
        </r>
        <r>
          <rPr>
            <sz val="9"/>
            <color indexed="81"/>
            <rFont val="Tahoma"/>
            <family val="2"/>
          </rPr>
          <t xml:space="preserve">
63mins washing loading, 12mins lab testing bottles</t>
        </r>
      </text>
    </comment>
    <comment ref="O19" authorId="0" shapeId="0" xr:uid="{F73BFA23-97EC-4B07-B36B-365F08E85110}">
      <text>
        <r>
          <rPr>
            <b/>
            <sz val="9"/>
            <color indexed="81"/>
            <rFont val="Tahoma"/>
            <family val="2"/>
          </rPr>
          <t>Kaylil Baptiste:</t>
        </r>
        <r>
          <rPr>
            <sz val="9"/>
            <color indexed="81"/>
            <rFont val="Tahoma"/>
            <family val="2"/>
          </rPr>
          <t xml:space="preserve">
11mins uncaser head hitting crates</t>
        </r>
      </text>
    </comment>
    <comment ref="P19" authorId="0" shapeId="0" xr:uid="{8D40884C-AB7E-460E-9FE9-2749A062FED9}">
      <text>
        <r>
          <rPr>
            <b/>
            <sz val="9"/>
            <color indexed="81"/>
            <rFont val="Tahoma"/>
            <family val="2"/>
          </rPr>
          <t>Kaylil Baptiste:</t>
        </r>
        <r>
          <rPr>
            <sz val="9"/>
            <color indexed="81"/>
            <rFont val="Tahoma"/>
            <family val="2"/>
          </rPr>
          <t xml:space="preserve">
5mins cleaning filters</t>
        </r>
      </text>
    </comment>
    <comment ref="Q19" authorId="0" shapeId="0" xr:uid="{C132139D-0DF9-43FA-BF96-8FDDA8241517}">
      <text>
        <r>
          <rPr>
            <b/>
            <sz val="9"/>
            <color indexed="81"/>
            <rFont val="Tahoma"/>
            <family val="2"/>
          </rPr>
          <t>Kaylil Baptiste:</t>
        </r>
        <r>
          <rPr>
            <sz val="9"/>
            <color indexed="81"/>
            <rFont val="Tahoma"/>
            <family val="2"/>
          </rPr>
          <t xml:space="preserve">
12mins fallen bottles at EBI OSW, 10mins software malfunction on EBI, 9mins fallen bottles at EBI starwheel, 6mins labels stuck on EBI</t>
        </r>
      </text>
    </comment>
    <comment ref="S19" authorId="0" shapeId="0" xr:uid="{A5A3C612-5CE1-43FD-9E9E-B7807B1E9F61}">
      <text>
        <r>
          <rPr>
            <b/>
            <sz val="9"/>
            <color indexed="81"/>
            <rFont val="Tahoma"/>
            <family val="2"/>
          </rPr>
          <t>Kaylil Baptiste:</t>
        </r>
        <r>
          <rPr>
            <sz val="9"/>
            <color indexed="81"/>
            <rFont val="Tahoma"/>
            <family val="2"/>
          </rPr>
          <t xml:space="preserve">
20mins waiting dry run</t>
        </r>
      </text>
    </comment>
    <comment ref="V19" authorId="0" shapeId="0" xr:uid="{444E2E08-B5C3-4620-B90D-1F738976D115}">
      <text>
        <r>
          <rPr>
            <b/>
            <sz val="9"/>
            <color indexed="81"/>
            <rFont val="Tahoma"/>
            <family val="2"/>
          </rPr>
          <t>Kaylil Baptiste:</t>
        </r>
        <r>
          <rPr>
            <sz val="9"/>
            <color indexed="81"/>
            <rFont val="Tahoma"/>
            <family val="2"/>
          </rPr>
          <t xml:space="preserve">
15mins fallen bottles inside shuffler </t>
        </r>
      </text>
    </comment>
    <comment ref="Z19" authorId="4" shapeId="0" xr:uid="{B400DA72-D9E9-4C6A-BE1A-5033E94288B3}">
      <text>
        <r>
          <rPr>
            <b/>
            <sz val="9"/>
            <color indexed="81"/>
            <rFont val="Tahoma"/>
            <family val="2"/>
          </rPr>
          <t>Tyrell Bartholomew:</t>
        </r>
        <r>
          <rPr>
            <sz val="9"/>
            <color indexed="81"/>
            <rFont val="Tahoma"/>
            <family val="2"/>
          </rPr>
          <t xml:space="preserve">
16mins power failure in bottling hall ( machines needs to reset)
5mins waiting on depalletizer.</t>
        </r>
      </text>
    </comment>
    <comment ref="Z20" authorId="4" shapeId="0" xr:uid="{13D9D9AE-45B7-464C-B59A-E40D2B5727BC}">
      <text>
        <r>
          <rPr>
            <b/>
            <sz val="9"/>
            <color indexed="81"/>
            <rFont val="Tahoma"/>
            <family val="2"/>
          </rPr>
          <t>Tyrell Bartholomew:</t>
        </r>
        <r>
          <rPr>
            <sz val="9"/>
            <color indexed="81"/>
            <rFont val="Tahoma"/>
            <family val="2"/>
          </rPr>
          <t xml:space="preserve">
18mins waiting on bottles and lab testing bottles, 3mins gap in washer.</t>
        </r>
      </text>
    </comment>
    <comment ref="I21" authorId="4" shapeId="0" xr:uid="{979EDBC2-23DB-4308-9360-9D55B22C7943}">
      <text>
        <r>
          <rPr>
            <b/>
            <sz val="9"/>
            <color indexed="81"/>
            <rFont val="Tahoma"/>
            <family val="2"/>
          </rPr>
          <t>Tyrell Bartholomew:</t>
        </r>
        <r>
          <rPr>
            <sz val="9"/>
            <color indexed="81"/>
            <rFont val="Tahoma"/>
            <family val="2"/>
          </rPr>
          <t xml:space="preserve">
15mins change over from carib to mackeson.</t>
        </r>
      </text>
    </comment>
    <comment ref="J21" authorId="0" shapeId="0" xr:uid="{B223E65A-9EFA-41B0-9E32-618895F8F31E}">
      <text>
        <r>
          <rPr>
            <b/>
            <sz val="9"/>
            <color indexed="81"/>
            <rFont val="Tahoma"/>
            <family val="2"/>
          </rPr>
          <t>Kaylil Baptiste:</t>
        </r>
        <r>
          <rPr>
            <sz val="9"/>
            <color indexed="81"/>
            <rFont val="Tahoma"/>
            <family val="2"/>
          </rPr>
          <t xml:space="preserve">
8mins filler bowl level drop</t>
        </r>
      </text>
    </comment>
    <comment ref="Q21" authorId="0" shapeId="0" xr:uid="{8FCD1967-7DBC-4604-B943-58F65DD174E0}">
      <text>
        <r>
          <rPr>
            <b/>
            <sz val="9"/>
            <color indexed="81"/>
            <rFont val="Tahoma"/>
            <family val="2"/>
          </rPr>
          <t>Kaylil Baptiste:</t>
        </r>
        <r>
          <rPr>
            <sz val="9"/>
            <color indexed="81"/>
            <rFont val="Tahoma"/>
            <family val="2"/>
          </rPr>
          <t xml:space="preserve">
8mins high EBI rejection, 8mins EBI malfunction (slow infeed)</t>
        </r>
      </text>
    </comment>
    <comment ref="S21" authorId="0" shapeId="0" xr:uid="{580667C8-D459-4B93-9DBE-8149F93E28EE}">
      <text>
        <r>
          <rPr>
            <b/>
            <sz val="9"/>
            <color indexed="81"/>
            <rFont val="Tahoma"/>
            <family val="2"/>
          </rPr>
          <t>Kaylil Baptiste:</t>
        </r>
        <r>
          <rPr>
            <sz val="9"/>
            <color indexed="81"/>
            <rFont val="Tahoma"/>
            <family val="2"/>
          </rPr>
          <t xml:space="preserve">
83mins waiting on dry run</t>
        </r>
      </text>
    </comment>
    <comment ref="Z21" authorId="4" shapeId="0" xr:uid="{83CD4B96-0EAD-4271-BAA6-89ED94436914}">
      <text>
        <r>
          <rPr>
            <b/>
            <sz val="9"/>
            <color indexed="81"/>
            <rFont val="Tahoma"/>
            <family val="2"/>
          </rPr>
          <t>Tyrell Bartholomew:</t>
        </r>
        <r>
          <rPr>
            <sz val="9"/>
            <color indexed="81"/>
            <rFont val="Tahoma"/>
            <family val="2"/>
          </rPr>
          <t xml:space="preserve">
 35mins waiting on pasteurizer to empty, 9mins waiting on depalletizer.</t>
        </r>
      </text>
    </comment>
    <comment ref="AB21" authorId="0" shapeId="0" xr:uid="{F2D078CB-A10D-49F2-9258-B8FCDA253363}">
      <text>
        <r>
          <rPr>
            <b/>
            <sz val="9"/>
            <color indexed="81"/>
            <rFont val="Tahoma"/>
            <family val="2"/>
          </rPr>
          <t>Kaylil Baptiste:</t>
        </r>
        <r>
          <rPr>
            <sz val="9"/>
            <color indexed="81"/>
            <rFont val="Tahoma"/>
            <family val="2"/>
          </rPr>
          <t xml:space="preserve">
rewashed bottles</t>
        </r>
      </text>
    </comment>
    <comment ref="J22" authorId="0" shapeId="0" xr:uid="{2627F758-DE2C-4C98-B602-86D7CA3C4446}">
      <text>
        <r>
          <rPr>
            <b/>
            <sz val="9"/>
            <color indexed="81"/>
            <rFont val="Tahoma"/>
            <family val="2"/>
          </rPr>
          <t>Micah Noel:</t>
        </r>
        <r>
          <rPr>
            <sz val="9"/>
            <color indexed="81"/>
            <rFont val="Tahoma"/>
            <family val="2"/>
          </rPr>
          <t xml:space="preserve">
Low BBT pressure caused low filler bowl  level</t>
        </r>
      </text>
    </comment>
    <comment ref="R22" authorId="0" shapeId="0" xr:uid="{B86B47ED-9161-4F04-AABF-489701EB5C0E}">
      <text>
        <r>
          <rPr>
            <b/>
            <sz val="9"/>
            <color indexed="81"/>
            <rFont val="Tahoma"/>
            <family val="2"/>
          </rPr>
          <t>Kaylil Baptiste:</t>
        </r>
        <r>
          <rPr>
            <sz val="9"/>
            <color indexed="81"/>
            <rFont val="Tahoma"/>
            <family val="2"/>
          </rPr>
          <t xml:space="preserve">
80mins sensor issue on filleer- not allowing crowns into chute ( resulted in uncrown bottles), 5mins adjusting teflon for centering bells</t>
        </r>
      </text>
    </comment>
    <comment ref="S22" authorId="0" shapeId="0" xr:uid="{AAC448E8-2FD0-4EFF-B46D-B8DDF9BC5FA6}">
      <text>
        <r>
          <rPr>
            <b/>
            <sz val="9"/>
            <color indexed="81"/>
            <rFont val="Tahoma"/>
            <family val="2"/>
          </rPr>
          <t>Kaylil Baptiste:</t>
        </r>
        <r>
          <rPr>
            <sz val="9"/>
            <color indexed="81"/>
            <rFont val="Tahoma"/>
            <family val="2"/>
          </rPr>
          <t xml:space="preserve">
5mins low temp on pasteurizer</t>
        </r>
      </text>
    </comment>
    <comment ref="V22" authorId="0" shapeId="0" xr:uid="{69CC3EEF-82AB-4F89-BDD4-83351C6EDFAF}">
      <text>
        <r>
          <rPr>
            <b/>
            <sz val="9"/>
            <color indexed="81"/>
            <rFont val="Tahoma"/>
            <family val="2"/>
          </rPr>
          <t>Kaylil Baptiste:</t>
        </r>
        <r>
          <rPr>
            <sz val="9"/>
            <color indexed="81"/>
            <rFont val="Tahoma"/>
            <family val="2"/>
          </rPr>
          <t xml:space="preserve">
12mins EBI discharge conveyor issues</t>
        </r>
      </text>
    </comment>
    <comment ref="Z22" authorId="1" shapeId="0" xr:uid="{1385E72D-2C5B-42B9-A6CE-3C8560D7970F}">
      <text>
        <r>
          <rPr>
            <b/>
            <sz val="9"/>
            <color indexed="81"/>
            <rFont val="Tahoma"/>
            <family val="2"/>
          </rPr>
          <t>Dorien Andrew:</t>
        </r>
        <r>
          <rPr>
            <sz val="9"/>
            <color indexed="81"/>
            <rFont val="Tahoma"/>
            <family val="2"/>
          </rPr>
          <t xml:space="preserve">
40mins for washer loading .4mins for bottles testing from lab. 44mins lost for lunch, 20 mins tools box meeting</t>
        </r>
      </text>
    </comment>
    <comment ref="I23" authorId="2" shapeId="0" xr:uid="{78AB5ED0-085D-4033-83DD-C4C1E957F81F}">
      <text>
        <r>
          <rPr>
            <b/>
            <sz val="9"/>
            <color indexed="81"/>
            <rFont val="Tahoma"/>
            <family val="2"/>
          </rPr>
          <t>Micah Noel:</t>
        </r>
        <r>
          <rPr>
            <sz val="9"/>
            <color indexed="81"/>
            <rFont val="Tahoma"/>
            <family val="2"/>
          </rPr>
          <t xml:space="preserve">
50 Mins filler change over from Mackeson to Stag   </t>
        </r>
      </text>
    </comment>
    <comment ref="O23" authorId="0" shapeId="0" xr:uid="{3A1F3BF3-D1C3-4587-BCEB-F06B50D04600}">
      <text>
        <r>
          <rPr>
            <b/>
            <sz val="9"/>
            <color indexed="81"/>
            <rFont val="Tahoma"/>
            <family val="2"/>
          </rPr>
          <t>Kaylil Baptiste:</t>
        </r>
        <r>
          <rPr>
            <sz val="9"/>
            <color indexed="81"/>
            <rFont val="Tahoma"/>
            <family val="2"/>
          </rPr>
          <t xml:space="preserve">
11mins uncaser head hitting crates</t>
        </r>
      </text>
    </comment>
    <comment ref="P23" authorId="0" shapeId="0" xr:uid="{DD360245-22AC-46B1-AB70-32A36D907946}">
      <text>
        <r>
          <rPr>
            <b/>
            <sz val="9"/>
            <color indexed="81"/>
            <rFont val="Tahoma"/>
            <family val="2"/>
          </rPr>
          <t>Kaylil Baptiste:</t>
        </r>
        <r>
          <rPr>
            <sz val="9"/>
            <color indexed="81"/>
            <rFont val="Tahoma"/>
            <family val="2"/>
          </rPr>
          <t xml:space="preserve">
16mins high rejection due to labels</t>
        </r>
      </text>
    </comment>
    <comment ref="Q23" authorId="0" shapeId="0" xr:uid="{DAE4B690-C888-4505-9971-278DE146B0AF}">
      <text>
        <r>
          <rPr>
            <b/>
            <sz val="9"/>
            <color indexed="81"/>
            <rFont val="Tahoma"/>
            <family val="2"/>
          </rPr>
          <t>Kaylil Baptiste:</t>
        </r>
        <r>
          <rPr>
            <sz val="9"/>
            <color indexed="81"/>
            <rFont val="Tahoma"/>
            <family val="2"/>
          </rPr>
          <t xml:space="preserve">
7mins fallen bottles inside EBI starwheel</t>
        </r>
      </text>
    </comment>
    <comment ref="R23" authorId="0" shapeId="0" xr:uid="{83490105-A934-4303-941A-DB6D811F1D2A}">
      <text>
        <r>
          <rPr>
            <b/>
            <sz val="9"/>
            <color indexed="81"/>
            <rFont val="Tahoma"/>
            <family val="2"/>
          </rPr>
          <t>Kaylil Baptiste:</t>
        </r>
        <r>
          <rPr>
            <sz val="9"/>
            <color indexed="81"/>
            <rFont val="Tahoma"/>
            <family val="2"/>
          </rPr>
          <t xml:space="preserve">
39 mins crown sticking in chute ( sensor malfunction), 7mins crowns stuck in chute</t>
        </r>
      </text>
    </comment>
    <comment ref="S23" authorId="0" shapeId="0" xr:uid="{2D93A54F-3D2C-4CFC-9DBC-AB9619155725}">
      <text>
        <r>
          <rPr>
            <b/>
            <sz val="9"/>
            <color indexed="81"/>
            <rFont val="Tahoma"/>
            <family val="2"/>
          </rPr>
          <t>Kaylil Baptiste:</t>
        </r>
        <r>
          <rPr>
            <sz val="9"/>
            <color indexed="81"/>
            <rFont val="Tahoma"/>
            <family val="2"/>
          </rPr>
          <t xml:space="preserve">
40 mins awaiting dry run, 13mins low temp on pasteurizer, 11mins waiting on pasteurizer temperature drop</t>
        </r>
      </text>
    </comment>
    <comment ref="V23" authorId="0" shapeId="0" xr:uid="{1BE08457-1210-4646-A964-AD31727A710B}">
      <text>
        <r>
          <rPr>
            <b/>
            <sz val="9"/>
            <color indexed="81"/>
            <rFont val="Tahoma"/>
            <family val="2"/>
          </rPr>
          <t>Kaylil Baptiste:</t>
        </r>
        <r>
          <rPr>
            <sz val="9"/>
            <color indexed="81"/>
            <rFont val="Tahoma"/>
            <family val="2"/>
          </rPr>
          <t xml:space="preserve">
7mins accumulation discharge conveyor unresponsive, 5mins fallen bottles inside shuffler</t>
        </r>
      </text>
    </comment>
    <comment ref="Z23" authorId="0" shapeId="0" xr:uid="{9FE427F4-4E4A-4EF6-BBA7-4B9FFB615A99}">
      <text>
        <r>
          <rPr>
            <b/>
            <sz val="9"/>
            <color indexed="81"/>
            <rFont val="Tahoma"/>
            <family val="2"/>
          </rPr>
          <t>Kaylil Baptiste:</t>
        </r>
        <r>
          <rPr>
            <sz val="9"/>
            <color indexed="81"/>
            <rFont val="Tahoma"/>
            <family val="2"/>
          </rPr>
          <t xml:space="preserve">
20 mins waiting for pasteurizer to empty, 9mins awaiting lab tech to conduct dry run</t>
        </r>
      </text>
    </comment>
    <comment ref="P24" authorId="0" shapeId="0" xr:uid="{D394EDBF-38A4-45C4-8FF0-48A905753F42}">
      <text>
        <r>
          <rPr>
            <b/>
            <sz val="9"/>
            <color indexed="81"/>
            <rFont val="Tahoma"/>
            <family val="2"/>
          </rPr>
          <t>Kaylil Baptiste:</t>
        </r>
        <r>
          <rPr>
            <sz val="9"/>
            <color indexed="81"/>
            <rFont val="Tahoma"/>
            <family val="2"/>
          </rPr>
          <t xml:space="preserve">
10mins fallen bottles at washer infeed, 6mins fallen bottles at washer discharge</t>
        </r>
      </text>
    </comment>
    <comment ref="Z24" authorId="1" shapeId="0" xr:uid="{C6B5B54C-2EEC-40D0-9B05-CEF4FF0AC31F}">
      <text>
        <r>
          <rPr>
            <b/>
            <sz val="9"/>
            <color indexed="81"/>
            <rFont val="Tahoma"/>
            <family val="2"/>
          </rPr>
          <t>Dorien Andrew:</t>
        </r>
        <r>
          <rPr>
            <sz val="9"/>
            <color indexed="81"/>
            <rFont val="Tahoma"/>
            <family val="2"/>
          </rPr>
          <t xml:space="preserve">
35 mins stop for lunch,10mins taking midnight reading, 5 mins wait for sighters </t>
        </r>
      </text>
    </comment>
    <comment ref="I25" authorId="0" shapeId="0" xr:uid="{10FBF9DA-0B67-4848-8261-C44FD6C8158B}">
      <text>
        <r>
          <rPr>
            <b/>
            <sz val="9"/>
            <color indexed="81"/>
            <rFont val="Tahoma"/>
            <family val="2"/>
          </rPr>
          <t>Kaylil Baptiste:</t>
        </r>
        <r>
          <rPr>
            <sz val="9"/>
            <color indexed="81"/>
            <rFont val="Tahoma"/>
            <family val="2"/>
          </rPr>
          <t xml:space="preserve">
14mins filler change over </t>
        </r>
      </text>
    </comment>
    <comment ref="J25" authorId="2" shapeId="0" xr:uid="{B09113C4-21AB-42F4-8AFE-2A52F7A0EB22}">
      <text>
        <r>
          <rPr>
            <b/>
            <sz val="9"/>
            <color indexed="81"/>
            <rFont val="Tahoma"/>
            <family val="2"/>
          </rPr>
          <t>Micah Noel:</t>
        </r>
        <r>
          <rPr>
            <sz val="9"/>
            <color indexed="81"/>
            <rFont val="Tahoma"/>
            <family val="2"/>
          </rPr>
          <t xml:space="preserve">
36 mins awaiting product from filtration 8 mins low BBT pressure caused low filler bowl level</t>
        </r>
      </text>
    </comment>
    <comment ref="O25" authorId="0" shapeId="0" xr:uid="{2385D88A-916F-4A03-93E7-DDA272DD9E9A}">
      <text>
        <r>
          <rPr>
            <b/>
            <sz val="9"/>
            <color indexed="81"/>
            <rFont val="Tahoma"/>
            <family val="2"/>
          </rPr>
          <t>Kaylil Baptiste:</t>
        </r>
        <r>
          <rPr>
            <sz val="9"/>
            <color indexed="81"/>
            <rFont val="Tahoma"/>
            <family val="2"/>
          </rPr>
          <t xml:space="preserve">
31mins uncaser head hitting crates</t>
        </r>
      </text>
    </comment>
    <comment ref="P25" authorId="0" shapeId="0" xr:uid="{727915A8-2F9E-4EC1-B851-ACEF49C689C8}">
      <text>
        <r>
          <rPr>
            <b/>
            <sz val="9"/>
            <color indexed="81"/>
            <rFont val="Tahoma"/>
            <family val="2"/>
          </rPr>
          <t>Kaylil Baptiste:</t>
        </r>
        <r>
          <rPr>
            <sz val="9"/>
            <color indexed="81"/>
            <rFont val="Tahoma"/>
            <family val="2"/>
          </rPr>
          <t xml:space="preserve">
7mins fallen bottles at washer discharge, 6mins cleaning washer filters</t>
        </r>
      </text>
    </comment>
    <comment ref="R25" authorId="0" shapeId="0" xr:uid="{68EB58B4-EA11-42CB-B6A1-BCB14307BAC5}">
      <text>
        <r>
          <rPr>
            <b/>
            <sz val="9"/>
            <color indexed="81"/>
            <rFont val="Tahoma"/>
            <family val="2"/>
          </rPr>
          <t>Kaylil Baptiste:</t>
        </r>
        <r>
          <rPr>
            <sz val="9"/>
            <color indexed="81"/>
            <rFont val="Tahoma"/>
            <family val="2"/>
          </rPr>
          <t xml:space="preserve">
21mins replacing gas needle and diaphragm on valve 39, 14mins no water to fobber, 12mins maintenance replacing crowner crown stop sensor, 10mins crown jammed at transfer plate</t>
        </r>
      </text>
    </comment>
    <comment ref="T25" authorId="0" shapeId="0" xr:uid="{FAD91FF7-70A0-4EBA-BD47-A0971DEB8C82}">
      <text>
        <r>
          <rPr>
            <b/>
            <sz val="9"/>
            <color indexed="81"/>
            <rFont val="Tahoma"/>
            <family val="2"/>
          </rPr>
          <t>Kaylil Baptiste:</t>
        </r>
        <r>
          <rPr>
            <sz val="9"/>
            <color indexed="81"/>
            <rFont val="Tahoma"/>
            <family val="2"/>
          </rPr>
          <t xml:space="preserve">
6mins glue pump cut off</t>
        </r>
      </text>
    </comment>
    <comment ref="U25" authorId="0" shapeId="0" xr:uid="{605F06D8-95DF-4C26-BEB0-10C1200EF4F3}">
      <text>
        <r>
          <rPr>
            <b/>
            <sz val="9"/>
            <color indexed="81"/>
            <rFont val="Tahoma"/>
            <family val="2"/>
          </rPr>
          <t>Kaylil Baptiste:</t>
        </r>
        <r>
          <rPr>
            <sz val="9"/>
            <color indexed="81"/>
            <rFont val="Tahoma"/>
            <family val="2"/>
          </rPr>
          <t xml:space="preserve">
20mins videojet not printing properly</t>
        </r>
      </text>
    </comment>
    <comment ref="V25" authorId="0" shapeId="0" xr:uid="{5A251429-5427-4E6E-ACF1-E6BCF8B0B715}">
      <text>
        <r>
          <rPr>
            <b/>
            <sz val="9"/>
            <color indexed="81"/>
            <rFont val="Tahoma"/>
            <family val="2"/>
          </rPr>
          <t>Kaylil Baptiste:</t>
        </r>
        <r>
          <rPr>
            <sz val="9"/>
            <color indexed="81"/>
            <rFont val="Tahoma"/>
            <family val="2"/>
          </rPr>
          <t xml:space="preserve">
11mins fallen bottles inside shuffler</t>
        </r>
      </text>
    </comment>
    <comment ref="Y25" authorId="0" shapeId="0" xr:uid="{B67D6399-BA3A-4806-AD3D-4841B81D7C9E}">
      <text>
        <r>
          <rPr>
            <b/>
            <sz val="9"/>
            <color indexed="81"/>
            <rFont val="Tahoma"/>
            <family val="2"/>
          </rPr>
          <t>Kaylil Baptiste:</t>
        </r>
        <r>
          <rPr>
            <sz val="9"/>
            <color indexed="81"/>
            <rFont val="Tahoma"/>
            <family val="2"/>
          </rPr>
          <t xml:space="preserve">
27mins stop for crate rinser issue</t>
        </r>
      </text>
    </comment>
    <comment ref="Z25" authorId="1" shapeId="0" xr:uid="{2E22346B-2B7E-4CF2-8852-B75FA3C253DD}">
      <text>
        <r>
          <rPr>
            <b/>
            <sz val="9"/>
            <color indexed="81"/>
            <rFont val="Tahoma"/>
            <family val="2"/>
          </rPr>
          <t>Dorien Andrew:</t>
        </r>
        <r>
          <rPr>
            <sz val="9"/>
            <color indexed="81"/>
            <rFont val="Tahoma"/>
            <family val="2"/>
          </rPr>
          <t xml:space="preserve">
7 mins stop to clean uncaser area. 22mins pasteurizer emergency stop button was accidently pressed.8 mins  stop for man power</t>
        </r>
      </text>
    </comment>
    <comment ref="AB25" authorId="2" shapeId="0" xr:uid="{81627969-64CE-4B09-8365-0B3A12E3AEE3}">
      <text>
        <r>
          <rPr>
            <b/>
            <sz val="9"/>
            <color indexed="81"/>
            <rFont val="Tahoma"/>
            <family val="2"/>
          </rPr>
          <t>Micah Noel:</t>
        </r>
        <r>
          <rPr>
            <sz val="9"/>
            <color indexed="81"/>
            <rFont val="Tahoma"/>
            <family val="2"/>
          </rPr>
          <t xml:space="preserve">
14 mins high EBI rejections caused by pre-washed bottles</t>
        </r>
      </text>
    </comment>
    <comment ref="G26" authorId="2" shapeId="0" xr:uid="{B508E79D-FB3C-4661-AD89-072C15203636}">
      <text>
        <r>
          <rPr>
            <b/>
            <sz val="9"/>
            <color indexed="81"/>
            <rFont val="Tahoma"/>
            <family val="2"/>
          </rPr>
          <t>Micah Noel:</t>
        </r>
        <r>
          <rPr>
            <sz val="9"/>
            <color indexed="81"/>
            <rFont val="Tahoma"/>
            <family val="2"/>
          </rPr>
          <t xml:space="preserve">
packer issues plus wait for crates prolonged time taken to empty pasteurizer</t>
        </r>
      </text>
    </comment>
    <comment ref="R26" authorId="0" shapeId="0" xr:uid="{CB5CAB2B-82D6-4BE6-A4CB-523255959AF3}">
      <text>
        <r>
          <rPr>
            <b/>
            <sz val="9"/>
            <color indexed="81"/>
            <rFont val="Tahoma"/>
            <family val="2"/>
          </rPr>
          <t>Kaylil Baptiste:</t>
        </r>
        <r>
          <rPr>
            <sz val="9"/>
            <color indexed="81"/>
            <rFont val="Tahoma"/>
            <family val="2"/>
          </rPr>
          <t xml:space="preserve">
34mins working on valve 34</t>
        </r>
      </text>
    </comment>
    <comment ref="Z26" authorId="1" shapeId="0" xr:uid="{D7A11B59-0898-48D2-A5DB-60F17C588BC0}">
      <text>
        <r>
          <rPr>
            <b/>
            <sz val="9"/>
            <color indexed="81"/>
            <rFont val="Tahoma"/>
            <family val="2"/>
          </rPr>
          <t>Dorien Andrew:</t>
        </r>
        <r>
          <rPr>
            <sz val="9"/>
            <color indexed="81"/>
            <rFont val="Tahoma"/>
            <family val="2"/>
          </rPr>
          <t xml:space="preserve">
10 mins stop to take reading. 35 mins stop for lunch break </t>
        </r>
      </text>
    </comment>
    <comment ref="AB26" authorId="1" shapeId="0" xr:uid="{5DB536ED-B3E9-442F-B588-B57B5227EC97}">
      <text>
        <r>
          <rPr>
            <b/>
            <sz val="9"/>
            <color indexed="81"/>
            <rFont val="Tahoma"/>
            <family val="2"/>
          </rPr>
          <t>Dorien Andrew:</t>
        </r>
        <r>
          <rPr>
            <sz val="9"/>
            <color indexed="81"/>
            <rFont val="Tahoma"/>
            <family val="2"/>
          </rPr>
          <t xml:space="preserve">
waiting on crates and  pallets plus limited storage space for damaged crates</t>
        </r>
      </text>
    </comment>
    <comment ref="I27" authorId="2" shapeId="0" xr:uid="{20151EF3-AAC2-4366-AA6B-FDF393A5A7F9}">
      <text>
        <r>
          <rPr>
            <b/>
            <sz val="9"/>
            <color indexed="81"/>
            <rFont val="Tahoma"/>
            <family val="2"/>
          </rPr>
          <t>Micah Noel:</t>
        </r>
        <r>
          <rPr>
            <sz val="9"/>
            <color indexed="81"/>
            <rFont val="Tahoma"/>
            <family val="2"/>
          </rPr>
          <t xml:space="preserve">
60 Mins Filler change over </t>
        </r>
      </text>
    </comment>
    <comment ref="J27" authorId="2" shapeId="0" xr:uid="{22ED09C6-F3EC-4C16-A6FA-30E1932D214F}">
      <text>
        <r>
          <rPr>
            <b/>
            <sz val="9"/>
            <color indexed="81"/>
            <rFont val="Tahoma"/>
            <family val="2"/>
          </rPr>
          <t>Micah Noel:</t>
        </r>
        <r>
          <rPr>
            <sz val="9"/>
            <color indexed="81"/>
            <rFont val="Tahoma"/>
            <family val="2"/>
          </rPr>
          <t xml:space="preserve">
300 mins from the 7-3 shift waiitng for product to be blended. 455 mins waiting on product.</t>
        </r>
      </text>
    </comment>
    <comment ref="L27" authorId="4" shapeId="0" xr:uid="{3A510339-6490-4259-8728-9E4E51F6516F}">
      <text>
        <r>
          <rPr>
            <b/>
            <sz val="9"/>
            <color indexed="81"/>
            <rFont val="Tahoma"/>
            <family val="2"/>
          </rPr>
          <t>Tyrell Bartholomew:</t>
        </r>
        <r>
          <rPr>
            <sz val="9"/>
            <color indexed="81"/>
            <rFont val="Tahoma"/>
            <family val="2"/>
          </rPr>
          <t xml:space="preserve">
14mins low co2 pressure on filler</t>
        </r>
      </text>
    </comment>
    <comment ref="R27" authorId="0" shapeId="0" xr:uid="{600143F0-C6FC-48B2-AC09-69421FDB7D10}">
      <text>
        <r>
          <rPr>
            <b/>
            <sz val="9"/>
            <color indexed="81"/>
            <rFont val="Tahoma"/>
            <family val="2"/>
          </rPr>
          <t>Kaylil Baptiste:</t>
        </r>
        <r>
          <rPr>
            <sz val="9"/>
            <color indexed="81"/>
            <rFont val="Tahoma"/>
            <family val="2"/>
          </rPr>
          <t xml:space="preserve">
11mins making adjustment to filler bowl height</t>
        </r>
      </text>
    </comment>
    <comment ref="X27" authorId="0" shapeId="0" xr:uid="{D771A54F-43CA-4AE9-8406-D43A33F777B4}">
      <text>
        <r>
          <rPr>
            <b/>
            <sz val="9"/>
            <color indexed="81"/>
            <rFont val="Tahoma"/>
            <family val="2"/>
          </rPr>
          <t>Kaylil Baptiste:</t>
        </r>
        <r>
          <rPr>
            <sz val="9"/>
            <color indexed="81"/>
            <rFont val="Tahoma"/>
            <family val="2"/>
          </rPr>
          <t xml:space="preserve">
14mins box taper malfunction</t>
        </r>
      </text>
    </comment>
    <comment ref="Z27" authorId="1" shapeId="0" xr:uid="{E319798B-4EF2-433C-B523-D3B880AACC85}">
      <text>
        <r>
          <rPr>
            <b/>
            <sz val="9"/>
            <color indexed="81"/>
            <rFont val="Tahoma"/>
            <family val="2"/>
          </rPr>
          <t>Dorien Andrew:</t>
        </r>
        <r>
          <rPr>
            <sz val="9"/>
            <color indexed="81"/>
            <rFont val="Tahoma"/>
            <family val="2"/>
          </rPr>
          <t xml:space="preserve">
25 mins Filler mid week clean, 18mins lack of man power on uncasor</t>
        </r>
      </text>
    </comment>
    <comment ref="J28" authorId="0" shapeId="0" xr:uid="{7F032532-1F75-4E00-B111-0A6C1C57580A}">
      <text>
        <r>
          <rPr>
            <b/>
            <sz val="9"/>
            <color indexed="81"/>
            <rFont val="Tahoma"/>
            <family val="2"/>
          </rPr>
          <t>Kaylil Baptiste:</t>
        </r>
        <r>
          <rPr>
            <sz val="9"/>
            <color indexed="81"/>
            <rFont val="Tahoma"/>
            <family val="2"/>
          </rPr>
          <t xml:space="preserve">
8mins filler bowl level drop</t>
        </r>
      </text>
    </comment>
    <comment ref="P28" authorId="0" shapeId="0" xr:uid="{B51AF844-3D76-4E2E-9AE3-69CEE90FFCA0}">
      <text>
        <r>
          <rPr>
            <b/>
            <sz val="9"/>
            <color indexed="81"/>
            <rFont val="Tahoma"/>
            <family val="2"/>
          </rPr>
          <t>Kaylil Baptiste:</t>
        </r>
        <r>
          <rPr>
            <sz val="9"/>
            <color indexed="81"/>
            <rFont val="Tahoma"/>
            <family val="2"/>
          </rPr>
          <t xml:space="preserve">
10mins high rejection due to labels</t>
        </r>
      </text>
    </comment>
    <comment ref="S28" authorId="0" shapeId="0" xr:uid="{3187E6AC-5371-44D4-8ED7-7463888E1A3E}">
      <text>
        <r>
          <rPr>
            <b/>
            <sz val="9"/>
            <color indexed="81"/>
            <rFont val="Tahoma"/>
            <family val="2"/>
          </rPr>
          <t>Kaylil Baptiste:</t>
        </r>
        <r>
          <rPr>
            <sz val="9"/>
            <color indexed="81"/>
            <rFont val="Tahoma"/>
            <family val="2"/>
          </rPr>
          <t xml:space="preserve">
12mins low temp on pasteurizer</t>
        </r>
      </text>
    </comment>
    <comment ref="U28" authorId="0" shapeId="0" xr:uid="{B1ECC28F-E79C-4B3E-9BBA-CC3C90F05F0B}">
      <text>
        <r>
          <rPr>
            <b/>
            <sz val="9"/>
            <color indexed="81"/>
            <rFont val="Tahoma"/>
            <family val="2"/>
          </rPr>
          <t>Kaylil Baptiste:</t>
        </r>
        <r>
          <rPr>
            <sz val="9"/>
            <color indexed="81"/>
            <rFont val="Tahoma"/>
            <family val="2"/>
          </rPr>
          <t xml:space="preserve">
103mins videojet not printing properly</t>
        </r>
      </text>
    </comment>
    <comment ref="X28" authorId="0" shapeId="0" xr:uid="{2009530B-8043-47AF-8CBE-51CF7DA81DE7}">
      <text>
        <r>
          <rPr>
            <b/>
            <sz val="9"/>
            <color indexed="81"/>
            <rFont val="Tahoma"/>
            <family val="2"/>
          </rPr>
          <t>Kaylil Baptiste:</t>
        </r>
        <r>
          <rPr>
            <sz val="9"/>
            <color indexed="81"/>
            <rFont val="Tahoma"/>
            <family val="2"/>
          </rPr>
          <t xml:space="preserve">
50mins carton sealer not taping properly</t>
        </r>
      </text>
    </comment>
    <comment ref="H29" authorId="0" shapeId="0" xr:uid="{43AE25DF-D730-49DE-8F66-7CB82442830F}">
      <text>
        <r>
          <rPr>
            <b/>
            <sz val="9"/>
            <color indexed="81"/>
            <rFont val="Tahoma"/>
            <family val="2"/>
          </rPr>
          <t>Kaylil Baptiste:</t>
        </r>
        <r>
          <rPr>
            <sz val="9"/>
            <color indexed="81"/>
            <rFont val="Tahoma"/>
            <family val="2"/>
          </rPr>
          <t xml:space="preserve">
5mins incorrect back label</t>
        </r>
      </text>
    </comment>
    <comment ref="I29" authorId="0" shapeId="0" xr:uid="{424588CC-9426-418C-8B88-113CF8AAFDF2}">
      <text>
        <r>
          <rPr>
            <b/>
            <sz val="9"/>
            <color indexed="81"/>
            <rFont val="Tahoma"/>
            <family val="2"/>
          </rPr>
          <t>Kaylil Baptiste:</t>
        </r>
        <r>
          <rPr>
            <sz val="9"/>
            <color indexed="81"/>
            <rFont val="Tahoma"/>
            <family val="2"/>
          </rPr>
          <t xml:space="preserve">
24mins change over</t>
        </r>
      </text>
    </comment>
    <comment ref="O29" authorId="0" shapeId="0" xr:uid="{6023EA1C-A0EF-4751-BE8F-3058261CBF7F}">
      <text>
        <r>
          <rPr>
            <b/>
            <sz val="9"/>
            <color indexed="81"/>
            <rFont val="Tahoma"/>
            <family val="2"/>
          </rPr>
          <t>Kaylil Baptiste:</t>
        </r>
        <r>
          <rPr>
            <sz val="9"/>
            <color indexed="81"/>
            <rFont val="Tahoma"/>
            <family val="2"/>
          </rPr>
          <t xml:space="preserve">
6mins hose burst out on uncaser head</t>
        </r>
      </text>
    </comment>
    <comment ref="P29" authorId="0" shapeId="0" xr:uid="{928E3ED6-EB2D-4C45-986E-3992CD7FB1AB}">
      <text>
        <r>
          <rPr>
            <b/>
            <sz val="9"/>
            <color indexed="81"/>
            <rFont val="Tahoma"/>
            <family val="2"/>
          </rPr>
          <t>Kaylil Baptiste:</t>
        </r>
        <r>
          <rPr>
            <sz val="9"/>
            <color indexed="81"/>
            <rFont val="Tahoma"/>
            <family val="2"/>
          </rPr>
          <t xml:space="preserve">
10mins high rejection due to labels</t>
        </r>
      </text>
    </comment>
    <comment ref="Q29" authorId="0" shapeId="0" xr:uid="{CB180255-1133-44FF-9EB9-9987F33A9BF2}">
      <text>
        <r>
          <rPr>
            <b/>
            <sz val="9"/>
            <color indexed="81"/>
            <rFont val="Tahoma"/>
            <family val="2"/>
          </rPr>
          <t>Kaylil Baptiste:</t>
        </r>
        <r>
          <rPr>
            <sz val="9"/>
            <color indexed="81"/>
            <rFont val="Tahoma"/>
            <family val="2"/>
          </rPr>
          <t xml:space="preserve">
124mins test bottle failure, 25mins troubleshooting EBI</t>
        </r>
      </text>
    </comment>
    <comment ref="R29" authorId="0" shapeId="0" xr:uid="{FA61DCDB-C49F-4B2E-BA48-F89B445491A2}">
      <text>
        <r>
          <rPr>
            <b/>
            <sz val="9"/>
            <color indexed="81"/>
            <rFont val="Tahoma"/>
            <family val="2"/>
          </rPr>
          <t>Kaylil Baptiste:</t>
        </r>
        <r>
          <rPr>
            <sz val="9"/>
            <color indexed="81"/>
            <rFont val="Tahoma"/>
            <family val="2"/>
          </rPr>
          <t xml:space="preserve">
10mins replacing gas nipple on diaphragm #34, 8mins adjusting filler bowl height</t>
        </r>
      </text>
    </comment>
    <comment ref="T29" authorId="0" shapeId="0" xr:uid="{52ADB569-0DFA-4DC2-B341-4C068C6031A0}">
      <text>
        <r>
          <rPr>
            <b/>
            <sz val="9"/>
            <color indexed="81"/>
            <rFont val="Tahoma"/>
            <family val="2"/>
          </rPr>
          <t>Kaylil Baptiste:</t>
        </r>
        <r>
          <rPr>
            <sz val="9"/>
            <color indexed="81"/>
            <rFont val="Tahoma"/>
            <family val="2"/>
          </rPr>
          <t xml:space="preserve">
12mins magazine adjustments on labeler</t>
        </r>
      </text>
    </comment>
    <comment ref="W29" authorId="0" shapeId="0" xr:uid="{CD4F997C-79B8-4227-A12E-CCEDFC01C0BC}">
      <text>
        <r>
          <rPr>
            <b/>
            <sz val="9"/>
            <color indexed="81"/>
            <rFont val="Tahoma"/>
            <family val="2"/>
          </rPr>
          <t>Kaylil Baptiste:</t>
        </r>
        <r>
          <rPr>
            <sz val="9"/>
            <color indexed="81"/>
            <rFont val="Tahoma"/>
            <family val="2"/>
          </rPr>
          <t xml:space="preserve">
13mins broken cable on sensor</t>
        </r>
      </text>
    </comment>
    <comment ref="AB29" authorId="2" shapeId="0" xr:uid="{648275BA-B702-4331-82B4-E5F5BCDBC830}">
      <text>
        <r>
          <rPr>
            <b/>
            <sz val="9"/>
            <color indexed="81"/>
            <rFont val="Tahoma"/>
            <family val="2"/>
          </rPr>
          <t>Micah Noel:</t>
        </r>
        <r>
          <rPr>
            <sz val="9"/>
            <color indexed="81"/>
            <rFont val="Tahoma"/>
            <family val="2"/>
          </rPr>
          <t xml:space="preserve">
2 mins incorrect bottle type stuck at infeed guide</t>
        </r>
      </text>
    </comment>
    <comment ref="I30" authorId="2" shapeId="0" xr:uid="{70A9C38D-0E7E-4CA3-9195-7621D330D7EB}">
      <text>
        <r>
          <rPr>
            <b/>
            <sz val="9"/>
            <color indexed="81"/>
            <rFont val="Tahoma"/>
            <family val="2"/>
          </rPr>
          <t>Micah Noel:</t>
        </r>
        <r>
          <rPr>
            <sz val="9"/>
            <color indexed="81"/>
            <rFont val="Tahoma"/>
            <family val="2"/>
          </rPr>
          <t xml:space="preserve">
filler change over from Bellini to Royale</t>
        </r>
      </text>
    </comment>
    <comment ref="J30" authorId="4" shapeId="0" xr:uid="{E17C87E3-051E-41C4-A029-93245AD54F4D}">
      <text>
        <r>
          <rPr>
            <b/>
            <sz val="9"/>
            <color indexed="81"/>
            <rFont val="Tahoma"/>
            <family val="2"/>
          </rPr>
          <t>Tyrell Bartholomew:</t>
        </r>
        <r>
          <rPr>
            <sz val="9"/>
            <color indexed="81"/>
            <rFont val="Tahoma"/>
            <family val="2"/>
          </rPr>
          <t xml:space="preserve">
3mins waiting on product</t>
        </r>
      </text>
    </comment>
    <comment ref="P30" authorId="0" shapeId="0" xr:uid="{66587C94-EA26-49A2-B2DB-7DD09ADD7073}">
      <text>
        <r>
          <rPr>
            <b/>
            <sz val="9"/>
            <color indexed="81"/>
            <rFont val="Tahoma"/>
            <family val="2"/>
          </rPr>
          <t>Kaylil Baptiste:</t>
        </r>
        <r>
          <rPr>
            <sz val="9"/>
            <color indexed="81"/>
            <rFont val="Tahoma"/>
            <family val="2"/>
          </rPr>
          <t xml:space="preserve">
5mins fallen bottle at washer discharge</t>
        </r>
      </text>
    </comment>
    <comment ref="Q30" authorId="0" shapeId="0" xr:uid="{3402D4A2-7CAF-4B56-B285-231C73637AA1}">
      <text>
        <r>
          <rPr>
            <b/>
            <sz val="9"/>
            <color indexed="81"/>
            <rFont val="Tahoma"/>
            <family val="2"/>
          </rPr>
          <t>Kaylil Baptiste:</t>
        </r>
        <r>
          <rPr>
            <sz val="9"/>
            <color indexed="81"/>
            <rFont val="Tahoma"/>
            <family val="2"/>
          </rPr>
          <t xml:space="preserve">
12mins fallen bottles on OSW, 10mins parameter adjustment on EBI</t>
        </r>
      </text>
    </comment>
    <comment ref="R30" authorId="0" shapeId="0" xr:uid="{0BC5E6E7-103A-4C4E-AB36-902FC8707C97}">
      <text>
        <r>
          <rPr>
            <b/>
            <sz val="9"/>
            <color indexed="81"/>
            <rFont val="Tahoma"/>
            <family val="2"/>
          </rPr>
          <t>Kaylil Baptiste:</t>
        </r>
        <r>
          <rPr>
            <sz val="9"/>
            <color indexed="81"/>
            <rFont val="Tahoma"/>
            <family val="2"/>
          </rPr>
          <t xml:space="preserve">
5mins cleaning filler base</t>
        </r>
      </text>
    </comment>
    <comment ref="S30" authorId="0" shapeId="0" xr:uid="{5C47FC1E-5D3C-4264-9D5C-06ACEF9D28E9}">
      <text>
        <r>
          <rPr>
            <b/>
            <sz val="9"/>
            <color indexed="81"/>
            <rFont val="Tahoma"/>
            <family val="2"/>
          </rPr>
          <t>Kaylil Baptiste:</t>
        </r>
        <r>
          <rPr>
            <sz val="9"/>
            <color indexed="81"/>
            <rFont val="Tahoma"/>
            <family val="2"/>
          </rPr>
          <t xml:space="preserve">
14mins low temp on pasteurizer, 9mins pump # 5 cut off ( downtime on labeler)</t>
        </r>
      </text>
    </comment>
    <comment ref="T30" authorId="0" shapeId="0" xr:uid="{D9D2644E-ADFA-482B-8989-76C95E472C8F}">
      <text>
        <r>
          <rPr>
            <b/>
            <sz val="9"/>
            <color indexed="81"/>
            <rFont val="Tahoma"/>
            <family val="2"/>
          </rPr>
          <t>Kaylil Baptiste:</t>
        </r>
        <r>
          <rPr>
            <sz val="9"/>
            <color indexed="81"/>
            <rFont val="Tahoma"/>
            <family val="2"/>
          </rPr>
          <t xml:space="preserve">
7mins magazine adjustments on labeler</t>
        </r>
      </text>
    </comment>
    <comment ref="V30" authorId="0" shapeId="0" xr:uid="{EA4ACB48-05E7-4C5F-A48C-A58459DF18F0}">
      <text>
        <r>
          <rPr>
            <b/>
            <sz val="9"/>
            <color indexed="81"/>
            <rFont val="Tahoma"/>
            <family val="2"/>
          </rPr>
          <t>Kaylil Baptiste:</t>
        </r>
        <r>
          <rPr>
            <sz val="9"/>
            <color indexed="81"/>
            <rFont val="Tahoma"/>
            <family val="2"/>
          </rPr>
          <t xml:space="preserve">
7mins fallen bottles inside shuffler</t>
        </r>
      </text>
    </comment>
    <comment ref="X30" authorId="0" shapeId="0" xr:uid="{E6B8F3B0-0B40-4274-A6AF-F1C67A519968}">
      <text>
        <r>
          <rPr>
            <b/>
            <sz val="9"/>
            <color indexed="81"/>
            <rFont val="Tahoma"/>
            <family val="2"/>
          </rPr>
          <t>Kaylil Baptiste:</t>
        </r>
        <r>
          <rPr>
            <sz val="9"/>
            <color indexed="81"/>
            <rFont val="Tahoma"/>
            <family val="2"/>
          </rPr>
          <t xml:space="preserve">
142mins carton errector destroying boxes, 15mins carton errector malfunction</t>
        </r>
      </text>
    </comment>
    <comment ref="Z30" authorId="2" shapeId="0" xr:uid="{77F55C19-CAAA-4F09-A0EE-19451D30870F}">
      <text>
        <r>
          <rPr>
            <b/>
            <sz val="9"/>
            <color indexed="81"/>
            <rFont val="Tahoma"/>
            <family val="2"/>
          </rPr>
          <t>Micah Noel:</t>
        </r>
        <r>
          <rPr>
            <sz val="9"/>
            <color indexed="81"/>
            <rFont val="Tahoma"/>
            <family val="2"/>
          </rPr>
          <t xml:space="preserve">
68mins lunch </t>
        </r>
      </text>
    </comment>
    <comment ref="AB30" authorId="2" shapeId="0" xr:uid="{399B3C82-CB31-41F2-A321-41F8C3E49BE9}">
      <text>
        <r>
          <rPr>
            <b/>
            <sz val="9"/>
            <color indexed="81"/>
            <rFont val="Tahoma"/>
            <family val="2"/>
          </rPr>
          <t>Micah Noel:</t>
        </r>
        <r>
          <rPr>
            <sz val="9"/>
            <color indexed="81"/>
            <rFont val="Tahoma"/>
            <family val="2"/>
          </rPr>
          <t xml:space="preserve">
2 mins incorrect bottle stuck at EBI infeed</t>
        </r>
      </text>
    </comment>
    <comment ref="J31" authorId="2" shapeId="0" xr:uid="{DF44AF7F-C8EA-48EC-B1D7-DF59A9605954}">
      <text>
        <r>
          <rPr>
            <b/>
            <sz val="9"/>
            <color indexed="81"/>
            <rFont val="Tahoma"/>
            <family val="2"/>
          </rPr>
          <t>Micah Noel:</t>
        </r>
        <r>
          <rPr>
            <sz val="9"/>
            <color indexed="81"/>
            <rFont val="Tahoma"/>
            <family val="2"/>
          </rPr>
          <t xml:space="preserve">
5mins low filler bowl level</t>
        </r>
      </text>
    </comment>
    <comment ref="O31" authorId="0" shapeId="0" xr:uid="{12C5676C-69B5-483A-A790-21A3433C74AC}">
      <text>
        <r>
          <rPr>
            <b/>
            <sz val="9"/>
            <color indexed="81"/>
            <rFont val="Tahoma"/>
            <family val="2"/>
          </rPr>
          <t>Kaylil Baptiste:</t>
        </r>
        <r>
          <rPr>
            <sz val="9"/>
            <color indexed="81"/>
            <rFont val="Tahoma"/>
            <family val="2"/>
          </rPr>
          <t xml:space="preserve">
9mins suction cup assembly fell off ( including spring and stem)</t>
        </r>
      </text>
    </comment>
    <comment ref="Q31" authorId="0" shapeId="0" xr:uid="{F762BC4B-40E6-4373-8A92-D617874FC2AB}">
      <text>
        <r>
          <rPr>
            <b/>
            <sz val="9"/>
            <color indexed="81"/>
            <rFont val="Tahoma"/>
            <family val="2"/>
          </rPr>
          <t>Kaylil Baptiste:</t>
        </r>
        <r>
          <rPr>
            <sz val="9"/>
            <color indexed="81"/>
            <rFont val="Tahoma"/>
            <family val="2"/>
          </rPr>
          <t xml:space="preserve">
13mins high EBI rejection </t>
        </r>
      </text>
    </comment>
    <comment ref="R31" authorId="0" shapeId="0" xr:uid="{D1E69259-4003-4C47-8902-CE1AEB8BB3CB}">
      <text>
        <r>
          <rPr>
            <b/>
            <sz val="9"/>
            <color indexed="81"/>
            <rFont val="Tahoma"/>
            <family val="2"/>
          </rPr>
          <t>Kaylil Baptiste:</t>
        </r>
        <r>
          <rPr>
            <sz val="9"/>
            <color indexed="81"/>
            <rFont val="Tahoma"/>
            <family val="2"/>
          </rPr>
          <t xml:space="preserve">
78 mins lost replacing O ring from valve 34, 10mins filler screen frozen up, 8mins crowns stuck in chute </t>
        </r>
      </text>
    </comment>
    <comment ref="S31" authorId="0" shapeId="0" xr:uid="{25A78E7A-6DA9-4B78-B1AE-83F2D7DB3D25}">
      <text>
        <r>
          <rPr>
            <b/>
            <sz val="9"/>
            <color indexed="81"/>
            <rFont val="Tahoma"/>
            <family val="2"/>
          </rPr>
          <t>Kaylil Baptiste:</t>
        </r>
        <r>
          <rPr>
            <sz val="9"/>
            <color indexed="81"/>
            <rFont val="Tahoma"/>
            <family val="2"/>
          </rPr>
          <t xml:space="preserve">
55mins waiting on dry run</t>
        </r>
      </text>
    </comment>
    <comment ref="V31" authorId="0" shapeId="0" xr:uid="{856C952D-D554-4E25-A3DB-0EEDAAE8484C}">
      <text>
        <r>
          <rPr>
            <b/>
            <sz val="9"/>
            <color indexed="81"/>
            <rFont val="Tahoma"/>
            <family val="2"/>
          </rPr>
          <t>Kaylil Baptiste:</t>
        </r>
        <r>
          <rPr>
            <sz val="9"/>
            <color indexed="81"/>
            <rFont val="Tahoma"/>
            <family val="2"/>
          </rPr>
          <t xml:space="preserve">
15mins filler infeed conveyor not working, 6min fallen bottles inside shuffler </t>
        </r>
      </text>
    </comment>
    <comment ref="Z31" authorId="1" shapeId="0" xr:uid="{0A4F07E1-0938-44B5-BCC0-16D66297F809}">
      <text>
        <r>
          <rPr>
            <b/>
            <sz val="9"/>
            <color indexed="81"/>
            <rFont val="Tahoma"/>
            <family val="2"/>
          </rPr>
          <t>Dorien Andrew:</t>
        </r>
        <r>
          <rPr>
            <sz val="9"/>
            <color indexed="81"/>
            <rFont val="Tahoma"/>
            <family val="2"/>
          </rPr>
          <t xml:space="preserve">
waiting on pasteurizer to epmty reasons being labeller issue as well as  carton erector issue </t>
        </r>
      </text>
    </comment>
    <comment ref="I32" authorId="4" shapeId="0" xr:uid="{F2043FDD-D07A-4BFE-B824-C97ECC052A4F}">
      <text>
        <r>
          <rPr>
            <b/>
            <sz val="9"/>
            <color indexed="81"/>
            <rFont val="Tahoma"/>
            <family val="2"/>
          </rPr>
          <t>Tyrell Bartholomew:</t>
        </r>
        <r>
          <rPr>
            <sz val="9"/>
            <color indexed="81"/>
            <rFont val="Tahoma"/>
            <family val="2"/>
          </rPr>
          <t xml:space="preserve">
20mins changeover from carib to shandy lime.</t>
        </r>
      </text>
    </comment>
    <comment ref="T32" authorId="0" shapeId="0" xr:uid="{6F779137-CB3B-4907-858D-57FA74CD5B33}">
      <text>
        <r>
          <rPr>
            <b/>
            <sz val="9"/>
            <color indexed="81"/>
            <rFont val="Tahoma"/>
            <family val="2"/>
          </rPr>
          <t>Kaylil Baptiste:</t>
        </r>
        <r>
          <rPr>
            <sz val="9"/>
            <color indexed="81"/>
            <rFont val="Tahoma"/>
            <family val="2"/>
          </rPr>
          <t xml:space="preserve">
8mins missing labels</t>
        </r>
      </text>
    </comment>
    <comment ref="I33" authorId="4" shapeId="0" xr:uid="{76A244D8-6C69-49B5-8345-E935CAC8566E}">
      <text>
        <r>
          <rPr>
            <b/>
            <sz val="9"/>
            <color indexed="81"/>
            <rFont val="Tahoma"/>
            <family val="2"/>
          </rPr>
          <t>Tyrell Bartholomew:</t>
        </r>
        <r>
          <rPr>
            <sz val="9"/>
            <color indexed="81"/>
            <rFont val="Tahoma"/>
            <family val="2"/>
          </rPr>
          <t xml:space="preserve">
18mins changing over from shandy lime to shandy ginger.</t>
        </r>
      </text>
    </comment>
    <comment ref="T33" authorId="0" shapeId="0" xr:uid="{74BD2415-CF19-4973-B01C-13672EC5EA15}">
      <text>
        <r>
          <rPr>
            <b/>
            <sz val="9"/>
            <color indexed="81"/>
            <rFont val="Tahoma"/>
            <family val="2"/>
          </rPr>
          <t>Kaylil Baptiste:</t>
        </r>
        <r>
          <rPr>
            <sz val="9"/>
            <color indexed="81"/>
            <rFont val="Tahoma"/>
            <family val="2"/>
          </rPr>
          <t xml:space="preserve">
5mins start up adjustments on labeler</t>
        </r>
      </text>
    </comment>
    <comment ref="H34" authorId="0" shapeId="0" xr:uid="{56DAD52F-24BA-45D4-A112-2321D77B8D1E}">
      <text>
        <r>
          <rPr>
            <b/>
            <sz val="9"/>
            <color indexed="81"/>
            <rFont val="Tahoma"/>
            <family val="2"/>
          </rPr>
          <t>Dorien Andrew:</t>
        </r>
        <r>
          <rPr>
            <sz val="9"/>
            <color indexed="81"/>
            <rFont val="Tahoma"/>
            <family val="2"/>
          </rPr>
          <t xml:space="preserve">
17mins miscommunication between lines men </t>
        </r>
      </text>
    </comment>
    <comment ref="P34" authorId="0" shapeId="0" xr:uid="{36128EA9-DEF4-44CA-BDAF-81480BB7A05F}">
      <text>
        <r>
          <rPr>
            <b/>
            <sz val="9"/>
            <color indexed="81"/>
            <rFont val="Tahoma"/>
            <family val="2"/>
          </rPr>
          <t>Kaylil Baptiste:</t>
        </r>
        <r>
          <rPr>
            <sz val="9"/>
            <color indexed="81"/>
            <rFont val="Tahoma"/>
            <family val="2"/>
          </rPr>
          <t xml:space="preserve">
130mins delay on washer washer loading for low temp, 25mins labels and glue on bottles</t>
        </r>
      </text>
    </comment>
    <comment ref="Q34" authorId="0" shapeId="0" xr:uid="{29E85AE1-A76B-441D-AC24-A43F2134A292}">
      <text>
        <r>
          <rPr>
            <b/>
            <sz val="9"/>
            <color indexed="81"/>
            <rFont val="Tahoma"/>
            <family val="2"/>
          </rPr>
          <t>Kaylil Baptiste:</t>
        </r>
        <r>
          <rPr>
            <sz val="9"/>
            <color indexed="81"/>
            <rFont val="Tahoma"/>
            <family val="2"/>
          </rPr>
          <t xml:space="preserve">
5mins EBI software malfunction</t>
        </r>
      </text>
    </comment>
    <comment ref="X34" authorId="0" shapeId="0" xr:uid="{394DF669-C035-4822-B710-A156CD92C239}">
      <text>
        <r>
          <rPr>
            <b/>
            <sz val="9"/>
            <color indexed="81"/>
            <rFont val="Tahoma"/>
            <family val="2"/>
          </rPr>
          <t>Kaylil Baptiste:</t>
        </r>
        <r>
          <rPr>
            <sz val="9"/>
            <color indexed="81"/>
            <rFont val="Tahoma"/>
            <family val="2"/>
          </rPr>
          <t xml:space="preserve">
5mins carton errector malfunction</t>
        </r>
      </text>
    </comment>
    <comment ref="I35" authorId="0" shapeId="0" xr:uid="{4C1758AE-B447-4FFB-841B-E48A98CDC607}">
      <text>
        <r>
          <rPr>
            <b/>
            <sz val="9"/>
            <color indexed="81"/>
            <rFont val="Tahoma"/>
            <family val="2"/>
          </rPr>
          <t>Kaylil Baptiste:</t>
        </r>
        <r>
          <rPr>
            <sz val="9"/>
            <color indexed="81"/>
            <rFont val="Tahoma"/>
            <family val="2"/>
          </rPr>
          <t xml:space="preserve">
16mins changing over from export to local</t>
        </r>
      </text>
    </comment>
    <comment ref="R35" authorId="0" shapeId="0" xr:uid="{37AB5A5D-1171-47AF-8FFE-8A73911ECCBA}">
      <text>
        <r>
          <rPr>
            <b/>
            <sz val="9"/>
            <color indexed="81"/>
            <rFont val="Tahoma"/>
            <family val="2"/>
          </rPr>
          <t>Kaylil Baptiste:</t>
        </r>
        <r>
          <rPr>
            <sz val="9"/>
            <color indexed="81"/>
            <rFont val="Tahoma"/>
            <family val="2"/>
          </rPr>
          <t xml:space="preserve">
38mins crowns sticking in chute </t>
        </r>
      </text>
    </comment>
    <comment ref="S35" authorId="0" shapeId="0" xr:uid="{6502F488-6389-478D-952E-46735B5B4181}">
      <text>
        <r>
          <rPr>
            <b/>
            <sz val="9"/>
            <color indexed="81"/>
            <rFont val="Tahoma"/>
            <family val="2"/>
          </rPr>
          <t>Kaylil Baptiste:</t>
        </r>
        <r>
          <rPr>
            <sz val="9"/>
            <color indexed="81"/>
            <rFont val="Tahoma"/>
            <family val="2"/>
          </rPr>
          <t xml:space="preserve">
7mins low temp on pasteurizer</t>
        </r>
      </text>
    </comment>
    <comment ref="AB35" authorId="0" shapeId="0" xr:uid="{FA784089-CFD7-44F3-9746-24AA7FBDEE48}">
      <text>
        <r>
          <rPr>
            <b/>
            <sz val="9"/>
            <color indexed="81"/>
            <rFont val="Tahoma"/>
            <family val="2"/>
          </rPr>
          <t xml:space="preserve">Dorien Andrew:
</t>
        </r>
        <r>
          <rPr>
            <sz val="9"/>
            <color indexed="81"/>
            <rFont val="Tahoma"/>
            <family val="2"/>
          </rPr>
          <t>6mins</t>
        </r>
        <r>
          <rPr>
            <b/>
            <sz val="9"/>
            <color indexed="81"/>
            <rFont val="Tahoma"/>
            <family val="2"/>
          </rPr>
          <t xml:space="preserve"> </t>
        </r>
        <r>
          <rPr>
            <sz val="9"/>
            <color indexed="81"/>
            <rFont val="Tahoma"/>
            <family val="2"/>
          </rPr>
          <t xml:space="preserve">waiting on logistic to bring bottles </t>
        </r>
      </text>
    </comment>
    <comment ref="P36" authorId="0" shapeId="0" xr:uid="{510B6A4B-89E4-49C2-853F-0FAF109D4BB3}">
      <text>
        <r>
          <rPr>
            <b/>
            <sz val="9"/>
            <color indexed="81"/>
            <rFont val="Tahoma"/>
            <family val="2"/>
          </rPr>
          <t>Kaylil Baptiste:</t>
        </r>
        <r>
          <rPr>
            <sz val="9"/>
            <color indexed="81"/>
            <rFont val="Tahoma"/>
            <family val="2"/>
          </rPr>
          <t xml:space="preserve">
45mins high rejection due to labels and glue on bottles</t>
        </r>
      </text>
    </comment>
    <comment ref="R36" authorId="0" shapeId="0" xr:uid="{1ABA84C2-71F7-4BD7-99AC-170E9BB5AF0A}">
      <text>
        <r>
          <rPr>
            <b/>
            <sz val="9"/>
            <color indexed="81"/>
            <rFont val="Tahoma"/>
            <family val="2"/>
          </rPr>
          <t>Kaylil Baptiste:</t>
        </r>
        <r>
          <rPr>
            <sz val="9"/>
            <color indexed="81"/>
            <rFont val="Tahoma"/>
            <family val="2"/>
          </rPr>
          <t xml:space="preserve">
20mins repairs to valve #34 on filler, 6mins crowns stuck in chute</t>
        </r>
      </text>
    </comment>
    <comment ref="V36" authorId="0" shapeId="0" xr:uid="{5E696164-6468-4F35-843D-FF90D69D2847}">
      <text>
        <r>
          <rPr>
            <b/>
            <sz val="9"/>
            <color indexed="81"/>
            <rFont val="Tahoma"/>
            <family val="2"/>
          </rPr>
          <t>Kaylil Baptiste:</t>
        </r>
        <r>
          <rPr>
            <sz val="9"/>
            <color indexed="81"/>
            <rFont val="Tahoma"/>
            <family val="2"/>
          </rPr>
          <t xml:space="preserve">
7mins fallen bottles inside shuffler</t>
        </r>
      </text>
    </comment>
    <comment ref="Z36" authorId="3" shapeId="0" xr:uid="{B3625E28-5A4D-437A-9CE3-25EBC97D70D9}">
      <text>
        <r>
          <rPr>
            <b/>
            <sz val="9"/>
            <color indexed="81"/>
            <rFont val="Tahoma"/>
            <family val="2"/>
          </rPr>
          <t>Michael Julien:</t>
        </r>
        <r>
          <rPr>
            <sz val="9"/>
            <color indexed="81"/>
            <rFont val="Tahoma"/>
            <family val="2"/>
          </rPr>
          <t xml:space="preserve">
40 mins stop for staff break, 20mins waiting on bottles from washer </t>
        </r>
      </text>
    </comment>
    <comment ref="P37" authorId="0" shapeId="0" xr:uid="{E3E6246C-C670-4712-8D24-6B88BFE9BA8C}">
      <text>
        <r>
          <rPr>
            <b/>
            <sz val="9"/>
            <color indexed="81"/>
            <rFont val="Tahoma"/>
            <family val="2"/>
          </rPr>
          <t>Kaylil Baptiste:</t>
        </r>
        <r>
          <rPr>
            <sz val="9"/>
            <color indexed="81"/>
            <rFont val="Tahoma"/>
            <family val="2"/>
          </rPr>
          <t xml:space="preserve">
6mins high rejection due to labels</t>
        </r>
      </text>
    </comment>
    <comment ref="Z37" authorId="0" shapeId="0" xr:uid="{D944F7D7-7D1D-4822-960E-10F344EDDC5E}">
      <text>
        <r>
          <rPr>
            <b/>
            <sz val="9"/>
            <color indexed="81"/>
            <rFont val="Tahoma"/>
            <family val="2"/>
          </rPr>
          <t>Kaylil Baptiste:</t>
        </r>
        <r>
          <rPr>
            <sz val="9"/>
            <color indexed="81"/>
            <rFont val="Tahoma"/>
            <family val="2"/>
          </rPr>
          <t xml:space="preserve">
10mins waiying on bottles from washer</t>
        </r>
      </text>
    </comment>
    <comment ref="I38" authorId="0" shapeId="0" xr:uid="{C1799A0C-5BB9-4B62-93EA-1A9390E6F987}">
      <text>
        <r>
          <rPr>
            <b/>
            <sz val="9"/>
            <color indexed="81"/>
            <rFont val="Tahoma"/>
            <family val="2"/>
          </rPr>
          <t>Kaylil Baptiste:</t>
        </r>
        <r>
          <rPr>
            <sz val="9"/>
            <color indexed="81"/>
            <rFont val="Tahoma"/>
            <family val="2"/>
          </rPr>
          <t xml:space="preserve">
16mins labeler change over, 15mins product change over</t>
        </r>
      </text>
    </comment>
    <comment ref="J38" authorId="0" shapeId="0" xr:uid="{FDFB336A-22D3-4120-A81E-DD921A6CF670}">
      <text>
        <r>
          <rPr>
            <b/>
            <sz val="9"/>
            <color indexed="81"/>
            <rFont val="Tahoma"/>
            <family val="2"/>
          </rPr>
          <t>Kaylil Baptiste:</t>
        </r>
        <r>
          <rPr>
            <sz val="9"/>
            <color indexed="81"/>
            <rFont val="Tahoma"/>
            <family val="2"/>
          </rPr>
          <t xml:space="preserve">
15mins waiting on product</t>
        </r>
      </text>
    </comment>
    <comment ref="S38" authorId="0" shapeId="0" xr:uid="{09060020-A8E6-4AC7-8A62-A2BB64432778}">
      <text>
        <r>
          <rPr>
            <b/>
            <sz val="9"/>
            <color indexed="81"/>
            <rFont val="Tahoma"/>
            <family val="2"/>
          </rPr>
          <t>Kaylil Baptiste:</t>
        </r>
        <r>
          <rPr>
            <sz val="9"/>
            <color indexed="81"/>
            <rFont val="Tahoma"/>
            <family val="2"/>
          </rPr>
          <t xml:space="preserve">
5mins low temp on pasteurizer</t>
        </r>
      </text>
    </comment>
    <comment ref="T38" authorId="0" shapeId="0" xr:uid="{C302672C-4EE8-49CC-B6CD-E64618E97985}">
      <text>
        <r>
          <rPr>
            <b/>
            <sz val="9"/>
            <color indexed="81"/>
            <rFont val="Tahoma"/>
            <family val="2"/>
          </rPr>
          <t>Kaylil Baptiste:</t>
        </r>
        <r>
          <rPr>
            <sz val="9"/>
            <color indexed="81"/>
            <rFont val="Tahoma"/>
            <family val="2"/>
          </rPr>
          <t xml:space="preserve">
13mins adjusting neck magazine</t>
        </r>
      </text>
    </comment>
    <comment ref="U38" authorId="0" shapeId="0" xr:uid="{A1639DC5-C225-48A9-87CC-E09E35D94B83}">
      <text>
        <r>
          <rPr>
            <b/>
            <sz val="9"/>
            <color indexed="81"/>
            <rFont val="Tahoma"/>
            <family val="2"/>
          </rPr>
          <t>Kaylil Baptiste:</t>
        </r>
        <r>
          <rPr>
            <sz val="9"/>
            <color indexed="81"/>
            <rFont val="Tahoma"/>
            <family val="2"/>
          </rPr>
          <t xml:space="preserve">
15mins videojet not printing properly</t>
        </r>
      </text>
    </comment>
    <comment ref="V38" authorId="0" shapeId="0" xr:uid="{3842FD93-051D-4505-ABED-8955DDB8A742}">
      <text>
        <r>
          <rPr>
            <b/>
            <sz val="9"/>
            <color indexed="81"/>
            <rFont val="Tahoma"/>
            <family val="2"/>
          </rPr>
          <t>Kaylil Baptiste:</t>
        </r>
        <r>
          <rPr>
            <sz val="9"/>
            <color indexed="81"/>
            <rFont val="Tahoma"/>
            <family val="2"/>
          </rPr>
          <t xml:space="preserve">
6mins fallen bottles inside shuffler</t>
        </r>
      </text>
    </comment>
    <comment ref="W38" authorId="0" shapeId="0" xr:uid="{58FFA29B-7FDA-4CD9-9E43-0FC96ED006BC}">
      <text>
        <r>
          <rPr>
            <b/>
            <sz val="9"/>
            <color indexed="81"/>
            <rFont val="Tahoma"/>
            <family val="2"/>
          </rPr>
          <t>Kaylil Baptiste:</t>
        </r>
        <r>
          <rPr>
            <sz val="9"/>
            <color indexed="81"/>
            <rFont val="Tahoma"/>
            <family val="2"/>
          </rPr>
          <t xml:space="preserve">
96mins packer sensor malfunction</t>
        </r>
      </text>
    </comment>
    <comment ref="Z38" authorId="3" shapeId="0" xr:uid="{B6015A5E-8D99-420B-8330-46B71A4C6C4F}">
      <text>
        <r>
          <rPr>
            <b/>
            <sz val="9"/>
            <color indexed="81"/>
            <rFont val="Tahoma"/>
            <family val="2"/>
          </rPr>
          <t>Michael Julien:</t>
        </r>
        <r>
          <rPr>
            <sz val="9"/>
            <color indexed="81"/>
            <rFont val="Tahoma"/>
            <family val="2"/>
          </rPr>
          <t xml:space="preserve">
30 mins for break, 8 mins loading line</t>
        </r>
      </text>
    </comment>
    <comment ref="O39" authorId="0" shapeId="0" xr:uid="{7D2D7489-D76A-430D-99C5-557AC9826BB8}">
      <text>
        <r>
          <rPr>
            <b/>
            <sz val="9"/>
            <color indexed="81"/>
            <rFont val="Tahoma"/>
            <family val="2"/>
          </rPr>
          <t>Kaylil Baptiste:</t>
        </r>
        <r>
          <rPr>
            <sz val="9"/>
            <color indexed="81"/>
            <rFont val="Tahoma"/>
            <family val="2"/>
          </rPr>
          <t xml:space="preserve">
7mins uncaser head hitting crates</t>
        </r>
      </text>
    </comment>
    <comment ref="Q39" authorId="0" shapeId="0" xr:uid="{77EB7179-8BBC-4527-B1AE-03BD08A538B8}">
      <text>
        <r>
          <rPr>
            <b/>
            <sz val="9"/>
            <color indexed="81"/>
            <rFont val="Tahoma"/>
            <family val="2"/>
          </rPr>
          <t>Kaylil Baptiste:</t>
        </r>
        <r>
          <rPr>
            <sz val="9"/>
            <color indexed="81"/>
            <rFont val="Tahoma"/>
            <family val="2"/>
          </rPr>
          <t xml:space="preserve">
14mins EBI running slow </t>
        </r>
      </text>
    </comment>
    <comment ref="R39" authorId="0" shapeId="0" xr:uid="{C78DAACD-75A9-4265-8783-988EF5FA3D9E}">
      <text>
        <r>
          <rPr>
            <b/>
            <sz val="9"/>
            <color indexed="81"/>
            <rFont val="Tahoma"/>
            <family val="2"/>
          </rPr>
          <t>Kaylil Baptiste:</t>
        </r>
        <r>
          <rPr>
            <sz val="9"/>
            <color indexed="81"/>
            <rFont val="Tahoma"/>
            <family val="2"/>
          </rPr>
          <t xml:space="preserve">
60mins repais on valve #34</t>
        </r>
      </text>
    </comment>
    <comment ref="S39" authorId="0" shapeId="0" xr:uid="{5044CEE7-D74C-4184-9AA5-6A8CAB0A80A3}">
      <text>
        <r>
          <rPr>
            <b/>
            <sz val="9"/>
            <color indexed="81"/>
            <rFont val="Tahoma"/>
            <family val="2"/>
          </rPr>
          <t>Kaylil Baptiste:</t>
        </r>
        <r>
          <rPr>
            <sz val="9"/>
            <color indexed="81"/>
            <rFont val="Tahoma"/>
            <family val="2"/>
          </rPr>
          <t xml:space="preserve">
19mins low temp on pasteurizer</t>
        </r>
      </text>
    </comment>
    <comment ref="T39" authorId="0" shapeId="0" xr:uid="{B2BF36E7-6246-44DD-9B62-455A31894A6B}">
      <text>
        <r>
          <rPr>
            <b/>
            <sz val="9"/>
            <color indexed="81"/>
            <rFont val="Tahoma"/>
            <family val="2"/>
          </rPr>
          <t>Kaylil Baptiste:</t>
        </r>
        <r>
          <rPr>
            <sz val="9"/>
            <color indexed="81"/>
            <rFont val="Tahoma"/>
            <family val="2"/>
          </rPr>
          <t xml:space="preserve">
9mins missing labels, 5mins labeler running slow </t>
        </r>
      </text>
    </comment>
    <comment ref="X39" authorId="0" shapeId="0" xr:uid="{F5DB80C8-81A2-4D87-A2FE-F1352CBF0681}">
      <text>
        <r>
          <rPr>
            <b/>
            <sz val="9"/>
            <color indexed="81"/>
            <rFont val="Tahoma"/>
            <family val="2"/>
          </rPr>
          <t>Kaylil Baptiste:</t>
        </r>
        <r>
          <rPr>
            <sz val="9"/>
            <color indexed="81"/>
            <rFont val="Tahoma"/>
            <family val="2"/>
          </rPr>
          <t xml:space="preserve">
30mins cartoon errector malfunction, 9mins boxes not sliding in</t>
        </r>
      </text>
    </comment>
    <comment ref="AB39" authorId="1" shapeId="0" xr:uid="{2A4907FD-0752-45C5-BB86-324127CE3B68}">
      <text>
        <r>
          <rPr>
            <b/>
            <sz val="9"/>
            <color indexed="81"/>
            <rFont val="Tahoma"/>
            <family val="2"/>
          </rPr>
          <t>Dorien Andrew:</t>
        </r>
        <r>
          <rPr>
            <sz val="9"/>
            <color indexed="81"/>
            <rFont val="Tahoma"/>
            <family val="2"/>
          </rPr>
          <t xml:space="preserve">
26 mins lost for incorrect bottles loaded </t>
        </r>
      </text>
    </comment>
    <comment ref="O40" authorId="0" shapeId="0" xr:uid="{E0ED9B71-D504-4A85-BB90-43049ADE9564}">
      <text>
        <r>
          <rPr>
            <b/>
            <sz val="9"/>
            <color indexed="81"/>
            <rFont val="Tahoma"/>
            <family val="2"/>
          </rPr>
          <t>Kaylil Baptiste:</t>
        </r>
        <r>
          <rPr>
            <sz val="9"/>
            <color indexed="81"/>
            <rFont val="Tahoma"/>
            <family val="2"/>
          </rPr>
          <t xml:space="preserve">
24mins uncaser head hitting crates, 6mins uncaser malfunction</t>
        </r>
      </text>
    </comment>
    <comment ref="T40" authorId="0" shapeId="0" xr:uid="{FA0894DE-B73E-4DA8-B535-4AFD11132C34}">
      <text>
        <r>
          <rPr>
            <b/>
            <sz val="9"/>
            <color indexed="81"/>
            <rFont val="Tahoma"/>
            <family val="2"/>
          </rPr>
          <t>Kaylil Baptiste:</t>
        </r>
        <r>
          <rPr>
            <sz val="9"/>
            <color indexed="81"/>
            <rFont val="Tahoma"/>
            <family val="2"/>
          </rPr>
          <t xml:space="preserve">
18mins sponge fell off labeler</t>
        </r>
      </text>
    </comment>
    <comment ref="V40" authorId="0" shapeId="0" xr:uid="{017F307A-1A3F-4AEB-962C-8E60B1612BE0}">
      <text>
        <r>
          <rPr>
            <b/>
            <sz val="9"/>
            <color indexed="81"/>
            <rFont val="Tahoma"/>
            <family val="2"/>
          </rPr>
          <t>Kaylil Baptiste:</t>
        </r>
        <r>
          <rPr>
            <sz val="9"/>
            <color indexed="81"/>
            <rFont val="Tahoma"/>
            <family val="2"/>
          </rPr>
          <t xml:space="preserve">
8mins fallen bottles inside shuffler</t>
        </r>
      </text>
    </comment>
    <comment ref="W40" authorId="0" shapeId="0" xr:uid="{004E98A8-6C30-4146-AB42-EEB33A5600A1}">
      <text>
        <r>
          <rPr>
            <b/>
            <sz val="9"/>
            <color indexed="81"/>
            <rFont val="Tahoma"/>
            <family val="2"/>
          </rPr>
          <t>Kaylil Baptiste:</t>
        </r>
        <r>
          <rPr>
            <sz val="9"/>
            <color indexed="81"/>
            <rFont val="Tahoma"/>
            <family val="2"/>
          </rPr>
          <t xml:space="preserve">
16mins packer sensor malfunction </t>
        </r>
      </text>
    </comment>
    <comment ref="Z40" authorId="0" shapeId="0" xr:uid="{7B46B1BA-08AD-4CC1-96D3-5CE352B856B8}">
      <text>
        <r>
          <rPr>
            <b/>
            <sz val="9"/>
            <color indexed="81"/>
            <rFont val="Tahoma"/>
            <family val="2"/>
          </rPr>
          <t>Kaylil Baptiste:</t>
        </r>
        <r>
          <rPr>
            <sz val="9"/>
            <color indexed="81"/>
            <rFont val="Tahoma"/>
            <family val="2"/>
          </rPr>
          <t xml:space="preserve">
15mins washer loadiing delayed startup</t>
        </r>
      </text>
    </comment>
    <comment ref="AB40" authorId="3" shapeId="0" xr:uid="{8D663ECE-A60F-4E8E-BE59-71E27FE4F7DD}">
      <text>
        <r>
          <rPr>
            <b/>
            <sz val="9"/>
            <color indexed="81"/>
            <rFont val="Tahoma"/>
            <family val="2"/>
          </rPr>
          <t>Michael Julien:</t>
        </r>
        <r>
          <rPr>
            <sz val="9"/>
            <color indexed="81"/>
            <rFont val="Tahoma"/>
            <family val="2"/>
          </rPr>
          <t xml:space="preserve">
Waiting on bottles</t>
        </r>
      </text>
    </comment>
    <comment ref="I41" authorId="3" shapeId="0" xr:uid="{CB18E444-34C6-4CBB-ACFB-F14917DB3C93}">
      <text>
        <r>
          <rPr>
            <b/>
            <sz val="9"/>
            <color indexed="81"/>
            <rFont val="Tahoma"/>
            <family val="2"/>
          </rPr>
          <t>Michael Julien:</t>
        </r>
        <r>
          <rPr>
            <sz val="9"/>
            <color indexed="81"/>
            <rFont val="Tahoma"/>
            <family val="2"/>
          </rPr>
          <t xml:space="preserve">
40mins change over from carib to guinness. 63 mins waiting on pasteurizer to empty to make adjustments for new products</t>
        </r>
      </text>
    </comment>
    <comment ref="O42" authorId="0" shapeId="0" xr:uid="{BE290F4F-A56D-40DB-8F7F-CD15E27D6B96}">
      <text>
        <r>
          <rPr>
            <b/>
            <sz val="9"/>
            <color indexed="81"/>
            <rFont val="Tahoma"/>
            <family val="2"/>
          </rPr>
          <t>Kaylil Baptiste:</t>
        </r>
        <r>
          <rPr>
            <sz val="9"/>
            <color indexed="81"/>
            <rFont val="Tahoma"/>
            <family val="2"/>
          </rPr>
          <t xml:space="preserve">
50mins uncaser head malfuction, 7mins uncaser head hitting crates</t>
        </r>
      </text>
    </comment>
    <comment ref="R42" authorId="0" shapeId="0" xr:uid="{AB994364-EA50-40AA-A7B2-AD627A6060E2}">
      <text>
        <r>
          <rPr>
            <b/>
            <sz val="9"/>
            <color indexed="81"/>
            <rFont val="Tahoma"/>
            <family val="2"/>
          </rPr>
          <t>Kaylil Baptiste:</t>
        </r>
        <r>
          <rPr>
            <sz val="9"/>
            <color indexed="81"/>
            <rFont val="Tahoma"/>
            <family val="2"/>
          </rPr>
          <t xml:space="preserve">
15mins communication error on filler </t>
        </r>
      </text>
    </comment>
    <comment ref="S42" authorId="0" shapeId="0" xr:uid="{82D607B4-FC4F-480C-B8DE-02A30B66CC8F}">
      <text>
        <r>
          <rPr>
            <b/>
            <sz val="9"/>
            <color indexed="81"/>
            <rFont val="Tahoma"/>
            <family val="2"/>
          </rPr>
          <t>Kaylil Baptiste:</t>
        </r>
        <r>
          <rPr>
            <sz val="9"/>
            <color indexed="81"/>
            <rFont val="Tahoma"/>
            <family val="2"/>
          </rPr>
          <t xml:space="preserve">
65mins mesh conveyor in pasteurizer stopped during the dry run causing a delay</t>
        </r>
      </text>
    </comment>
    <comment ref="T42" authorId="0" shapeId="0" xr:uid="{836800F9-3094-4559-B4D2-AD78EEEAD2A9}">
      <text>
        <r>
          <rPr>
            <b/>
            <sz val="9"/>
            <color indexed="81"/>
            <rFont val="Tahoma"/>
            <family val="2"/>
          </rPr>
          <t>Kaylil Baptiste:</t>
        </r>
        <r>
          <rPr>
            <sz val="9"/>
            <color indexed="81"/>
            <rFont val="Tahoma"/>
            <family val="2"/>
          </rPr>
          <t xml:space="preserve">
28mins adjusting magazine</t>
        </r>
      </text>
    </comment>
    <comment ref="V42" authorId="0" shapeId="0" xr:uid="{19368707-E285-4E40-AB5A-83DAC08685B2}">
      <text>
        <r>
          <rPr>
            <b/>
            <sz val="9"/>
            <color indexed="81"/>
            <rFont val="Tahoma"/>
            <family val="2"/>
          </rPr>
          <t>Kaylil Baptiste:</t>
        </r>
        <r>
          <rPr>
            <sz val="9"/>
            <color indexed="81"/>
            <rFont val="Tahoma"/>
            <family val="2"/>
          </rPr>
          <t xml:space="preserve">
21mins accumulation sensor on pasteurizer discharge stick on tank #4, 10mins fallen bottles inside shuffler</t>
        </r>
      </text>
    </comment>
    <comment ref="W42" authorId="0" shapeId="0" xr:uid="{F83AEE34-2F71-4F58-AC5E-C15CF2159C6D}">
      <text>
        <r>
          <rPr>
            <b/>
            <sz val="9"/>
            <color indexed="81"/>
            <rFont val="Tahoma"/>
            <family val="2"/>
          </rPr>
          <t>Kaylil Baptiste:</t>
        </r>
        <r>
          <rPr>
            <sz val="9"/>
            <color indexed="81"/>
            <rFont val="Tahoma"/>
            <family val="2"/>
          </rPr>
          <t xml:space="preserve">
102mins packer sensor malfunction</t>
        </r>
      </text>
    </comment>
    <comment ref="Z42" authorId="3" shapeId="0" xr:uid="{69E71ED0-34D4-49ED-AA29-B70F68CE8D16}">
      <text>
        <r>
          <rPr>
            <b/>
            <sz val="9"/>
            <color indexed="81"/>
            <rFont val="Tahoma"/>
            <family val="2"/>
          </rPr>
          <t>Michael Julien:</t>
        </r>
        <r>
          <rPr>
            <sz val="9"/>
            <color indexed="81"/>
            <rFont val="Tahoma"/>
            <family val="2"/>
          </rPr>
          <t xml:space="preserve">
10mins product preparation, </t>
        </r>
      </text>
    </comment>
    <comment ref="O43" authorId="0" shapeId="0" xr:uid="{C72CBBAB-6CA8-4DC3-946C-9B4FF97B7A9F}">
      <text>
        <r>
          <rPr>
            <b/>
            <sz val="9"/>
            <color indexed="81"/>
            <rFont val="Tahoma"/>
            <family val="2"/>
          </rPr>
          <t>Kaylil Baptiste:</t>
        </r>
        <r>
          <rPr>
            <sz val="9"/>
            <color indexed="81"/>
            <rFont val="Tahoma"/>
            <family val="2"/>
          </rPr>
          <t xml:space="preserve">
5mins uncaser head hitting crates</t>
        </r>
      </text>
    </comment>
    <comment ref="Q43" authorId="0" shapeId="0" xr:uid="{1180827A-CBF9-497E-98F3-68D6F123D0BB}">
      <text>
        <r>
          <rPr>
            <b/>
            <sz val="9"/>
            <color indexed="81"/>
            <rFont val="Tahoma"/>
            <family val="2"/>
          </rPr>
          <t>Kaylil Baptiste:</t>
        </r>
        <r>
          <rPr>
            <sz val="9"/>
            <color indexed="81"/>
            <rFont val="Tahoma"/>
            <family val="2"/>
          </rPr>
          <t xml:space="preserve">
8mins high EBI rejection </t>
        </r>
      </text>
    </comment>
    <comment ref="S43" authorId="0" shapeId="0" xr:uid="{DC01981A-EE84-48AE-BD9E-C3BA58D92389}">
      <text>
        <r>
          <rPr>
            <b/>
            <sz val="9"/>
            <color indexed="81"/>
            <rFont val="Tahoma"/>
            <family val="2"/>
          </rPr>
          <t>Kaylil Baptiste:</t>
        </r>
        <r>
          <rPr>
            <sz val="9"/>
            <color indexed="81"/>
            <rFont val="Tahoma"/>
            <family val="2"/>
          </rPr>
          <t xml:space="preserve">
12mins waiting on dry run </t>
        </r>
      </text>
    </comment>
    <comment ref="U43" authorId="0" shapeId="0" xr:uid="{1F3FE0DF-6E5C-4520-AA63-E6383548C0E7}">
      <text>
        <r>
          <rPr>
            <b/>
            <sz val="9"/>
            <color indexed="81"/>
            <rFont val="Tahoma"/>
            <family val="2"/>
          </rPr>
          <t>Kaylil Baptiste:</t>
        </r>
        <r>
          <rPr>
            <sz val="9"/>
            <color indexed="81"/>
            <rFont val="Tahoma"/>
            <family val="2"/>
          </rPr>
          <t xml:space="preserve">
6mins videojet not printing properly</t>
        </r>
      </text>
    </comment>
    <comment ref="Z43" authorId="0" shapeId="0" xr:uid="{E3E71F7E-50AF-4A2E-BD06-444BC7CD0482}">
      <text>
        <r>
          <rPr>
            <b/>
            <sz val="9"/>
            <color indexed="81"/>
            <rFont val="Tahoma"/>
            <family val="2"/>
          </rPr>
          <t>Kaylil Baptiste:</t>
        </r>
        <r>
          <rPr>
            <sz val="9"/>
            <color indexed="81"/>
            <rFont val="Tahoma"/>
            <family val="2"/>
          </rPr>
          <t xml:space="preserve">
10mins product preparation</t>
        </r>
      </text>
    </comment>
    <comment ref="I44" authorId="0" shapeId="0" xr:uid="{DA079EEE-114A-418F-AA04-C36E29AE9AB6}">
      <text>
        <r>
          <rPr>
            <b/>
            <sz val="9"/>
            <color indexed="81"/>
            <rFont val="Tahoma"/>
            <family val="2"/>
          </rPr>
          <t>Kaylil Baptiste:</t>
        </r>
        <r>
          <rPr>
            <sz val="9"/>
            <color indexed="81"/>
            <rFont val="Tahoma"/>
            <family val="2"/>
          </rPr>
          <t xml:space="preserve">
70mins waiting on pasteurizer to empty to adjust temp 44mins changing over </t>
        </r>
      </text>
    </comment>
    <comment ref="J44" authorId="0" shapeId="0" xr:uid="{DA7E917D-E2C0-49E2-A4CE-9BF4EE6CB93B}">
      <text>
        <r>
          <rPr>
            <b/>
            <sz val="9"/>
            <color indexed="81"/>
            <rFont val="Tahoma"/>
            <family val="2"/>
          </rPr>
          <t>Kaylil Baptiste:</t>
        </r>
        <r>
          <rPr>
            <sz val="9"/>
            <color indexed="81"/>
            <rFont val="Tahoma"/>
            <family val="2"/>
          </rPr>
          <t xml:space="preserve">
11mins bowl level drop </t>
        </r>
      </text>
    </comment>
    <comment ref="K44" authorId="1" shapeId="0" xr:uid="{9F1CD8D4-57B8-40A2-B316-97088FFA21EA}">
      <text>
        <r>
          <rPr>
            <b/>
            <sz val="9"/>
            <color indexed="81"/>
            <rFont val="Tahoma"/>
            <family val="2"/>
          </rPr>
          <t>Dorien Andrew:</t>
        </r>
        <r>
          <rPr>
            <sz val="9"/>
            <color indexed="81"/>
            <rFont val="Tahoma"/>
            <family val="2"/>
          </rPr>
          <t xml:space="preserve">
damaged pipe on buffer tank</t>
        </r>
      </text>
    </comment>
    <comment ref="P44" authorId="0" shapeId="0" xr:uid="{DF6BFAFA-B205-494F-BDF4-832B072D88D4}">
      <text>
        <r>
          <rPr>
            <b/>
            <sz val="9"/>
            <color indexed="81"/>
            <rFont val="Tahoma"/>
            <family val="2"/>
          </rPr>
          <t>Kaylil Baptiste:</t>
        </r>
        <r>
          <rPr>
            <sz val="9"/>
            <color indexed="81"/>
            <rFont val="Tahoma"/>
            <family val="2"/>
          </rPr>
          <t xml:space="preserve">
8mins high rejection due to labels </t>
        </r>
      </text>
    </comment>
    <comment ref="R44" authorId="0" shapeId="0" xr:uid="{E3643A82-8DF6-4BE5-9D75-0749404DF051}">
      <text>
        <r>
          <rPr>
            <b/>
            <sz val="9"/>
            <color indexed="81"/>
            <rFont val="Tahoma"/>
            <family val="2"/>
          </rPr>
          <t>Kaylil Baptiste:</t>
        </r>
        <r>
          <rPr>
            <sz val="9"/>
            <color indexed="81"/>
            <rFont val="Tahoma"/>
            <family val="2"/>
          </rPr>
          <t xml:space="preserve">
8mins crowner stuck in chute</t>
        </r>
      </text>
    </comment>
    <comment ref="T44" authorId="0" shapeId="0" xr:uid="{795307F0-F192-47A1-AAE4-E6229D73C904}">
      <text>
        <r>
          <rPr>
            <b/>
            <sz val="9"/>
            <color indexed="81"/>
            <rFont val="Tahoma"/>
            <family val="2"/>
          </rPr>
          <t>Kaylil Baptiste:</t>
        </r>
        <r>
          <rPr>
            <sz val="9"/>
            <color indexed="81"/>
            <rFont val="Tahoma"/>
            <family val="2"/>
          </rPr>
          <t xml:space="preserve">
8mins stop on labeler infeed </t>
        </r>
      </text>
    </comment>
    <comment ref="AB44" authorId="1" shapeId="0" xr:uid="{6AFAB1FB-DC88-4A95-8280-FD54E7914F82}">
      <text>
        <r>
          <rPr>
            <b/>
            <sz val="9"/>
            <color indexed="81"/>
            <rFont val="Tahoma"/>
            <family val="2"/>
          </rPr>
          <t>Dorien Andrew:</t>
        </r>
        <r>
          <rPr>
            <sz val="9"/>
            <color indexed="81"/>
            <rFont val="Tahoma"/>
            <family val="2"/>
          </rPr>
          <t xml:space="preserve">
7mins incorrect bottles in loading area</t>
        </r>
      </text>
    </comment>
    <comment ref="J45" authorId="0" shapeId="0" xr:uid="{F386F697-382C-4FED-8DDC-9ECD54EC1E98}">
      <text>
        <r>
          <rPr>
            <b/>
            <sz val="9"/>
            <color indexed="81"/>
            <rFont val="Tahoma"/>
            <family val="2"/>
          </rPr>
          <t>Kaylil Baptiste:</t>
        </r>
        <r>
          <rPr>
            <sz val="9"/>
            <color indexed="81"/>
            <rFont val="Tahoma"/>
            <family val="2"/>
          </rPr>
          <t xml:space="preserve">
6mins waiting on product </t>
        </r>
      </text>
    </comment>
    <comment ref="Q45" authorId="0" shapeId="0" xr:uid="{5AF1CF66-0E6A-4D8A-BE14-7EE28EEE6D9E}">
      <text>
        <r>
          <rPr>
            <b/>
            <sz val="9"/>
            <color indexed="81"/>
            <rFont val="Tahoma"/>
            <family val="2"/>
          </rPr>
          <t>Kaylil Baptiste:</t>
        </r>
        <r>
          <rPr>
            <sz val="9"/>
            <color indexed="81"/>
            <rFont val="Tahoma"/>
            <family val="2"/>
          </rPr>
          <t xml:space="preserve">
5mins bottles stuck at EBI starwheel</t>
        </r>
      </text>
    </comment>
    <comment ref="S45" authorId="0" shapeId="0" xr:uid="{2F69C3E9-0C1B-45ED-A524-95E60353FAB1}">
      <text>
        <r>
          <rPr>
            <b/>
            <sz val="9"/>
            <color indexed="81"/>
            <rFont val="Tahoma"/>
            <family val="2"/>
          </rPr>
          <t>Kaylil Baptiste:</t>
        </r>
        <r>
          <rPr>
            <sz val="9"/>
            <color indexed="81"/>
            <rFont val="Tahoma"/>
            <family val="2"/>
          </rPr>
          <t xml:space="preserve">
20mins waiting on dry run, 10mins low temp on pasteurizer, 8mins pasteuriser pump cut off  on tank #4</t>
        </r>
      </text>
    </comment>
    <comment ref="T45" authorId="0" shapeId="0" xr:uid="{F5F84690-84E3-444E-9531-0057E53A99A2}">
      <text>
        <r>
          <rPr>
            <b/>
            <sz val="9"/>
            <color indexed="81"/>
            <rFont val="Tahoma"/>
            <family val="2"/>
          </rPr>
          <t>Kaylil Baptiste:</t>
        </r>
        <r>
          <rPr>
            <sz val="9"/>
            <color indexed="81"/>
            <rFont val="Tahoma"/>
            <family val="2"/>
          </rPr>
          <t xml:space="preserve">
5mins magzine adjustments</t>
        </r>
      </text>
    </comment>
    <comment ref="U45" authorId="0" shapeId="0" xr:uid="{1209B0CC-0142-4186-A3F6-DFC9C0C31080}">
      <text>
        <r>
          <rPr>
            <b/>
            <sz val="9"/>
            <color indexed="81"/>
            <rFont val="Tahoma"/>
            <family val="2"/>
          </rPr>
          <t>Kaylil Baptiste:</t>
        </r>
        <r>
          <rPr>
            <sz val="9"/>
            <color indexed="81"/>
            <rFont val="Tahoma"/>
            <family val="2"/>
          </rPr>
          <t xml:space="preserve">
10mins videojet not printing properly </t>
        </r>
      </text>
    </comment>
    <comment ref="Z45" authorId="3" shapeId="0" xr:uid="{01046964-BBE4-4721-BE76-56357AB95136}">
      <text>
        <r>
          <rPr>
            <b/>
            <sz val="9"/>
            <color indexed="81"/>
            <rFont val="Tahoma"/>
            <family val="2"/>
          </rPr>
          <t>Michael Julien:</t>
        </r>
        <r>
          <rPr>
            <sz val="9"/>
            <color indexed="81"/>
            <rFont val="Tahoma"/>
            <family val="2"/>
          </rPr>
          <t xml:space="preserve">
10mins product prep, 5 mins due to water falling from line</t>
        </r>
      </text>
    </comment>
    <comment ref="I46" authorId="0" shapeId="0" xr:uid="{DD2B5904-226C-49CE-B91E-70A816FB25AC}">
      <text>
        <r>
          <rPr>
            <b/>
            <sz val="9"/>
            <color indexed="81"/>
            <rFont val="Tahoma"/>
            <family val="2"/>
          </rPr>
          <t>Kaylil Baptiste:</t>
        </r>
        <r>
          <rPr>
            <sz val="9"/>
            <color indexed="81"/>
            <rFont val="Tahoma"/>
            <family val="2"/>
          </rPr>
          <t xml:space="preserve">
134mins waiting on pasteurizer to empty to switch product, 65mins filler change over </t>
        </r>
      </text>
    </comment>
    <comment ref="P46" authorId="0" shapeId="0" xr:uid="{29690A99-D285-47C3-9DD1-C229848B277F}">
      <text>
        <r>
          <rPr>
            <b/>
            <sz val="9"/>
            <color indexed="81"/>
            <rFont val="Tahoma"/>
            <family val="2"/>
          </rPr>
          <t>Kaylil Baptiste:</t>
        </r>
        <r>
          <rPr>
            <sz val="9"/>
            <color indexed="81"/>
            <rFont val="Tahoma"/>
            <family val="2"/>
          </rPr>
          <t xml:space="preserve">
10mins stop at washer infeed </t>
        </r>
      </text>
    </comment>
    <comment ref="Z46" authorId="1" shapeId="0" xr:uid="{ADD3256A-C9A5-40AF-A695-AC067E1AB7FE}">
      <text>
        <r>
          <rPr>
            <b/>
            <sz val="9"/>
            <color indexed="81"/>
            <rFont val="Tahoma"/>
            <family val="2"/>
          </rPr>
          <t>Dorien Andrew:</t>
        </r>
        <r>
          <rPr>
            <sz val="9"/>
            <color indexed="81"/>
            <rFont val="Tahoma"/>
            <family val="2"/>
          </rPr>
          <t xml:space="preserve">
waiting on lab tech</t>
        </r>
      </text>
    </comment>
    <comment ref="N62" authorId="5" shapeId="0" xr:uid="{00000000-0006-0000-1A00-0000BB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2" authorId="5" shapeId="0" xr:uid="{00000000-0006-0000-1A00-0000BC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Michael Julien</author>
    <author>Royd</author>
  </authors>
  <commentList>
    <comment ref="Z8" authorId="0" shapeId="0" xr:uid="{ED1324D9-4336-4BD8-BA18-462A59108CA2}">
      <text>
        <r>
          <rPr>
            <b/>
            <sz val="9"/>
            <color indexed="81"/>
            <rFont val="Tahoma"/>
            <charset val="1"/>
          </rPr>
          <t>Michael Julien:</t>
        </r>
        <r>
          <rPr>
            <sz val="9"/>
            <color indexed="81"/>
            <rFont val="Tahoma"/>
            <charset val="1"/>
          </rPr>
          <t xml:space="preserve">
15 min waiting on dry run.</t>
        </r>
      </text>
    </comment>
    <comment ref="N78" authorId="1" shapeId="0" xr:uid="{00000000-0006-0000-1B00-00004F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8" authorId="1" shapeId="0" xr:uid="{00000000-0006-0000-1B00-00005001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Kaylil Baptiste</author>
    <author>Tyrell Bartholomew</author>
    <author>Michael Julien</author>
    <author>Micah Noel</author>
    <author>Dorien Andrew</author>
    <author>Royd</author>
  </authors>
  <commentList>
    <comment ref="J8" authorId="0" shapeId="0" xr:uid="{3D29A4C1-8F91-41B1-B0E4-B4B8F8FAA2E4}">
      <text>
        <r>
          <rPr>
            <b/>
            <sz val="9"/>
            <color indexed="81"/>
            <rFont val="Tahoma"/>
            <family val="2"/>
          </rPr>
          <t>Kaylil Baptiste:</t>
        </r>
        <r>
          <rPr>
            <sz val="9"/>
            <color indexed="81"/>
            <rFont val="Tahoma"/>
            <family val="2"/>
          </rPr>
          <t xml:space="preserve">
13mins waiting on lab to release product </t>
        </r>
      </text>
    </comment>
    <comment ref="P8" authorId="0" shapeId="0" xr:uid="{980D1BAC-A97F-4E24-87D1-FB1528A1D17C}">
      <text>
        <r>
          <rPr>
            <b/>
            <sz val="9"/>
            <color indexed="81"/>
            <rFont val="Tahoma"/>
            <family val="2"/>
          </rPr>
          <t>Kaylil Baptiste:</t>
        </r>
        <r>
          <rPr>
            <sz val="9"/>
            <color indexed="81"/>
            <rFont val="Tahoma"/>
            <family val="2"/>
          </rPr>
          <t xml:space="preserve">
62mins consecutive stops on washer infeed, 60mins late start due to low temperature on caustic tank 2, 11mins consecutive stops on washer discharge </t>
        </r>
      </text>
    </comment>
    <comment ref="Q8" authorId="0" shapeId="0" xr:uid="{5D5EF99A-E9B6-4C4C-8612-9ABB0E8D7D1C}">
      <text>
        <r>
          <rPr>
            <b/>
            <sz val="9"/>
            <color indexed="81"/>
            <rFont val="Tahoma"/>
            <family val="2"/>
          </rPr>
          <t>Kaylil Baptiste:</t>
        </r>
        <r>
          <rPr>
            <sz val="9"/>
            <color indexed="81"/>
            <rFont val="Tahoma"/>
            <family val="2"/>
          </rPr>
          <t xml:space="preserve">
6mins high EBI rejection, 5mins EBI rejection table full (waiting on crates</t>
        </r>
      </text>
    </comment>
    <comment ref="R8" authorId="0" shapeId="0" xr:uid="{7747769B-2F5D-4ABF-92B1-7A20154CDB87}">
      <text>
        <r>
          <rPr>
            <b/>
            <sz val="9"/>
            <color indexed="81"/>
            <rFont val="Tahoma"/>
            <family val="2"/>
          </rPr>
          <t>Kaylil Baptiste:</t>
        </r>
        <r>
          <rPr>
            <sz val="9"/>
            <color indexed="81"/>
            <rFont val="Tahoma"/>
            <family val="2"/>
          </rPr>
          <t xml:space="preserve">
32mins filler lost commincation with sensors</t>
        </r>
      </text>
    </comment>
    <comment ref="V8" authorId="0" shapeId="0" xr:uid="{7340331D-CB79-45DC-98BE-03FE517485D5}">
      <text>
        <r>
          <rPr>
            <b/>
            <sz val="9"/>
            <color indexed="81"/>
            <rFont val="Tahoma"/>
            <family val="2"/>
          </rPr>
          <t>Kaylil Baptiste:</t>
        </r>
        <r>
          <rPr>
            <sz val="9"/>
            <color indexed="81"/>
            <rFont val="Tahoma"/>
            <family val="2"/>
          </rPr>
          <t xml:space="preserve">
5mins fallen bottles inside EBI shuffler</t>
        </r>
      </text>
    </comment>
    <comment ref="Z8" authorId="1" shapeId="0" xr:uid="{37B27AEF-C646-422C-B456-65A672056D3F}">
      <text>
        <r>
          <rPr>
            <b/>
            <sz val="9"/>
            <color indexed="81"/>
            <rFont val="Tahoma"/>
            <family val="2"/>
          </rPr>
          <t>Tyrell Bartholomew:</t>
        </r>
        <r>
          <rPr>
            <sz val="9"/>
            <color indexed="81"/>
            <rFont val="Tahoma"/>
            <family val="2"/>
          </rPr>
          <t xml:space="preserve">
60mins production preparation</t>
        </r>
      </text>
    </comment>
    <comment ref="AB8" authorId="1" shapeId="0" xr:uid="{EEF8C17F-1D0D-4220-8BED-7183F40AC892}">
      <text>
        <r>
          <rPr>
            <b/>
            <sz val="9"/>
            <color indexed="81"/>
            <rFont val="Tahoma"/>
            <family val="2"/>
          </rPr>
          <t>Tyrell Bartholomew:</t>
        </r>
        <r>
          <rPr>
            <sz val="9"/>
            <color indexed="81"/>
            <rFont val="Tahoma"/>
            <family val="2"/>
          </rPr>
          <t xml:space="preserve">
10mins waiting on bottles. </t>
        </r>
      </text>
    </comment>
    <comment ref="G9" authorId="0" shapeId="0" xr:uid="{CE28667F-9F38-4846-A484-D626452C94B5}">
      <text>
        <r>
          <rPr>
            <b/>
            <sz val="9"/>
            <color indexed="81"/>
            <rFont val="Tahoma"/>
            <family val="2"/>
          </rPr>
          <t>Kaylil Baptiste:</t>
        </r>
        <r>
          <rPr>
            <sz val="9"/>
            <color indexed="81"/>
            <rFont val="Tahoma"/>
            <family val="2"/>
          </rPr>
          <t xml:space="preserve">
</t>
        </r>
      </text>
    </comment>
    <comment ref="J9" authorId="0" shapeId="0" xr:uid="{B04BB035-3047-49C7-81E5-D03628F0E670}">
      <text>
        <r>
          <rPr>
            <b/>
            <sz val="9"/>
            <color indexed="81"/>
            <rFont val="Tahoma"/>
            <family val="2"/>
          </rPr>
          <t>Kaylil Baptiste:</t>
        </r>
        <r>
          <rPr>
            <sz val="9"/>
            <color indexed="81"/>
            <rFont val="Tahoma"/>
            <family val="2"/>
          </rPr>
          <t xml:space="preserve">
38mins waiting on product </t>
        </r>
      </text>
    </comment>
    <comment ref="V9" authorId="0" shapeId="0" xr:uid="{FD7405D1-CCB8-4703-9D45-F0C645A04263}">
      <text>
        <r>
          <rPr>
            <b/>
            <sz val="9"/>
            <color indexed="81"/>
            <rFont val="Tahoma"/>
            <family val="2"/>
          </rPr>
          <t>Kaylil Baptiste:</t>
        </r>
        <r>
          <rPr>
            <sz val="9"/>
            <color indexed="81"/>
            <rFont val="Tahoma"/>
            <family val="2"/>
          </rPr>
          <t xml:space="preserve">
1320mins communication unit fault between Filler and EBI (Krones device)</t>
        </r>
      </text>
    </comment>
    <comment ref="V10" authorId="0" shapeId="0" xr:uid="{81A65047-81D4-4417-817D-655BD3E2A03B}">
      <text>
        <r>
          <rPr>
            <b/>
            <sz val="9"/>
            <color indexed="81"/>
            <rFont val="Tahoma"/>
            <family val="2"/>
          </rPr>
          <t>Kaylil Baptiste:</t>
        </r>
        <r>
          <rPr>
            <sz val="9"/>
            <color indexed="81"/>
            <rFont val="Tahoma"/>
            <family val="2"/>
          </rPr>
          <t xml:space="preserve">
1440mins communication unit fault between Filler and EBI (Krones device)</t>
        </r>
      </text>
    </comment>
    <comment ref="V11" authorId="0" shapeId="0" xr:uid="{801D74C7-5952-453C-89E9-D50D9E2A8649}">
      <text>
        <r>
          <rPr>
            <b/>
            <sz val="9"/>
            <color indexed="81"/>
            <rFont val="Tahoma"/>
            <family val="2"/>
          </rPr>
          <t>Kaylil Baptiste:</t>
        </r>
        <r>
          <rPr>
            <sz val="9"/>
            <color indexed="81"/>
            <rFont val="Tahoma"/>
            <family val="2"/>
          </rPr>
          <t xml:space="preserve">
1440mins communication unit fault between Filler and EBI (Krones device)</t>
        </r>
      </text>
    </comment>
    <comment ref="D12" authorId="0" shapeId="0" xr:uid="{8E5AD96C-C1CA-411D-84B8-6D637D0C0AA5}">
      <text>
        <r>
          <rPr>
            <b/>
            <sz val="9"/>
            <color indexed="81"/>
            <rFont val="Tahoma"/>
            <family val="2"/>
          </rPr>
          <t>Kaylil Baptiste:</t>
        </r>
        <r>
          <rPr>
            <sz val="9"/>
            <color indexed="81"/>
            <rFont val="Tahoma"/>
            <family val="2"/>
          </rPr>
          <t xml:space="preserve">
18:00</t>
        </r>
      </text>
    </comment>
    <comment ref="P12" authorId="0" shapeId="0" xr:uid="{7CC675A1-E8EE-4280-8856-D502654D35E2}">
      <text>
        <r>
          <rPr>
            <b/>
            <sz val="9"/>
            <color indexed="81"/>
            <rFont val="Tahoma"/>
            <family val="2"/>
          </rPr>
          <t>Kaylil Baptiste:</t>
        </r>
        <r>
          <rPr>
            <sz val="9"/>
            <color indexed="81"/>
            <rFont val="Tahoma"/>
            <family val="2"/>
          </rPr>
          <t xml:space="preserve">
15mins bottles jam at washer discharge flap, 9mins consecutive stops at washer infeed</t>
        </r>
      </text>
    </comment>
    <comment ref="Q12" authorId="0" shapeId="0" xr:uid="{A4A01D1B-61FF-4C09-AB21-4CAF7C0F719D}">
      <text>
        <r>
          <rPr>
            <b/>
            <sz val="9"/>
            <color indexed="81"/>
            <rFont val="Tahoma"/>
            <family val="2"/>
          </rPr>
          <t>Kaylil Baptiste:</t>
        </r>
        <r>
          <rPr>
            <sz val="9"/>
            <color indexed="81"/>
            <rFont val="Tahoma"/>
            <family val="2"/>
          </rPr>
          <t xml:space="preserve">
12mins high EBI rejection</t>
        </r>
      </text>
    </comment>
    <comment ref="T12" authorId="0" shapeId="0" xr:uid="{FF83F5EF-0B02-4541-9373-D06DA7D59AD6}">
      <text>
        <r>
          <rPr>
            <b/>
            <sz val="9"/>
            <color indexed="81"/>
            <rFont val="Tahoma"/>
            <family val="2"/>
          </rPr>
          <t>Kaylil Baptiste:</t>
        </r>
        <r>
          <rPr>
            <sz val="9"/>
            <color indexed="81"/>
            <rFont val="Tahoma"/>
            <family val="2"/>
          </rPr>
          <t xml:space="preserve">
7mins labeler startup adjustments</t>
        </r>
      </text>
    </comment>
    <comment ref="V12" authorId="0" shapeId="0" xr:uid="{353D0A82-5671-4FE0-8757-B9221082E233}">
      <text>
        <r>
          <rPr>
            <b/>
            <sz val="9"/>
            <color indexed="81"/>
            <rFont val="Tahoma"/>
            <family val="2"/>
          </rPr>
          <t>Kaylil Baptiste:</t>
        </r>
        <r>
          <rPr>
            <sz val="9"/>
            <color indexed="81"/>
            <rFont val="Tahoma"/>
            <family val="2"/>
          </rPr>
          <t xml:space="preserve">
1180mins lost for communication fault 37 mins lost for adjustments to speed control</t>
        </r>
      </text>
    </comment>
    <comment ref="Q13" authorId="0" shapeId="0" xr:uid="{E975468C-D94D-4B65-B5CD-42171E7577B8}">
      <text>
        <r>
          <rPr>
            <b/>
            <sz val="9"/>
            <color indexed="81"/>
            <rFont val="Tahoma"/>
            <family val="2"/>
          </rPr>
          <t>Kaylil Baptiste:</t>
        </r>
        <r>
          <rPr>
            <sz val="9"/>
            <color indexed="81"/>
            <rFont val="Tahoma"/>
            <family val="2"/>
          </rPr>
          <t xml:space="preserve">
47mins Krones technician making adjustment,  6mins fallen bottles on EBI starwheel</t>
        </r>
      </text>
    </comment>
    <comment ref="T13" authorId="0" shapeId="0" xr:uid="{F13566EE-A9BB-45DE-BF98-F2F2F82533E0}">
      <text>
        <r>
          <rPr>
            <b/>
            <sz val="9"/>
            <color indexed="81"/>
            <rFont val="Tahoma"/>
            <family val="2"/>
          </rPr>
          <t>Kaylil Baptiste:</t>
        </r>
        <r>
          <rPr>
            <sz val="9"/>
            <color indexed="81"/>
            <rFont val="Tahoma"/>
            <family val="2"/>
          </rPr>
          <t xml:space="preserve">
11mins worm skipped timing, 8mins missing labels</t>
        </r>
      </text>
    </comment>
    <comment ref="V13" authorId="0" shapeId="0" xr:uid="{86BEE72A-0C17-4987-95C9-215ED5FB12B2}">
      <text>
        <r>
          <rPr>
            <b/>
            <sz val="9"/>
            <color indexed="81"/>
            <rFont val="Tahoma"/>
            <family val="2"/>
          </rPr>
          <t>Kaylil Baptiste:</t>
        </r>
        <r>
          <rPr>
            <sz val="9"/>
            <color indexed="81"/>
            <rFont val="Tahoma"/>
            <family val="2"/>
          </rPr>
          <t xml:space="preserve">
83mins keeps jamming</t>
        </r>
      </text>
    </comment>
    <comment ref="W13" authorId="0" shapeId="0" xr:uid="{32CEE38C-60EE-4343-9645-E92F8D458456}">
      <text>
        <r>
          <rPr>
            <b/>
            <sz val="9"/>
            <color indexed="81"/>
            <rFont val="Tahoma"/>
            <family val="2"/>
          </rPr>
          <t>Kaylil Baptiste:</t>
        </r>
        <r>
          <rPr>
            <sz val="9"/>
            <color indexed="81"/>
            <rFont val="Tahoma"/>
            <family val="2"/>
          </rPr>
          <t xml:space="preserve">
8mins centering device issues</t>
        </r>
      </text>
    </comment>
    <comment ref="Z13" authorId="2" shapeId="0" xr:uid="{21AB7365-114A-4F5A-9B98-9F0D36BE3713}">
      <text>
        <r>
          <rPr>
            <b/>
            <sz val="10"/>
            <color indexed="81"/>
            <rFont val="Tahoma"/>
            <family val="2"/>
          </rPr>
          <t>Michael Julien:</t>
        </r>
        <r>
          <rPr>
            <sz val="10"/>
            <color indexed="81"/>
            <rFont val="Tahoma"/>
            <family val="2"/>
          </rPr>
          <t xml:space="preserve">
40 mins stop for break (not enough personnel to cover rotation)
15mins taking midnight reading and greasing filler</t>
        </r>
      </text>
    </comment>
    <comment ref="AB13" authorId="3" shapeId="0" xr:uid="{D34FF244-9949-4B56-A985-9BC2B5CAC2F7}">
      <text>
        <r>
          <rPr>
            <b/>
            <sz val="9"/>
            <color indexed="81"/>
            <rFont val="Tahoma"/>
            <family val="2"/>
          </rPr>
          <t>Micah Noel:</t>
        </r>
        <r>
          <rPr>
            <sz val="9"/>
            <color indexed="81"/>
            <rFont val="Tahoma"/>
            <family val="2"/>
          </rPr>
          <t xml:space="preserve">
67mins high EBI rejection caused by pre-washed bottles</t>
        </r>
      </text>
    </comment>
    <comment ref="H14" authorId="0" shapeId="0" xr:uid="{81E8DB59-40C3-4096-9F0B-6442CB5D616D}">
      <text>
        <r>
          <rPr>
            <b/>
            <sz val="9"/>
            <color indexed="81"/>
            <rFont val="Tahoma"/>
            <family val="2"/>
          </rPr>
          <t>Kaylil Baptiste:</t>
        </r>
        <r>
          <rPr>
            <sz val="9"/>
            <color indexed="81"/>
            <rFont val="Tahoma"/>
            <family val="2"/>
          </rPr>
          <t xml:space="preserve">
5mins waiting on crowns</t>
        </r>
      </text>
    </comment>
    <comment ref="I14" authorId="3" shapeId="0" xr:uid="{9B362619-7482-424B-96F6-A2B9480F8AEB}">
      <text>
        <r>
          <rPr>
            <b/>
            <sz val="9"/>
            <color indexed="81"/>
            <rFont val="Tahoma"/>
            <family val="2"/>
          </rPr>
          <t>Micah Noel:</t>
        </r>
        <r>
          <rPr>
            <sz val="9"/>
            <color indexed="81"/>
            <rFont val="Tahoma"/>
            <family val="2"/>
          </rPr>
          <t xml:space="preserve">
18mins filler change over from Carib to Star Malt</t>
        </r>
      </text>
    </comment>
    <comment ref="O14" authorId="0" shapeId="0" xr:uid="{864FB22B-FD0F-4778-890F-69E73C8B4E61}">
      <text>
        <r>
          <rPr>
            <b/>
            <sz val="9"/>
            <color indexed="81"/>
            <rFont val="Tahoma"/>
            <family val="2"/>
          </rPr>
          <t>Kaylil Baptiste:</t>
        </r>
        <r>
          <rPr>
            <sz val="9"/>
            <color indexed="81"/>
            <rFont val="Tahoma"/>
            <family val="2"/>
          </rPr>
          <t xml:space="preserve">
5mins uncaser head hitting crates</t>
        </r>
      </text>
    </comment>
    <comment ref="P14" authorId="0" shapeId="0" xr:uid="{2B445038-B579-449B-A990-EAF6B9E748EE}">
      <text>
        <r>
          <rPr>
            <b/>
            <sz val="9"/>
            <color indexed="81"/>
            <rFont val="Tahoma"/>
            <family val="2"/>
          </rPr>
          <t>Kaylil Baptiste:</t>
        </r>
        <r>
          <rPr>
            <sz val="9"/>
            <color indexed="81"/>
            <rFont val="Tahoma"/>
            <family val="2"/>
          </rPr>
          <t xml:space="preserve">
6mins fallen bottles at washer infeed flap</t>
        </r>
      </text>
    </comment>
    <comment ref="T14" authorId="0" shapeId="0" xr:uid="{F33487AD-DF18-4036-8360-BA32D84E3713}">
      <text>
        <r>
          <rPr>
            <b/>
            <sz val="9"/>
            <color indexed="81"/>
            <rFont val="Tahoma"/>
            <family val="2"/>
          </rPr>
          <t>Kaylil Baptiste:</t>
        </r>
        <r>
          <rPr>
            <sz val="9"/>
            <color indexed="81"/>
            <rFont val="Tahoma"/>
            <family val="2"/>
          </rPr>
          <t xml:space="preserve">
27mins worm went out of timing </t>
        </r>
      </text>
    </comment>
    <comment ref="W14" authorId="0" shapeId="0" xr:uid="{0465D512-43D6-47C3-B351-123AA043CB19}">
      <text>
        <r>
          <rPr>
            <b/>
            <sz val="9"/>
            <color indexed="81"/>
            <rFont val="Tahoma"/>
            <family val="2"/>
          </rPr>
          <t>Kaylil Baptiste:</t>
        </r>
        <r>
          <rPr>
            <sz val="9"/>
            <color indexed="81"/>
            <rFont val="Tahoma"/>
            <family val="2"/>
          </rPr>
          <t xml:space="preserve">
11mins packer head adjustments </t>
        </r>
      </text>
    </comment>
    <comment ref="Z14" authorId="0" shapeId="0" xr:uid="{E2651600-B3AE-42B9-907F-F28202DC2EBB}">
      <text>
        <r>
          <rPr>
            <b/>
            <sz val="9"/>
            <color indexed="81"/>
            <rFont val="Tahoma"/>
            <family val="2"/>
          </rPr>
          <t>Kaylil Baptiste:</t>
        </r>
        <r>
          <rPr>
            <sz val="9"/>
            <color indexed="81"/>
            <rFont val="Tahoma"/>
            <family val="2"/>
          </rPr>
          <t xml:space="preserve">
6mins waiting on crates</t>
        </r>
      </text>
    </comment>
    <comment ref="AB14" authorId="3" shapeId="0" xr:uid="{8E5F1490-F9B3-4371-8021-CEB327646776}">
      <text>
        <r>
          <rPr>
            <b/>
            <sz val="9"/>
            <color indexed="81"/>
            <rFont val="Tahoma"/>
            <family val="2"/>
          </rPr>
          <t>Micah Noel:</t>
        </r>
        <r>
          <rPr>
            <sz val="9"/>
            <color indexed="81"/>
            <rFont val="Tahoma"/>
            <family val="2"/>
          </rPr>
          <t xml:space="preserve">
 45mins high high ebi rejection caused by mixed and old bottles</t>
        </r>
      </text>
    </comment>
    <comment ref="D15" authorId="0" shapeId="0" xr:uid="{7F390839-7C9A-426E-9D2A-4441A2B05FE7}">
      <text>
        <r>
          <rPr>
            <b/>
            <sz val="9"/>
            <color indexed="81"/>
            <rFont val="Tahoma"/>
            <family val="2"/>
          </rPr>
          <t>Kaylil Baptiste:</t>
        </r>
        <r>
          <rPr>
            <sz val="9"/>
            <color indexed="81"/>
            <rFont val="Tahoma"/>
            <family val="2"/>
          </rPr>
          <t xml:space="preserve">
7:15</t>
        </r>
      </text>
    </comment>
    <comment ref="P15" authorId="0" shapeId="0" xr:uid="{FA6D6FE2-98BF-431E-A894-C418486CF180}">
      <text>
        <r>
          <rPr>
            <b/>
            <sz val="9"/>
            <color indexed="81"/>
            <rFont val="Tahoma"/>
            <family val="2"/>
          </rPr>
          <t>Kaylil Baptiste:</t>
        </r>
        <r>
          <rPr>
            <sz val="9"/>
            <color indexed="81"/>
            <rFont val="Tahoma"/>
            <family val="2"/>
          </rPr>
          <t xml:space="preserve">
19mins fallen bottles on washer discharge flap</t>
        </r>
      </text>
    </comment>
    <comment ref="Q15" authorId="0" shapeId="0" xr:uid="{723A2B33-2B53-4557-AAAB-341890D84912}">
      <text>
        <r>
          <rPr>
            <b/>
            <sz val="9"/>
            <color indexed="81"/>
            <rFont val="Tahoma"/>
            <family val="2"/>
          </rPr>
          <t>Kaylil Baptiste:</t>
        </r>
        <r>
          <rPr>
            <sz val="9"/>
            <color indexed="81"/>
            <rFont val="Tahoma"/>
            <family val="2"/>
          </rPr>
          <t xml:space="preserve">
17mins Krones technician making adjustment</t>
        </r>
      </text>
    </comment>
    <comment ref="R15" authorId="0" shapeId="0" xr:uid="{536E14A0-EB23-4938-8D17-8354021FC1D4}">
      <text>
        <r>
          <rPr>
            <b/>
            <sz val="9"/>
            <color indexed="81"/>
            <rFont val="Tahoma"/>
            <family val="2"/>
          </rPr>
          <t>Kaylil Baptiste:</t>
        </r>
        <r>
          <rPr>
            <sz val="9"/>
            <color indexed="81"/>
            <rFont val="Tahoma"/>
            <family val="2"/>
          </rPr>
          <t xml:space="preserve">
9 mins stop to oil filler leg</t>
        </r>
      </text>
    </comment>
    <comment ref="V15" authorId="0" shapeId="0" xr:uid="{95A6C830-E0C6-460D-ABEF-E84875EF30A6}">
      <text>
        <r>
          <rPr>
            <b/>
            <sz val="9"/>
            <color indexed="81"/>
            <rFont val="Tahoma"/>
            <family val="2"/>
          </rPr>
          <t>Kaylil Baptiste:</t>
        </r>
        <r>
          <rPr>
            <sz val="9"/>
            <color indexed="81"/>
            <rFont val="Tahoma"/>
            <family val="2"/>
          </rPr>
          <t xml:space="preserve">
11mins fallen bottles on EBI shuffler </t>
        </r>
      </text>
    </comment>
    <comment ref="Z15" authorId="0" shapeId="0" xr:uid="{091CCDF1-45E6-40D8-84C9-13DEEF9FE93D}">
      <text>
        <r>
          <rPr>
            <b/>
            <sz val="9"/>
            <color indexed="81"/>
            <rFont val="Tahoma"/>
            <family val="2"/>
          </rPr>
          <t>Kaylil Baptiste:</t>
        </r>
        <r>
          <rPr>
            <sz val="9"/>
            <color indexed="81"/>
            <rFont val="Tahoma"/>
            <family val="2"/>
          </rPr>
          <t xml:space="preserve">
30mins waiting on bottles from Washer </t>
        </r>
      </text>
    </comment>
    <comment ref="AB15" authorId="3" shapeId="0" xr:uid="{ED07D7B3-3ADD-4098-90FB-5943A98256E1}">
      <text>
        <r>
          <rPr>
            <b/>
            <sz val="9"/>
            <color indexed="81"/>
            <rFont val="Tahoma"/>
            <family val="2"/>
          </rPr>
          <t>Micah Noel:</t>
        </r>
        <r>
          <rPr>
            <sz val="9"/>
            <color indexed="81"/>
            <rFont val="Tahoma"/>
            <family val="2"/>
          </rPr>
          <t xml:space="preserve">
mixed bottles caused 4 mins heavy rejections</t>
        </r>
      </text>
    </comment>
    <comment ref="J16" authorId="0" shapeId="0" xr:uid="{6DF9F65A-001F-42F9-A37E-D42BD514B0E9}">
      <text>
        <r>
          <rPr>
            <b/>
            <sz val="9"/>
            <color indexed="81"/>
            <rFont val="Tahoma"/>
            <family val="2"/>
          </rPr>
          <t>Kaylil Baptiste:</t>
        </r>
        <r>
          <rPr>
            <sz val="9"/>
            <color indexed="81"/>
            <rFont val="Tahoma"/>
            <family val="2"/>
          </rPr>
          <t xml:space="preserve">
product leaking from filling bowl</t>
        </r>
      </text>
    </comment>
    <comment ref="O16" authorId="0" shapeId="0" xr:uid="{1BB5543C-E00E-435C-A6E3-4916EA666CB4}">
      <text>
        <r>
          <rPr>
            <b/>
            <sz val="9"/>
            <color indexed="81"/>
            <rFont val="Tahoma"/>
            <family val="2"/>
          </rPr>
          <t>Kaylil Baptiste:</t>
        </r>
        <r>
          <rPr>
            <sz val="9"/>
            <color indexed="81"/>
            <rFont val="Tahoma"/>
            <family val="2"/>
          </rPr>
          <t xml:space="preserve">
17mins for head jamming, 10mins stop to replace cups</t>
        </r>
      </text>
    </comment>
    <comment ref="P16" authorId="0" shapeId="0" xr:uid="{0AD45EC4-19DC-40BC-B691-D58C2FFA0CAC}">
      <text>
        <r>
          <rPr>
            <b/>
            <sz val="9"/>
            <color indexed="81"/>
            <rFont val="Tahoma"/>
            <family val="2"/>
          </rPr>
          <t>Kaylil Baptiste:</t>
        </r>
        <r>
          <rPr>
            <sz val="9"/>
            <color indexed="81"/>
            <rFont val="Tahoma"/>
            <family val="2"/>
          </rPr>
          <t xml:space="preserve">
20mins high rejection due to labels, 5mins for bottles jamming</t>
        </r>
      </text>
    </comment>
    <comment ref="Q16" authorId="0" shapeId="0" xr:uid="{01FB5D38-FF11-4C6F-88A6-8F1D62A6720A}">
      <text>
        <r>
          <rPr>
            <b/>
            <sz val="9"/>
            <color indexed="81"/>
            <rFont val="Tahoma"/>
            <family val="2"/>
          </rPr>
          <t>Kaylil Baptiste:</t>
        </r>
        <r>
          <rPr>
            <sz val="9"/>
            <color indexed="81"/>
            <rFont val="Tahoma"/>
            <family val="2"/>
          </rPr>
          <t xml:space="preserve">
9mins high EBI rejection</t>
        </r>
      </text>
    </comment>
    <comment ref="V16" authorId="0" shapeId="0" xr:uid="{0D7279A5-D2C5-43E5-B082-082550247E87}">
      <text>
        <r>
          <rPr>
            <b/>
            <sz val="9"/>
            <color indexed="81"/>
            <rFont val="Tahoma"/>
            <family val="2"/>
          </rPr>
          <t>Kaylil Baptiste:</t>
        </r>
        <r>
          <rPr>
            <sz val="9"/>
            <color indexed="81"/>
            <rFont val="Tahoma"/>
            <family val="2"/>
          </rPr>
          <t xml:space="preserve">
10mins bottles jamming at EBI infeed, 10mins uncasher discharge conveyor trip</t>
        </r>
      </text>
    </comment>
    <comment ref="Z16" authorId="4" shapeId="0" xr:uid="{0FADC013-A342-48BF-BAF3-2DD17BEEDD9A}">
      <text>
        <r>
          <rPr>
            <b/>
            <sz val="9"/>
            <color indexed="81"/>
            <rFont val="Tahoma"/>
            <family val="2"/>
          </rPr>
          <t>Dorien Andrew:</t>
        </r>
        <r>
          <rPr>
            <sz val="9"/>
            <color indexed="81"/>
            <rFont val="Tahoma"/>
            <family val="2"/>
          </rPr>
          <t xml:space="preserve">
70 mins waiting for dry run,15mins product preparation</t>
        </r>
      </text>
    </comment>
    <comment ref="I17" authorId="3" shapeId="0" xr:uid="{F2362020-93CB-4824-98E9-88D0C30D172D}">
      <text>
        <r>
          <rPr>
            <b/>
            <sz val="9"/>
            <color indexed="81"/>
            <rFont val="Tahoma"/>
            <family val="2"/>
          </rPr>
          <t>Micah Noel:</t>
        </r>
        <r>
          <rPr>
            <sz val="9"/>
            <color indexed="81"/>
            <rFont val="Tahoma"/>
            <family val="2"/>
          </rPr>
          <t xml:space="preserve">
188mins filler change over from Vita Malt to Star Malt</t>
        </r>
      </text>
    </comment>
    <comment ref="O17" authorId="0" shapeId="0" xr:uid="{45C8C56E-768A-4638-829B-1CBD5D8F3484}">
      <text>
        <r>
          <rPr>
            <b/>
            <sz val="9"/>
            <color indexed="81"/>
            <rFont val="Tahoma"/>
            <family val="2"/>
          </rPr>
          <t>Kaylil Baptiste:</t>
        </r>
        <r>
          <rPr>
            <sz val="9"/>
            <color indexed="81"/>
            <rFont val="Tahoma"/>
            <family val="2"/>
          </rPr>
          <t xml:space="preserve">
34mins broken electrical cable on uncaser haead</t>
        </r>
      </text>
    </comment>
    <comment ref="P17" authorId="0" shapeId="0" xr:uid="{2C7F9B4B-85E0-4C36-9AAF-7BD29140817F}">
      <text>
        <r>
          <rPr>
            <b/>
            <sz val="9"/>
            <color indexed="81"/>
            <rFont val="Tahoma"/>
            <family val="2"/>
          </rPr>
          <t>Kaylil Baptiste:</t>
        </r>
        <r>
          <rPr>
            <sz val="9"/>
            <color indexed="81"/>
            <rFont val="Tahoma"/>
            <family val="2"/>
          </rPr>
          <t xml:space="preserve">
22mins for bottles jamming</t>
        </r>
      </text>
    </comment>
    <comment ref="V17" authorId="0" shapeId="0" xr:uid="{E4631A97-5F72-4EE9-A813-413AE6F1E711}">
      <text>
        <r>
          <rPr>
            <b/>
            <sz val="9"/>
            <color indexed="81"/>
            <rFont val="Tahoma"/>
            <family val="2"/>
          </rPr>
          <t>Kaylil Baptiste:</t>
        </r>
        <r>
          <rPr>
            <sz val="9"/>
            <color indexed="81"/>
            <rFont val="Tahoma"/>
            <family val="2"/>
          </rPr>
          <t xml:space="preserve">
16mins fallen bottles on EBI shuffler</t>
        </r>
      </text>
    </comment>
    <comment ref="W17" authorId="0" shapeId="0" xr:uid="{3D6134B2-2A5E-453E-9558-5C3646DF33A3}">
      <text>
        <r>
          <rPr>
            <b/>
            <sz val="9"/>
            <color indexed="81"/>
            <rFont val="Tahoma"/>
            <family val="2"/>
          </rPr>
          <t>Kaylil Baptiste:</t>
        </r>
        <r>
          <rPr>
            <sz val="9"/>
            <color indexed="81"/>
            <rFont val="Tahoma"/>
            <family val="2"/>
          </rPr>
          <t xml:space="preserve">
8mins bent fingers on packer</t>
        </r>
      </text>
    </comment>
    <comment ref="H18" authorId="3" shapeId="0" xr:uid="{309D6B17-D6C6-431D-A99B-84F48A2148F8}">
      <text>
        <r>
          <rPr>
            <b/>
            <sz val="9"/>
            <color indexed="81"/>
            <rFont val="Tahoma"/>
            <family val="2"/>
          </rPr>
          <t>Micah Noel:</t>
        </r>
        <r>
          <rPr>
            <sz val="9"/>
            <color indexed="81"/>
            <rFont val="Tahoma"/>
            <family val="2"/>
          </rPr>
          <t xml:space="preserve">
29mins filler waiting for cold water (cold water tank empty)</t>
        </r>
      </text>
    </comment>
    <comment ref="I18" authorId="3" shapeId="0" xr:uid="{AD6D548E-33EB-44D2-8196-0E9F8AA53272}">
      <text>
        <r>
          <rPr>
            <b/>
            <sz val="9"/>
            <color indexed="81"/>
            <rFont val="Tahoma"/>
            <family val="2"/>
          </rPr>
          <t>Micah Noel:</t>
        </r>
        <r>
          <rPr>
            <sz val="9"/>
            <color indexed="81"/>
            <rFont val="Tahoma"/>
            <family val="2"/>
          </rPr>
          <t xml:space="preserve">
50mins filler change over</t>
        </r>
      </text>
    </comment>
    <comment ref="J18" authorId="3" shapeId="0" xr:uid="{2F38BBBD-D06E-48D9-AA35-A29ED9E424CE}">
      <text>
        <r>
          <rPr>
            <b/>
            <sz val="9"/>
            <color indexed="81"/>
            <rFont val="Tahoma"/>
            <family val="2"/>
          </rPr>
          <t>Micah Noel:</t>
        </r>
        <r>
          <rPr>
            <sz val="9"/>
            <color indexed="81"/>
            <rFont val="Tahoma"/>
            <family val="2"/>
          </rPr>
          <t xml:space="preserve">
10mins awaiting product release (QA)</t>
        </r>
      </text>
    </comment>
    <comment ref="P18" authorId="0" shapeId="0" xr:uid="{BA9D4B9D-E7A2-41DB-A610-6A15E731490B}">
      <text>
        <r>
          <rPr>
            <b/>
            <sz val="9"/>
            <color indexed="81"/>
            <rFont val="Tahoma"/>
            <family val="2"/>
          </rPr>
          <t>Kaylil Baptiste:</t>
        </r>
        <r>
          <rPr>
            <sz val="9"/>
            <color indexed="81"/>
            <rFont val="Tahoma"/>
            <family val="2"/>
          </rPr>
          <t xml:space="preserve">
11mins making adjustment on washer infeed guide </t>
        </r>
      </text>
    </comment>
    <comment ref="T18" authorId="0" shapeId="0" xr:uid="{609B546D-9F99-4602-B2A7-6098E3D8C6B3}">
      <text>
        <r>
          <rPr>
            <b/>
            <sz val="9"/>
            <color indexed="81"/>
            <rFont val="Tahoma"/>
            <family val="2"/>
          </rPr>
          <t>Kaylil Baptiste:</t>
        </r>
        <r>
          <rPr>
            <sz val="9"/>
            <color indexed="81"/>
            <rFont val="Tahoma"/>
            <family val="2"/>
          </rPr>
          <t xml:space="preserve">
6mins startup adjustments </t>
        </r>
      </text>
    </comment>
    <comment ref="Z18" authorId="3" shapeId="0" xr:uid="{A4CF82C9-457A-4F17-A1A7-5A511BCDB727}">
      <text>
        <r>
          <rPr>
            <b/>
            <sz val="9"/>
            <color indexed="81"/>
            <rFont val="Tahoma"/>
            <family val="2"/>
          </rPr>
          <t>Micah Noel:</t>
        </r>
        <r>
          <rPr>
            <sz val="9"/>
            <color indexed="81"/>
            <rFont val="Tahoma"/>
            <family val="2"/>
          </rPr>
          <t xml:space="preserve">
 3mins switching palletizer (shift change)</t>
        </r>
      </text>
    </comment>
    <comment ref="O19" authorId="0" shapeId="0" xr:uid="{BFBDC956-F9F1-463A-B5FA-B110FCF8F132}">
      <text>
        <r>
          <rPr>
            <b/>
            <sz val="9"/>
            <color indexed="81"/>
            <rFont val="Tahoma"/>
            <family val="2"/>
          </rPr>
          <t>Kaylil Baptiste:</t>
        </r>
        <r>
          <rPr>
            <sz val="9"/>
            <color indexed="81"/>
            <rFont val="Tahoma"/>
            <family val="2"/>
          </rPr>
          <t xml:space="preserve">
12mins repairing cups, 5mins uncaser head hitting crates</t>
        </r>
      </text>
    </comment>
    <comment ref="P19" authorId="0" shapeId="0" xr:uid="{D05B6B18-5716-46A0-ADD2-778AA4F09F65}">
      <text>
        <r>
          <rPr>
            <b/>
            <sz val="9"/>
            <color indexed="81"/>
            <rFont val="Tahoma"/>
            <family val="2"/>
          </rPr>
          <t>Kaylil Baptiste:</t>
        </r>
        <r>
          <rPr>
            <sz val="9"/>
            <color indexed="81"/>
            <rFont val="Tahoma"/>
            <family val="2"/>
          </rPr>
          <t xml:space="preserve">
25mins high rejection due to labels on bottles, 19mins bottles jam at washer infeed flap, 18mins bottles jam at washer discharge flap</t>
        </r>
      </text>
    </comment>
    <comment ref="R19" authorId="0" shapeId="0" xr:uid="{AA1B2701-61CE-416D-992A-5BBF3EBF7827}">
      <text>
        <r>
          <rPr>
            <b/>
            <sz val="9"/>
            <color indexed="81"/>
            <rFont val="Tahoma"/>
            <family val="2"/>
          </rPr>
          <t>Kaylil Baptiste:</t>
        </r>
        <r>
          <rPr>
            <sz val="9"/>
            <color indexed="81"/>
            <rFont val="Tahoma"/>
            <family val="2"/>
          </rPr>
          <t xml:space="preserve">
15mins filler lost communication</t>
        </r>
      </text>
    </comment>
    <comment ref="V19" authorId="0" shapeId="0" xr:uid="{932D6390-581E-4411-93FD-E20132B48CAB}">
      <text>
        <r>
          <rPr>
            <b/>
            <sz val="9"/>
            <color indexed="81"/>
            <rFont val="Tahoma"/>
            <family val="2"/>
          </rPr>
          <t>Kaylil Baptiste:</t>
        </r>
        <r>
          <rPr>
            <sz val="9"/>
            <color indexed="81"/>
            <rFont val="Tahoma"/>
            <family val="2"/>
          </rPr>
          <t xml:space="preserve">
117mins stop for damaged sprocket, 5mins fallen bottles on EBI shuffler</t>
        </r>
      </text>
    </comment>
    <comment ref="Z19" authorId="2" shapeId="0" xr:uid="{04E0504E-89B6-4BE0-B82F-50C3CC2E2DE8}">
      <text>
        <r>
          <rPr>
            <b/>
            <sz val="9"/>
            <color indexed="81"/>
            <rFont val="Tahoma"/>
            <family val="2"/>
          </rPr>
          <t>Michael Julien:</t>
        </r>
        <r>
          <rPr>
            <sz val="9"/>
            <color indexed="81"/>
            <rFont val="Tahoma"/>
            <family val="2"/>
          </rPr>
          <t xml:space="preserve">
20mins taking midnight reading, 8 mins toolbox meeting, 5mins waiting on line to load</t>
        </r>
      </text>
    </comment>
    <comment ref="H20" authorId="3" shapeId="0" xr:uid="{041272F7-F925-4D0D-BBBA-98B24BC55BC0}">
      <text>
        <r>
          <rPr>
            <b/>
            <sz val="9"/>
            <color indexed="81"/>
            <rFont val="Tahoma"/>
            <family val="2"/>
          </rPr>
          <t>Micah Noel:</t>
        </r>
        <r>
          <rPr>
            <sz val="9"/>
            <color indexed="81"/>
            <rFont val="Tahoma"/>
            <family val="2"/>
          </rPr>
          <t xml:space="preserve">
filler stopped waiting for crowns (filler operator did not realise that the crowns were already in the bottling hall)</t>
        </r>
      </text>
    </comment>
    <comment ref="I20" authorId="3" shapeId="0" xr:uid="{10802D50-4662-4091-9332-DCC3800486FB}">
      <text>
        <r>
          <rPr>
            <b/>
            <sz val="9"/>
            <color indexed="81"/>
            <rFont val="Tahoma"/>
            <family val="2"/>
          </rPr>
          <t>Micah Noel:</t>
        </r>
        <r>
          <rPr>
            <sz val="9"/>
            <color indexed="81"/>
            <rFont val="Tahoma"/>
            <family val="2"/>
          </rPr>
          <t xml:space="preserve">
4 mins Filler change over from Stag to Carib (amber) 26 mins labeler change over</t>
        </r>
      </text>
    </comment>
    <comment ref="J20" authorId="3" shapeId="0" xr:uid="{51741779-B848-4A2B-AE75-50536EF89F10}">
      <text>
        <r>
          <rPr>
            <b/>
            <sz val="9"/>
            <color indexed="81"/>
            <rFont val="Tahoma"/>
            <family val="2"/>
          </rPr>
          <t>Micah Noel:</t>
        </r>
        <r>
          <rPr>
            <sz val="9"/>
            <color indexed="81"/>
            <rFont val="Tahoma"/>
            <family val="2"/>
          </rPr>
          <t xml:space="preserve">
waiting for product release</t>
        </r>
      </text>
    </comment>
    <comment ref="P20" authorId="0" shapeId="0" xr:uid="{029E2188-AE11-4906-9730-BA2E66202847}">
      <text>
        <r>
          <rPr>
            <b/>
            <sz val="9"/>
            <color indexed="81"/>
            <rFont val="Tahoma"/>
            <family val="2"/>
          </rPr>
          <t>Kaylil Baptiste:</t>
        </r>
        <r>
          <rPr>
            <sz val="9"/>
            <color indexed="81"/>
            <rFont val="Tahoma"/>
            <family val="2"/>
          </rPr>
          <t xml:space="preserve">
6mins bottles jam at washer infeed flap, 8mins bottles jam at washer discharge flap</t>
        </r>
      </text>
    </comment>
    <comment ref="Q20" authorId="0" shapeId="0" xr:uid="{7FE6B9BB-1B1F-4824-ACC5-5FB5AE469385}">
      <text>
        <r>
          <rPr>
            <b/>
            <sz val="9"/>
            <color indexed="81"/>
            <rFont val="Tahoma"/>
            <family val="2"/>
          </rPr>
          <t>Kaylil Baptiste:</t>
        </r>
        <r>
          <rPr>
            <sz val="9"/>
            <color indexed="81"/>
            <rFont val="Tahoma"/>
            <family val="2"/>
          </rPr>
          <t xml:space="preserve">
7mins fallen bottles on OSW</t>
        </r>
      </text>
    </comment>
    <comment ref="T20" authorId="0" shapeId="0" xr:uid="{80E1C325-A77E-4B4F-B0E4-3975904E3FD0}">
      <text>
        <r>
          <rPr>
            <b/>
            <sz val="9"/>
            <color indexed="81"/>
            <rFont val="Tahoma"/>
            <family val="2"/>
          </rPr>
          <t>Kaylil Baptiste:</t>
        </r>
        <r>
          <rPr>
            <sz val="9"/>
            <color indexed="81"/>
            <rFont val="Tahoma"/>
            <family val="2"/>
          </rPr>
          <t xml:space="preserve">
48mins detached sponge, 5mins missing labels</t>
        </r>
      </text>
    </comment>
    <comment ref="V20" authorId="0" shapeId="0" xr:uid="{27834C32-8EFE-4615-81D4-B16EDAB55289}">
      <text>
        <r>
          <rPr>
            <b/>
            <sz val="9"/>
            <color indexed="81"/>
            <rFont val="Tahoma"/>
            <family val="2"/>
          </rPr>
          <t>Kaylil Baptiste:</t>
        </r>
        <r>
          <rPr>
            <sz val="9"/>
            <color indexed="81"/>
            <rFont val="Tahoma"/>
            <family val="2"/>
          </rPr>
          <t xml:space="preserve">
40mins repairs to broken labeler infeed conveyor, 7mins labeler infeed conveyor stuttering , 6mins fallen bottles on EBI shuffler</t>
        </r>
      </text>
    </comment>
    <comment ref="W20" authorId="0" shapeId="0" xr:uid="{2666B912-DE8B-4000-AC94-137BA6364BD5}">
      <text>
        <r>
          <rPr>
            <b/>
            <sz val="9"/>
            <color indexed="81"/>
            <rFont val="Tahoma"/>
            <family val="2"/>
          </rPr>
          <t>Kaylil Baptiste:</t>
        </r>
        <r>
          <rPr>
            <sz val="9"/>
            <color indexed="81"/>
            <rFont val="Tahoma"/>
            <family val="2"/>
          </rPr>
          <t xml:space="preserve">
7mins adjustments on centering device</t>
        </r>
      </text>
    </comment>
    <comment ref="P21" authorId="0" shapeId="0" xr:uid="{5BA8AFBF-55E9-429E-8306-161F156B7372}">
      <text>
        <r>
          <rPr>
            <b/>
            <sz val="9"/>
            <color indexed="81"/>
            <rFont val="Tahoma"/>
            <family val="2"/>
          </rPr>
          <t>Kaylil Baptiste:</t>
        </r>
        <r>
          <rPr>
            <sz val="9"/>
            <color indexed="81"/>
            <rFont val="Tahoma"/>
            <family val="2"/>
          </rPr>
          <t xml:space="preserve">
13mins jammed bottles at washer discharge</t>
        </r>
      </text>
    </comment>
    <comment ref="Z21" authorId="0" shapeId="0" xr:uid="{BB6F2A74-73E4-44ED-BA62-D8CF7FECF939}">
      <text>
        <r>
          <rPr>
            <b/>
            <sz val="9"/>
            <color indexed="81"/>
            <rFont val="Tahoma"/>
            <family val="2"/>
          </rPr>
          <t>Kaylil Baptiste:</t>
        </r>
        <r>
          <rPr>
            <sz val="9"/>
            <color indexed="81"/>
            <rFont val="Tahoma"/>
            <family val="2"/>
          </rPr>
          <t xml:space="preserve">
12mins  midnight reading </t>
        </r>
      </text>
    </comment>
    <comment ref="AB21" authorId="4" shapeId="0" xr:uid="{7C2B14D8-4818-45B7-BD91-611F5C7585BD}">
      <text>
        <r>
          <rPr>
            <b/>
            <sz val="9"/>
            <color indexed="81"/>
            <rFont val="Tahoma"/>
            <family val="2"/>
          </rPr>
          <t>Dorien Andrew:</t>
        </r>
        <r>
          <rPr>
            <sz val="9"/>
            <color indexed="81"/>
            <rFont val="Tahoma"/>
            <family val="2"/>
          </rPr>
          <t xml:space="preserve">
15mins incorrect bottles loaded </t>
        </r>
      </text>
    </comment>
    <comment ref="I22" authorId="4" shapeId="0" xr:uid="{0E5A970E-71E0-410D-80C4-7656D865061E}">
      <text>
        <r>
          <rPr>
            <b/>
            <sz val="9"/>
            <color indexed="81"/>
            <rFont val="Tahoma"/>
            <family val="2"/>
          </rPr>
          <t>Dorien Andrew:</t>
        </r>
        <r>
          <rPr>
            <sz val="9"/>
            <color indexed="81"/>
            <rFont val="Tahoma"/>
            <family val="2"/>
          </rPr>
          <t xml:space="preserve">
3mins labeller change over, 13mins filleer change over from Carib to Stag</t>
        </r>
      </text>
    </comment>
    <comment ref="J22" authorId="3" shapeId="0" xr:uid="{E44712D6-4AB5-4F0E-BF56-17310DE9074C}">
      <text>
        <r>
          <rPr>
            <b/>
            <sz val="9"/>
            <color indexed="81"/>
            <rFont val="Tahoma"/>
            <family val="2"/>
          </rPr>
          <t>Micah Noel:</t>
        </r>
        <r>
          <rPr>
            <sz val="9"/>
            <color indexed="81"/>
            <rFont val="Tahoma"/>
            <family val="2"/>
          </rPr>
          <t xml:space="preserve">
131mins waiting for product to be filtered</t>
        </r>
      </text>
    </comment>
    <comment ref="O22" authorId="0" shapeId="0" xr:uid="{0750DAA1-32D9-4763-9C84-DA88CCAF80A4}">
      <text>
        <r>
          <rPr>
            <b/>
            <sz val="9"/>
            <color indexed="81"/>
            <rFont val="Tahoma"/>
            <family val="2"/>
          </rPr>
          <t>Kaylil Baptiste:</t>
        </r>
        <r>
          <rPr>
            <sz val="9"/>
            <color indexed="81"/>
            <rFont val="Tahoma"/>
            <family val="2"/>
          </rPr>
          <t xml:space="preserve">
24mins uncaser sensor malfunction, 8mins uncaser head hitting crates</t>
        </r>
      </text>
    </comment>
    <comment ref="P22" authorId="0" shapeId="0" xr:uid="{CCBF9046-6C1F-4074-A364-8F73170C066E}">
      <text>
        <r>
          <rPr>
            <b/>
            <sz val="9"/>
            <color indexed="81"/>
            <rFont val="Tahoma"/>
            <family val="2"/>
          </rPr>
          <t>Kaylil Baptiste:</t>
        </r>
        <r>
          <rPr>
            <sz val="9"/>
            <color indexed="81"/>
            <rFont val="Tahoma"/>
            <family val="2"/>
          </rPr>
          <t xml:space="preserve">
29mins high rejection due to labels, 29mins jammed bottles at washer discharge, 8mins jammed bottles at washer infeed</t>
        </r>
      </text>
    </comment>
    <comment ref="Q22" authorId="0" shapeId="0" xr:uid="{ACD3174E-4A01-49DE-BB52-8C30F341271A}">
      <text>
        <r>
          <rPr>
            <b/>
            <sz val="9"/>
            <color indexed="81"/>
            <rFont val="Tahoma"/>
            <family val="2"/>
          </rPr>
          <t>Kaylil Baptiste:</t>
        </r>
        <r>
          <rPr>
            <sz val="9"/>
            <color indexed="81"/>
            <rFont val="Tahoma"/>
            <family val="2"/>
          </rPr>
          <t xml:space="preserve">
12mins high EBI rejection, 5mins fallen bottles on OSW</t>
        </r>
      </text>
    </comment>
    <comment ref="R22" authorId="0" shapeId="0" xr:uid="{A448E49C-5ABB-44CE-8D0C-FAD21BA721EB}">
      <text>
        <r>
          <rPr>
            <b/>
            <sz val="9"/>
            <color indexed="81"/>
            <rFont val="Tahoma"/>
            <family val="2"/>
          </rPr>
          <t>Kaylil Baptiste:</t>
        </r>
        <r>
          <rPr>
            <sz val="9"/>
            <color indexed="81"/>
            <rFont val="Tahoma"/>
            <family val="2"/>
          </rPr>
          <t xml:space="preserve">
10mins crown sticking in chute (adjustment had to be made to resolve issue)</t>
        </r>
      </text>
    </comment>
    <comment ref="S22" authorId="0" shapeId="0" xr:uid="{E3789181-77C1-41B5-AC48-24FBAECB8B59}">
      <text>
        <r>
          <rPr>
            <b/>
            <sz val="9"/>
            <color indexed="81"/>
            <rFont val="Tahoma"/>
            <family val="2"/>
          </rPr>
          <t>Kaylil Baptiste:</t>
        </r>
        <r>
          <rPr>
            <sz val="9"/>
            <color indexed="81"/>
            <rFont val="Tahoma"/>
            <family val="2"/>
          </rPr>
          <t xml:space="preserve">
16mins low temp on tank #4 </t>
        </r>
      </text>
    </comment>
    <comment ref="T22" authorId="0" shapeId="0" xr:uid="{2FFCA2A6-233C-4C2E-AA9E-69B5CD4CA717}">
      <text>
        <r>
          <rPr>
            <b/>
            <sz val="9"/>
            <color indexed="81"/>
            <rFont val="Tahoma"/>
            <family val="2"/>
          </rPr>
          <t>Kaylil Baptiste:</t>
        </r>
        <r>
          <rPr>
            <sz val="9"/>
            <color indexed="81"/>
            <rFont val="Tahoma"/>
            <family val="2"/>
          </rPr>
          <t xml:space="preserve">
8mins missing labels</t>
        </r>
      </text>
    </comment>
    <comment ref="V22" authorId="0" shapeId="0" xr:uid="{5F90DD95-951F-4001-BBD4-9343C5457EAB}">
      <text>
        <r>
          <rPr>
            <b/>
            <sz val="9"/>
            <color indexed="81"/>
            <rFont val="Tahoma"/>
            <family val="2"/>
          </rPr>
          <t>Kaylil Baptiste:</t>
        </r>
        <r>
          <rPr>
            <sz val="9"/>
            <color indexed="81"/>
            <rFont val="Tahoma"/>
            <family val="2"/>
          </rPr>
          <t xml:space="preserve">
20mins malfunction on labeler infeed conveyor, 16mins maintenance working on EBI infeed conveyor, 11mins fallen bottles on EBI shuffler</t>
        </r>
      </text>
    </comment>
    <comment ref="Z22" authorId="2" shapeId="0" xr:uid="{FF3B28E8-9A93-4BA4-AB3C-02BC0496A21A}">
      <text>
        <r>
          <rPr>
            <b/>
            <sz val="9"/>
            <color indexed="81"/>
            <rFont val="Tahoma"/>
            <family val="2"/>
          </rPr>
          <t>Michael Julien:</t>
        </r>
        <r>
          <rPr>
            <sz val="9"/>
            <color indexed="81"/>
            <rFont val="Tahoma"/>
            <family val="2"/>
          </rPr>
          <t xml:space="preserve">
4mins replacing step for pasteurizer discharge area. 12 mins waiting on man power </t>
        </r>
      </text>
    </comment>
    <comment ref="AB22" authorId="0" shapeId="0" xr:uid="{C3AA8D70-CEA2-4F26-B046-31E78597D3B6}">
      <text>
        <r>
          <rPr>
            <b/>
            <sz val="9"/>
            <color indexed="81"/>
            <rFont val="Tahoma"/>
            <family val="2"/>
          </rPr>
          <t>Kaylil Baptiste:</t>
        </r>
        <r>
          <rPr>
            <sz val="9"/>
            <color indexed="81"/>
            <rFont val="Tahoma"/>
            <family val="2"/>
          </rPr>
          <t xml:space="preserve">
16mins waiting on crates.</t>
        </r>
      </text>
    </comment>
    <comment ref="I23" authorId="0" shapeId="0" xr:uid="{59ABEB52-3C69-433E-8910-8034FA76931F}">
      <text>
        <r>
          <rPr>
            <b/>
            <sz val="9"/>
            <color indexed="81"/>
            <rFont val="Tahoma"/>
            <family val="2"/>
          </rPr>
          <t>Kaylil Baptiste:</t>
        </r>
        <r>
          <rPr>
            <sz val="9"/>
            <color indexed="81"/>
            <rFont val="Tahoma"/>
            <family val="2"/>
          </rPr>
          <t xml:space="preserve">
6mins changing over to mackeson</t>
        </r>
      </text>
    </comment>
    <comment ref="J23" authorId="0" shapeId="0" xr:uid="{E4CBA6FA-7319-45EB-A7B9-FB6DD2A65D1C}">
      <text>
        <r>
          <rPr>
            <b/>
            <sz val="9"/>
            <color indexed="81"/>
            <rFont val="Tahoma"/>
            <family val="2"/>
          </rPr>
          <t>Kaylil Baptiste:</t>
        </r>
        <r>
          <rPr>
            <sz val="9"/>
            <color indexed="81"/>
            <rFont val="Tahoma"/>
            <family val="2"/>
          </rPr>
          <t xml:space="preserve">
26mins waiting on lab to analyze BBT</t>
        </r>
      </text>
    </comment>
    <comment ref="P23" authorId="0" shapeId="0" xr:uid="{DFFC3CF0-AD03-4933-BC71-6F1465E89FC7}">
      <text>
        <r>
          <rPr>
            <b/>
            <sz val="9"/>
            <color indexed="81"/>
            <rFont val="Tahoma"/>
            <family val="2"/>
          </rPr>
          <t>Kaylil Baptiste:</t>
        </r>
        <r>
          <rPr>
            <sz val="9"/>
            <color indexed="81"/>
            <rFont val="Tahoma"/>
            <family val="2"/>
          </rPr>
          <t xml:space="preserve">
60mins bottles jamming at washer infeed flap, 37mins high rejection due to labels on bottles, 18mins broken/jammed bottles on washer discharge flap</t>
        </r>
      </text>
    </comment>
    <comment ref="Q23" authorId="0" shapeId="0" xr:uid="{408CA49C-391E-485D-B2FB-BB0ED436FFAB}">
      <text>
        <r>
          <rPr>
            <b/>
            <sz val="9"/>
            <color indexed="81"/>
            <rFont val="Tahoma"/>
            <family val="2"/>
          </rPr>
          <t>Kaylil Baptiste:</t>
        </r>
        <r>
          <rPr>
            <sz val="9"/>
            <color indexed="81"/>
            <rFont val="Tahoma"/>
            <family val="2"/>
          </rPr>
          <t xml:space="preserve">
26mins fallen bottles on OSW, 10mins high EBI rejection</t>
        </r>
      </text>
    </comment>
    <comment ref="R23" authorId="0" shapeId="0" xr:uid="{3C1D807F-7E85-4681-8ADD-18C556922FED}">
      <text>
        <r>
          <rPr>
            <b/>
            <sz val="9"/>
            <color indexed="81"/>
            <rFont val="Tahoma"/>
            <family val="2"/>
          </rPr>
          <t>Kaylil Baptiste:</t>
        </r>
        <r>
          <rPr>
            <sz val="9"/>
            <color indexed="81"/>
            <rFont val="Tahoma"/>
            <family val="2"/>
          </rPr>
          <t xml:space="preserve">
10mins crowns stuck in chute </t>
        </r>
      </text>
    </comment>
    <comment ref="S23" authorId="0" shapeId="0" xr:uid="{B4961545-704F-440B-A752-8DC91D48FE92}">
      <text>
        <r>
          <rPr>
            <b/>
            <sz val="9"/>
            <color indexed="81"/>
            <rFont val="Tahoma"/>
            <family val="2"/>
          </rPr>
          <t>Kaylil Baptiste:</t>
        </r>
        <r>
          <rPr>
            <sz val="9"/>
            <color indexed="81"/>
            <rFont val="Tahoma"/>
            <family val="2"/>
          </rPr>
          <t xml:space="preserve">
26mins waiting on dry run </t>
        </r>
      </text>
    </comment>
    <comment ref="V23" authorId="0" shapeId="0" xr:uid="{D74EF705-1B1A-4136-A23D-443461D43912}">
      <text>
        <r>
          <rPr>
            <b/>
            <sz val="9"/>
            <color indexed="81"/>
            <rFont val="Tahoma"/>
            <family val="2"/>
          </rPr>
          <t>Kaylil Baptiste:</t>
        </r>
        <r>
          <rPr>
            <sz val="9"/>
            <color indexed="81"/>
            <rFont val="Tahoma"/>
            <family val="2"/>
          </rPr>
          <t xml:space="preserve">
5mins fallen bottles inside EBI shuffler</t>
        </r>
      </text>
    </comment>
    <comment ref="W23" authorId="0" shapeId="0" xr:uid="{BAEAD2F5-C1F0-4020-949D-8803E1817199}">
      <text>
        <r>
          <rPr>
            <b/>
            <sz val="9"/>
            <color indexed="81"/>
            <rFont val="Tahoma"/>
            <family val="2"/>
          </rPr>
          <t>Kaylil Baptiste:</t>
        </r>
        <r>
          <rPr>
            <sz val="9"/>
            <color indexed="81"/>
            <rFont val="Tahoma"/>
            <family val="2"/>
          </rPr>
          <t xml:space="preserve">
29 mins repairing the centering device for packer</t>
        </r>
      </text>
    </comment>
    <comment ref="Z23" authorId="2" shapeId="0" xr:uid="{D8A1B03E-460E-413A-B401-9E4CF03767A0}">
      <text>
        <r>
          <rPr>
            <b/>
            <sz val="9"/>
            <color indexed="81"/>
            <rFont val="Tahoma"/>
            <family val="2"/>
          </rPr>
          <t>Michael Julien:</t>
        </r>
        <r>
          <rPr>
            <sz val="9"/>
            <color indexed="81"/>
            <rFont val="Tahoma"/>
            <family val="2"/>
          </rPr>
          <t xml:space="preserve">
10 mins waiting on staff to arrive on plant.</t>
        </r>
      </text>
    </comment>
    <comment ref="I24" authorId="3" shapeId="0" xr:uid="{3AAAA9AB-7170-45B6-A3BB-36B30A55660D}">
      <text>
        <r>
          <rPr>
            <b/>
            <sz val="9"/>
            <color indexed="81"/>
            <rFont val="Tahoma"/>
            <family val="2"/>
          </rPr>
          <t>Micah Noel:</t>
        </r>
        <r>
          <rPr>
            <sz val="9"/>
            <color indexed="81"/>
            <rFont val="Tahoma"/>
            <family val="2"/>
          </rPr>
          <t xml:space="preserve">
67 Mins filler change over from Mackeson to Shandy Sorrel (short flint)</t>
        </r>
      </text>
    </comment>
    <comment ref="P24" authorId="0" shapeId="0" xr:uid="{E4EF586C-6551-4293-B934-259B25A482CE}">
      <text>
        <r>
          <rPr>
            <b/>
            <sz val="9"/>
            <color indexed="81"/>
            <rFont val="Tahoma"/>
            <family val="2"/>
          </rPr>
          <t>Kaylil Baptiste:</t>
        </r>
        <r>
          <rPr>
            <sz val="9"/>
            <color indexed="81"/>
            <rFont val="Tahoma"/>
            <family val="2"/>
          </rPr>
          <t xml:space="preserve">
41mins mins high rejection due to labels on bottles, 5mins mins jammed bottles on washer discharge flap</t>
        </r>
      </text>
    </comment>
    <comment ref="R24" authorId="0" shapeId="0" xr:uid="{52184D09-852F-4576-B801-0EF6434BA3A3}">
      <text>
        <r>
          <rPr>
            <b/>
            <sz val="9"/>
            <color indexed="81"/>
            <rFont val="Tahoma"/>
            <family val="2"/>
          </rPr>
          <t>Kaylil Baptiste:</t>
        </r>
        <r>
          <rPr>
            <sz val="9"/>
            <color indexed="81"/>
            <rFont val="Tahoma"/>
            <family val="2"/>
          </rPr>
          <t xml:space="preserve">
15mins changing gas needle</t>
        </r>
      </text>
    </comment>
    <comment ref="Z24" authorId="0" shapeId="0" xr:uid="{53ACB7B3-8334-4366-BD29-9966FD637FFD}">
      <text>
        <r>
          <rPr>
            <b/>
            <sz val="9"/>
            <color indexed="81"/>
            <rFont val="Tahoma"/>
            <family val="2"/>
          </rPr>
          <t>Kaylil Baptiste:</t>
        </r>
        <r>
          <rPr>
            <sz val="9"/>
            <color indexed="81"/>
            <rFont val="Tahoma"/>
            <family val="2"/>
          </rPr>
          <t xml:space="preserve">
22mins wait for pasteurizer temps to reach spec</t>
        </r>
      </text>
    </comment>
    <comment ref="AB24" authorId="3" shapeId="0" xr:uid="{00D25F69-E904-4639-BE8E-FA786CCDDE60}">
      <text>
        <r>
          <rPr>
            <b/>
            <sz val="9"/>
            <color indexed="81"/>
            <rFont val="Tahoma"/>
            <family val="2"/>
          </rPr>
          <t>Micah Noel:</t>
        </r>
        <r>
          <rPr>
            <sz val="9"/>
            <color indexed="81"/>
            <rFont val="Tahoma"/>
            <family val="2"/>
          </rPr>
          <t xml:space="preserve">
10 mins lost due to incorrect bottle type loaded </t>
        </r>
      </text>
    </comment>
    <comment ref="I25" authorId="0" shapeId="0" xr:uid="{2ADB7729-A2CB-406B-A5DE-B513D8BE0512}">
      <text>
        <r>
          <rPr>
            <b/>
            <sz val="9"/>
            <color indexed="81"/>
            <rFont val="Tahoma"/>
            <family val="2"/>
          </rPr>
          <t>Kaylil Baptiste:</t>
        </r>
        <r>
          <rPr>
            <sz val="9"/>
            <color indexed="81"/>
            <rFont val="Tahoma"/>
            <family val="2"/>
          </rPr>
          <t xml:space="preserve">
60mins change over to Ting</t>
        </r>
      </text>
    </comment>
    <comment ref="M25" authorId="4" shapeId="0" xr:uid="{0F75163E-F894-42B7-957B-65348D1F20D0}">
      <text>
        <r>
          <rPr>
            <b/>
            <sz val="9"/>
            <color indexed="81"/>
            <rFont val="Tahoma"/>
            <family val="2"/>
          </rPr>
          <t>Dorien Andrew:</t>
        </r>
        <r>
          <rPr>
            <sz val="9"/>
            <color indexed="81"/>
            <rFont val="Tahoma"/>
            <family val="2"/>
          </rPr>
          <t xml:space="preserve">
9 mins wait due to low water level in soft drink plant </t>
        </r>
      </text>
    </comment>
    <comment ref="O25" authorId="0" shapeId="0" xr:uid="{C99B63C8-CFAE-4E23-B2A8-0FD6047E0EB9}">
      <text>
        <r>
          <rPr>
            <b/>
            <sz val="9"/>
            <color indexed="81"/>
            <rFont val="Tahoma"/>
            <family val="2"/>
          </rPr>
          <t>Kaylil Baptiste:</t>
        </r>
        <r>
          <rPr>
            <sz val="9"/>
            <color indexed="81"/>
            <rFont val="Tahoma"/>
            <family val="2"/>
          </rPr>
          <t xml:space="preserve">
6mins leaking cups on uncaser</t>
        </r>
      </text>
    </comment>
    <comment ref="Q25" authorId="0" shapeId="0" xr:uid="{8D4ABA0F-5A2F-4BCB-A376-76405195978F}">
      <text>
        <r>
          <rPr>
            <b/>
            <sz val="9"/>
            <color indexed="81"/>
            <rFont val="Tahoma"/>
            <family val="2"/>
          </rPr>
          <t>Kaylil Baptiste:</t>
        </r>
        <r>
          <rPr>
            <sz val="9"/>
            <color indexed="81"/>
            <rFont val="Tahoma"/>
            <family val="2"/>
          </rPr>
          <t xml:space="preserve">
15mins high EBI rejection</t>
        </r>
      </text>
    </comment>
    <comment ref="R25" authorId="0" shapeId="0" xr:uid="{4C8CD2ED-AD3A-489E-BC34-32704E2A416F}">
      <text>
        <r>
          <rPr>
            <b/>
            <sz val="9"/>
            <color indexed="81"/>
            <rFont val="Tahoma"/>
            <family val="2"/>
          </rPr>
          <t>Kaylil Baptiste:</t>
        </r>
        <r>
          <rPr>
            <sz val="9"/>
            <color indexed="81"/>
            <rFont val="Tahoma"/>
            <family val="2"/>
          </rPr>
          <t xml:space="preserve">
7mins crowner stuck in chute</t>
        </r>
      </text>
    </comment>
    <comment ref="S25" authorId="0" shapeId="0" xr:uid="{E13CAC43-C62F-4423-A8CD-E208F22E5273}">
      <text>
        <r>
          <rPr>
            <b/>
            <sz val="9"/>
            <color indexed="81"/>
            <rFont val="Tahoma"/>
            <family val="2"/>
          </rPr>
          <t>Kaylil Baptiste:</t>
        </r>
        <r>
          <rPr>
            <sz val="9"/>
            <color indexed="81"/>
            <rFont val="Tahoma"/>
            <family val="2"/>
          </rPr>
          <t xml:space="preserve">
30mins low temp on pasteurizer</t>
        </r>
      </text>
    </comment>
    <comment ref="T25" authorId="0" shapeId="0" xr:uid="{39B78D52-8EA9-467A-9FC4-BD52030F92CD}">
      <text>
        <r>
          <rPr>
            <b/>
            <sz val="9"/>
            <color indexed="81"/>
            <rFont val="Tahoma"/>
            <family val="2"/>
          </rPr>
          <t>Kaylil Baptiste:</t>
        </r>
        <r>
          <rPr>
            <sz val="9"/>
            <color indexed="81"/>
            <rFont val="Tahoma"/>
            <family val="2"/>
          </rPr>
          <t xml:space="preserve">
8mins label adjustments</t>
        </r>
      </text>
    </comment>
    <comment ref="Z25" authorId="4" shapeId="0" xr:uid="{53C150A2-86E5-4755-A8BF-D26C6C5C706B}">
      <text>
        <r>
          <rPr>
            <b/>
            <sz val="9"/>
            <color indexed="81"/>
            <rFont val="Tahoma"/>
            <family val="2"/>
          </rPr>
          <t>Dorien Andrew:</t>
        </r>
        <r>
          <rPr>
            <sz val="9"/>
            <color indexed="81"/>
            <rFont val="Tahoma"/>
            <family val="2"/>
          </rPr>
          <t xml:space="preserve">
36 mins stop for lunch break
</t>
        </r>
      </text>
    </comment>
    <comment ref="I26" authorId="0" shapeId="0" xr:uid="{B8616491-7A69-48E9-9626-3D26CC41B826}">
      <text>
        <r>
          <rPr>
            <b/>
            <sz val="9"/>
            <color indexed="81"/>
            <rFont val="Tahoma"/>
            <family val="2"/>
          </rPr>
          <t>Kaylil Baptiste:</t>
        </r>
        <r>
          <rPr>
            <sz val="9"/>
            <color indexed="81"/>
            <rFont val="Tahoma"/>
            <family val="2"/>
          </rPr>
          <t xml:space="preserve">
60mins product change over</t>
        </r>
      </text>
    </comment>
    <comment ref="O26" authorId="0" shapeId="0" xr:uid="{028829ED-62AC-4D83-9898-5F755D725A70}">
      <text>
        <r>
          <rPr>
            <b/>
            <sz val="9"/>
            <color indexed="81"/>
            <rFont val="Tahoma"/>
            <family val="2"/>
          </rPr>
          <t>Kaylil Baptiste:</t>
        </r>
        <r>
          <rPr>
            <sz val="9"/>
            <color indexed="81"/>
            <rFont val="Tahoma"/>
            <family val="2"/>
          </rPr>
          <t xml:space="preserve">
12mins uncaser head malfunction</t>
        </r>
      </text>
    </comment>
    <comment ref="P26" authorId="0" shapeId="0" xr:uid="{9085342D-F3F5-46DE-9FFD-53E8771E2BC0}">
      <text>
        <r>
          <rPr>
            <b/>
            <sz val="9"/>
            <color indexed="81"/>
            <rFont val="Tahoma"/>
            <family val="2"/>
          </rPr>
          <t>Kaylil Baptiste:</t>
        </r>
        <r>
          <rPr>
            <sz val="9"/>
            <color indexed="81"/>
            <rFont val="Tahoma"/>
            <family val="2"/>
          </rPr>
          <t xml:space="preserve">
36mins draining and refilling rinse tanks on Washer, 36mins bottles jamming and riding up washer infeed flap, 26mins bottles jamming at washer discharge flap</t>
        </r>
      </text>
    </comment>
    <comment ref="Q26" authorId="0" shapeId="0" xr:uid="{9FCBA9B5-F3BC-4572-9F2D-533A7B492B1C}">
      <text>
        <r>
          <rPr>
            <b/>
            <sz val="9"/>
            <color indexed="81"/>
            <rFont val="Tahoma"/>
            <family val="2"/>
          </rPr>
          <t>Kaylil Baptiste:</t>
        </r>
        <r>
          <rPr>
            <sz val="9"/>
            <color indexed="81"/>
            <rFont val="Tahoma"/>
            <family val="2"/>
          </rPr>
          <t xml:space="preserve">
12mins fallen bottles on OSW rail, 7mins high EBI rejection</t>
        </r>
      </text>
    </comment>
    <comment ref="R26" authorId="0" shapeId="0" xr:uid="{5D79A421-F38F-43F4-8B2B-B2FD2BBAE3A0}">
      <text>
        <r>
          <rPr>
            <b/>
            <sz val="9"/>
            <color indexed="81"/>
            <rFont val="Tahoma"/>
            <family val="2"/>
          </rPr>
          <t>Kaylil Baptiste:</t>
        </r>
        <r>
          <rPr>
            <sz val="9"/>
            <color indexed="81"/>
            <rFont val="Tahoma"/>
            <family val="2"/>
          </rPr>
          <t xml:space="preserve">
6mins crowner stuck in chute</t>
        </r>
      </text>
    </comment>
    <comment ref="T26" authorId="0" shapeId="0" xr:uid="{EF15D718-87EB-49D7-A3E9-CCDB31F76307}">
      <text>
        <r>
          <rPr>
            <b/>
            <sz val="9"/>
            <color indexed="81"/>
            <rFont val="Tahoma"/>
            <family val="2"/>
          </rPr>
          <t>Kaylil Baptiste:</t>
        </r>
        <r>
          <rPr>
            <sz val="9"/>
            <color indexed="81"/>
            <rFont val="Tahoma"/>
            <family val="2"/>
          </rPr>
          <t xml:space="preserve">
11mins changing neck sponge (fell off), 5mins cleaning labeler base </t>
        </r>
      </text>
    </comment>
    <comment ref="V26" authorId="0" shapeId="0" xr:uid="{CE627520-FB61-4108-9AA5-2C5F969428C2}">
      <text>
        <r>
          <rPr>
            <b/>
            <sz val="9"/>
            <color indexed="81"/>
            <rFont val="Tahoma"/>
            <family val="2"/>
          </rPr>
          <t>Kaylil Baptiste:</t>
        </r>
        <r>
          <rPr>
            <sz val="9"/>
            <color indexed="81"/>
            <rFont val="Tahoma"/>
            <family val="2"/>
          </rPr>
          <t xml:space="preserve">
12mins fallen bottles on EBI shuffler</t>
        </r>
      </text>
    </comment>
    <comment ref="H27" authorId="0" shapeId="0" xr:uid="{DF82B195-8C95-4FB0-8EEA-578DAEE08351}">
      <text>
        <r>
          <rPr>
            <b/>
            <sz val="9"/>
            <color indexed="81"/>
            <rFont val="Tahoma"/>
            <family val="2"/>
          </rPr>
          <t>Kaylil Baptiste:</t>
        </r>
        <r>
          <rPr>
            <sz val="9"/>
            <color indexed="81"/>
            <rFont val="Tahoma"/>
            <family val="2"/>
          </rPr>
          <t xml:space="preserve">
8mins crowns ran out </t>
        </r>
      </text>
    </comment>
    <comment ref="J27" authorId="0" shapeId="0" xr:uid="{1A5B7808-1089-4964-A44B-19352C5633DE}">
      <text>
        <r>
          <rPr>
            <b/>
            <sz val="9"/>
            <color indexed="81"/>
            <rFont val="Tahoma"/>
            <family val="2"/>
          </rPr>
          <t>Kaylil Baptiste:</t>
        </r>
        <r>
          <rPr>
            <sz val="9"/>
            <color indexed="81"/>
            <rFont val="Tahoma"/>
            <family val="2"/>
          </rPr>
          <t xml:space="preserve">
22mins waiting on product</t>
        </r>
      </text>
    </comment>
    <comment ref="O27" authorId="0" shapeId="0" xr:uid="{F6F1D471-42A4-433D-BC2B-EADAFF343DB2}">
      <text>
        <r>
          <rPr>
            <b/>
            <sz val="9"/>
            <color indexed="81"/>
            <rFont val="Tahoma"/>
            <family val="2"/>
          </rPr>
          <t>Kaylil Baptiste:</t>
        </r>
        <r>
          <rPr>
            <sz val="9"/>
            <color indexed="81"/>
            <rFont val="Tahoma"/>
            <family val="2"/>
          </rPr>
          <t xml:space="preserve">
37mins late start due to damaged electrical cable on uncaser, 12mins malfunction  on uncaser had to restart</t>
        </r>
      </text>
    </comment>
    <comment ref="P27" authorId="0" shapeId="0" xr:uid="{1F9B52D0-04F7-4CCF-BCF7-098DC35FF70B}">
      <text>
        <r>
          <rPr>
            <b/>
            <sz val="9"/>
            <color indexed="81"/>
            <rFont val="Tahoma"/>
            <family val="2"/>
          </rPr>
          <t>Kaylil Baptiste:</t>
        </r>
        <r>
          <rPr>
            <sz val="9"/>
            <color indexed="81"/>
            <rFont val="Tahoma"/>
            <family val="2"/>
          </rPr>
          <t xml:space="preserve">
28mins bottles jam at washer discharge flap, 26mins lots of stops on washer infeed flap </t>
        </r>
      </text>
    </comment>
    <comment ref="Q27" authorId="0" shapeId="0" xr:uid="{4226CE00-3E29-4F01-B2C3-B1C625ACF6E2}">
      <text>
        <r>
          <rPr>
            <b/>
            <sz val="9"/>
            <color indexed="81"/>
            <rFont val="Tahoma"/>
            <family val="2"/>
          </rPr>
          <t>Kaylil Baptiste:</t>
        </r>
        <r>
          <rPr>
            <sz val="9"/>
            <color indexed="81"/>
            <rFont val="Tahoma"/>
            <family val="2"/>
          </rPr>
          <t xml:space="preserve">
5mins high EBI rejection, 5mins fallen bottles on EBI starwheel </t>
        </r>
      </text>
    </comment>
    <comment ref="R27" authorId="0" shapeId="0" xr:uid="{3DDE431A-6FFE-4FC7-BE68-945871338274}">
      <text>
        <r>
          <rPr>
            <b/>
            <sz val="9"/>
            <color indexed="81"/>
            <rFont val="Tahoma"/>
            <family val="2"/>
          </rPr>
          <t>Kaylil Baptiste:</t>
        </r>
        <r>
          <rPr>
            <sz val="9"/>
            <color indexed="81"/>
            <rFont val="Tahoma"/>
            <family val="2"/>
          </rPr>
          <t xml:space="preserve">
6mins crowner stuck in chute</t>
        </r>
      </text>
    </comment>
    <comment ref="T27" authorId="0" shapeId="0" xr:uid="{7BA9D557-458F-462A-B95A-A5F375013653}">
      <text>
        <r>
          <rPr>
            <b/>
            <sz val="9"/>
            <color indexed="81"/>
            <rFont val="Tahoma"/>
            <family val="2"/>
          </rPr>
          <t>Kaylil Baptiste:</t>
        </r>
        <r>
          <rPr>
            <sz val="9"/>
            <color indexed="81"/>
            <rFont val="Tahoma"/>
            <family val="2"/>
          </rPr>
          <t xml:space="preserve">
5mins missing labels </t>
        </r>
      </text>
    </comment>
    <comment ref="V27" authorId="0" shapeId="0" xr:uid="{533910E8-9EB7-43D5-869B-97029801BE6B}">
      <text>
        <r>
          <rPr>
            <b/>
            <sz val="9"/>
            <color indexed="81"/>
            <rFont val="Tahoma"/>
            <family val="2"/>
          </rPr>
          <t>Kaylil Baptiste:</t>
        </r>
        <r>
          <rPr>
            <sz val="9"/>
            <color indexed="81"/>
            <rFont val="Tahoma"/>
            <family val="2"/>
          </rPr>
          <t xml:space="preserve">
34mins fallen bottles on EBI shuffler </t>
        </r>
      </text>
    </comment>
    <comment ref="Z27" authorId="0" shapeId="0" xr:uid="{5EFABF32-83D2-4DA2-850C-07AFB7FE027A}">
      <text>
        <r>
          <rPr>
            <b/>
            <sz val="9"/>
            <color indexed="81"/>
            <rFont val="Tahoma"/>
            <family val="2"/>
          </rPr>
          <t>Kaylil Baptiste:</t>
        </r>
        <r>
          <rPr>
            <sz val="9"/>
            <color indexed="81"/>
            <rFont val="Tahoma"/>
            <family val="2"/>
          </rPr>
          <t xml:space="preserve">
30mins lunch break, 25mins product preparation</t>
        </r>
      </text>
    </comment>
    <comment ref="I28" authorId="2" shapeId="0" xr:uid="{38F5379E-A7B8-439B-8CF0-FADC028E0B2C}">
      <text>
        <r>
          <rPr>
            <b/>
            <sz val="9"/>
            <color indexed="81"/>
            <rFont val="Tahoma"/>
            <family val="2"/>
          </rPr>
          <t>Michael Julien:</t>
        </r>
        <r>
          <rPr>
            <sz val="9"/>
            <color indexed="81"/>
            <rFont val="Tahoma"/>
            <family val="2"/>
          </rPr>
          <t xml:space="preserve">
change over from carib to stag</t>
        </r>
      </text>
    </comment>
    <comment ref="P28" authorId="0" shapeId="0" xr:uid="{7EEA1994-B54C-4C17-AB31-447B6CD68553}">
      <text>
        <r>
          <rPr>
            <b/>
            <sz val="9"/>
            <color indexed="81"/>
            <rFont val="Tahoma"/>
            <family val="2"/>
          </rPr>
          <t>Kaylil Baptiste:</t>
        </r>
        <r>
          <rPr>
            <sz val="9"/>
            <color indexed="81"/>
            <rFont val="Tahoma"/>
            <family val="2"/>
          </rPr>
          <t xml:space="preserve">
37mins bottles jamming at washer fiinger infeed, 5mins trying to put in guide on washer table</t>
        </r>
      </text>
    </comment>
    <comment ref="T28" authorId="0" shapeId="0" xr:uid="{B9422D72-84A8-44C2-B8A5-7F1C36EBC56B}">
      <text>
        <r>
          <rPr>
            <b/>
            <sz val="9"/>
            <color indexed="81"/>
            <rFont val="Tahoma"/>
            <family val="2"/>
          </rPr>
          <t>Kaylil Baptiste:</t>
        </r>
        <r>
          <rPr>
            <sz val="9"/>
            <color indexed="81"/>
            <rFont val="Tahoma"/>
            <family val="2"/>
          </rPr>
          <t xml:space="preserve">
6mins start up adjustments</t>
        </r>
      </text>
    </comment>
    <comment ref="V28" authorId="0" shapeId="0" xr:uid="{21B6210E-EE60-42F0-B7C8-7BD22724ED4C}">
      <text>
        <r>
          <rPr>
            <b/>
            <sz val="9"/>
            <color indexed="81"/>
            <rFont val="Tahoma"/>
            <family val="2"/>
          </rPr>
          <t>Kaylil Baptiste:</t>
        </r>
        <r>
          <rPr>
            <sz val="9"/>
            <color indexed="81"/>
            <rFont val="Tahoma"/>
            <family val="2"/>
          </rPr>
          <t xml:space="preserve">
6mins fallen bottles on EBI shuffler</t>
        </r>
      </text>
    </comment>
    <comment ref="P29" authorId="0" shapeId="0" xr:uid="{A8115176-4FE3-4FED-8A08-8537727B8468}">
      <text>
        <r>
          <rPr>
            <b/>
            <sz val="9"/>
            <color indexed="81"/>
            <rFont val="Tahoma"/>
            <family val="2"/>
          </rPr>
          <t>Kaylil Baptiste:</t>
        </r>
        <r>
          <rPr>
            <sz val="9"/>
            <color indexed="81"/>
            <rFont val="Tahoma"/>
            <family val="2"/>
          </rPr>
          <t xml:space="preserve">
5mins bottles jam at washer discharge</t>
        </r>
      </text>
    </comment>
    <comment ref="Q29" authorId="0" shapeId="0" xr:uid="{90CB81B2-6B79-46D3-84BD-A97C3F396053}">
      <text>
        <r>
          <rPr>
            <b/>
            <sz val="9"/>
            <color indexed="81"/>
            <rFont val="Tahoma"/>
            <family val="2"/>
          </rPr>
          <t>Kaylil Baptiste:</t>
        </r>
        <r>
          <rPr>
            <sz val="9"/>
            <color indexed="81"/>
            <rFont val="Tahoma"/>
            <family val="2"/>
          </rPr>
          <t xml:space="preserve">
9mins high EBI rejection</t>
        </r>
      </text>
    </comment>
    <comment ref="R29" authorId="0" shapeId="0" xr:uid="{3354A3B6-F12A-4F38-B8A3-6F33803FB4B6}">
      <text>
        <r>
          <rPr>
            <b/>
            <sz val="9"/>
            <color indexed="81"/>
            <rFont val="Tahoma"/>
            <family val="2"/>
          </rPr>
          <t>Kaylil Baptiste:</t>
        </r>
        <r>
          <rPr>
            <sz val="9"/>
            <color indexed="81"/>
            <rFont val="Tahoma"/>
            <family val="2"/>
          </rPr>
          <t xml:space="preserve">
63mins filler communication malfunction, 6mins crowner stuck in chute</t>
        </r>
      </text>
    </comment>
    <comment ref="S29" authorId="0" shapeId="0" xr:uid="{F0608790-5635-4F6A-9EC1-F8D3029DD51D}">
      <text>
        <r>
          <rPr>
            <b/>
            <sz val="9"/>
            <color indexed="81"/>
            <rFont val="Tahoma"/>
            <family val="2"/>
          </rPr>
          <t>Kaylil Baptiste:</t>
        </r>
        <r>
          <rPr>
            <sz val="9"/>
            <color indexed="81"/>
            <rFont val="Tahoma"/>
            <family val="2"/>
          </rPr>
          <t xml:space="preserve">
6mins pasteurizer malfunction</t>
        </r>
      </text>
    </comment>
    <comment ref="U29" authorId="0" shapeId="0" xr:uid="{51211787-5487-4A55-A626-40ADCD73CB52}">
      <text>
        <r>
          <rPr>
            <b/>
            <sz val="9"/>
            <color indexed="81"/>
            <rFont val="Tahoma"/>
            <family val="2"/>
          </rPr>
          <t>Kaylil Baptiste:</t>
        </r>
        <r>
          <rPr>
            <sz val="9"/>
            <color indexed="81"/>
            <rFont val="Tahoma"/>
            <family val="2"/>
          </rPr>
          <t xml:space="preserve">
18mins videojet not printing</t>
        </r>
      </text>
    </comment>
    <comment ref="V29" authorId="0" shapeId="0" xr:uid="{8188E818-0270-4206-AF35-782C7FD179E9}">
      <text>
        <r>
          <rPr>
            <b/>
            <sz val="9"/>
            <color indexed="81"/>
            <rFont val="Tahoma"/>
            <family val="2"/>
          </rPr>
          <t>Kaylil Baptiste:</t>
        </r>
        <r>
          <rPr>
            <sz val="9"/>
            <color indexed="81"/>
            <rFont val="Tahoma"/>
            <family val="2"/>
          </rPr>
          <t xml:space="preserve">
15mins fallen bottles on EBI shuffler, 11mins fallen bottles on pasteurizer dischage 1</t>
        </r>
      </text>
    </comment>
    <comment ref="I30" authorId="0" shapeId="0" xr:uid="{D1BE7214-09F0-4DB3-A468-A4CC7B8F4F76}">
      <text>
        <r>
          <rPr>
            <b/>
            <sz val="9"/>
            <color indexed="81"/>
            <rFont val="Tahoma"/>
            <family val="2"/>
          </rPr>
          <t>Kaylil Baptiste:</t>
        </r>
        <r>
          <rPr>
            <sz val="9"/>
            <color indexed="81"/>
            <rFont val="Tahoma"/>
            <family val="2"/>
          </rPr>
          <t xml:space="preserve">
product change over </t>
        </r>
      </text>
    </comment>
    <comment ref="P30" authorId="0" shapeId="0" xr:uid="{6669401C-CE90-4C59-B954-15171C6BD16A}">
      <text>
        <r>
          <rPr>
            <b/>
            <sz val="9"/>
            <color indexed="81"/>
            <rFont val="Tahoma"/>
            <family val="2"/>
          </rPr>
          <t>Kaylil Baptiste:</t>
        </r>
        <r>
          <rPr>
            <sz val="9"/>
            <color indexed="81"/>
            <rFont val="Tahoma"/>
            <family val="2"/>
          </rPr>
          <t xml:space="preserve">
32mins bottles jam at washer infeed 7mins bottles stuck at washer discharge</t>
        </r>
      </text>
    </comment>
    <comment ref="Q30" authorId="0" shapeId="0" xr:uid="{2F283313-BF9E-4A9D-B655-1DF9EE0DDA89}">
      <text>
        <r>
          <rPr>
            <b/>
            <sz val="9"/>
            <color indexed="81"/>
            <rFont val="Tahoma"/>
            <family val="2"/>
          </rPr>
          <t>Kaylil Baptiste:</t>
        </r>
        <r>
          <rPr>
            <sz val="9"/>
            <color indexed="81"/>
            <rFont val="Tahoma"/>
            <family val="2"/>
          </rPr>
          <t xml:space="preserve">
17mins fallen bottles on EBI starwheel, 6mins high EBI rejection, 5mins parameter adjustment on EBI</t>
        </r>
      </text>
    </comment>
    <comment ref="S30" authorId="0" shapeId="0" xr:uid="{4FC7BD7B-D814-4D18-8872-CCF326A5EC09}">
      <text>
        <r>
          <rPr>
            <b/>
            <sz val="9"/>
            <color indexed="81"/>
            <rFont val="Tahoma"/>
            <family val="2"/>
          </rPr>
          <t>Kaylil Baptiste:</t>
        </r>
        <r>
          <rPr>
            <sz val="9"/>
            <color indexed="81"/>
            <rFont val="Tahoma"/>
            <family val="2"/>
          </rPr>
          <t xml:space="preserve">
9mins pasteurizer malfunction</t>
        </r>
      </text>
    </comment>
    <comment ref="T30" authorId="0" shapeId="0" xr:uid="{C3CC85D6-2193-43F5-BC05-4A99F099E13E}">
      <text>
        <r>
          <rPr>
            <b/>
            <sz val="9"/>
            <color indexed="81"/>
            <rFont val="Tahoma"/>
            <family val="2"/>
          </rPr>
          <t>Kaylil Baptiste:</t>
        </r>
        <r>
          <rPr>
            <sz val="9"/>
            <color indexed="81"/>
            <rFont val="Tahoma"/>
            <family val="2"/>
          </rPr>
          <t xml:space="preserve">
17mins twisted labels</t>
        </r>
      </text>
    </comment>
    <comment ref="I31" authorId="3" shapeId="0" xr:uid="{8447491F-0A76-417B-9BFF-7CCFDB4854B4}">
      <text>
        <r>
          <rPr>
            <b/>
            <sz val="9"/>
            <color indexed="81"/>
            <rFont val="Tahoma"/>
            <family val="2"/>
          </rPr>
          <t>Micah Noel:</t>
        </r>
        <r>
          <rPr>
            <sz val="9"/>
            <color indexed="81"/>
            <rFont val="Tahoma"/>
            <family val="2"/>
          </rPr>
          <t xml:space="preserve">
184 mins Filler CIP and change over from Ginseng to club soda </t>
        </r>
      </text>
    </comment>
    <comment ref="M31" authorId="3" shapeId="0" xr:uid="{30391735-8EFE-4D25-8218-3CC6322ED528}">
      <text>
        <r>
          <rPr>
            <b/>
            <sz val="9"/>
            <color indexed="81"/>
            <rFont val="Tahoma"/>
            <family val="2"/>
          </rPr>
          <t>Micah Noel:</t>
        </r>
        <r>
          <rPr>
            <sz val="9"/>
            <color indexed="81"/>
            <rFont val="Tahoma"/>
            <family val="2"/>
          </rPr>
          <t xml:space="preserve">
11mins low water level in soft drink plant</t>
        </r>
      </text>
    </comment>
    <comment ref="I32" authorId="3" shapeId="0" xr:uid="{04D7643B-84B9-4ACE-9B92-A3FCCCBB17C3}">
      <text>
        <r>
          <rPr>
            <b/>
            <sz val="9"/>
            <color indexed="81"/>
            <rFont val="Tahoma"/>
            <family val="2"/>
          </rPr>
          <t>Micah Noel:</t>
        </r>
        <r>
          <rPr>
            <sz val="9"/>
            <color indexed="81"/>
            <rFont val="Tahoma"/>
            <family val="2"/>
          </rPr>
          <t xml:space="preserve">
filler change over from soda water to Kola Champ.</t>
        </r>
      </text>
    </comment>
    <comment ref="O32" authorId="0" shapeId="0" xr:uid="{B9823C07-7312-4C9F-BB99-AD1D1A250282}">
      <text>
        <r>
          <rPr>
            <b/>
            <sz val="9"/>
            <color indexed="81"/>
            <rFont val="Tahoma"/>
            <family val="2"/>
          </rPr>
          <t>Kaylil Baptiste:</t>
        </r>
        <r>
          <rPr>
            <sz val="9"/>
            <color indexed="81"/>
            <rFont val="Tahoma"/>
            <family val="2"/>
          </rPr>
          <t xml:space="preserve">
175mins uncaser sensor malfunction, 17mins uncaser head malfunction, 12mins damaged crates causing misalignmment on uncaser head </t>
        </r>
      </text>
    </comment>
    <comment ref="Q32" authorId="0" shapeId="0" xr:uid="{77F46181-43D2-4A92-9C29-D2803252889A}">
      <text>
        <r>
          <rPr>
            <b/>
            <sz val="9"/>
            <color indexed="81"/>
            <rFont val="Tahoma"/>
            <family val="2"/>
          </rPr>
          <t>Kaylil Baptiste:</t>
        </r>
        <r>
          <rPr>
            <sz val="9"/>
            <color indexed="81"/>
            <rFont val="Tahoma"/>
            <family val="2"/>
          </rPr>
          <t xml:space="preserve">
6mins high EBI rejection</t>
        </r>
      </text>
    </comment>
    <comment ref="Z32" authorId="4" shapeId="0" xr:uid="{C08868BE-DC98-4C11-8EA0-18EBC296DAFB}">
      <text>
        <r>
          <rPr>
            <b/>
            <sz val="9"/>
            <color indexed="81"/>
            <rFont val="Tahoma"/>
            <family val="2"/>
          </rPr>
          <t>Dorien Andrew:</t>
        </r>
        <r>
          <rPr>
            <sz val="9"/>
            <color indexed="81"/>
            <rFont val="Tahoma"/>
            <family val="2"/>
          </rPr>
          <t xml:space="preserve">
30 for washer loading, 36mins for tool box meeting</t>
        </r>
      </text>
    </comment>
    <comment ref="AB32" authorId="3" shapeId="0" xr:uid="{53E72324-6E12-4AE9-AFB8-C7B50EFC0BCE}">
      <text>
        <r>
          <rPr>
            <b/>
            <sz val="9"/>
            <color indexed="81"/>
            <rFont val="Tahoma"/>
            <family val="2"/>
          </rPr>
          <t>Micah Noel:</t>
        </r>
        <r>
          <rPr>
            <sz val="9"/>
            <color indexed="81"/>
            <rFont val="Tahoma"/>
            <family val="2"/>
          </rPr>
          <t xml:space="preserve">
3 mins incorrect bottle type sticking at EBI infeed</t>
        </r>
      </text>
    </comment>
    <comment ref="I33" authorId="4" shapeId="0" xr:uid="{D17B3850-96FF-4D96-81F2-3A7FDFDFC08F}">
      <text>
        <r>
          <rPr>
            <b/>
            <sz val="9"/>
            <color indexed="81"/>
            <rFont val="Tahoma"/>
            <family val="2"/>
          </rPr>
          <t>Dorien Andrew:</t>
        </r>
        <r>
          <rPr>
            <sz val="9"/>
            <color indexed="81"/>
            <rFont val="Tahoma"/>
            <family val="2"/>
          </rPr>
          <t xml:space="preserve">
31 mins for change over </t>
        </r>
      </text>
    </comment>
    <comment ref="M33" authorId="0" shapeId="0" xr:uid="{AC01381A-E0AB-41AE-9702-0255E8A1DC9C}">
      <text>
        <r>
          <rPr>
            <b/>
            <sz val="9"/>
            <color indexed="81"/>
            <rFont val="Tahoma"/>
            <family val="2"/>
          </rPr>
          <t>Kaylil Baptiste:</t>
        </r>
        <r>
          <rPr>
            <sz val="9"/>
            <color indexed="81"/>
            <rFont val="Tahoma"/>
            <family val="2"/>
          </rPr>
          <t xml:space="preserve">
61mins low water supply in soft drink plant</t>
        </r>
      </text>
    </comment>
    <comment ref="O33" authorId="0" shapeId="0" xr:uid="{004ABA39-0A9B-4308-8DE5-895745F265F2}">
      <text>
        <r>
          <rPr>
            <b/>
            <sz val="9"/>
            <color indexed="81"/>
            <rFont val="Tahoma"/>
            <family val="2"/>
          </rPr>
          <t>Kaylil Baptiste:</t>
        </r>
        <r>
          <rPr>
            <sz val="9"/>
            <color indexed="81"/>
            <rFont val="Tahoma"/>
            <family val="2"/>
          </rPr>
          <t xml:space="preserve">
5mins damaged crates causing misalignmment on uncaser head </t>
        </r>
      </text>
    </comment>
    <comment ref="P33" authorId="0" shapeId="0" xr:uid="{BD030616-4BFC-4BCE-8F02-04695E36ABC4}">
      <text>
        <r>
          <rPr>
            <b/>
            <sz val="9"/>
            <color indexed="81"/>
            <rFont val="Tahoma"/>
            <family val="2"/>
          </rPr>
          <t>Kaylil Baptiste:</t>
        </r>
        <r>
          <rPr>
            <sz val="9"/>
            <color indexed="81"/>
            <rFont val="Tahoma"/>
            <family val="2"/>
          </rPr>
          <t xml:space="preserve">
12mins fallen bottles jamming at washer flap infeed</t>
        </r>
      </text>
    </comment>
    <comment ref="U33" authorId="0" shapeId="0" xr:uid="{2432CC36-B2BB-41FE-8B70-EB99CDF4625A}">
      <text>
        <r>
          <rPr>
            <b/>
            <sz val="9"/>
            <color indexed="81"/>
            <rFont val="Tahoma"/>
            <family val="2"/>
          </rPr>
          <t>Kaylil Baptiste:</t>
        </r>
        <r>
          <rPr>
            <sz val="9"/>
            <color indexed="81"/>
            <rFont val="Tahoma"/>
            <family val="2"/>
          </rPr>
          <t xml:space="preserve">
33mins videojet no printing</t>
        </r>
      </text>
    </comment>
    <comment ref="Z33" authorId="2" shapeId="0" xr:uid="{2274391C-38E3-4187-91BA-0628E9599AF2}">
      <text>
        <r>
          <rPr>
            <b/>
            <sz val="9"/>
            <color indexed="81"/>
            <rFont val="Tahoma"/>
            <family val="2"/>
          </rPr>
          <t>Michael Julien:</t>
        </r>
        <r>
          <rPr>
            <sz val="9"/>
            <color indexed="81"/>
            <rFont val="Tahoma"/>
            <family val="2"/>
          </rPr>
          <t xml:space="preserve">
30mins High product temperature causing low fills and filler speed had to be reduced, 40mins waiting on a decision about the water and fire alarm went off.</t>
        </r>
      </text>
    </comment>
    <comment ref="I34" authorId="0" shapeId="0" xr:uid="{5BC7DE88-1083-44A2-B5C2-46601576B2C1}">
      <text>
        <r>
          <rPr>
            <b/>
            <sz val="9"/>
            <color indexed="81"/>
            <rFont val="Tahoma"/>
            <family val="2"/>
          </rPr>
          <t>Kaylil Baptiste:</t>
        </r>
        <r>
          <rPr>
            <sz val="9"/>
            <color indexed="81"/>
            <rFont val="Tahoma"/>
            <family val="2"/>
          </rPr>
          <t xml:space="preserve">
62mins change over</t>
        </r>
      </text>
    </comment>
    <comment ref="Z34" authorId="0" shapeId="0" xr:uid="{7A5BBEAD-9EF1-4323-9262-4992D95C296A}">
      <text>
        <r>
          <rPr>
            <b/>
            <sz val="9"/>
            <color indexed="81"/>
            <rFont val="Tahoma"/>
            <family val="2"/>
          </rPr>
          <t>Kaylil Baptiste:</t>
        </r>
        <r>
          <rPr>
            <sz val="9"/>
            <color indexed="81"/>
            <rFont val="Tahoma"/>
            <family val="2"/>
          </rPr>
          <t xml:space="preserve">
49 mins low water supply in soft drink plant.
36mins low water supply on plant.</t>
        </r>
      </text>
    </comment>
    <comment ref="Z35" authorId="0" shapeId="0" xr:uid="{4DE94239-51D2-4821-94D9-278D658E23C7}">
      <text>
        <r>
          <rPr>
            <b/>
            <sz val="9"/>
            <color indexed="81"/>
            <rFont val="Tahoma"/>
            <family val="2"/>
          </rPr>
          <t>Kaylil Baptiste:</t>
        </r>
        <r>
          <rPr>
            <sz val="9"/>
            <color indexed="81"/>
            <rFont val="Tahoma"/>
            <family val="2"/>
          </rPr>
          <t xml:space="preserve">
1440mins no production due to low water supply on plant.</t>
        </r>
      </text>
    </comment>
    <comment ref="D36" authorId="0" shapeId="0" xr:uid="{52D99521-362C-4971-A5ED-A390BDC67C28}">
      <text>
        <r>
          <rPr>
            <b/>
            <sz val="9"/>
            <color indexed="81"/>
            <rFont val="Tahoma"/>
            <family val="2"/>
          </rPr>
          <t>Kaylil Baptiste:</t>
        </r>
        <r>
          <rPr>
            <sz val="9"/>
            <color indexed="81"/>
            <rFont val="Tahoma"/>
            <family val="2"/>
          </rPr>
          <t xml:space="preserve">
4:52</t>
        </r>
      </text>
    </comment>
    <comment ref="J36" authorId="0" shapeId="0" xr:uid="{CF448303-2A4B-40AA-8F23-0F36AEEA924F}">
      <text>
        <r>
          <rPr>
            <b/>
            <sz val="9"/>
            <color indexed="81"/>
            <rFont val="Tahoma"/>
            <family val="2"/>
          </rPr>
          <t>Kaylil Baptiste:</t>
        </r>
        <r>
          <rPr>
            <sz val="9"/>
            <color indexed="81"/>
            <rFont val="Tahoma"/>
            <family val="2"/>
          </rPr>
          <t xml:space="preserve">
29mins waiting on product</t>
        </r>
      </text>
    </comment>
    <comment ref="Z36" authorId="0" shapeId="0" xr:uid="{E3201960-9FCC-4885-B88F-68298AA3943B}">
      <text>
        <r>
          <rPr>
            <b/>
            <sz val="9"/>
            <color indexed="81"/>
            <rFont val="Tahoma"/>
            <family val="2"/>
          </rPr>
          <t>Kaylil Baptiste:</t>
        </r>
        <r>
          <rPr>
            <sz val="9"/>
            <color indexed="81"/>
            <rFont val="Tahoma"/>
            <family val="2"/>
          </rPr>
          <t xml:space="preserve">
9mins filler preparation, 360mins no production due to low water level on plant</t>
        </r>
      </text>
    </comment>
    <comment ref="I37" authorId="4" shapeId="0" xr:uid="{FD08C698-E636-40B1-A258-1083473B7450}">
      <text>
        <r>
          <rPr>
            <b/>
            <sz val="9"/>
            <color indexed="81"/>
            <rFont val="Tahoma"/>
            <family val="2"/>
          </rPr>
          <t>Dorien Andrew:</t>
        </r>
        <r>
          <rPr>
            <sz val="9"/>
            <color indexed="81"/>
            <rFont val="Tahoma"/>
            <family val="2"/>
          </rPr>
          <t xml:space="preserve">
20mins changing over from banana to ginger </t>
        </r>
      </text>
    </comment>
    <comment ref="J37" authorId="4" shapeId="0" xr:uid="{8DADDF9F-F044-4788-A94B-BDF3D6DED35A}">
      <text>
        <r>
          <rPr>
            <b/>
            <sz val="9"/>
            <color indexed="81"/>
            <rFont val="Tahoma"/>
            <family val="2"/>
          </rPr>
          <t>Dorien Andrew:</t>
        </r>
        <r>
          <rPr>
            <sz val="9"/>
            <color indexed="81"/>
            <rFont val="Tahoma"/>
            <family val="2"/>
          </rPr>
          <t xml:space="preserve">
issues in soft drink plant </t>
        </r>
      </text>
    </comment>
    <comment ref="P37" authorId="0" shapeId="0" xr:uid="{4270B81E-15A2-4950-BA8B-BC484B1DF781}">
      <text>
        <r>
          <rPr>
            <b/>
            <sz val="9"/>
            <color indexed="81"/>
            <rFont val="Tahoma"/>
            <family val="2"/>
          </rPr>
          <t>Kaylil Baptiste:</t>
        </r>
        <r>
          <rPr>
            <sz val="9"/>
            <color indexed="81"/>
            <rFont val="Tahoma"/>
            <family val="2"/>
          </rPr>
          <t xml:space="preserve">
25mins repairing carrier on Washer, 10mins bottles stuck at washer discharge, 10mins fallen bottles at  washer infeed</t>
        </r>
      </text>
    </comment>
    <comment ref="Q37" authorId="0" shapeId="0" xr:uid="{6EB4F22C-CC94-4095-ADEF-AF23D419702A}">
      <text>
        <r>
          <rPr>
            <b/>
            <sz val="9"/>
            <color indexed="81"/>
            <rFont val="Tahoma"/>
            <family val="2"/>
          </rPr>
          <t>Kaylil Baptiste:</t>
        </r>
        <r>
          <rPr>
            <sz val="9"/>
            <color indexed="81"/>
            <rFont val="Tahoma"/>
            <family val="2"/>
          </rPr>
          <t xml:space="preserve">
26mins high EBI rejection</t>
        </r>
      </text>
    </comment>
    <comment ref="AB37" authorId="0" shapeId="0" xr:uid="{2B3D13AE-1530-45C4-A69F-492586033E68}">
      <text>
        <r>
          <rPr>
            <b/>
            <sz val="9"/>
            <color indexed="81"/>
            <rFont val="Tahoma"/>
            <family val="2"/>
          </rPr>
          <t>Kaylil Baptiste:</t>
        </r>
        <r>
          <rPr>
            <sz val="9"/>
            <color indexed="81"/>
            <rFont val="Tahoma"/>
            <family val="2"/>
          </rPr>
          <t xml:space="preserve">
5mins waitng on line to load (logistics</t>
        </r>
      </text>
    </comment>
    <comment ref="I38" authorId="0" shapeId="0" xr:uid="{F635E05B-CFEA-417B-A62E-C8B0CA445395}">
      <text>
        <r>
          <rPr>
            <b/>
            <sz val="9"/>
            <color indexed="81"/>
            <rFont val="Tahoma"/>
            <family val="2"/>
          </rPr>
          <t>Kaylil Baptiste:</t>
        </r>
        <r>
          <rPr>
            <sz val="9"/>
            <color indexed="81"/>
            <rFont val="Tahoma"/>
            <family val="2"/>
          </rPr>
          <t xml:space="preserve">
29mins product change over</t>
        </r>
      </text>
    </comment>
    <comment ref="L38" authorId="0" shapeId="0" xr:uid="{40484F30-0821-4E3F-8B4E-5AFB78C45B91}">
      <text>
        <r>
          <rPr>
            <b/>
            <sz val="9"/>
            <color indexed="81"/>
            <rFont val="Tahoma"/>
            <family val="2"/>
          </rPr>
          <t>Kaylil Baptiste:</t>
        </r>
        <r>
          <rPr>
            <sz val="9"/>
            <color indexed="81"/>
            <rFont val="Tahoma"/>
            <family val="2"/>
          </rPr>
          <t xml:space="preserve">
16mins low CO2 at soft drink plant </t>
        </r>
      </text>
    </comment>
    <comment ref="P38" authorId="0" shapeId="0" xr:uid="{E27B1772-19C5-4F41-BE15-6443E37680D7}">
      <text>
        <r>
          <rPr>
            <b/>
            <sz val="9"/>
            <color indexed="81"/>
            <rFont val="Tahoma"/>
            <family val="2"/>
          </rPr>
          <t>Kaylil Baptiste:</t>
        </r>
        <r>
          <rPr>
            <sz val="9"/>
            <color indexed="81"/>
            <rFont val="Tahoma"/>
            <family val="2"/>
          </rPr>
          <t xml:space="preserve">
7mins bottles jamming at washer infeed </t>
        </r>
      </text>
    </comment>
    <comment ref="AB38" authorId="0" shapeId="0" xr:uid="{F0071E8B-FC6E-4372-BDA8-85B74FF058F8}">
      <text>
        <r>
          <rPr>
            <b/>
            <sz val="9"/>
            <color indexed="81"/>
            <rFont val="Tahoma"/>
            <family val="2"/>
          </rPr>
          <t>Kaylil Baptiste:</t>
        </r>
        <r>
          <rPr>
            <sz val="9"/>
            <color indexed="81"/>
            <rFont val="Tahoma"/>
            <family val="2"/>
          </rPr>
          <t xml:space="preserve">
6mins mixed up bottles causing high rejection</t>
        </r>
      </text>
    </comment>
    <comment ref="I39" authorId="0" shapeId="0" xr:uid="{72BA6FC8-EB56-48F0-B5AD-2EC5247637EA}">
      <text>
        <r>
          <rPr>
            <b/>
            <sz val="9"/>
            <color indexed="81"/>
            <rFont val="Tahoma"/>
            <family val="2"/>
          </rPr>
          <t>Kaylil Baptiste:</t>
        </r>
        <r>
          <rPr>
            <sz val="9"/>
            <color indexed="81"/>
            <rFont val="Tahoma"/>
            <family val="2"/>
          </rPr>
          <t xml:space="preserve">
21mins product change over </t>
        </r>
      </text>
    </comment>
    <comment ref="Z40" authorId="0" shapeId="0" xr:uid="{7ACEE42B-D822-4F14-9941-1A5CCAAC6E77}">
      <text>
        <r>
          <rPr>
            <b/>
            <sz val="9"/>
            <color indexed="81"/>
            <rFont val="Tahoma"/>
            <family val="2"/>
          </rPr>
          <t>Kaylil Baptiste:</t>
        </r>
        <r>
          <rPr>
            <sz val="9"/>
            <color indexed="81"/>
            <rFont val="Tahoma"/>
            <family val="2"/>
          </rPr>
          <t xml:space="preserve">
45mins product preparation </t>
        </r>
      </text>
    </comment>
    <comment ref="I41" authorId="0" shapeId="0" xr:uid="{B97ECE9A-3985-4729-A969-5822FEF687C6}">
      <text>
        <r>
          <rPr>
            <b/>
            <sz val="9"/>
            <color indexed="81"/>
            <rFont val="Tahoma"/>
            <family val="2"/>
          </rPr>
          <t>Kaylil Baptiste:</t>
        </r>
        <r>
          <rPr>
            <sz val="9"/>
            <color indexed="81"/>
            <rFont val="Tahoma"/>
            <family val="2"/>
          </rPr>
          <t xml:space="preserve">
32mins product change over </t>
        </r>
      </text>
    </comment>
    <comment ref="O41" authorId="0" shapeId="0" xr:uid="{F212B029-8198-4388-AC44-9007A25567D2}">
      <text>
        <r>
          <rPr>
            <b/>
            <sz val="9"/>
            <color indexed="81"/>
            <rFont val="Tahoma"/>
            <family val="2"/>
          </rPr>
          <t>Kaylil Baptiste:</t>
        </r>
        <r>
          <rPr>
            <sz val="9"/>
            <color indexed="81"/>
            <rFont val="Tahoma"/>
            <family val="2"/>
          </rPr>
          <t xml:space="preserve">
10mins uncaser head hitting crates</t>
        </r>
      </text>
    </comment>
    <comment ref="P41" authorId="0" shapeId="0" xr:uid="{BBC2D27B-DB6E-48BB-BE07-CD65611AAE76}">
      <text>
        <r>
          <rPr>
            <b/>
            <sz val="9"/>
            <color indexed="81"/>
            <rFont val="Tahoma"/>
            <family val="2"/>
          </rPr>
          <t>Kaylil Baptiste:</t>
        </r>
        <r>
          <rPr>
            <sz val="9"/>
            <color indexed="81"/>
            <rFont val="Tahoma"/>
            <family val="2"/>
          </rPr>
          <t xml:space="preserve">
112mins removing bottles with caustic residue, 8mins bottles jam at washer discharge</t>
        </r>
      </text>
    </comment>
    <comment ref="S41" authorId="0" shapeId="0" xr:uid="{33C50707-AB09-4654-BD51-A466414B549D}">
      <text>
        <r>
          <rPr>
            <b/>
            <sz val="9"/>
            <color indexed="81"/>
            <rFont val="Tahoma"/>
            <family val="2"/>
          </rPr>
          <t>Kaylil Baptiste:</t>
        </r>
        <r>
          <rPr>
            <sz val="9"/>
            <color indexed="81"/>
            <rFont val="Tahoma"/>
            <family val="2"/>
          </rPr>
          <t xml:space="preserve">
672mins intalling new pump on tank #2, 97mins waiting on pasteurizer to reach temp , 7mins high PU on pasteurizer</t>
        </r>
      </text>
    </comment>
    <comment ref="V41" authorId="0" shapeId="0" xr:uid="{2A2862FE-ACB7-4756-BC18-5A41AAE8BC28}">
      <text>
        <r>
          <rPr>
            <b/>
            <sz val="9"/>
            <color indexed="81"/>
            <rFont val="Tahoma"/>
            <family val="2"/>
          </rPr>
          <t>Kaylil Baptiste:</t>
        </r>
        <r>
          <rPr>
            <sz val="9"/>
            <color indexed="81"/>
            <rFont val="Tahoma"/>
            <family val="2"/>
          </rPr>
          <t xml:space="preserve">
9mins fallen bottles on shuffler</t>
        </r>
      </text>
    </comment>
    <comment ref="O42" authorId="0" shapeId="0" xr:uid="{7ED40995-07A1-41EF-ACC3-DACE8CB8A289}">
      <text>
        <r>
          <rPr>
            <b/>
            <sz val="9"/>
            <color indexed="81"/>
            <rFont val="Tahoma"/>
            <family val="2"/>
          </rPr>
          <t>Kaylil Baptiste:</t>
        </r>
        <r>
          <rPr>
            <sz val="9"/>
            <color indexed="81"/>
            <rFont val="Tahoma"/>
            <family val="2"/>
          </rPr>
          <t xml:space="preserve">
23mins uncaser head jamming crates, 7 mins slack suction cups</t>
        </r>
      </text>
    </comment>
    <comment ref="P42" authorId="0" shapeId="0" xr:uid="{AC425428-C424-4FB7-B563-75A5D745E4F7}">
      <text>
        <r>
          <rPr>
            <b/>
            <sz val="9"/>
            <color indexed="81"/>
            <rFont val="Tahoma"/>
            <family val="2"/>
          </rPr>
          <t>Kaylil Baptiste:</t>
        </r>
        <r>
          <rPr>
            <sz val="9"/>
            <color indexed="81"/>
            <rFont val="Tahoma"/>
            <family val="2"/>
          </rPr>
          <t xml:space="preserve">
52mins bottles jam at washer infeed, 24mins bottles jam at washer discharge, 8mins high rejection due to labels on bottles </t>
        </r>
      </text>
    </comment>
    <comment ref="R42" authorId="0" shapeId="0" xr:uid="{A134FC76-C94B-4914-8EFC-EECF1835B83B}">
      <text>
        <r>
          <rPr>
            <b/>
            <sz val="9"/>
            <color indexed="81"/>
            <rFont val="Tahoma"/>
            <family val="2"/>
          </rPr>
          <t>Kaylil Baptiste:</t>
        </r>
        <r>
          <rPr>
            <sz val="9"/>
            <color indexed="81"/>
            <rFont val="Tahoma"/>
            <family val="2"/>
          </rPr>
          <t xml:space="preserve">
5mins cleaning filler base</t>
        </r>
      </text>
    </comment>
    <comment ref="T42" authorId="0" shapeId="0" xr:uid="{EB5DB84A-A8DD-4C76-8D43-23501564217D}">
      <text>
        <r>
          <rPr>
            <b/>
            <sz val="9"/>
            <color indexed="81"/>
            <rFont val="Tahoma"/>
            <family val="2"/>
          </rPr>
          <t>Kaylil Baptiste:</t>
        </r>
        <r>
          <rPr>
            <sz val="9"/>
            <color indexed="81"/>
            <rFont val="Tahoma"/>
            <family val="2"/>
          </rPr>
          <t xml:space="preserve">
5mins labeler pump cut off, 5mins cleaning the labeler</t>
        </r>
      </text>
    </comment>
    <comment ref="V42" authorId="0" shapeId="0" xr:uid="{6D7AADCC-C38D-4228-A73E-B5A824EC18E0}">
      <text>
        <r>
          <rPr>
            <b/>
            <sz val="9"/>
            <color indexed="81"/>
            <rFont val="Tahoma"/>
            <family val="2"/>
          </rPr>
          <t>Kaylil Baptiste:</t>
        </r>
        <r>
          <rPr>
            <sz val="9"/>
            <color indexed="81"/>
            <rFont val="Tahoma"/>
            <family val="2"/>
          </rPr>
          <t xml:space="preserve">
8mins syop at pasteurizer discharge conveyor, 6mins fallen bottles on EBI shuffler</t>
        </r>
      </text>
    </comment>
    <comment ref="Z42" authorId="4" shapeId="0" xr:uid="{9BF888FB-90CA-4B05-8559-24B5E1396324}">
      <text>
        <r>
          <rPr>
            <b/>
            <sz val="9"/>
            <color indexed="81"/>
            <rFont val="Tahoma"/>
            <family val="2"/>
          </rPr>
          <t>Dorien Andrew:</t>
        </r>
        <r>
          <rPr>
            <sz val="9"/>
            <color indexed="81"/>
            <rFont val="Tahoma"/>
            <family val="2"/>
          </rPr>
          <t xml:space="preserve">
5mins Greasing filler and taking midnight readings, 8mins stop to clean pasteurizer discharge </t>
        </r>
      </text>
    </comment>
    <comment ref="AB42" authorId="2" shapeId="0" xr:uid="{00145D65-E1E0-4E12-96F0-439DEB2ED250}">
      <text>
        <r>
          <rPr>
            <b/>
            <sz val="9"/>
            <color indexed="81"/>
            <rFont val="Tahoma"/>
            <family val="2"/>
          </rPr>
          <t>Michael Julien:</t>
        </r>
        <r>
          <rPr>
            <sz val="9"/>
            <color indexed="81"/>
            <rFont val="Tahoma"/>
            <family val="2"/>
          </rPr>
          <t xml:space="preserve">
14mins picking up wrong bottle type from the washer load table. (short amber)</t>
        </r>
      </text>
    </comment>
    <comment ref="I43" authorId="0" shapeId="0" xr:uid="{ED1B9EDD-A662-4D59-AD7D-2355C1BC0EB1}">
      <text>
        <r>
          <rPr>
            <b/>
            <sz val="9"/>
            <color indexed="81"/>
            <rFont val="Tahoma"/>
            <family val="2"/>
          </rPr>
          <t>Kaylil Baptiste:</t>
        </r>
        <r>
          <rPr>
            <sz val="9"/>
            <color indexed="81"/>
            <rFont val="Tahoma"/>
            <family val="2"/>
          </rPr>
          <t xml:space="preserve">
60mins product change over</t>
        </r>
      </text>
    </comment>
    <comment ref="J43" authorId="0" shapeId="0" xr:uid="{40F8CE3E-61BB-40B4-920F-058AA54671A3}">
      <text>
        <r>
          <rPr>
            <b/>
            <sz val="9"/>
            <color indexed="81"/>
            <rFont val="Tahoma"/>
            <family val="2"/>
          </rPr>
          <t>Kaylil Baptiste:</t>
        </r>
        <r>
          <rPr>
            <sz val="9"/>
            <color indexed="81"/>
            <rFont val="Tahoma"/>
            <family val="2"/>
          </rPr>
          <t xml:space="preserve">
165mins waiting on product</t>
        </r>
      </text>
    </comment>
    <comment ref="O43" authorId="0" shapeId="0" xr:uid="{F57ABFBA-7093-4C5F-8174-E4B34DEA0133}">
      <text>
        <r>
          <rPr>
            <b/>
            <sz val="9"/>
            <color indexed="81"/>
            <rFont val="Tahoma"/>
            <family val="2"/>
          </rPr>
          <t>Kaylil Baptiste:</t>
        </r>
        <r>
          <rPr>
            <sz val="9"/>
            <color indexed="81"/>
            <rFont val="Tahoma"/>
            <family val="2"/>
          </rPr>
          <t xml:space="preserve">
10mins mins uncaser head jamming crates</t>
        </r>
      </text>
    </comment>
    <comment ref="V43" authorId="0" shapeId="0" xr:uid="{856DAC26-BE97-4505-AB69-E47BEF99E8FF}">
      <text>
        <r>
          <rPr>
            <b/>
            <sz val="9"/>
            <color indexed="81"/>
            <rFont val="Tahoma"/>
            <family val="2"/>
          </rPr>
          <t>Kaylil Baptiste:</t>
        </r>
        <r>
          <rPr>
            <sz val="9"/>
            <color indexed="81"/>
            <rFont val="Tahoma"/>
            <family val="2"/>
          </rPr>
          <t xml:space="preserve">
6mins fallen bottles on filler discharge #1</t>
        </r>
      </text>
    </comment>
    <comment ref="AB43" authorId="4" shapeId="0" xr:uid="{093D5C2A-0158-40E6-BAC0-F38A2722780E}">
      <text>
        <r>
          <rPr>
            <b/>
            <sz val="9"/>
            <color indexed="81"/>
            <rFont val="Tahoma"/>
            <family val="2"/>
          </rPr>
          <t>Dorien Andrew:</t>
        </r>
        <r>
          <rPr>
            <sz val="9"/>
            <color indexed="81"/>
            <rFont val="Tahoma"/>
            <family val="2"/>
          </rPr>
          <t xml:space="preserve">
incorrect bottles jamming EBI</t>
        </r>
      </text>
    </comment>
    <comment ref="O44" authorId="0" shapeId="0" xr:uid="{71657B37-5002-4EA0-977F-5C920BDCF8DA}">
      <text>
        <r>
          <rPr>
            <b/>
            <sz val="9"/>
            <color indexed="81"/>
            <rFont val="Tahoma"/>
            <family val="2"/>
          </rPr>
          <t>Kaylil Baptiste:</t>
        </r>
        <r>
          <rPr>
            <sz val="9"/>
            <color indexed="81"/>
            <rFont val="Tahoma"/>
            <family val="2"/>
          </rPr>
          <t xml:space="preserve">
17mins uncaser head hitting crates</t>
        </r>
      </text>
    </comment>
    <comment ref="P44" authorId="0" shapeId="0" xr:uid="{B88C3DF5-CFD3-4ADC-8D4E-BFBFBEA0D6D7}">
      <text>
        <r>
          <rPr>
            <b/>
            <sz val="9"/>
            <color indexed="81"/>
            <rFont val="Tahoma"/>
            <family val="2"/>
          </rPr>
          <t>Kaylil Baptiste:</t>
        </r>
        <r>
          <rPr>
            <sz val="9"/>
            <color indexed="81"/>
            <rFont val="Tahoma"/>
            <family val="2"/>
          </rPr>
          <t xml:space="preserve">
7mins high rejection due to labels</t>
        </r>
      </text>
    </comment>
    <comment ref="U44" authorId="0" shapeId="0" xr:uid="{EC27E458-095A-4C9E-A439-2B1CF6B18754}">
      <text>
        <r>
          <rPr>
            <b/>
            <sz val="9"/>
            <color indexed="81"/>
            <rFont val="Tahoma"/>
            <family val="2"/>
          </rPr>
          <t>Kaylil Baptiste:</t>
        </r>
        <r>
          <rPr>
            <sz val="9"/>
            <color indexed="81"/>
            <rFont val="Tahoma"/>
            <family val="2"/>
          </rPr>
          <t xml:space="preserve">
57mins make up fluid finish on videojet and it took a while for the viscosity to be adjusted</t>
        </r>
      </text>
    </comment>
    <comment ref="V44" authorId="0" shapeId="0" xr:uid="{382CA540-9C3E-46CE-B71D-C841D180709B}">
      <text>
        <r>
          <rPr>
            <b/>
            <sz val="9"/>
            <color indexed="81"/>
            <rFont val="Tahoma"/>
            <family val="2"/>
          </rPr>
          <t>Kaylil Baptiste:</t>
        </r>
        <r>
          <rPr>
            <sz val="9"/>
            <color indexed="81"/>
            <rFont val="Tahoma"/>
            <family val="2"/>
          </rPr>
          <t xml:space="preserve">
23mins bottles jamming on EBI infeed, 5mins fallen bottles on EBI shuffler</t>
        </r>
      </text>
    </comment>
    <comment ref="W44" authorId="0" shapeId="0" xr:uid="{2CAE30EB-08F2-4AF1-A32A-A70AADF00C81}">
      <text>
        <r>
          <rPr>
            <b/>
            <sz val="9"/>
            <color indexed="81"/>
            <rFont val="Tahoma"/>
            <family val="2"/>
          </rPr>
          <t>Kaylil Baptiste:</t>
        </r>
        <r>
          <rPr>
            <sz val="9"/>
            <color indexed="81"/>
            <rFont val="Tahoma"/>
            <family val="2"/>
          </rPr>
          <t xml:space="preserve">
7mins packer sensor malfunction</t>
        </r>
      </text>
    </comment>
    <comment ref="I45" authorId="3" shapeId="0" xr:uid="{0FDD52FB-09CA-492B-BDCD-38DD7F26B97F}">
      <text>
        <r>
          <rPr>
            <b/>
            <sz val="9"/>
            <color indexed="81"/>
            <rFont val="Tahoma"/>
            <family val="2"/>
          </rPr>
          <t>Micah Noel:</t>
        </r>
        <r>
          <rPr>
            <sz val="9"/>
            <color indexed="81"/>
            <rFont val="Tahoma"/>
            <family val="2"/>
          </rPr>
          <t xml:space="preserve">
20mins filler change over from Peraseco to Rose, 15 mins changing over carton in carton erector from pearseco to Rose</t>
        </r>
      </text>
    </comment>
    <comment ref="O45" authorId="0" shapeId="0" xr:uid="{7C588938-6585-469D-95B7-3158E670F514}">
      <text>
        <r>
          <rPr>
            <b/>
            <sz val="9"/>
            <color indexed="81"/>
            <rFont val="Tahoma"/>
            <family val="2"/>
          </rPr>
          <t>Kaylil Baptiste:</t>
        </r>
        <r>
          <rPr>
            <sz val="9"/>
            <color indexed="81"/>
            <rFont val="Tahoma"/>
            <family val="2"/>
          </rPr>
          <t xml:space="preserve">
31mins uncaser head hitting crates</t>
        </r>
      </text>
    </comment>
    <comment ref="P45" authorId="0" shapeId="0" xr:uid="{B38BFB13-F187-44BF-AFD3-7A7A8D2AFEC2}">
      <text>
        <r>
          <rPr>
            <b/>
            <sz val="9"/>
            <color indexed="81"/>
            <rFont val="Tahoma"/>
            <family val="2"/>
          </rPr>
          <t>Kaylil Baptiste:</t>
        </r>
        <r>
          <rPr>
            <sz val="9"/>
            <color indexed="81"/>
            <rFont val="Tahoma"/>
            <family val="2"/>
          </rPr>
          <t xml:space="preserve">
15mins bottles jam at washer infeed, 5mins high rejection due to labels</t>
        </r>
      </text>
    </comment>
    <comment ref="Q45" authorId="0" shapeId="0" xr:uid="{C7A18962-B692-4B7D-8B74-B0A63F27E0CF}">
      <text>
        <r>
          <rPr>
            <b/>
            <sz val="9"/>
            <color indexed="81"/>
            <rFont val="Tahoma"/>
            <family val="2"/>
          </rPr>
          <t>Kaylil Baptiste:</t>
        </r>
        <r>
          <rPr>
            <sz val="9"/>
            <color indexed="81"/>
            <rFont val="Tahoma"/>
            <family val="2"/>
          </rPr>
          <t xml:space="preserve">
23mins fallen bottles on OSW</t>
        </r>
      </text>
    </comment>
    <comment ref="V45" authorId="0" shapeId="0" xr:uid="{35A8E7A6-3B95-423A-8B8B-25E97FE570FD}">
      <text>
        <r>
          <rPr>
            <b/>
            <sz val="9"/>
            <color indexed="81"/>
            <rFont val="Tahoma"/>
            <family val="2"/>
          </rPr>
          <t>Kaylil Baptiste:</t>
        </r>
        <r>
          <rPr>
            <sz val="9"/>
            <color indexed="81"/>
            <rFont val="Tahoma"/>
            <family val="2"/>
          </rPr>
          <t xml:space="preserve">
30mins fallen bottles on EBI shuffler, 11mins bottles falling on pasteurizer discharge activated the back up sensor causing unit to stop several times</t>
        </r>
      </text>
    </comment>
    <comment ref="Z45" authorId="3" shapeId="0" xr:uid="{02259F7B-7BD6-4323-B528-AB6EFF018067}">
      <text>
        <r>
          <rPr>
            <b/>
            <sz val="9"/>
            <color indexed="81"/>
            <rFont val="Tahoma"/>
            <family val="2"/>
          </rPr>
          <t>Micah Noel:</t>
        </r>
        <r>
          <rPr>
            <sz val="9"/>
            <color indexed="81"/>
            <rFont val="Tahoma"/>
            <family val="2"/>
          </rPr>
          <t xml:space="preserve">
waiting for flats</t>
        </r>
      </text>
    </comment>
    <comment ref="AB45" authorId="3" shapeId="0" xr:uid="{7790FA28-DBA7-43CD-A928-649EBB76F300}">
      <text>
        <r>
          <rPr>
            <b/>
            <sz val="9"/>
            <color indexed="81"/>
            <rFont val="Tahoma"/>
            <family val="2"/>
          </rPr>
          <t>Micah Noel:</t>
        </r>
        <r>
          <rPr>
            <sz val="9"/>
            <color indexed="81"/>
            <rFont val="Tahoma"/>
            <family val="2"/>
          </rPr>
          <t xml:space="preserve">
24mins waitng for cartons, 6 mins incorrect bottles (carib) jamming at EBI 16 mins waiting for big pallets to pack crates</t>
        </r>
      </text>
    </comment>
    <comment ref="I46" authorId="0" shapeId="0" xr:uid="{C8A4325A-17F5-48A2-B02C-36F9CB3543D3}">
      <text>
        <r>
          <rPr>
            <b/>
            <sz val="9"/>
            <color indexed="81"/>
            <rFont val="Tahoma"/>
            <family val="2"/>
          </rPr>
          <t>Kaylil Baptiste:</t>
        </r>
        <r>
          <rPr>
            <sz val="9"/>
            <color indexed="81"/>
            <rFont val="Tahoma"/>
            <family val="2"/>
          </rPr>
          <t xml:space="preserve">
120mins product change over</t>
        </r>
      </text>
    </comment>
    <comment ref="Q46" authorId="0" shapeId="0" xr:uid="{0936D3C8-EC83-437C-975F-8CB4F73E49A8}">
      <text>
        <r>
          <rPr>
            <b/>
            <sz val="9"/>
            <color indexed="81"/>
            <rFont val="Tahoma"/>
            <family val="2"/>
          </rPr>
          <t>Kaylil Baptiste:</t>
        </r>
        <r>
          <rPr>
            <sz val="9"/>
            <color indexed="81"/>
            <rFont val="Tahoma"/>
            <family val="2"/>
          </rPr>
          <t xml:space="preserve">
22mins bottles sticking in EBI starwheel, 10mins high EBI rejection</t>
        </r>
      </text>
    </comment>
    <comment ref="R46" authorId="0" shapeId="0" xr:uid="{3BB7D394-5D1B-4A31-9864-0057FC3CD873}">
      <text>
        <r>
          <rPr>
            <b/>
            <sz val="9"/>
            <color indexed="81"/>
            <rFont val="Tahoma"/>
            <family val="2"/>
          </rPr>
          <t>Kaylil Baptiste:</t>
        </r>
        <r>
          <rPr>
            <sz val="9"/>
            <color indexed="81"/>
            <rFont val="Tahoma"/>
            <family val="2"/>
          </rPr>
          <t xml:space="preserve">
10mins replacing rubbers, 5mins cleaning filler base</t>
        </r>
      </text>
    </comment>
    <comment ref="P47" authorId="0" shapeId="0" xr:uid="{236AE1F1-60C6-4549-8AF0-78864DF9CE80}">
      <text>
        <r>
          <rPr>
            <b/>
            <sz val="9"/>
            <color indexed="81"/>
            <rFont val="Tahoma"/>
            <family val="2"/>
          </rPr>
          <t>Kaylil Baptiste:</t>
        </r>
        <r>
          <rPr>
            <sz val="9"/>
            <color indexed="81"/>
            <rFont val="Tahoma"/>
            <family val="2"/>
          </rPr>
          <t xml:space="preserve">
8mins final  rinse level drop , 5mins high rejectio due to labels on bottles</t>
        </r>
      </text>
    </comment>
    <comment ref="Q47" authorId="0" shapeId="0" xr:uid="{AA0EE665-937D-4490-AF9F-3B5091A88010}">
      <text>
        <r>
          <rPr>
            <b/>
            <sz val="9"/>
            <color indexed="81"/>
            <rFont val="Tahoma"/>
            <family val="2"/>
          </rPr>
          <t>Kaylil Baptiste:</t>
        </r>
        <r>
          <rPr>
            <sz val="9"/>
            <color indexed="81"/>
            <rFont val="Tahoma"/>
            <family val="2"/>
          </rPr>
          <t xml:space="preserve">
22mins bottles jamming at ebi discharge</t>
        </r>
      </text>
    </comment>
    <comment ref="R47" authorId="0" shapeId="0" xr:uid="{3173A1AE-AC53-48C3-AD1F-FB30851C5AF2}">
      <text>
        <r>
          <rPr>
            <b/>
            <sz val="9"/>
            <color indexed="81"/>
            <rFont val="Tahoma"/>
            <family val="2"/>
          </rPr>
          <t>Kaylil Baptiste:</t>
        </r>
        <r>
          <rPr>
            <sz val="9"/>
            <color indexed="81"/>
            <rFont val="Tahoma"/>
            <family val="2"/>
          </rPr>
          <t xml:space="preserve">
8mins crowns stuck in chute</t>
        </r>
      </text>
    </comment>
    <comment ref="Z47" authorId="2" shapeId="0" xr:uid="{572F980D-CAB4-4617-961C-6EBA20C7CEBD}">
      <text>
        <r>
          <rPr>
            <b/>
            <sz val="9"/>
            <color indexed="81"/>
            <rFont val="Tahoma"/>
            <family val="2"/>
          </rPr>
          <t>Michael Julien:</t>
        </r>
        <r>
          <rPr>
            <sz val="9"/>
            <color indexed="81"/>
            <rFont val="Tahoma"/>
            <family val="2"/>
          </rPr>
          <t xml:space="preserve">
changing at end of day</t>
        </r>
      </text>
    </comment>
    <comment ref="AB47" authorId="3" shapeId="0" xr:uid="{80E74CE4-B9A2-4ED7-9146-300FA4A22A3C}">
      <text>
        <r>
          <rPr>
            <b/>
            <sz val="9"/>
            <color indexed="81"/>
            <rFont val="Tahoma"/>
            <family val="2"/>
          </rPr>
          <t>Micah Noel:</t>
        </r>
        <r>
          <rPr>
            <sz val="9"/>
            <color indexed="81"/>
            <rFont val="Tahoma"/>
            <family val="2"/>
          </rPr>
          <t xml:space="preserve">
18 mins Incorrect bottle type stuck at EBI ,7 mins heavy EBI rejections caused by pre-washed bottles</t>
        </r>
      </text>
    </comment>
    <comment ref="I48" authorId="3" shapeId="0" xr:uid="{97EC91C5-17B8-4F35-BB84-D88E1071B3FA}">
      <text>
        <r>
          <rPr>
            <b/>
            <sz val="9"/>
            <color indexed="81"/>
            <rFont val="Tahoma"/>
            <family val="2"/>
          </rPr>
          <t>Micah Noel:</t>
        </r>
        <r>
          <rPr>
            <sz val="9"/>
            <color indexed="81"/>
            <rFont val="Tahoma"/>
            <family val="2"/>
          </rPr>
          <t xml:space="preserve">
Filler switch over from vita Malt classic  to vita Malt ginger</t>
        </r>
      </text>
    </comment>
    <comment ref="Q48" authorId="0" shapeId="0" xr:uid="{4E07D64A-F44E-4D01-8F9F-346D7342B4A0}">
      <text>
        <r>
          <rPr>
            <b/>
            <sz val="9"/>
            <color indexed="81"/>
            <rFont val="Tahoma"/>
            <family val="2"/>
          </rPr>
          <t>Kaylil Baptiste:</t>
        </r>
        <r>
          <rPr>
            <sz val="9"/>
            <color indexed="81"/>
            <rFont val="Tahoma"/>
            <family val="2"/>
          </rPr>
          <t xml:space="preserve">
6mins test bottle adjustments</t>
        </r>
      </text>
    </comment>
    <comment ref="AB48" authorId="3" shapeId="0" xr:uid="{E104877E-3A4E-44E2-8B31-E53B450319C5}">
      <text>
        <r>
          <rPr>
            <b/>
            <sz val="9"/>
            <color indexed="81"/>
            <rFont val="Tahoma"/>
            <family val="2"/>
          </rPr>
          <t>Micah Noel:</t>
        </r>
        <r>
          <rPr>
            <sz val="9"/>
            <color indexed="81"/>
            <rFont val="Tahoma"/>
            <family val="2"/>
          </rPr>
          <t xml:space="preserve">
Heavy EBI rejections caused by pre-washed bottles</t>
        </r>
      </text>
    </comment>
    <comment ref="H49" authorId="3" shapeId="0" xr:uid="{F8991A24-080E-4526-8C6F-26345EBD8950}">
      <text>
        <r>
          <rPr>
            <b/>
            <sz val="9"/>
            <color indexed="81"/>
            <rFont val="Tahoma"/>
            <family val="2"/>
          </rPr>
          <t>Micah Noel:</t>
        </r>
        <r>
          <rPr>
            <sz val="9"/>
            <color indexed="81"/>
            <rFont val="Tahoma"/>
            <family val="2"/>
          </rPr>
          <t xml:space="preserve">
75mins waiting for filling tubes from lab (they were not autocleaved)</t>
        </r>
      </text>
    </comment>
    <comment ref="I49" authorId="0" shapeId="0" xr:uid="{A0F3890C-C7D1-4209-8D40-29797A2BFA1F}">
      <text>
        <r>
          <rPr>
            <b/>
            <sz val="9"/>
            <color indexed="81"/>
            <rFont val="Tahoma"/>
            <family val="2"/>
          </rPr>
          <t>Kaylil Baptiste:</t>
        </r>
        <r>
          <rPr>
            <sz val="9"/>
            <color indexed="81"/>
            <rFont val="Tahoma"/>
            <family val="2"/>
          </rPr>
          <t xml:space="preserve">
29mins product change over </t>
        </r>
      </text>
    </comment>
    <comment ref="P49" authorId="0" shapeId="0" xr:uid="{68B5EFBD-EC90-4019-BEAC-62D9B3D5FBAF}">
      <text>
        <r>
          <rPr>
            <b/>
            <sz val="9"/>
            <color indexed="81"/>
            <rFont val="Tahoma"/>
            <family val="2"/>
          </rPr>
          <t>Kaylil Baptiste:</t>
        </r>
        <r>
          <rPr>
            <sz val="9"/>
            <color indexed="81"/>
            <rFont val="Tahoma"/>
            <family val="2"/>
          </rPr>
          <t xml:space="preserve">
10mins stop to clean strainers, 7mins fallen bottles on washer infeed, 7mins high rejection due to labels on bottles,  6mins fallen bottles on washer discharge</t>
        </r>
      </text>
    </comment>
    <comment ref="Q49" authorId="0" shapeId="0" xr:uid="{27ADA6C1-2A92-4DD7-8B05-910D816F990A}">
      <text>
        <r>
          <rPr>
            <b/>
            <sz val="9"/>
            <color indexed="81"/>
            <rFont val="Tahoma"/>
            <family val="2"/>
          </rPr>
          <t>Kaylil Baptiste:</t>
        </r>
        <r>
          <rPr>
            <sz val="9"/>
            <color indexed="81"/>
            <rFont val="Tahoma"/>
            <family val="2"/>
          </rPr>
          <t xml:space="preserve">
13mins high EBI rejection, 5mins fallen bottles on EBI starwheel</t>
        </r>
      </text>
    </comment>
    <comment ref="V49" authorId="0" shapeId="0" xr:uid="{D201A87A-1A8C-42AC-A276-733A36C172B2}">
      <text>
        <r>
          <rPr>
            <b/>
            <sz val="9"/>
            <color indexed="81"/>
            <rFont val="Tahoma"/>
            <family val="2"/>
          </rPr>
          <t>Kaylil Baptiste:</t>
        </r>
        <r>
          <rPr>
            <sz val="9"/>
            <color indexed="81"/>
            <rFont val="Tahoma"/>
            <family val="2"/>
          </rPr>
          <t xml:space="preserve">
15mins crate washer conveyor jumped out from sprocket, 8mins packer infeed conveyor  jumped out of track, 5mins fallen bottles on EBI shuffler</t>
        </r>
      </text>
    </comment>
    <comment ref="Z49" authorId="4" shapeId="0" xr:uid="{371F07AB-8613-4794-A1FA-AA9C118D444E}">
      <text>
        <r>
          <rPr>
            <b/>
            <sz val="9"/>
            <color indexed="81"/>
            <rFont val="Tahoma"/>
            <family val="2"/>
          </rPr>
          <t>Dorien Andrew:</t>
        </r>
        <r>
          <rPr>
            <sz val="9"/>
            <color indexed="81"/>
            <rFont val="Tahoma"/>
            <family val="2"/>
          </rPr>
          <t xml:space="preserve">
15mins person missing in position 
</t>
        </r>
      </text>
    </comment>
    <comment ref="I50" authorId="0" shapeId="0" xr:uid="{391B6D58-063D-4144-9AF8-56BE6AE81CFE}">
      <text>
        <r>
          <rPr>
            <b/>
            <sz val="9"/>
            <color indexed="81"/>
            <rFont val="Tahoma"/>
            <family val="2"/>
          </rPr>
          <t>Kaylil Baptiste:</t>
        </r>
        <r>
          <rPr>
            <sz val="9"/>
            <color indexed="81"/>
            <rFont val="Tahoma"/>
            <family val="2"/>
          </rPr>
          <t xml:space="preserve">
25mins product change over  </t>
        </r>
      </text>
    </comment>
    <comment ref="O50" authorId="0" shapeId="0" xr:uid="{F7FE8806-C73A-4FCD-BF15-30C901FFCE12}">
      <text>
        <r>
          <rPr>
            <b/>
            <sz val="9"/>
            <color indexed="81"/>
            <rFont val="Tahoma"/>
            <family val="2"/>
          </rPr>
          <t>Kaylil Baptiste:</t>
        </r>
        <r>
          <rPr>
            <sz val="9"/>
            <color indexed="81"/>
            <rFont val="Tahoma"/>
            <family val="2"/>
          </rPr>
          <t xml:space="preserve">
6mins uncaser head hitting crates</t>
        </r>
      </text>
    </comment>
    <comment ref="P50" authorId="0" shapeId="0" xr:uid="{A63243D5-54A3-44D5-B8CE-E40482EBDAC7}">
      <text>
        <r>
          <rPr>
            <b/>
            <sz val="9"/>
            <color indexed="81"/>
            <rFont val="Tahoma"/>
            <family val="2"/>
          </rPr>
          <t>Kaylil Baptiste:</t>
        </r>
        <r>
          <rPr>
            <sz val="9"/>
            <color indexed="81"/>
            <rFont val="Tahoma"/>
            <family val="2"/>
          </rPr>
          <t xml:space="preserve">
35mins cleaning filters </t>
        </r>
      </text>
    </comment>
    <comment ref="K51" authorId="0" shapeId="0" xr:uid="{201FFDF1-EA2A-47FC-B137-F2D17CC4DBE9}">
      <text>
        <r>
          <rPr>
            <b/>
            <sz val="9"/>
            <color indexed="81"/>
            <rFont val="Tahoma"/>
            <family val="2"/>
          </rPr>
          <t>Kaylil Baptiste:</t>
        </r>
        <r>
          <rPr>
            <sz val="9"/>
            <color indexed="81"/>
            <rFont val="Tahoma"/>
            <family val="2"/>
          </rPr>
          <t xml:space="preserve">
6mins low air pressure in bottling hall</t>
        </r>
      </text>
    </comment>
    <comment ref="O51" authorId="0" shapeId="0" xr:uid="{F3866D4E-2A29-461E-9117-BB034A248ABD}">
      <text>
        <r>
          <rPr>
            <b/>
            <sz val="9"/>
            <color indexed="81"/>
            <rFont val="Tahoma"/>
            <family val="2"/>
          </rPr>
          <t>Kaylil Baptiste:</t>
        </r>
        <r>
          <rPr>
            <sz val="9"/>
            <color indexed="81"/>
            <rFont val="Tahoma"/>
            <family val="2"/>
          </rPr>
          <t xml:space="preserve">
26mins mins uncaser head hitting crates</t>
        </r>
      </text>
    </comment>
    <comment ref="Z51" authorId="2" shapeId="0" xr:uid="{BB3798AA-1A4A-48BE-A8AF-ADC7978CE6B1}">
      <text>
        <r>
          <rPr>
            <b/>
            <sz val="9"/>
            <color indexed="81"/>
            <rFont val="Tahoma"/>
            <family val="2"/>
          </rPr>
          <t>Michael Julien:</t>
        </r>
        <r>
          <rPr>
            <sz val="9"/>
            <color indexed="81"/>
            <rFont val="Tahoma"/>
            <family val="2"/>
          </rPr>
          <t xml:space="preserve">
tTaking midnight reading.</t>
        </r>
      </text>
    </comment>
    <comment ref="AB51" authorId="3" shapeId="0" xr:uid="{A013A302-C57A-4BD7-BD1F-8FF20EB338AE}">
      <text>
        <r>
          <rPr>
            <b/>
            <sz val="9"/>
            <color indexed="81"/>
            <rFont val="Tahoma"/>
            <family val="2"/>
          </rPr>
          <t>Micah Noel:</t>
        </r>
        <r>
          <rPr>
            <sz val="9"/>
            <color indexed="81"/>
            <rFont val="Tahoma"/>
            <family val="2"/>
          </rPr>
          <t xml:space="preserve">
High rejection caused by old bottles</t>
        </r>
      </text>
    </comment>
    <comment ref="I52" authorId="3" shapeId="0" xr:uid="{C3372B9B-1E7A-4140-A6CC-2627569305FE}">
      <text>
        <r>
          <rPr>
            <b/>
            <sz val="9"/>
            <color indexed="81"/>
            <rFont val="Tahoma"/>
            <family val="2"/>
          </rPr>
          <t>Micah Noel:</t>
        </r>
        <r>
          <rPr>
            <sz val="9"/>
            <color indexed="81"/>
            <rFont val="Tahoma"/>
            <family val="2"/>
          </rPr>
          <t xml:space="preserve">
20 mins filler change over from Carib to Stag 10 mins labeler change over from Carib to Stag</t>
        </r>
      </text>
    </comment>
    <comment ref="K52" authorId="0" shapeId="0" xr:uid="{1937A4D5-AF5D-4123-81A5-311141053612}">
      <text>
        <r>
          <rPr>
            <b/>
            <sz val="9"/>
            <color indexed="81"/>
            <rFont val="Tahoma"/>
            <family val="2"/>
          </rPr>
          <t>Kaylil Baptiste:</t>
        </r>
        <r>
          <rPr>
            <sz val="9"/>
            <color indexed="81"/>
            <rFont val="Tahoma"/>
            <family val="2"/>
          </rPr>
          <t xml:space="preserve">
8mins low air pressure on packer</t>
        </r>
      </text>
    </comment>
    <comment ref="O52" authorId="0" shapeId="0" xr:uid="{36CA930C-CB3D-4A24-816B-F7211365983C}">
      <text>
        <r>
          <rPr>
            <b/>
            <sz val="9"/>
            <color indexed="81"/>
            <rFont val="Tahoma"/>
            <family val="2"/>
          </rPr>
          <t>Kaylil Baptiste:</t>
        </r>
        <r>
          <rPr>
            <sz val="9"/>
            <color indexed="81"/>
            <rFont val="Tahoma"/>
            <family val="2"/>
          </rPr>
          <t xml:space="preserve">
9mins uncaser head hitting crates</t>
        </r>
      </text>
    </comment>
    <comment ref="P52" authorId="0" shapeId="0" xr:uid="{5ED2DCAE-E00A-4464-98A9-A1F1056E5E49}">
      <text>
        <r>
          <rPr>
            <b/>
            <sz val="9"/>
            <color indexed="81"/>
            <rFont val="Tahoma"/>
            <family val="2"/>
          </rPr>
          <t>Kaylil Baptiste:</t>
        </r>
        <r>
          <rPr>
            <sz val="9"/>
            <color indexed="81"/>
            <rFont val="Tahoma"/>
            <family val="2"/>
          </rPr>
          <t xml:space="preserve">
28mins bottles jam at washer discharge, 21mins bottles jam at washer infeed, 10mins high rejection due to labels</t>
        </r>
      </text>
    </comment>
    <comment ref="V52" authorId="0" shapeId="0" xr:uid="{652FF2BA-741D-4582-BA2E-C5F90B39842E}">
      <text>
        <r>
          <rPr>
            <b/>
            <sz val="9"/>
            <color indexed="81"/>
            <rFont val="Tahoma"/>
            <family val="2"/>
          </rPr>
          <t>Kaylil Baptiste:</t>
        </r>
        <r>
          <rPr>
            <sz val="9"/>
            <color indexed="81"/>
            <rFont val="Tahoma"/>
            <family val="2"/>
          </rPr>
          <t xml:space="preserve">
15mins fallen bottles inside EBI shuffler, 11mins packer discharge conveyor came off track</t>
        </r>
      </text>
    </comment>
    <comment ref="Z52" authorId="3" shapeId="0" xr:uid="{966EC0AF-0892-4662-8485-ECEE7884C34D}">
      <text>
        <r>
          <rPr>
            <b/>
            <sz val="9"/>
            <color indexed="81"/>
            <rFont val="Tahoma"/>
            <family val="2"/>
          </rPr>
          <t>Micah Noel:</t>
        </r>
        <r>
          <rPr>
            <sz val="9"/>
            <color indexed="81"/>
            <rFont val="Tahoma"/>
            <family val="2"/>
          </rPr>
          <t xml:space="preserve">
30 mins 11-7 shift tool box meeting, 21mins nobody at pasteurizer discharge station, 15 mins 7-2 shift tool box meeting, 5mins emptying washer</t>
        </r>
      </text>
    </comment>
    <comment ref="AB52" authorId="3" shapeId="0" xr:uid="{6FBB9FD2-707B-46F4-893A-8DE0775574A3}">
      <text>
        <r>
          <rPr>
            <b/>
            <sz val="9"/>
            <color indexed="81"/>
            <rFont val="Tahoma"/>
            <family val="2"/>
          </rPr>
          <t>Micah Noel:</t>
        </r>
        <r>
          <rPr>
            <sz val="9"/>
            <color indexed="81"/>
            <rFont val="Tahoma"/>
            <family val="2"/>
          </rPr>
          <t xml:space="preserve">
no big pallets for palletizing</t>
        </r>
      </text>
    </comment>
    <comment ref="N68" authorId="5" shapeId="0" xr:uid="{00000000-0006-0000-1300-0000BC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8" authorId="5" shapeId="0" xr:uid="{00000000-0006-0000-1300-0000BD000000}">
      <text>
        <r>
          <rPr>
            <b/>
            <sz val="9"/>
            <rFont val="Tahoma"/>
            <family val="2"/>
          </rPr>
          <t>Royd:</t>
        </r>
        <r>
          <rPr>
            <sz val="9"/>
            <rFont val="Tahoma"/>
            <family val="2"/>
          </rPr>
          <t xml:space="preserve">
RULES:
1. Available time always starts at 8:00am.
2. End time should be 24:00 Mon-Thu &amp; 22:00 Fri. 
3. Actual end time is used once time goes past 17:00 on single shift and 23:00 on double shift.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Michael Julien</author>
    <author>Kaylil Baptiste</author>
    <author>Dorien Andrew</author>
    <author>Micah Noel</author>
    <author>Tyrell Bartholomew</author>
    <author>Royd</author>
  </authors>
  <commentList>
    <comment ref="M8" authorId="0" shapeId="0" xr:uid="{7D9CC5F9-600B-496C-BDB3-504CAC9BB1CD}">
      <text>
        <r>
          <rPr>
            <b/>
            <sz val="9"/>
            <color indexed="81"/>
            <rFont val="Tahoma"/>
            <family val="2"/>
          </rPr>
          <t>Michael Julien:</t>
        </r>
        <r>
          <rPr>
            <sz val="9"/>
            <color indexed="81"/>
            <rFont val="Tahoma"/>
            <family val="2"/>
          </rPr>
          <t xml:space="preserve">
90mins waiting for water pressure to increase on the fobber.</t>
        </r>
      </text>
    </comment>
    <comment ref="O8" authorId="1" shapeId="0" xr:uid="{9A2E38C7-031E-4207-A8FF-78FDB4515E3A}">
      <text>
        <r>
          <rPr>
            <b/>
            <sz val="9"/>
            <color indexed="81"/>
            <rFont val="Tahoma"/>
            <family val="2"/>
          </rPr>
          <t>Kaylil Baptiste:</t>
        </r>
        <r>
          <rPr>
            <sz val="9"/>
            <color indexed="81"/>
            <rFont val="Tahoma"/>
            <family val="2"/>
          </rPr>
          <t xml:space="preserve">
10mins uncaser head hitting crate</t>
        </r>
      </text>
    </comment>
    <comment ref="P8" authorId="1" shapeId="0" xr:uid="{E13BD78A-040E-44B6-88A6-60D10FF82202}">
      <text>
        <r>
          <rPr>
            <b/>
            <sz val="9"/>
            <color indexed="81"/>
            <rFont val="Tahoma"/>
            <family val="2"/>
          </rPr>
          <t>Kaylil Baptiste:</t>
        </r>
        <r>
          <rPr>
            <sz val="9"/>
            <color indexed="81"/>
            <rFont val="Tahoma"/>
            <family val="2"/>
          </rPr>
          <t xml:space="preserve">
6mins jammed bottles on washer infeed flap</t>
        </r>
      </text>
    </comment>
    <comment ref="R8" authorId="1" shapeId="0" xr:uid="{DBC98623-727D-46E4-859B-BB35832DB569}">
      <text>
        <r>
          <rPr>
            <b/>
            <sz val="9"/>
            <color indexed="81"/>
            <rFont val="Tahoma"/>
            <family val="2"/>
          </rPr>
          <t>Kaylil Baptiste:</t>
        </r>
        <r>
          <rPr>
            <sz val="9"/>
            <color indexed="81"/>
            <rFont val="Tahoma"/>
            <family val="2"/>
          </rPr>
          <t xml:space="preserve">
6mins bottles stop on filler</t>
        </r>
      </text>
    </comment>
    <comment ref="V8" authorId="1" shapeId="0" xr:uid="{BEFF43D5-0928-46A1-A7ED-5D3399D3C4A9}">
      <text>
        <r>
          <rPr>
            <b/>
            <sz val="9"/>
            <color indexed="81"/>
            <rFont val="Tahoma"/>
            <family val="2"/>
          </rPr>
          <t>Kaylil Baptiste:</t>
        </r>
        <r>
          <rPr>
            <sz val="9"/>
            <color indexed="81"/>
            <rFont val="Tahoma"/>
            <family val="2"/>
          </rPr>
          <t xml:space="preserve">
22mins maintenance working on pasteurizer discharge, 7mins fallen bottles inside EBI</t>
        </r>
      </text>
    </comment>
    <comment ref="Z8" authorId="2" shapeId="0" xr:uid="{8422C2EC-41B7-4EE4-BF8E-B8CED53B7CF1}">
      <text>
        <r>
          <rPr>
            <b/>
            <sz val="9"/>
            <color indexed="81"/>
            <rFont val="Tahoma"/>
            <family val="2"/>
          </rPr>
          <t>Dorien Andrew:</t>
        </r>
        <r>
          <rPr>
            <sz val="9"/>
            <color indexed="81"/>
            <rFont val="Tahoma"/>
            <family val="2"/>
          </rPr>
          <t xml:space="preserve">
washer loading and filler preparation</t>
        </r>
      </text>
    </comment>
    <comment ref="I9" authorId="0" shapeId="0" xr:uid="{00A77F9B-3D38-4FE5-AF68-79A102EB3020}">
      <text>
        <r>
          <rPr>
            <b/>
            <sz val="9"/>
            <color indexed="81"/>
            <rFont val="Tahoma"/>
            <family val="2"/>
          </rPr>
          <t>Michael Julien:</t>
        </r>
        <r>
          <rPr>
            <sz val="9"/>
            <color indexed="81"/>
            <rFont val="Tahoma"/>
            <family val="2"/>
          </rPr>
          <t xml:space="preserve">
13mins change over from stag to carib</t>
        </r>
      </text>
    </comment>
    <comment ref="J9" authorId="3" shapeId="0" xr:uid="{4102D9C1-2AA0-4625-9B38-24CE5381B38E}">
      <text>
        <r>
          <rPr>
            <b/>
            <sz val="9"/>
            <color indexed="81"/>
            <rFont val="Tahoma"/>
            <family val="2"/>
          </rPr>
          <t>Micah Noel:</t>
        </r>
        <r>
          <rPr>
            <sz val="9"/>
            <color indexed="81"/>
            <rFont val="Tahoma"/>
            <family val="2"/>
          </rPr>
          <t xml:space="preserve">
27mins waiitng for lab to do bitterness check on product before releasing, 17mins waiting on lab to release product</t>
        </r>
      </text>
    </comment>
    <comment ref="O9" authorId="1" shapeId="0" xr:uid="{39874227-D188-4E64-B7BD-287F89399CE9}">
      <text>
        <r>
          <rPr>
            <b/>
            <sz val="9"/>
            <color indexed="81"/>
            <rFont val="Tahoma"/>
            <family val="2"/>
          </rPr>
          <t>Kaylil Baptiste:</t>
        </r>
        <r>
          <rPr>
            <sz val="9"/>
            <color indexed="81"/>
            <rFont val="Tahoma"/>
            <family val="2"/>
          </rPr>
          <t xml:space="preserve">
16mins uncaser head hitting crates, 8mins broken head airline</t>
        </r>
      </text>
    </comment>
    <comment ref="P9" authorId="1" shapeId="0" xr:uid="{A46816BC-3DCB-4FE8-B122-25D871A66490}">
      <text>
        <r>
          <rPr>
            <b/>
            <sz val="9"/>
            <color indexed="81"/>
            <rFont val="Tahoma"/>
            <family val="2"/>
          </rPr>
          <t>Kaylil Baptiste:</t>
        </r>
        <r>
          <rPr>
            <sz val="9"/>
            <color indexed="81"/>
            <rFont val="Tahoma"/>
            <family val="2"/>
          </rPr>
          <t xml:space="preserve">
13mins jammed bottles on washer infeed flap, 13mins adding water to final rinse, 12mins bottles jam on washer discharge flap, 6mins high rejection due to labels on bottle</t>
        </r>
      </text>
    </comment>
    <comment ref="V9" authorId="1" shapeId="0" xr:uid="{4363C68F-6416-4D20-8D05-27CDDE0EE254}">
      <text>
        <r>
          <rPr>
            <b/>
            <sz val="9"/>
            <color indexed="81"/>
            <rFont val="Tahoma"/>
            <family val="2"/>
          </rPr>
          <t>Kaylil Baptiste:</t>
        </r>
        <r>
          <rPr>
            <sz val="9"/>
            <color indexed="81"/>
            <rFont val="Tahoma"/>
            <family val="2"/>
          </rPr>
          <t xml:space="preserve">
10mins fallen bottles inside EBI</t>
        </r>
      </text>
    </comment>
    <comment ref="Z9" authorId="3" shapeId="0" xr:uid="{5D3F7BE4-C6AF-4D46-9A11-C1060A891983}">
      <text>
        <r>
          <rPr>
            <b/>
            <sz val="9"/>
            <color indexed="81"/>
            <rFont val="Tahoma"/>
            <family val="2"/>
          </rPr>
          <t>Micah Noel:</t>
        </r>
        <r>
          <rPr>
            <sz val="9"/>
            <color indexed="81"/>
            <rFont val="Tahoma"/>
            <family val="2"/>
          </rPr>
          <t xml:space="preserve">
4 mins heavy rejection caused by fly on osw glass</t>
        </r>
      </text>
    </comment>
    <comment ref="AB9" authorId="3" shapeId="0" xr:uid="{F219EA56-6EA3-4C51-9D54-12971EBAB4EC}">
      <text>
        <r>
          <rPr>
            <b/>
            <sz val="9"/>
            <color indexed="81"/>
            <rFont val="Tahoma"/>
            <family val="2"/>
          </rPr>
          <t>Micah Noel:</t>
        </r>
        <r>
          <rPr>
            <sz val="9"/>
            <color indexed="81"/>
            <rFont val="Tahoma"/>
            <family val="2"/>
          </rPr>
          <t xml:space="preserve">
13 mins heavy EBI rejections caused by pre-washed and mixed bottles</t>
        </r>
      </text>
    </comment>
    <comment ref="J10" authorId="2" shapeId="0" xr:uid="{80B12074-5B98-4EAE-ACE4-3E09BF1806E3}">
      <text>
        <r>
          <rPr>
            <b/>
            <sz val="9"/>
            <color indexed="81"/>
            <rFont val="Tahoma"/>
            <family val="2"/>
          </rPr>
          <t>Dorien Andrew:</t>
        </r>
        <r>
          <rPr>
            <sz val="9"/>
            <color indexed="81"/>
            <rFont val="Tahoma"/>
            <family val="2"/>
          </rPr>
          <t xml:space="preserve">
waiting for product </t>
        </r>
      </text>
    </comment>
    <comment ref="L10" authorId="1" shapeId="0" xr:uid="{D3E71C2B-ABE8-4914-AB34-58CCC267C671}">
      <text>
        <r>
          <rPr>
            <b/>
            <sz val="9"/>
            <color indexed="81"/>
            <rFont val="Tahoma"/>
            <family val="2"/>
          </rPr>
          <t>Kaylil Baptiste:</t>
        </r>
        <r>
          <rPr>
            <sz val="9"/>
            <color indexed="81"/>
            <rFont val="Tahoma"/>
            <family val="2"/>
          </rPr>
          <t xml:space="preserve">
11mins low CO2 on filler </t>
        </r>
      </text>
    </comment>
    <comment ref="O10" authorId="1" shapeId="0" xr:uid="{971757B0-F242-4D8A-962C-FFA31443FD93}">
      <text>
        <r>
          <rPr>
            <b/>
            <sz val="9"/>
            <color indexed="81"/>
            <rFont val="Tahoma"/>
            <family val="2"/>
          </rPr>
          <t>Kaylil Baptiste:</t>
        </r>
        <r>
          <rPr>
            <sz val="9"/>
            <color indexed="81"/>
            <rFont val="Tahoma"/>
            <family val="2"/>
          </rPr>
          <t xml:space="preserve">
35mins replacing cups, 5mins uncaser head hitting crates</t>
        </r>
      </text>
    </comment>
    <comment ref="P10" authorId="1" shapeId="0" xr:uid="{F59144CB-A7BC-45BD-8F7C-60F376602560}">
      <text>
        <r>
          <rPr>
            <b/>
            <sz val="9"/>
            <color indexed="81"/>
            <rFont val="Tahoma"/>
            <family val="2"/>
          </rPr>
          <t>Kaylil Baptiste:</t>
        </r>
        <r>
          <rPr>
            <sz val="9"/>
            <color indexed="81"/>
            <rFont val="Tahoma"/>
            <family val="2"/>
          </rPr>
          <t xml:space="preserve">
44mins stop to drain and clean rinse tanks on washer, 31mins bottles jam at washer discharge flap, 6mins bottles jam at washer discharge flap, 5mins cleaning filters and bins </t>
        </r>
      </text>
    </comment>
    <comment ref="Z10" authorId="2" shapeId="0" xr:uid="{E18F5EB2-5A15-4610-BD88-5B00DE443268}">
      <text>
        <r>
          <rPr>
            <b/>
            <sz val="9"/>
            <color indexed="81"/>
            <rFont val="Tahoma"/>
            <family val="2"/>
          </rPr>
          <t>Dorien Andrew:</t>
        </r>
        <r>
          <rPr>
            <sz val="9"/>
            <color indexed="81"/>
            <rFont val="Tahoma"/>
            <family val="2"/>
          </rPr>
          <t xml:space="preserve">
10mins stop for midnight reading 11 mins lost for man power, 8mins switching palletizer </t>
        </r>
      </text>
    </comment>
    <comment ref="AB10" authorId="1" shapeId="0" xr:uid="{07BA3C5A-2DEF-4208-9AD8-0B08DFC96D0E}">
      <text>
        <r>
          <rPr>
            <b/>
            <sz val="9"/>
            <color indexed="81"/>
            <rFont val="Tahoma"/>
            <family val="2"/>
          </rPr>
          <t>Kaylil Baptiste:</t>
        </r>
        <r>
          <rPr>
            <sz val="9"/>
            <color indexed="81"/>
            <rFont val="Tahoma"/>
            <family val="2"/>
          </rPr>
          <t xml:space="preserve">
rewashed bottles</t>
        </r>
      </text>
    </comment>
    <comment ref="I11" authorId="1" shapeId="0" xr:uid="{32AFABF2-DF0F-4059-95EE-FE35062610C2}">
      <text>
        <r>
          <rPr>
            <b/>
            <sz val="9"/>
            <color indexed="81"/>
            <rFont val="Tahoma"/>
            <family val="2"/>
          </rPr>
          <t>Kaylil Baptiste:</t>
        </r>
        <r>
          <rPr>
            <sz val="9"/>
            <color indexed="81"/>
            <rFont val="Tahoma"/>
            <family val="2"/>
          </rPr>
          <t xml:space="preserve">
30mins change over from Amber to flint</t>
        </r>
      </text>
    </comment>
    <comment ref="K11" authorId="2" shapeId="0" xr:uid="{D52F1D4A-72FD-41B2-BBB2-698EB294AA6F}">
      <text>
        <r>
          <rPr>
            <b/>
            <sz val="9"/>
            <color indexed="81"/>
            <rFont val="Tahoma"/>
            <family val="2"/>
          </rPr>
          <t>Dorien Andrew:</t>
        </r>
        <r>
          <rPr>
            <sz val="9"/>
            <color indexed="81"/>
            <rFont val="Tahoma"/>
            <family val="2"/>
          </rPr>
          <t xml:space="preserve">
low air on carton erector</t>
        </r>
      </text>
    </comment>
    <comment ref="O11" authorId="1" shapeId="0" xr:uid="{06797BD9-5601-4900-86D5-CC89EC7EC4EA}">
      <text>
        <r>
          <rPr>
            <b/>
            <sz val="9"/>
            <color indexed="81"/>
            <rFont val="Tahoma"/>
            <family val="2"/>
          </rPr>
          <t>Kaylil Baptiste:</t>
        </r>
        <r>
          <rPr>
            <sz val="9"/>
            <color indexed="81"/>
            <rFont val="Tahoma"/>
            <family val="2"/>
          </rPr>
          <t xml:space="preserve">
23mins uncaser head hitting crates, 20mins crate stopper malfunction due to dry rot air hose </t>
        </r>
      </text>
    </comment>
    <comment ref="P11" authorId="1" shapeId="0" xr:uid="{9F70FD44-8913-4181-BAF2-72D9601F16E9}">
      <text>
        <r>
          <rPr>
            <b/>
            <sz val="9"/>
            <color indexed="81"/>
            <rFont val="Tahoma"/>
            <family val="2"/>
          </rPr>
          <t>Kaylil Baptiste:</t>
        </r>
        <r>
          <rPr>
            <sz val="9"/>
            <color indexed="81"/>
            <rFont val="Tahoma"/>
            <family val="2"/>
          </rPr>
          <t xml:space="preserve">
32mins bottles jamming at washer infeed, 6mins mins bottles jamming at washer discharge</t>
        </r>
      </text>
    </comment>
    <comment ref="Q11" authorId="1" shapeId="0" xr:uid="{58399E86-5D12-45C8-ABEC-6EC03EC74B38}">
      <text>
        <r>
          <rPr>
            <b/>
            <sz val="9"/>
            <color indexed="81"/>
            <rFont val="Tahoma"/>
            <family val="2"/>
          </rPr>
          <t>Kaylil Baptiste:</t>
        </r>
        <r>
          <rPr>
            <sz val="9"/>
            <color indexed="81"/>
            <rFont val="Tahoma"/>
            <family val="2"/>
          </rPr>
          <t xml:space="preserve">
7mins high rejection, 6mins fallen bottles on EBI starwheel </t>
        </r>
      </text>
    </comment>
    <comment ref="R11" authorId="1" shapeId="0" xr:uid="{A441A2B9-3DED-4212-B24B-CF2163198115}">
      <text>
        <r>
          <rPr>
            <b/>
            <sz val="9"/>
            <color indexed="81"/>
            <rFont val="Tahoma"/>
            <family val="2"/>
          </rPr>
          <t>Kaylil Baptiste:</t>
        </r>
        <r>
          <rPr>
            <sz val="9"/>
            <color indexed="81"/>
            <rFont val="Tahoma"/>
            <family val="2"/>
          </rPr>
          <t xml:space="preserve">
22mins crowner adjustments, 7mins crowner stuck in chute</t>
        </r>
      </text>
    </comment>
    <comment ref="T11" authorId="1" shapeId="0" xr:uid="{47FE0FAA-4E35-4800-A4F2-EB45A24C259B}">
      <text>
        <r>
          <rPr>
            <b/>
            <sz val="9"/>
            <color indexed="81"/>
            <rFont val="Tahoma"/>
            <family val="2"/>
          </rPr>
          <t>Kaylil Baptiste:</t>
        </r>
        <r>
          <rPr>
            <sz val="9"/>
            <color indexed="81"/>
            <rFont val="Tahoma"/>
            <family val="2"/>
          </rPr>
          <t xml:space="preserve">
9mins labeler start up adjustments </t>
        </r>
      </text>
    </comment>
    <comment ref="W11" authorId="1" shapeId="0" xr:uid="{9AFF4C49-6F76-419F-8D31-FC876CDD88B9}">
      <text>
        <r>
          <rPr>
            <b/>
            <sz val="9"/>
            <color indexed="81"/>
            <rFont val="Tahoma"/>
            <family val="2"/>
          </rPr>
          <t>Kaylil Baptiste:</t>
        </r>
        <r>
          <rPr>
            <sz val="9"/>
            <color indexed="81"/>
            <rFont val="Tahoma"/>
            <family val="2"/>
          </rPr>
          <t xml:space="preserve">
7mins packer sensor malunction </t>
        </r>
      </text>
    </comment>
    <comment ref="X11" authorId="1" shapeId="0" xr:uid="{00E74F21-6D14-424A-B149-C7843FD0B08B}">
      <text>
        <r>
          <rPr>
            <b/>
            <sz val="9"/>
            <color indexed="81"/>
            <rFont val="Tahoma"/>
            <family val="2"/>
          </rPr>
          <t>Kaylil Baptiste:</t>
        </r>
        <r>
          <rPr>
            <sz val="9"/>
            <color indexed="81"/>
            <rFont val="Tahoma"/>
            <family val="2"/>
          </rPr>
          <t xml:space="preserve">
84mins carton errector malfuntion, 5mins carton errector  not taping properly</t>
        </r>
      </text>
    </comment>
    <comment ref="Z11" authorId="1" shapeId="0" xr:uid="{409A4211-26F5-4F32-9F04-AB7FE6A0A9BB}">
      <text>
        <r>
          <rPr>
            <b/>
            <sz val="9"/>
            <color indexed="81"/>
            <rFont val="Tahoma"/>
            <family val="2"/>
          </rPr>
          <t>Kaylil Baptiste:</t>
        </r>
        <r>
          <rPr>
            <sz val="9"/>
            <color indexed="81"/>
            <rFont val="Tahoma"/>
            <family val="2"/>
          </rPr>
          <t xml:space="preserve">
5mins waiting on boxes no one at station</t>
        </r>
      </text>
    </comment>
    <comment ref="AB11" authorId="4" shapeId="0" xr:uid="{2322336E-C7F1-48DA-8180-E45364DB9085}">
      <text>
        <r>
          <rPr>
            <b/>
            <sz val="9"/>
            <color indexed="81"/>
            <rFont val="Tahoma"/>
            <family val="2"/>
          </rPr>
          <t>Tyrell Bartholomew:</t>
        </r>
        <r>
          <rPr>
            <sz val="9"/>
            <color indexed="81"/>
            <rFont val="Tahoma"/>
            <family val="2"/>
          </rPr>
          <t xml:space="preserve">
18mins heavy ebi rejections due to mixed bottles. 24mins waiting on bottles</t>
        </r>
      </text>
    </comment>
    <comment ref="I12" authorId="1" shapeId="0" xr:uid="{95AF0822-EB42-415A-9A6D-258F83D6BB55}">
      <text>
        <r>
          <rPr>
            <b/>
            <sz val="9"/>
            <color indexed="81"/>
            <rFont val="Tahoma"/>
            <family val="2"/>
          </rPr>
          <t>Tyrell Bartholomew:</t>
        </r>
        <r>
          <rPr>
            <sz val="9"/>
            <color indexed="81"/>
            <rFont val="Tahoma"/>
            <family val="2"/>
          </rPr>
          <t xml:space="preserve">
135mins changing over from carib export to caribe rose.</t>
        </r>
      </text>
    </comment>
    <comment ref="O12" authorId="1" shapeId="0" xr:uid="{2210E638-9C07-40A0-857C-EDBF13EE1C78}">
      <text>
        <r>
          <rPr>
            <b/>
            <sz val="9"/>
            <color indexed="81"/>
            <rFont val="Tahoma"/>
            <family val="2"/>
          </rPr>
          <t>Kaylil Baptiste:</t>
        </r>
        <r>
          <rPr>
            <sz val="9"/>
            <color indexed="81"/>
            <rFont val="Tahoma"/>
            <family val="2"/>
          </rPr>
          <t xml:space="preserve">
12mins crate stopper not totally retracting causing crates to stick, 12mins uncaser head hitting crates</t>
        </r>
      </text>
    </comment>
    <comment ref="Q12" authorId="1" shapeId="0" xr:uid="{551B25FD-294B-4341-8C50-C48C6BF3E440}">
      <text>
        <r>
          <rPr>
            <b/>
            <sz val="9"/>
            <color indexed="81"/>
            <rFont val="Tahoma"/>
            <family val="2"/>
          </rPr>
          <t>Kaylil Baptiste:</t>
        </r>
        <r>
          <rPr>
            <sz val="9"/>
            <color indexed="81"/>
            <rFont val="Tahoma"/>
            <family val="2"/>
          </rPr>
          <t xml:space="preserve">
5mins high EBI rejection</t>
        </r>
      </text>
    </comment>
    <comment ref="R12" authorId="1" shapeId="0" xr:uid="{A5F397F1-F19F-43EF-8C84-18C302632E59}">
      <text>
        <r>
          <rPr>
            <b/>
            <sz val="9"/>
            <color indexed="81"/>
            <rFont val="Tahoma"/>
            <family val="2"/>
          </rPr>
          <t>Kaylil Baptiste:</t>
        </r>
        <r>
          <rPr>
            <sz val="9"/>
            <color indexed="81"/>
            <rFont val="Tahoma"/>
            <family val="2"/>
          </rPr>
          <t xml:space="preserve">
110mins filler centering bell sensor malfunction plus replacement </t>
        </r>
      </text>
    </comment>
    <comment ref="V12" authorId="1" shapeId="0" xr:uid="{145A348D-3A3E-4F8E-A90E-C8D7C13ADC26}">
      <text>
        <r>
          <rPr>
            <b/>
            <sz val="9"/>
            <color indexed="81"/>
            <rFont val="Tahoma"/>
            <family val="2"/>
          </rPr>
          <t>Kaylil Baptiste:</t>
        </r>
        <r>
          <rPr>
            <sz val="9"/>
            <color indexed="81"/>
            <rFont val="Tahoma"/>
            <family val="2"/>
          </rPr>
          <t xml:space="preserve">
8mins uncaser infeed conveyor cut off</t>
        </r>
      </text>
    </comment>
    <comment ref="X12" authorId="1" shapeId="0" xr:uid="{6AC52CEB-CD36-4400-9F47-E1BAB2BC0750}">
      <text>
        <r>
          <rPr>
            <b/>
            <sz val="9"/>
            <color indexed="81"/>
            <rFont val="Tahoma"/>
            <family val="2"/>
          </rPr>
          <t>Kaylil Baptiste:</t>
        </r>
        <r>
          <rPr>
            <sz val="9"/>
            <color indexed="81"/>
            <rFont val="Tahoma"/>
            <family val="2"/>
          </rPr>
          <t xml:space="preserve">
78 mins low air pressure problem, 22mins boxes jamming on carton errector</t>
        </r>
      </text>
    </comment>
    <comment ref="Z12" authorId="1" shapeId="0" xr:uid="{5550F791-26E9-4AC5-9B31-5B517544B4F8}">
      <text>
        <r>
          <rPr>
            <b/>
            <sz val="9"/>
            <color indexed="81"/>
            <rFont val="Tahoma"/>
            <family val="2"/>
          </rPr>
          <t>Kaylil Baptiste:</t>
        </r>
        <r>
          <rPr>
            <sz val="9"/>
            <color indexed="81"/>
            <rFont val="Tahoma"/>
            <family val="2"/>
          </rPr>
          <t xml:space="preserve">
12mins lack of manpower at pasteurizer discharge</t>
        </r>
      </text>
    </comment>
    <comment ref="V13" authorId="1" shapeId="0" xr:uid="{AA173CCF-261D-40D7-A173-03DC2EE1ABA0}">
      <text>
        <r>
          <rPr>
            <b/>
            <sz val="9"/>
            <color indexed="81"/>
            <rFont val="Tahoma"/>
            <family val="2"/>
          </rPr>
          <t>Kaylil Baptiste:</t>
        </r>
        <r>
          <rPr>
            <sz val="9"/>
            <color indexed="81"/>
            <rFont val="Tahoma"/>
            <family val="2"/>
          </rPr>
          <t xml:space="preserve">
6mins fallen bottles jam at pasteurizer disccharge</t>
        </r>
      </text>
    </comment>
    <comment ref="X13" authorId="1" shapeId="0" xr:uid="{8F2E1157-4756-42BB-8000-BA2B7F4DC443}">
      <text>
        <r>
          <rPr>
            <b/>
            <sz val="9"/>
            <color indexed="81"/>
            <rFont val="Tahoma"/>
            <family val="2"/>
          </rPr>
          <t>Kaylil Baptiste:</t>
        </r>
        <r>
          <rPr>
            <sz val="9"/>
            <color indexed="81"/>
            <rFont val="Tahoma"/>
            <family val="2"/>
          </rPr>
          <t xml:space="preserve">
9mins tape not taping properly on carton errector</t>
        </r>
      </text>
    </comment>
    <comment ref="Z13" authorId="1" shapeId="0" xr:uid="{086FB0C6-30BE-4AB9-9BD4-F4AB76BA02FA}">
      <text>
        <r>
          <rPr>
            <b/>
            <sz val="9"/>
            <color indexed="81"/>
            <rFont val="Tahoma"/>
            <family val="2"/>
          </rPr>
          <t>Kaylil Baptiste:</t>
        </r>
        <r>
          <rPr>
            <sz val="9"/>
            <color indexed="81"/>
            <rFont val="Tahoma"/>
            <family val="2"/>
          </rPr>
          <t xml:space="preserve">
21mins operator sop to do box count and take midnight reading, 15mins stop to take midnight reading, 5mins removing cases from pasteurizer discharge</t>
        </r>
      </text>
    </comment>
    <comment ref="I14" authorId="1" shapeId="0" xr:uid="{697C651B-27E8-47EA-830B-E7136A7720F6}">
      <text>
        <r>
          <rPr>
            <b/>
            <sz val="9"/>
            <color indexed="81"/>
            <rFont val="Tahoma"/>
            <family val="2"/>
          </rPr>
          <t>Kaylil Baptiste:</t>
        </r>
        <r>
          <rPr>
            <sz val="9"/>
            <color indexed="81"/>
            <rFont val="Tahoma"/>
            <family val="2"/>
          </rPr>
          <t xml:space="preserve">
75mins product change over </t>
        </r>
      </text>
    </comment>
    <comment ref="J14" authorId="1" shapeId="0" xr:uid="{DBAC7F5D-6F9F-43BB-B8D9-978417B73B6C}">
      <text>
        <r>
          <rPr>
            <b/>
            <sz val="9"/>
            <color indexed="81"/>
            <rFont val="Tahoma"/>
            <family val="2"/>
          </rPr>
          <t xml:space="preserve">Michael Julien:
</t>
        </r>
        <r>
          <rPr>
            <sz val="9"/>
            <color indexed="81"/>
            <rFont val="Tahoma"/>
            <family val="2"/>
          </rPr>
          <t>4 mins low filler bowl level caused by empty BBT</t>
        </r>
      </text>
    </comment>
    <comment ref="O14" authorId="1" shapeId="0" xr:uid="{35BD2079-4871-42E5-A87A-955114C5FC96}">
      <text>
        <r>
          <rPr>
            <b/>
            <sz val="9"/>
            <color indexed="81"/>
            <rFont val="Tahoma"/>
            <family val="2"/>
          </rPr>
          <t>Kaylil Baptiste:</t>
        </r>
        <r>
          <rPr>
            <sz val="9"/>
            <color indexed="81"/>
            <rFont val="Tahoma"/>
            <family val="2"/>
          </rPr>
          <t xml:space="preserve">
34mins uncaser head hitting crates, 16mins making adjustments to crates uncaser head and centering device, 16 mins Broken shaft for centering cups was replaced,13mins to tighten cups, 12mins crate discharge sensor malfunction </t>
        </r>
      </text>
    </comment>
    <comment ref="P14" authorId="1" shapeId="0" xr:uid="{E6224F80-272E-4A04-9094-4653FCD376A0}">
      <text>
        <r>
          <rPr>
            <b/>
            <sz val="9"/>
            <color indexed="81"/>
            <rFont val="Tahoma"/>
            <family val="2"/>
          </rPr>
          <t>Kaylil Baptiste:</t>
        </r>
        <r>
          <rPr>
            <sz val="9"/>
            <color indexed="81"/>
            <rFont val="Tahoma"/>
            <family val="2"/>
          </rPr>
          <t xml:space="preserve">
19mins bottles jamming at washer discharge</t>
        </r>
      </text>
    </comment>
    <comment ref="Q14" authorId="1" shapeId="0" xr:uid="{68A99696-190F-4FC9-B2B0-2FEDD42074B9}">
      <text>
        <r>
          <rPr>
            <b/>
            <sz val="9"/>
            <color indexed="81"/>
            <rFont val="Tahoma"/>
            <family val="2"/>
          </rPr>
          <t>Kaylil Baptiste:</t>
        </r>
        <r>
          <rPr>
            <sz val="9"/>
            <color indexed="81"/>
            <rFont val="Tahoma"/>
            <family val="2"/>
          </rPr>
          <t xml:space="preserve">
20 mins line stop due to test bottle # 2 failing and a new one had to be made, 10mins high EBI rejection, 6mins reloading EBI program</t>
        </r>
      </text>
    </comment>
    <comment ref="U14" authorId="1" shapeId="0" xr:uid="{9B39E254-3DE0-464F-8687-83CE3C6E6FCD}">
      <text>
        <r>
          <rPr>
            <b/>
            <sz val="9"/>
            <color indexed="81"/>
            <rFont val="Tahoma"/>
            <family val="2"/>
          </rPr>
          <t>Kaylil Baptiste:</t>
        </r>
        <r>
          <rPr>
            <sz val="9"/>
            <color indexed="81"/>
            <rFont val="Tahoma"/>
            <family val="2"/>
          </rPr>
          <t xml:space="preserve">
37mins videojet not printing properly</t>
        </r>
      </text>
    </comment>
    <comment ref="V14" authorId="1" shapeId="0" xr:uid="{4840132E-7A73-48B4-87C8-03418DAE8D3E}">
      <text>
        <r>
          <rPr>
            <b/>
            <sz val="9"/>
            <color indexed="81"/>
            <rFont val="Tahoma"/>
            <family val="2"/>
          </rPr>
          <t>Kaylil Baptiste:</t>
        </r>
        <r>
          <rPr>
            <sz val="9"/>
            <color indexed="81"/>
            <rFont val="Tahoma"/>
            <family val="2"/>
          </rPr>
          <t xml:space="preserve">
5mins fallen bottles inside EBI</t>
        </r>
      </text>
    </comment>
    <comment ref="Y14" authorId="1" shapeId="0" xr:uid="{BBFB03DC-CE59-49CE-901A-B22360BC5679}">
      <text>
        <r>
          <rPr>
            <b/>
            <sz val="9"/>
            <color indexed="81"/>
            <rFont val="Tahoma"/>
            <family val="2"/>
          </rPr>
          <t>Kaylil Baptiste:</t>
        </r>
        <r>
          <rPr>
            <sz val="9"/>
            <color indexed="81"/>
            <rFont val="Tahoma"/>
            <family val="2"/>
          </rPr>
          <t xml:space="preserve">
22 mins repairing leak on crate rinser pump by engineering</t>
        </r>
      </text>
    </comment>
    <comment ref="I15" authorId="1" shapeId="0" xr:uid="{D029B236-0D53-4B25-B119-69D18FE18F6C}">
      <text>
        <r>
          <rPr>
            <b/>
            <sz val="9"/>
            <color indexed="81"/>
            <rFont val="Tahoma"/>
            <family val="2"/>
          </rPr>
          <t>Kaylil Baptiste:</t>
        </r>
        <r>
          <rPr>
            <sz val="9"/>
            <color indexed="81"/>
            <rFont val="Tahoma"/>
            <family val="2"/>
          </rPr>
          <t xml:space="preserve">
57mins product change over </t>
        </r>
      </text>
    </comment>
    <comment ref="J15" authorId="1" shapeId="0" xr:uid="{368CB5EC-1B71-4ABB-B88E-FE3746DC8546}">
      <text>
        <r>
          <rPr>
            <b/>
            <sz val="9"/>
            <color indexed="81"/>
            <rFont val="Tahoma"/>
            <family val="2"/>
          </rPr>
          <t>Kaylil Baptiste:</t>
        </r>
        <r>
          <rPr>
            <sz val="9"/>
            <color indexed="81"/>
            <rFont val="Tahoma"/>
            <family val="2"/>
          </rPr>
          <t xml:space="preserve">
low BBT pressure</t>
        </r>
      </text>
    </comment>
    <comment ref="O15" authorId="1" shapeId="0" xr:uid="{AFF41A08-4617-4D4D-9CF6-414C9B73C36B}">
      <text>
        <r>
          <rPr>
            <b/>
            <sz val="9"/>
            <color indexed="81"/>
            <rFont val="Tahoma"/>
            <family val="2"/>
          </rPr>
          <t>Kaylil Baptiste:</t>
        </r>
        <r>
          <rPr>
            <sz val="9"/>
            <color indexed="81"/>
            <rFont val="Tahoma"/>
            <family val="2"/>
          </rPr>
          <t xml:space="preserve">
39mins crate discharge sensor malfunction</t>
        </r>
      </text>
    </comment>
    <comment ref="P15" authorId="1" shapeId="0" xr:uid="{DCAB753A-8C4E-44E4-ADC4-AD89C30E7225}">
      <text>
        <r>
          <rPr>
            <b/>
            <sz val="9"/>
            <color indexed="81"/>
            <rFont val="Tahoma"/>
            <family val="2"/>
          </rPr>
          <t>Kaylil Baptiste:</t>
        </r>
        <r>
          <rPr>
            <sz val="9"/>
            <color indexed="81"/>
            <rFont val="Tahoma"/>
            <family val="2"/>
          </rPr>
          <t xml:space="preserve">
17mins mins mins bottles jamming at washer discharge</t>
        </r>
      </text>
    </comment>
    <comment ref="Z15" authorId="3" shapeId="0" xr:uid="{595D3523-BFB5-4D58-BD25-712D00841ABD}">
      <text>
        <r>
          <rPr>
            <b/>
            <sz val="9"/>
            <color indexed="81"/>
            <rFont val="Tahoma"/>
            <family val="2"/>
          </rPr>
          <t>Micah Noel:</t>
        </r>
        <r>
          <rPr>
            <sz val="9"/>
            <color indexed="81"/>
            <rFont val="Tahoma"/>
            <family val="2"/>
          </rPr>
          <t xml:space="preserve">
27mins filler mid week clean, 13mins waitng for lab tech to do swab on filler, 7mins waiitng for bottles from washer (bottles at washer discharge but conveyors were empty),13 mins waiting on manpower </t>
        </r>
      </text>
    </comment>
    <comment ref="O16" authorId="1" shapeId="0" xr:uid="{CACC3EB6-FABC-4DD1-9F75-96C4EF8CE772}">
      <text>
        <r>
          <rPr>
            <b/>
            <sz val="9"/>
            <color indexed="81"/>
            <rFont val="Tahoma"/>
            <family val="2"/>
          </rPr>
          <t>Kaylil Baptiste:</t>
        </r>
        <r>
          <rPr>
            <sz val="9"/>
            <color indexed="81"/>
            <rFont val="Tahoma"/>
            <family val="2"/>
          </rPr>
          <t xml:space="preserve">
147mins uncaser sensor malfunctiom, 57mins head jamming crates</t>
        </r>
      </text>
    </comment>
    <comment ref="P16" authorId="1" shapeId="0" xr:uid="{95F1BDDF-D25D-4FA9-84D6-322923DE64D2}">
      <text>
        <r>
          <rPr>
            <b/>
            <sz val="9"/>
            <color indexed="81"/>
            <rFont val="Tahoma"/>
            <family val="2"/>
          </rPr>
          <t>Kaylil Baptiste:</t>
        </r>
        <r>
          <rPr>
            <sz val="9"/>
            <color indexed="81"/>
            <rFont val="Tahoma"/>
            <family val="2"/>
          </rPr>
          <t xml:space="preserve">
20mins bottles jam at washer discharge, 8mins mins bottles jam at washer infeed</t>
        </r>
      </text>
    </comment>
    <comment ref="V16" authorId="1" shapeId="0" xr:uid="{F7DA9F57-D4B3-419E-88FA-82BD56F13FD5}">
      <text>
        <r>
          <rPr>
            <b/>
            <sz val="9"/>
            <color indexed="81"/>
            <rFont val="Tahoma"/>
            <family val="2"/>
          </rPr>
          <t>Kaylil Baptiste:</t>
        </r>
        <r>
          <rPr>
            <sz val="9"/>
            <color indexed="81"/>
            <rFont val="Tahoma"/>
            <family val="2"/>
          </rPr>
          <t xml:space="preserve">
13mins fallen bottles inside EBI</t>
        </r>
      </text>
    </comment>
    <comment ref="Z16" authorId="2" shapeId="0" xr:uid="{C71398D8-313F-4660-AE29-7DA3DA505606}">
      <text>
        <r>
          <rPr>
            <b/>
            <sz val="9"/>
            <color indexed="81"/>
            <rFont val="Tahoma"/>
            <family val="2"/>
          </rPr>
          <t>Dorien Andrew:</t>
        </r>
        <r>
          <rPr>
            <sz val="9"/>
            <color indexed="81"/>
            <rFont val="Tahoma"/>
            <family val="2"/>
          </rPr>
          <t xml:space="preserve">
10 mins for midnight reading 15 mins tool box meeting (7-2 shift) </t>
        </r>
      </text>
    </comment>
    <comment ref="I17" authorId="3" shapeId="0" xr:uid="{9FD91B6B-A2CD-4C91-8E30-C9BC37D7DE5A}">
      <text>
        <r>
          <rPr>
            <b/>
            <sz val="9"/>
            <color indexed="81"/>
            <rFont val="Tahoma"/>
            <family val="2"/>
          </rPr>
          <t>Micah Noel:</t>
        </r>
        <r>
          <rPr>
            <sz val="9"/>
            <color indexed="81"/>
            <rFont val="Tahoma"/>
            <family val="2"/>
          </rPr>
          <t xml:space="preserve">
Filler change over from Carib to Shandy Ginger</t>
        </r>
      </text>
    </comment>
    <comment ref="P17" authorId="1" shapeId="0" xr:uid="{ED8E14E7-5145-4252-AC1F-6A956F4B3563}">
      <text>
        <r>
          <rPr>
            <b/>
            <sz val="9"/>
            <color indexed="81"/>
            <rFont val="Tahoma"/>
            <family val="2"/>
          </rPr>
          <t>Kaylil Baptiste:</t>
        </r>
        <r>
          <rPr>
            <sz val="9"/>
            <color indexed="81"/>
            <rFont val="Tahoma"/>
            <family val="2"/>
          </rPr>
          <t xml:space="preserve">
14mins broken bottles stick at discharge, 13mins bottles jam at washer discharge</t>
        </r>
      </text>
    </comment>
    <comment ref="V17" authorId="1" shapeId="0" xr:uid="{F93CADAD-E9B9-432F-A339-3302ACCFE652}">
      <text>
        <r>
          <rPr>
            <b/>
            <sz val="9"/>
            <color indexed="81"/>
            <rFont val="Tahoma"/>
            <family val="2"/>
          </rPr>
          <t>Kaylil Baptiste:</t>
        </r>
        <r>
          <rPr>
            <sz val="9"/>
            <color indexed="81"/>
            <rFont val="Tahoma"/>
            <family val="2"/>
          </rPr>
          <t xml:space="preserve">
5mins fallen bottles inside EBI</t>
        </r>
      </text>
    </comment>
    <comment ref="D18" authorId="1" shapeId="0" xr:uid="{323144C6-F6F1-4001-838C-18FF164CA803}">
      <text>
        <r>
          <rPr>
            <b/>
            <sz val="9"/>
            <color indexed="81"/>
            <rFont val="Tahoma"/>
            <family val="2"/>
          </rPr>
          <t>Kaylil Baptiste:</t>
        </r>
        <r>
          <rPr>
            <sz val="9"/>
            <color indexed="81"/>
            <rFont val="Tahoma"/>
            <family val="2"/>
          </rPr>
          <t xml:space="preserve">
1:27</t>
        </r>
      </text>
    </comment>
    <comment ref="L18" authorId="1" shapeId="0" xr:uid="{EBF75FAB-6761-4D03-ACD9-4FEA48394BB0}">
      <text>
        <r>
          <rPr>
            <b/>
            <sz val="9"/>
            <color indexed="81"/>
            <rFont val="Tahoma"/>
            <family val="2"/>
          </rPr>
          <t>Kaylil Baptiste:</t>
        </r>
        <r>
          <rPr>
            <sz val="9"/>
            <color indexed="81"/>
            <rFont val="Tahoma"/>
            <family val="2"/>
          </rPr>
          <t xml:space="preserve">
 6mins low co2 of filler</t>
        </r>
      </text>
    </comment>
    <comment ref="O18" authorId="1" shapeId="0" xr:uid="{D2179A23-77BF-44E3-814B-425AFEB71093}">
      <text>
        <r>
          <rPr>
            <b/>
            <sz val="9"/>
            <color indexed="81"/>
            <rFont val="Tahoma"/>
            <family val="2"/>
          </rPr>
          <t>Kaylil Baptiste:</t>
        </r>
        <r>
          <rPr>
            <sz val="9"/>
            <color indexed="81"/>
            <rFont val="Tahoma"/>
            <family val="2"/>
          </rPr>
          <t xml:space="preserve">
53mins uncaser head hitting crates,  25mins uncase head not descending</t>
        </r>
      </text>
    </comment>
    <comment ref="V18" authorId="1" shapeId="0" xr:uid="{14A2BC7C-2649-44B7-861A-A0A9D53AB675}">
      <text>
        <r>
          <rPr>
            <b/>
            <sz val="9"/>
            <color indexed="81"/>
            <rFont val="Tahoma"/>
            <family val="2"/>
          </rPr>
          <t>Kaylil Baptiste:</t>
        </r>
        <r>
          <rPr>
            <sz val="9"/>
            <color indexed="81"/>
            <rFont val="Tahoma"/>
            <family val="2"/>
          </rPr>
          <t xml:space="preserve">
5mins fallen bottles inside EBI</t>
        </r>
      </text>
    </comment>
    <comment ref="Z18" authorId="3" shapeId="0" xr:uid="{C260FEAD-ED32-4DFD-BAD6-DE3FFBBEE403}">
      <text>
        <r>
          <rPr>
            <b/>
            <sz val="9"/>
            <color indexed="81"/>
            <rFont val="Tahoma"/>
            <family val="2"/>
          </rPr>
          <t>Micah Noel:</t>
        </r>
        <r>
          <rPr>
            <sz val="9"/>
            <color indexed="81"/>
            <rFont val="Tahoma"/>
            <family val="2"/>
          </rPr>
          <t xml:space="preserve">
55mins waiting on bottles from washer, 10mins lack of manpower at pasteurizer discharge conveyor, 9mins filler stop by sup to facilitate cut off loading</t>
        </r>
      </text>
    </comment>
    <comment ref="O19" authorId="1" shapeId="0" xr:uid="{A36BF9A3-BD61-434C-B023-32774DBAE1F2}">
      <text>
        <r>
          <rPr>
            <b/>
            <sz val="9"/>
            <color indexed="81"/>
            <rFont val="Tahoma"/>
            <family val="2"/>
          </rPr>
          <t>Kaylil Baptiste:</t>
        </r>
        <r>
          <rPr>
            <sz val="9"/>
            <color indexed="81"/>
            <rFont val="Tahoma"/>
            <family val="2"/>
          </rPr>
          <t xml:space="preserve">
31mins uncaser head malfunction</t>
        </r>
      </text>
    </comment>
    <comment ref="W19" authorId="1" shapeId="0" xr:uid="{E9543352-A06A-4205-B3A5-AA5BB24C5C6F}">
      <text>
        <r>
          <rPr>
            <b/>
            <sz val="9"/>
            <color indexed="81"/>
            <rFont val="Tahoma"/>
            <family val="2"/>
          </rPr>
          <t>Kaylil Baptiste:</t>
        </r>
        <r>
          <rPr>
            <sz val="9"/>
            <color indexed="81"/>
            <rFont val="Tahoma"/>
            <family val="2"/>
          </rPr>
          <t xml:space="preserve">
5mins packer start upp adjustments</t>
        </r>
      </text>
    </comment>
    <comment ref="I20" authorId="2" shapeId="0" xr:uid="{9AF64F74-27E4-4047-ACEC-BD785FDD3408}">
      <text>
        <r>
          <rPr>
            <b/>
            <sz val="9"/>
            <color indexed="81"/>
            <rFont val="Tahoma"/>
            <family val="2"/>
          </rPr>
          <t>Dorien Andrew:</t>
        </r>
        <r>
          <rPr>
            <sz val="9"/>
            <color indexed="81"/>
            <rFont val="Tahoma"/>
            <family val="2"/>
          </rPr>
          <t xml:space="preserve">
changing over from shandy to stag</t>
        </r>
      </text>
    </comment>
    <comment ref="J20" authorId="2" shapeId="0" xr:uid="{54B72BD0-7933-4DC4-8DD1-05E954436B87}">
      <text>
        <r>
          <rPr>
            <b/>
            <sz val="9"/>
            <color indexed="81"/>
            <rFont val="Tahoma"/>
            <family val="2"/>
          </rPr>
          <t>Dorien Andrew:</t>
        </r>
        <r>
          <rPr>
            <sz val="9"/>
            <color indexed="81"/>
            <rFont val="Tahoma"/>
            <family val="2"/>
          </rPr>
          <t xml:space="preserve">
product out of spec 15 mins waiting on product to be analyze</t>
        </r>
      </text>
    </comment>
    <comment ref="O20" authorId="1" shapeId="0" xr:uid="{F3FD2F54-CBAE-4D9D-93F8-FFD0F9A15F48}">
      <text>
        <r>
          <rPr>
            <b/>
            <sz val="9"/>
            <color indexed="81"/>
            <rFont val="Tahoma"/>
            <family val="2"/>
          </rPr>
          <t>Kaylil Baptiste:</t>
        </r>
        <r>
          <rPr>
            <sz val="9"/>
            <color indexed="81"/>
            <rFont val="Tahoma"/>
            <family val="2"/>
          </rPr>
          <t xml:space="preserve">
55mins uncaser sensor malfunction, 47mins uncaser head hitting crates</t>
        </r>
      </text>
    </comment>
    <comment ref="P20" authorId="1" shapeId="0" xr:uid="{74B04700-AFEF-4C53-A12B-4F8E6E1A31C2}">
      <text>
        <r>
          <rPr>
            <b/>
            <sz val="9"/>
            <color indexed="81"/>
            <rFont val="Tahoma"/>
            <family val="2"/>
          </rPr>
          <t>Kaylil Baptiste:</t>
        </r>
        <r>
          <rPr>
            <sz val="9"/>
            <color indexed="81"/>
            <rFont val="Tahoma"/>
            <family val="2"/>
          </rPr>
          <t xml:space="preserve">
20mins bottles jamming at washer discharge, 5mins bottles jamming a washer infeed</t>
        </r>
      </text>
    </comment>
    <comment ref="Q20" authorId="1" shapeId="0" xr:uid="{AB1AC92D-7479-46D5-9DCD-AAD973D7006B}">
      <text>
        <r>
          <rPr>
            <b/>
            <sz val="9"/>
            <color indexed="81"/>
            <rFont val="Tahoma"/>
            <family val="2"/>
          </rPr>
          <t>Kaylil Baptiste:</t>
        </r>
        <r>
          <rPr>
            <sz val="9"/>
            <color indexed="81"/>
            <rFont val="Tahoma"/>
            <family val="2"/>
          </rPr>
          <t xml:space="preserve">
37mins dead plate adjustments </t>
        </r>
      </text>
    </comment>
    <comment ref="R20" authorId="1" shapeId="0" xr:uid="{D2DE268D-8987-4B9A-9A1D-36CBBE354CF1}">
      <text>
        <r>
          <rPr>
            <b/>
            <sz val="9"/>
            <color indexed="81"/>
            <rFont val="Tahoma"/>
            <family val="2"/>
          </rPr>
          <t>Kaylil Baptiste:</t>
        </r>
        <r>
          <rPr>
            <sz val="9"/>
            <color indexed="81"/>
            <rFont val="Tahoma"/>
            <family val="2"/>
          </rPr>
          <t xml:space="preserve">
12mins adjustments to dead plate</t>
        </r>
      </text>
    </comment>
    <comment ref="I21" authorId="3" shapeId="0" xr:uid="{5CECB323-D949-47BD-8397-0D75FDC3F515}">
      <text>
        <r>
          <rPr>
            <b/>
            <sz val="9"/>
            <color indexed="81"/>
            <rFont val="Tahoma"/>
            <family val="2"/>
          </rPr>
          <t>Micah Noel:</t>
        </r>
        <r>
          <rPr>
            <sz val="9"/>
            <color indexed="81"/>
            <rFont val="Tahoma"/>
            <family val="2"/>
          </rPr>
          <t xml:space="preserve">
104mins filler preparation moving from Stag to Pink Ting </t>
        </r>
      </text>
    </comment>
    <comment ref="J21" authorId="3" shapeId="0" xr:uid="{93EC63BF-F271-4CBF-A6C7-BB9E9EFF26F2}">
      <text>
        <r>
          <rPr>
            <b/>
            <sz val="9"/>
            <color indexed="81"/>
            <rFont val="Tahoma"/>
            <family val="2"/>
          </rPr>
          <t>Micah Noel:</t>
        </r>
        <r>
          <rPr>
            <sz val="9"/>
            <color indexed="81"/>
            <rFont val="Tahoma"/>
            <family val="2"/>
          </rPr>
          <t xml:space="preserve">
13mins waiting for product from soft drink plant</t>
        </r>
      </text>
    </comment>
    <comment ref="M21" authorId="2" shapeId="0" xr:uid="{D957A8E7-50DE-4B6C-9D65-FAADD66934E8}">
      <text>
        <r>
          <rPr>
            <b/>
            <sz val="9"/>
            <color indexed="81"/>
            <rFont val="Tahoma"/>
            <family val="2"/>
          </rPr>
          <t>Dorien Andrew:</t>
        </r>
        <r>
          <rPr>
            <sz val="9"/>
            <color indexed="81"/>
            <rFont val="Tahoma"/>
            <family val="2"/>
          </rPr>
          <t xml:space="preserve">
6 mins for low water in soft drink plant </t>
        </r>
      </text>
    </comment>
    <comment ref="P21" authorId="1" shapeId="0" xr:uid="{4D4EF47F-D341-49AD-943F-09F0B84B834D}">
      <text>
        <r>
          <rPr>
            <b/>
            <sz val="9"/>
            <color indexed="81"/>
            <rFont val="Tahoma"/>
            <family val="2"/>
          </rPr>
          <t>Kaylil Baptiste:</t>
        </r>
        <r>
          <rPr>
            <sz val="9"/>
            <color indexed="81"/>
            <rFont val="Tahoma"/>
            <family val="2"/>
          </rPr>
          <t xml:space="preserve">
12mins bottles jam at washer discharge</t>
        </r>
      </text>
    </comment>
    <comment ref="V21" authorId="1" shapeId="0" xr:uid="{CF6F3C37-9760-4863-B2D5-7EB8C370031B}">
      <text>
        <r>
          <rPr>
            <b/>
            <sz val="9"/>
            <color indexed="81"/>
            <rFont val="Tahoma"/>
            <family val="2"/>
          </rPr>
          <t>Kaylil Baptiste:</t>
        </r>
        <r>
          <rPr>
            <sz val="9"/>
            <color indexed="81"/>
            <rFont val="Tahoma"/>
            <family val="2"/>
          </rPr>
          <t xml:space="preserve">
35 mins EBI infeed 1 conveyor running slow (ENI working to resolve), 7mins fallen bottles stick in shuffler</t>
        </r>
      </text>
    </comment>
    <comment ref="Z21" authorId="3" shapeId="0" xr:uid="{10D6AD86-5559-45B5-B36F-10E0F5F97E08}">
      <text>
        <r>
          <rPr>
            <b/>
            <sz val="9"/>
            <color indexed="81"/>
            <rFont val="Tahoma"/>
            <family val="2"/>
          </rPr>
          <t>Micah Noel:</t>
        </r>
        <r>
          <rPr>
            <sz val="9"/>
            <color indexed="81"/>
            <rFont val="Tahoma"/>
            <family val="2"/>
          </rPr>
          <t xml:space="preserve">
2 mins switching palletizer, 46 mins preparation delay due to fire alarm activation, 18mins washer loading 10mins for low manpower</t>
        </r>
      </text>
    </comment>
    <comment ref="AB21" authorId="1" shapeId="0" xr:uid="{4F11282C-ECDE-4ADF-B8BD-C164D035B7C3}">
      <text>
        <r>
          <rPr>
            <b/>
            <sz val="9"/>
            <color indexed="81"/>
            <rFont val="Tahoma"/>
            <family val="2"/>
          </rPr>
          <t>Kaylil Baptiste:</t>
        </r>
        <r>
          <rPr>
            <sz val="9"/>
            <color indexed="81"/>
            <rFont val="Tahoma"/>
            <family val="2"/>
          </rPr>
          <t xml:space="preserve">
30mins high rejection due to rewashed</t>
        </r>
      </text>
    </comment>
    <comment ref="I22" authorId="2" shapeId="0" xr:uid="{78BD0570-43F2-423D-A5C7-2B0FE2EA0DC2}">
      <text>
        <r>
          <rPr>
            <b/>
            <sz val="9"/>
            <color indexed="81"/>
            <rFont val="Tahoma"/>
            <family val="2"/>
          </rPr>
          <t>Dorien Andrew:</t>
        </r>
        <r>
          <rPr>
            <sz val="9"/>
            <color indexed="81"/>
            <rFont val="Tahoma"/>
            <family val="2"/>
          </rPr>
          <t xml:space="preserve">
19mins changing over from Pink ting to Green ting </t>
        </r>
      </text>
    </comment>
    <comment ref="J22" authorId="2" shapeId="0" xr:uid="{94E8DE54-D810-49FD-8A3D-88876D16A60F}">
      <text>
        <r>
          <rPr>
            <b/>
            <sz val="9"/>
            <color indexed="81"/>
            <rFont val="Tahoma"/>
            <family val="2"/>
          </rPr>
          <t>Dorien Andrew:</t>
        </r>
        <r>
          <rPr>
            <sz val="9"/>
            <color indexed="81"/>
            <rFont val="Tahoma"/>
            <family val="2"/>
          </rPr>
          <t xml:space="preserve">
137mins green ting mixing not complete filler waiting on product </t>
        </r>
      </text>
    </comment>
    <comment ref="O22" authorId="1" shapeId="0" xr:uid="{48C3E6AC-F955-408F-811A-75F8F2D0C61D}">
      <text>
        <r>
          <rPr>
            <b/>
            <sz val="9"/>
            <color indexed="81"/>
            <rFont val="Tahoma"/>
            <family val="2"/>
          </rPr>
          <t>Kaylil Baptiste:</t>
        </r>
        <r>
          <rPr>
            <sz val="9"/>
            <color indexed="81"/>
            <rFont val="Tahoma"/>
            <family val="2"/>
          </rPr>
          <t xml:space="preserve">
26mins uncaser head hitting crates</t>
        </r>
      </text>
    </comment>
    <comment ref="Z22" authorId="1" shapeId="0" xr:uid="{7E8CB96C-945E-489B-AB09-43AD071D1FAE}">
      <text>
        <r>
          <rPr>
            <b/>
            <sz val="9"/>
            <color indexed="81"/>
            <rFont val="Tahoma"/>
            <family val="2"/>
          </rPr>
          <t>Kaylil Baptiste:</t>
        </r>
        <r>
          <rPr>
            <sz val="9"/>
            <color indexed="81"/>
            <rFont val="Tahoma"/>
            <family val="2"/>
          </rPr>
          <t xml:space="preserve">
washer loading</t>
        </r>
      </text>
    </comment>
    <comment ref="I23" authorId="0" shapeId="0" xr:uid="{8609E0C2-1B3B-4308-A6B3-BB00D8F26396}">
      <text>
        <r>
          <rPr>
            <b/>
            <sz val="9"/>
            <color indexed="81"/>
            <rFont val="Tahoma"/>
            <family val="2"/>
          </rPr>
          <t>Michael Julien:</t>
        </r>
        <r>
          <rPr>
            <sz val="9"/>
            <color indexed="81"/>
            <rFont val="Tahoma"/>
            <family val="2"/>
          </rPr>
          <t xml:space="preserve">
77mins change over from Ting to Carib</t>
        </r>
      </text>
    </comment>
    <comment ref="O23" authorId="1" shapeId="0" xr:uid="{FA05F381-EA1B-4AF1-85B2-5AB45D94D4C7}">
      <text>
        <r>
          <rPr>
            <b/>
            <sz val="9"/>
            <color indexed="81"/>
            <rFont val="Tahoma"/>
            <family val="2"/>
          </rPr>
          <t>Kaylil Baptiste:</t>
        </r>
        <r>
          <rPr>
            <sz val="9"/>
            <color indexed="81"/>
            <rFont val="Tahoma"/>
            <family val="2"/>
          </rPr>
          <t xml:space="preserve">
14mins uncaser head hitting crates</t>
        </r>
      </text>
    </comment>
    <comment ref="P23" authorId="1" shapeId="0" xr:uid="{0D0891A8-680A-4D01-B1D2-14A2E6E2B446}">
      <text>
        <r>
          <rPr>
            <b/>
            <sz val="9"/>
            <color indexed="81"/>
            <rFont val="Tahoma"/>
            <family val="2"/>
          </rPr>
          <t>Kaylil Baptiste:</t>
        </r>
        <r>
          <rPr>
            <sz val="9"/>
            <color indexed="81"/>
            <rFont val="Tahoma"/>
            <family val="2"/>
          </rPr>
          <t xml:space="preserve">
10mins bottles jamming at infeed flap</t>
        </r>
      </text>
    </comment>
    <comment ref="Z23" authorId="3" shapeId="0" xr:uid="{3D01D8F2-BB7E-4F1B-852B-3F6541B34B02}">
      <text>
        <r>
          <rPr>
            <b/>
            <sz val="9"/>
            <color indexed="81"/>
            <rFont val="Tahoma"/>
            <family val="2"/>
          </rPr>
          <t>Micah Noel:</t>
        </r>
        <r>
          <rPr>
            <sz val="9"/>
            <color indexed="81"/>
            <rFont val="Tahoma"/>
            <family val="2"/>
          </rPr>
          <t xml:space="preserve">
6mins switching depalletizer (shift change)</t>
        </r>
      </text>
    </comment>
    <comment ref="P24" authorId="1" shapeId="0" xr:uid="{63E131D5-E141-4798-A4F7-020ECAC1EDA1}">
      <text>
        <r>
          <rPr>
            <b/>
            <sz val="9"/>
            <color indexed="81"/>
            <rFont val="Tahoma"/>
            <family val="2"/>
          </rPr>
          <t>Kaylil Baptiste:</t>
        </r>
        <r>
          <rPr>
            <sz val="9"/>
            <color indexed="81"/>
            <rFont val="Tahoma"/>
            <family val="2"/>
          </rPr>
          <t xml:space="preserve">
17mins bottles jamming at washer discharge, 14mins bottles jamming at washer infeed, 12mins rinse water tank level low, 8mins high rejection due to labels</t>
        </r>
      </text>
    </comment>
    <comment ref="Q24" authorId="1" shapeId="0" xr:uid="{EA5A0958-C0A3-499D-865B-FEA339A4CB15}">
      <text>
        <r>
          <rPr>
            <b/>
            <sz val="9"/>
            <color indexed="81"/>
            <rFont val="Tahoma"/>
            <family val="2"/>
          </rPr>
          <t>Kaylil Baptiste:</t>
        </r>
        <r>
          <rPr>
            <sz val="9"/>
            <color indexed="81"/>
            <rFont val="Tahoma"/>
            <family val="2"/>
          </rPr>
          <t xml:space="preserve">
6mins fallen bottles on OSW</t>
        </r>
      </text>
    </comment>
    <comment ref="V24" authorId="1" shapeId="0" xr:uid="{A7D23037-9F5C-464F-87C2-E113E5CEFC87}">
      <text>
        <r>
          <rPr>
            <b/>
            <sz val="9"/>
            <color indexed="81"/>
            <rFont val="Tahoma"/>
            <family val="2"/>
          </rPr>
          <t>Kaylil Baptiste:</t>
        </r>
        <r>
          <rPr>
            <sz val="9"/>
            <color indexed="81"/>
            <rFont val="Tahoma"/>
            <family val="2"/>
          </rPr>
          <t xml:space="preserve">
25mins fallen bottles stick in shuffler</t>
        </r>
      </text>
    </comment>
    <comment ref="Z24" authorId="3" shapeId="0" xr:uid="{BFF9E761-2F44-4027-87AF-E22715E8C835}">
      <text>
        <r>
          <rPr>
            <b/>
            <sz val="9"/>
            <color indexed="81"/>
            <rFont val="Tahoma"/>
            <family val="2"/>
          </rPr>
          <t>Micah Noel:</t>
        </r>
        <r>
          <rPr>
            <sz val="9"/>
            <color indexed="81"/>
            <rFont val="Tahoma"/>
            <family val="2"/>
          </rPr>
          <t xml:space="preserve">
removing pallet with crates from uncaser discharge. 10 mins for lack of man power at pasteurizer discharge 6 mins for cutting of loading </t>
        </r>
      </text>
    </comment>
    <comment ref="I25" authorId="2" shapeId="0" xr:uid="{9820BFFA-68A3-4D48-9B70-0FBB64F5924A}">
      <text>
        <r>
          <rPr>
            <b/>
            <sz val="9"/>
            <color indexed="81"/>
            <rFont val="Tahoma"/>
            <family val="2"/>
          </rPr>
          <t>Dorien Andrew:</t>
        </r>
        <r>
          <rPr>
            <sz val="9"/>
            <color indexed="81"/>
            <rFont val="Tahoma"/>
            <family val="2"/>
          </rPr>
          <t xml:space="preserve">
12mins changing over from carib to stag 21 mins changing from CDC green to short green. 15 mins change over from short to medium weight bottles.</t>
        </r>
      </text>
    </comment>
    <comment ref="L25" authorId="1" shapeId="0" xr:uid="{A089808C-C162-4AEE-8BC6-BFD2C6FAA7D7}">
      <text>
        <r>
          <rPr>
            <b/>
            <sz val="9"/>
            <color indexed="81"/>
            <rFont val="Tahoma"/>
            <family val="2"/>
          </rPr>
          <t>Kaylil Baptiste:</t>
        </r>
        <r>
          <rPr>
            <sz val="9"/>
            <color indexed="81"/>
            <rFont val="Tahoma"/>
            <family val="2"/>
          </rPr>
          <t xml:space="preserve">
20mins low CO2 on filler </t>
        </r>
      </text>
    </comment>
    <comment ref="O25" authorId="1" shapeId="0" xr:uid="{378E8682-E230-4B2D-984A-B5188619E1C8}">
      <text>
        <r>
          <rPr>
            <b/>
            <sz val="9"/>
            <color indexed="81"/>
            <rFont val="Tahoma"/>
            <family val="2"/>
          </rPr>
          <t>Kaylil Baptiste:</t>
        </r>
        <r>
          <rPr>
            <sz val="9"/>
            <color indexed="81"/>
            <rFont val="Tahoma"/>
            <family val="2"/>
          </rPr>
          <t xml:space="preserve">
19mins leaking suction cups, 8mins uncaser head jamming crates, 7mins broken air line on uncaser head</t>
        </r>
      </text>
    </comment>
    <comment ref="P25" authorId="1" shapeId="0" xr:uid="{2735C1C1-9299-47E1-9AFD-2A22CCCF2B6F}">
      <text>
        <r>
          <rPr>
            <b/>
            <sz val="9"/>
            <color indexed="81"/>
            <rFont val="Tahoma"/>
            <family val="2"/>
          </rPr>
          <t>Kaylil Baptiste:</t>
        </r>
        <r>
          <rPr>
            <sz val="9"/>
            <color indexed="81"/>
            <rFont val="Tahoma"/>
            <family val="2"/>
          </rPr>
          <t xml:space="preserve">
88mins stop to clean washer tanks, 37mins bottles jamming at washer discharge, 18mins bottles jamming at washer infeed</t>
        </r>
      </text>
    </comment>
    <comment ref="Q25" authorId="1" shapeId="0" xr:uid="{4BB90E4F-CBB9-4702-BC32-F4E1B9EBB4D4}">
      <text>
        <r>
          <rPr>
            <b/>
            <sz val="9"/>
            <color indexed="81"/>
            <rFont val="Tahoma"/>
            <family val="2"/>
          </rPr>
          <t>Kaylil Baptiste:</t>
        </r>
        <r>
          <rPr>
            <sz val="9"/>
            <color indexed="81"/>
            <rFont val="Tahoma"/>
            <family val="2"/>
          </rPr>
          <t xml:space="preserve">
33mins test bottle fail, 8mins high EBI rejection, 5mins fallen bottles on EBI starwheel, 5mins resetting EBI settings</t>
        </r>
      </text>
    </comment>
    <comment ref="T25" authorId="1" shapeId="0" xr:uid="{8B83FB54-6591-4382-82BB-0CEDBC1F3334}">
      <text>
        <r>
          <rPr>
            <b/>
            <sz val="9"/>
            <color indexed="81"/>
            <rFont val="Tahoma"/>
            <family val="2"/>
          </rPr>
          <t>Kaylil Baptiste:</t>
        </r>
        <r>
          <rPr>
            <sz val="9"/>
            <color indexed="81"/>
            <rFont val="Tahoma"/>
            <family val="2"/>
          </rPr>
          <t xml:space="preserve">
5mins missing labels</t>
        </r>
      </text>
    </comment>
    <comment ref="V25" authorId="1" shapeId="0" xr:uid="{CC7FACC2-0285-4DB6-95CE-8CF0888E6468}">
      <text>
        <r>
          <rPr>
            <b/>
            <sz val="9"/>
            <color indexed="81"/>
            <rFont val="Tahoma"/>
            <family val="2"/>
          </rPr>
          <t>Kaylil Baptiste:</t>
        </r>
        <r>
          <rPr>
            <sz val="9"/>
            <color indexed="81"/>
            <rFont val="Tahoma"/>
            <family val="2"/>
          </rPr>
          <t xml:space="preserve">
5mins fallen bottles stick in shuffler</t>
        </r>
      </text>
    </comment>
    <comment ref="Z25" authorId="3" shapeId="0" xr:uid="{D8AC8FF6-5426-453C-A47B-C99C32E93A8D}">
      <text>
        <r>
          <rPr>
            <b/>
            <sz val="9"/>
            <color indexed="81"/>
            <rFont val="Tahoma"/>
            <family val="2"/>
          </rPr>
          <t>Micah Noel:</t>
        </r>
        <r>
          <rPr>
            <sz val="9"/>
            <color indexed="81"/>
            <rFont val="Tahoma"/>
            <family val="2"/>
          </rPr>
          <t xml:space="preserve">
53mins midweek clean, 27 mins late arrival of staff transport</t>
        </r>
      </text>
    </comment>
    <comment ref="K26" authorId="1" shapeId="0" xr:uid="{B7056C08-EA9A-429D-AA14-2A6873A92632}">
      <text>
        <r>
          <rPr>
            <b/>
            <sz val="9"/>
            <color indexed="81"/>
            <rFont val="Tahoma"/>
            <family val="2"/>
          </rPr>
          <t>Kaylil Baptiste:</t>
        </r>
        <r>
          <rPr>
            <sz val="9"/>
            <color indexed="81"/>
            <rFont val="Tahoma"/>
            <family val="2"/>
          </rPr>
          <t xml:space="preserve">
30mins low air pressure on packer and uncaser </t>
        </r>
      </text>
    </comment>
    <comment ref="O26" authorId="1" shapeId="0" xr:uid="{E9D552A9-5447-4D28-85B7-30BFE0DCCA66}">
      <text>
        <r>
          <rPr>
            <b/>
            <sz val="9"/>
            <color indexed="81"/>
            <rFont val="Tahoma"/>
            <family val="2"/>
          </rPr>
          <t>Kaylil Baptiste:</t>
        </r>
        <r>
          <rPr>
            <sz val="9"/>
            <color indexed="81"/>
            <rFont val="Tahoma"/>
            <family val="2"/>
          </rPr>
          <t xml:space="preserve">
123mins leaking cups on uncaser</t>
        </r>
      </text>
    </comment>
    <comment ref="P26" authorId="1" shapeId="0" xr:uid="{191BEF3E-08C9-48F3-A773-B683335C42F9}">
      <text>
        <r>
          <rPr>
            <b/>
            <sz val="9"/>
            <color indexed="81"/>
            <rFont val="Tahoma"/>
            <family val="2"/>
          </rPr>
          <t>Kaylil Baptiste:</t>
        </r>
        <r>
          <rPr>
            <sz val="9"/>
            <color indexed="81"/>
            <rFont val="Tahoma"/>
            <family val="2"/>
          </rPr>
          <t xml:space="preserve">
18mins bottles jamming at washer infeed, 13mins high rejection due to labels </t>
        </r>
      </text>
    </comment>
    <comment ref="Q26" authorId="1" shapeId="0" xr:uid="{5F4C07C3-E33B-42C7-B158-AF454878F247}">
      <text>
        <r>
          <rPr>
            <b/>
            <sz val="9"/>
            <color indexed="81"/>
            <rFont val="Tahoma"/>
            <family val="2"/>
          </rPr>
          <t>Kaylil Baptiste:</t>
        </r>
        <r>
          <rPr>
            <sz val="9"/>
            <color indexed="81"/>
            <rFont val="Tahoma"/>
            <family val="2"/>
          </rPr>
          <t xml:space="preserve">
26mins EBI running slow, 12mins high EBI rejection, 6mins restarting EBI</t>
        </r>
      </text>
    </comment>
    <comment ref="T26" authorId="1" shapeId="0" xr:uid="{5CA4BEAC-71C3-48B4-B4B6-82FED1887D6A}">
      <text>
        <r>
          <rPr>
            <b/>
            <sz val="9"/>
            <color indexed="81"/>
            <rFont val="Tahoma"/>
            <family val="2"/>
          </rPr>
          <t>Kaylil Baptiste:</t>
        </r>
        <r>
          <rPr>
            <sz val="9"/>
            <color indexed="81"/>
            <rFont val="Tahoma"/>
            <family val="2"/>
          </rPr>
          <t xml:space="preserve">
37mins adjustments to stop bottles exiting half labeled, 33mins missing labels, 14mins twisted labels</t>
        </r>
      </text>
    </comment>
    <comment ref="U26" authorId="1" shapeId="0" xr:uid="{E9C9D9D8-D7BA-4214-8131-DE961B52208C}">
      <text>
        <r>
          <rPr>
            <b/>
            <sz val="9"/>
            <color indexed="81"/>
            <rFont val="Tahoma"/>
            <family val="2"/>
          </rPr>
          <t>Kaylil Baptiste:</t>
        </r>
        <r>
          <rPr>
            <sz val="9"/>
            <color indexed="81"/>
            <rFont val="Tahoma"/>
            <family val="2"/>
          </rPr>
          <t xml:space="preserve">
25mins videojet not printing</t>
        </r>
      </text>
    </comment>
    <comment ref="V26" authorId="1" shapeId="0" xr:uid="{842B5CAD-7680-4B90-9D46-0A79C6CD9126}">
      <text>
        <r>
          <rPr>
            <b/>
            <sz val="9"/>
            <color indexed="81"/>
            <rFont val="Tahoma"/>
            <family val="2"/>
          </rPr>
          <t>Kaylil Baptiste:</t>
        </r>
        <r>
          <rPr>
            <sz val="9"/>
            <color indexed="81"/>
            <rFont val="Tahoma"/>
            <family val="2"/>
          </rPr>
          <t xml:space="preserve">
83mins conveyor trip off then was running slow while engineering worked on it, 20mins EBI infeed conveyor running extremely fast causing bottles to trip at EBI starwheel, 7mins fallen bottles on EBI discharge, 5mins crate washer sensor malfunction</t>
        </r>
      </text>
    </comment>
    <comment ref="W26" authorId="1" shapeId="0" xr:uid="{2EC8738E-BF2B-4A5E-B051-00FDE0E205DC}">
      <text>
        <r>
          <rPr>
            <b/>
            <sz val="9"/>
            <color indexed="81"/>
            <rFont val="Tahoma"/>
            <family val="2"/>
          </rPr>
          <t>Kaylil Baptiste:</t>
        </r>
        <r>
          <rPr>
            <sz val="9"/>
            <color indexed="81"/>
            <rFont val="Tahoma"/>
            <family val="2"/>
          </rPr>
          <t xml:space="preserve">
39mins leaking cups on packer</t>
        </r>
      </text>
    </comment>
    <comment ref="Z26" authorId="3" shapeId="0" xr:uid="{C3C6D1F2-92F0-4C7F-BC2E-9D3CCDA81F29}">
      <text>
        <r>
          <rPr>
            <b/>
            <sz val="9"/>
            <color indexed="81"/>
            <rFont val="Tahoma"/>
            <family val="2"/>
          </rPr>
          <t>Micah Noel:</t>
        </r>
        <r>
          <rPr>
            <sz val="9"/>
            <color indexed="81"/>
            <rFont val="Tahoma"/>
            <family val="2"/>
          </rPr>
          <t xml:space="preserve">
Lunch break (note stag being bottled so crate lids person is active .. shandy being mixed and uncaser very problematic due to leaking suction cups so two person needed to man station 16 employees 17 positions ), 10mins midnight readings and switch over to new day</t>
        </r>
      </text>
    </comment>
    <comment ref="AB26" authorId="3" shapeId="0" xr:uid="{DCFD4111-E19F-4C9F-B989-C002195C3A14}">
      <text>
        <r>
          <rPr>
            <b/>
            <sz val="9"/>
            <color indexed="81"/>
            <rFont val="Tahoma"/>
            <family val="2"/>
          </rPr>
          <t>Micah Noel:</t>
        </r>
        <r>
          <rPr>
            <sz val="9"/>
            <color indexed="81"/>
            <rFont val="Tahoma"/>
            <family val="2"/>
          </rPr>
          <t xml:space="preserve">
26mins heavy rejection caused by pre-washed bottles</t>
        </r>
      </text>
    </comment>
    <comment ref="O27" authorId="1" shapeId="0" xr:uid="{52841FC1-3EEC-465B-98BD-96BA1DDA0A40}">
      <text>
        <r>
          <rPr>
            <b/>
            <sz val="9"/>
            <color indexed="81"/>
            <rFont val="Tahoma"/>
            <family val="2"/>
          </rPr>
          <t>Kaylil Baptiste:</t>
        </r>
        <r>
          <rPr>
            <sz val="9"/>
            <color indexed="81"/>
            <rFont val="Tahoma"/>
            <family val="2"/>
          </rPr>
          <t xml:space="preserve">
32mins uncaser leaking cups</t>
        </r>
      </text>
    </comment>
    <comment ref="V27" authorId="1" shapeId="0" xr:uid="{9CFE2619-801B-43E6-BE7B-8E73A87F4ED1}">
      <text>
        <r>
          <rPr>
            <b/>
            <sz val="9"/>
            <color indexed="81"/>
            <rFont val="Tahoma"/>
            <family val="2"/>
          </rPr>
          <t>Kaylil Baptiste:</t>
        </r>
        <r>
          <rPr>
            <sz val="9"/>
            <color indexed="81"/>
            <rFont val="Tahoma"/>
            <family val="2"/>
          </rPr>
          <t xml:space="preserve">
10mins fallen bottles inside shuffler</t>
        </r>
      </text>
    </comment>
    <comment ref="I28" authorId="1" shapeId="0" xr:uid="{0DB552C1-2E68-4C7B-A329-871079184F59}">
      <text>
        <r>
          <rPr>
            <b/>
            <sz val="9"/>
            <color indexed="81"/>
            <rFont val="Tahoma"/>
            <family val="2"/>
          </rPr>
          <t>Kaylil Baptiste:</t>
        </r>
        <r>
          <rPr>
            <sz val="9"/>
            <color indexed="81"/>
            <rFont val="Tahoma"/>
            <family val="2"/>
          </rPr>
          <t xml:space="preserve">
60mins product change over</t>
        </r>
      </text>
    </comment>
    <comment ref="O28" authorId="1" shapeId="0" xr:uid="{C7808FF8-DC36-41F6-92C0-695644ACB79B}">
      <text>
        <r>
          <rPr>
            <b/>
            <sz val="9"/>
            <color indexed="81"/>
            <rFont val="Tahoma"/>
            <family val="2"/>
          </rPr>
          <t>Kaylil Baptiste:</t>
        </r>
        <r>
          <rPr>
            <sz val="9"/>
            <color indexed="81"/>
            <rFont val="Tahoma"/>
            <family val="2"/>
          </rPr>
          <t xml:space="preserve">
26mins uncaser sensor malfunction, 12mins adjustment on uncaser</t>
        </r>
      </text>
    </comment>
    <comment ref="P28" authorId="1" shapeId="0" xr:uid="{45C8C0A3-4FB9-40C0-93B8-479A26713231}">
      <text>
        <r>
          <rPr>
            <b/>
            <sz val="9"/>
            <color indexed="81"/>
            <rFont val="Tahoma"/>
            <family val="2"/>
          </rPr>
          <t>Kaylil Baptiste:</t>
        </r>
        <r>
          <rPr>
            <sz val="9"/>
            <color indexed="81"/>
            <rFont val="Tahoma"/>
            <family val="2"/>
          </rPr>
          <t xml:space="preserve">
5mins falllen bottles at washer infeed flap</t>
        </r>
      </text>
    </comment>
    <comment ref="Q28" authorId="1" shapeId="0" xr:uid="{41EDE976-A90D-429E-8744-C097018E695D}">
      <text>
        <r>
          <rPr>
            <b/>
            <sz val="9"/>
            <color indexed="81"/>
            <rFont val="Tahoma"/>
            <family val="2"/>
          </rPr>
          <t>Kaylil Baptiste:</t>
        </r>
        <r>
          <rPr>
            <sz val="9"/>
            <color indexed="81"/>
            <rFont val="Tahoma"/>
            <family val="2"/>
          </rPr>
          <t xml:space="preserve">
8mins high EBI rejection</t>
        </r>
      </text>
    </comment>
    <comment ref="Z28" authorId="0" shapeId="0" xr:uid="{8FD84A2E-C548-4571-8CE3-82C74AC2C880}">
      <text>
        <r>
          <rPr>
            <b/>
            <sz val="9"/>
            <color indexed="81"/>
            <rFont val="Tahoma"/>
            <family val="2"/>
          </rPr>
          <t>Michael Julien:</t>
        </r>
        <r>
          <rPr>
            <sz val="9"/>
            <color indexed="81"/>
            <rFont val="Tahoma"/>
            <family val="2"/>
          </rPr>
          <t xml:space="preserve">
675mins Starmalt relabelling </t>
        </r>
      </text>
    </comment>
    <comment ref="D29" authorId="1" shapeId="0" xr:uid="{D4D5BFA7-2D30-4ADC-B1D9-D9290E663282}">
      <text>
        <r>
          <rPr>
            <b/>
            <sz val="9"/>
            <color indexed="81"/>
            <rFont val="Tahoma"/>
            <family val="2"/>
          </rPr>
          <t>Kaylil Baptiste:</t>
        </r>
        <r>
          <rPr>
            <sz val="9"/>
            <color indexed="81"/>
            <rFont val="Tahoma"/>
            <family val="2"/>
          </rPr>
          <t xml:space="preserve">
10:08am</t>
        </r>
      </text>
    </comment>
    <comment ref="J29" authorId="2" shapeId="0" xr:uid="{0294B069-1FCE-4D94-AE91-BFD6D83B6F50}">
      <text>
        <r>
          <rPr>
            <b/>
            <sz val="9"/>
            <color indexed="81"/>
            <rFont val="Tahoma"/>
            <family val="2"/>
          </rPr>
          <t>Dorien Andrew:</t>
        </r>
        <r>
          <rPr>
            <sz val="9"/>
            <color indexed="81"/>
            <rFont val="Tahoma"/>
            <family val="2"/>
          </rPr>
          <t xml:space="preserve">
waiting on product</t>
        </r>
      </text>
    </comment>
    <comment ref="N29" authorId="1" shapeId="0" xr:uid="{34EB4AF1-E9DE-4516-ACBC-185BC002A18B}">
      <text>
        <r>
          <rPr>
            <b/>
            <sz val="9"/>
            <color indexed="81"/>
            <rFont val="Tahoma"/>
            <family val="2"/>
          </rPr>
          <t>Kaylil Baptiste:</t>
        </r>
        <r>
          <rPr>
            <sz val="9"/>
            <color indexed="81"/>
            <rFont val="Tahoma"/>
            <family val="2"/>
          </rPr>
          <t xml:space="preserve">
360mins late start up due to boiler being down</t>
        </r>
      </text>
    </comment>
    <comment ref="O29" authorId="1" shapeId="0" xr:uid="{611A6CB5-4538-4B67-B8F1-895A037E03EC}">
      <text>
        <r>
          <rPr>
            <b/>
            <sz val="9"/>
            <color indexed="81"/>
            <rFont val="Tahoma"/>
            <family val="2"/>
          </rPr>
          <t>Kaylil Baptiste:</t>
        </r>
        <r>
          <rPr>
            <sz val="9"/>
            <color indexed="81"/>
            <rFont val="Tahoma"/>
            <family val="2"/>
          </rPr>
          <t xml:space="preserve">
11mins uncaser head malfuction, 7mins uncaser head hitting crates</t>
        </r>
      </text>
    </comment>
    <comment ref="P29" authorId="1" shapeId="0" xr:uid="{51D773C0-4D13-4271-B28F-7427D1FC3919}">
      <text>
        <r>
          <rPr>
            <b/>
            <sz val="9"/>
            <color indexed="81"/>
            <rFont val="Tahoma"/>
            <family val="2"/>
          </rPr>
          <t>Kaylil Baptiste:</t>
        </r>
        <r>
          <rPr>
            <sz val="9"/>
            <color indexed="81"/>
            <rFont val="Tahoma"/>
            <family val="2"/>
          </rPr>
          <t xml:space="preserve">
14mins bottles jam at washer discharge flap, 7mins bottles jam at washer infeed flap, 7mins removing bottles from crates due to damage rubbers in the washer cup</t>
        </r>
      </text>
    </comment>
    <comment ref="Q29" authorId="1" shapeId="0" xr:uid="{042790E2-6820-444E-B166-210956C5D697}">
      <text>
        <r>
          <rPr>
            <b/>
            <sz val="9"/>
            <color indexed="81"/>
            <rFont val="Tahoma"/>
            <family val="2"/>
          </rPr>
          <t>Kaylil Baptiste:</t>
        </r>
        <r>
          <rPr>
            <sz val="9"/>
            <color indexed="81"/>
            <rFont val="Tahoma"/>
            <family val="2"/>
          </rPr>
          <t xml:space="preserve">
9mins high EBI rejection, 6mins fallen bottles on EBI starwheel, 6mins EBI starwheel encoder failure</t>
        </r>
      </text>
    </comment>
    <comment ref="T29" authorId="1" shapeId="0" xr:uid="{974784FE-3A22-4E1C-8D98-54CB59CEB67A}">
      <text>
        <r>
          <rPr>
            <b/>
            <sz val="9"/>
            <color indexed="81"/>
            <rFont val="Tahoma"/>
            <family val="2"/>
          </rPr>
          <t>Kaylil Baptiste:</t>
        </r>
        <r>
          <rPr>
            <sz val="9"/>
            <color indexed="81"/>
            <rFont val="Tahoma"/>
            <family val="2"/>
          </rPr>
          <t xml:space="preserve">
17mins labeler adjustmentss</t>
        </r>
      </text>
    </comment>
    <comment ref="V29" authorId="1" shapeId="0" xr:uid="{31228524-E1C5-4086-A101-90C6BB3560CA}">
      <text>
        <r>
          <rPr>
            <b/>
            <sz val="9"/>
            <color indexed="81"/>
            <rFont val="Tahoma"/>
            <family val="2"/>
          </rPr>
          <t>Kaylil Baptiste:</t>
        </r>
        <r>
          <rPr>
            <sz val="9"/>
            <color indexed="81"/>
            <rFont val="Tahoma"/>
            <family val="2"/>
          </rPr>
          <t xml:space="preserve">
15mins EBI discharge conveyor not running, 8mins fallen bottles inside EBI shuffler, 7mins fallen bottle stuck on pasteurizer discharge conveyor</t>
        </r>
      </text>
    </comment>
    <comment ref="Z29" authorId="3" shapeId="0" xr:uid="{40FAED9E-6DEB-47D4-A9B5-30CB5D612BDC}">
      <text>
        <r>
          <rPr>
            <b/>
            <sz val="9"/>
            <color indexed="81"/>
            <rFont val="Tahoma"/>
            <family val="2"/>
          </rPr>
          <t>Micah Noel:</t>
        </r>
        <r>
          <rPr>
            <sz val="9"/>
            <color indexed="81"/>
            <rFont val="Tahoma"/>
            <family val="2"/>
          </rPr>
          <t xml:space="preserve">
6 mins palletizer chacking an issue with pallet tickets 120 mins town hall meeting, 103 washer heat up and loading (no bottling happened on previous shift) </t>
        </r>
      </text>
    </comment>
    <comment ref="G30" authorId="1" shapeId="0" xr:uid="{A7CA93F1-7462-4FB5-85AF-6160543A6191}">
      <text>
        <r>
          <rPr>
            <b/>
            <sz val="9"/>
            <color indexed="81"/>
            <rFont val="Tahoma"/>
            <family val="2"/>
          </rPr>
          <t>Kaylil Baptiste:</t>
        </r>
        <r>
          <rPr>
            <sz val="9"/>
            <color indexed="81"/>
            <rFont val="Tahoma"/>
            <family val="2"/>
          </rPr>
          <t xml:space="preserve">
10:30am</t>
        </r>
      </text>
    </comment>
    <comment ref="I30" authorId="0" shapeId="0" xr:uid="{22CF7535-C328-4F2B-BBAC-5D3487FF4141}">
      <text>
        <r>
          <rPr>
            <b/>
            <sz val="9"/>
            <color indexed="81"/>
            <rFont val="Tahoma"/>
            <family val="2"/>
          </rPr>
          <t>Michael Julien:</t>
        </r>
        <r>
          <rPr>
            <sz val="9"/>
            <color indexed="81"/>
            <rFont val="Tahoma"/>
            <family val="2"/>
          </rPr>
          <t xml:space="preserve">
17mins midnight change over also oiling and greasing filler</t>
        </r>
      </text>
    </comment>
    <comment ref="J30" authorId="1" shapeId="0" xr:uid="{92F517B6-8F18-47C2-8651-33A4A5DE50E1}">
      <text>
        <r>
          <rPr>
            <b/>
            <sz val="9"/>
            <color indexed="81"/>
            <rFont val="Tahoma"/>
            <family val="2"/>
          </rPr>
          <t>Kaylil Baptiste:</t>
        </r>
        <r>
          <rPr>
            <sz val="9"/>
            <color indexed="81"/>
            <rFont val="Tahoma"/>
            <family val="2"/>
          </rPr>
          <t xml:space="preserve">
31mins waiting on lab to release product</t>
        </r>
      </text>
    </comment>
    <comment ref="O30" authorId="1" shapeId="0" xr:uid="{FECB9C43-B734-40DD-B4F1-E0457980262B}">
      <text>
        <r>
          <rPr>
            <b/>
            <sz val="9"/>
            <color indexed="81"/>
            <rFont val="Tahoma"/>
            <family val="2"/>
          </rPr>
          <t>Kaylil Baptiste:</t>
        </r>
        <r>
          <rPr>
            <sz val="9"/>
            <color indexed="81"/>
            <rFont val="Tahoma"/>
            <family val="2"/>
          </rPr>
          <t xml:space="preserve">
9mins leaking cups on uncaser</t>
        </r>
      </text>
    </comment>
    <comment ref="P30" authorId="1" shapeId="0" xr:uid="{EDEC4527-7EA9-4B87-80B4-9176DB2E5FFC}">
      <text>
        <r>
          <rPr>
            <b/>
            <sz val="9"/>
            <color indexed="81"/>
            <rFont val="Tahoma"/>
            <family val="2"/>
          </rPr>
          <t>Kaylil Baptiste:</t>
        </r>
        <r>
          <rPr>
            <sz val="9"/>
            <color indexed="81"/>
            <rFont val="Tahoma"/>
            <family val="2"/>
          </rPr>
          <t xml:space="preserve">
873mins repairs to shaft on washer load table, 21mins bottles jam at washer discharge flap, 8mins bottles jam at washer infeed flap</t>
        </r>
      </text>
    </comment>
    <comment ref="Q30" authorId="1" shapeId="0" xr:uid="{330DCE31-4CCF-434F-8803-78E1CB5995FF}">
      <text>
        <r>
          <rPr>
            <b/>
            <sz val="9"/>
            <color indexed="81"/>
            <rFont val="Tahoma"/>
            <family val="2"/>
          </rPr>
          <t>Kaylil Baptiste:</t>
        </r>
        <r>
          <rPr>
            <sz val="9"/>
            <color indexed="81"/>
            <rFont val="Tahoma"/>
            <family val="2"/>
          </rPr>
          <t xml:space="preserve">
17mins high EBI rejection, 6mins fallen bottles on EBI starwheel</t>
        </r>
      </text>
    </comment>
    <comment ref="R30" authorId="1" shapeId="0" xr:uid="{71545E34-0558-4776-91AA-39702F5B6085}">
      <text>
        <r>
          <rPr>
            <b/>
            <sz val="9"/>
            <color indexed="81"/>
            <rFont val="Tahoma"/>
            <family val="2"/>
          </rPr>
          <t>Kaylil Baptiste:</t>
        </r>
        <r>
          <rPr>
            <sz val="9"/>
            <color indexed="81"/>
            <rFont val="Tahoma"/>
            <family val="2"/>
          </rPr>
          <t xml:space="preserve">
13mins damaged filler fobber filter housing</t>
        </r>
      </text>
    </comment>
    <comment ref="V30" authorId="1" shapeId="0" xr:uid="{15EA68D5-6B7D-40F0-A5AF-C23154A782EC}">
      <text>
        <r>
          <rPr>
            <b/>
            <sz val="9"/>
            <color indexed="81"/>
            <rFont val="Tahoma"/>
            <family val="2"/>
          </rPr>
          <t>Kaylil Baptiste:</t>
        </r>
        <r>
          <rPr>
            <sz val="9"/>
            <color indexed="81"/>
            <rFont val="Tahoma"/>
            <family val="2"/>
          </rPr>
          <t xml:space="preserve">
5mins fallen bottles inside EBI shuffler</t>
        </r>
      </text>
    </comment>
    <comment ref="W30" authorId="1" shapeId="0" xr:uid="{5D7F1B5A-0271-493C-B7EF-9771C04B158C}">
      <text>
        <r>
          <rPr>
            <b/>
            <sz val="9"/>
            <color indexed="81"/>
            <rFont val="Tahoma"/>
            <family val="2"/>
          </rPr>
          <t>Kaylil Baptiste:</t>
        </r>
        <r>
          <rPr>
            <sz val="9"/>
            <color indexed="81"/>
            <rFont val="Tahoma"/>
            <family val="2"/>
          </rPr>
          <t xml:space="preserve">
15mins changing leaking cups on packer </t>
        </r>
      </text>
    </comment>
    <comment ref="P31" authorId="1" shapeId="0" xr:uid="{4C66ABEC-C2FB-4990-8156-C23ED094A551}">
      <text>
        <r>
          <rPr>
            <b/>
            <sz val="9"/>
            <color indexed="81"/>
            <rFont val="Tahoma"/>
            <family val="2"/>
          </rPr>
          <t>Kaylil Baptiste:</t>
        </r>
        <r>
          <rPr>
            <sz val="9"/>
            <color indexed="81"/>
            <rFont val="Tahoma"/>
            <family val="2"/>
          </rPr>
          <t xml:space="preserve">
1440mins repairs to shaft on washer load table</t>
        </r>
      </text>
    </comment>
    <comment ref="O32" authorId="1" shapeId="0" xr:uid="{DB1B01CC-BC21-459F-8B4E-FB85BA298A9E}">
      <text>
        <r>
          <rPr>
            <b/>
            <sz val="9"/>
            <color indexed="81"/>
            <rFont val="Tahoma"/>
            <family val="2"/>
          </rPr>
          <t>Kaylil Baptiste:</t>
        </r>
        <r>
          <rPr>
            <sz val="9"/>
            <color indexed="81"/>
            <rFont val="Tahoma"/>
            <family val="2"/>
          </rPr>
          <t xml:space="preserve">
170mins leaking cups on uncaser, 7mins uncaser head hitting crates</t>
        </r>
      </text>
    </comment>
    <comment ref="P32" authorId="1" shapeId="0" xr:uid="{B33ED11F-7167-4370-9E53-9F9974AF05BE}">
      <text>
        <r>
          <rPr>
            <b/>
            <sz val="9"/>
            <color indexed="81"/>
            <rFont val="Tahoma"/>
            <family val="2"/>
          </rPr>
          <t>Kaylil Baptiste:</t>
        </r>
        <r>
          <rPr>
            <sz val="9"/>
            <color indexed="81"/>
            <rFont val="Tahoma"/>
            <family val="2"/>
          </rPr>
          <t xml:space="preserve">
120mins washer heating up after shaft repairs, 34mins bottles jamming when drop at discharge flap, 11mins high rejection due to labels on bottles</t>
        </r>
      </text>
    </comment>
    <comment ref="Q32" authorId="1" shapeId="0" xr:uid="{AFF52423-F5B8-4D0B-AA06-324F5A6549C6}">
      <text>
        <r>
          <rPr>
            <b/>
            <sz val="9"/>
            <color indexed="81"/>
            <rFont val="Tahoma"/>
            <family val="2"/>
          </rPr>
          <t>Kaylil Baptiste:</t>
        </r>
        <r>
          <rPr>
            <sz val="9"/>
            <color indexed="81"/>
            <rFont val="Tahoma"/>
            <family val="2"/>
          </rPr>
          <t xml:space="preserve">
38mins EBI test bottles failing, 13mins high EBI rejection</t>
        </r>
      </text>
    </comment>
    <comment ref="V32" authorId="1" shapeId="0" xr:uid="{2B562DFA-34D4-4758-AF96-FAD923B3940B}">
      <text>
        <r>
          <rPr>
            <b/>
            <sz val="9"/>
            <color indexed="81"/>
            <rFont val="Tahoma"/>
            <family val="2"/>
          </rPr>
          <t>Kaylil Baptiste:</t>
        </r>
        <r>
          <rPr>
            <sz val="9"/>
            <color indexed="81"/>
            <rFont val="Tahoma"/>
            <family val="2"/>
          </rPr>
          <t xml:space="preserve">
5mins EBI infeed conveyor malfunction caused bottle jam at starwheel</t>
        </r>
      </text>
    </comment>
    <comment ref="W32" authorId="1" shapeId="0" xr:uid="{E716B9DF-C71F-4B12-A3A9-075FAD487AA1}">
      <text>
        <r>
          <rPr>
            <b/>
            <sz val="9"/>
            <color indexed="81"/>
            <rFont val="Tahoma"/>
            <family val="2"/>
          </rPr>
          <t>Kaylil Baptiste:</t>
        </r>
        <r>
          <rPr>
            <sz val="9"/>
            <color indexed="81"/>
            <rFont val="Tahoma"/>
            <family val="2"/>
          </rPr>
          <t xml:space="preserve">
23mins changing leaking cups on packer </t>
        </r>
      </text>
    </comment>
    <comment ref="AB32" authorId="3" shapeId="0" xr:uid="{9CF69665-2091-4BB8-971F-278868EF80C6}">
      <text>
        <r>
          <rPr>
            <b/>
            <sz val="9"/>
            <color indexed="81"/>
            <rFont val="Tahoma"/>
            <family val="2"/>
          </rPr>
          <t>Micah Noel:</t>
        </r>
        <r>
          <rPr>
            <sz val="9"/>
            <color indexed="81"/>
            <rFont val="Tahoma"/>
            <family val="2"/>
          </rPr>
          <t xml:space="preserve">
heavy EBI rejections caused by pre-washed bottles</t>
        </r>
      </text>
    </comment>
    <comment ref="I33" authorId="2" shapeId="0" xr:uid="{B1E4CCB2-2FC2-4911-B128-1C0D9EE8257B}">
      <text>
        <r>
          <rPr>
            <b/>
            <sz val="9"/>
            <color indexed="81"/>
            <rFont val="Tahoma"/>
            <family val="2"/>
          </rPr>
          <t>Dorien Andrew:</t>
        </r>
        <r>
          <rPr>
            <sz val="9"/>
            <color indexed="81"/>
            <rFont val="Tahoma"/>
            <family val="2"/>
          </rPr>
          <t xml:space="preserve">
34mins change over from Carib to Shandy Sorrel</t>
        </r>
      </text>
    </comment>
    <comment ref="O33" authorId="1" shapeId="0" xr:uid="{E7296202-7EE8-479B-85DE-F4088CA46B71}">
      <text>
        <r>
          <rPr>
            <b/>
            <sz val="9"/>
            <color indexed="81"/>
            <rFont val="Tahoma"/>
            <family val="2"/>
          </rPr>
          <t>Kaylil Baptiste:</t>
        </r>
        <r>
          <rPr>
            <sz val="9"/>
            <color indexed="81"/>
            <rFont val="Tahoma"/>
            <family val="2"/>
          </rPr>
          <t xml:space="preserve">
57mins leaking cups on uncaser</t>
        </r>
      </text>
    </comment>
    <comment ref="Q33" authorId="1" shapeId="0" xr:uid="{547C6CAC-B2AA-45C7-905D-BDCDBB92B89F}">
      <text>
        <r>
          <rPr>
            <b/>
            <sz val="9"/>
            <color indexed="81"/>
            <rFont val="Tahoma"/>
            <family val="2"/>
          </rPr>
          <t>Kaylil Baptiste:</t>
        </r>
        <r>
          <rPr>
            <sz val="9"/>
            <color indexed="81"/>
            <rFont val="Tahoma"/>
            <family val="2"/>
          </rPr>
          <t xml:space="preserve">
9mins EBI test bottles failing</t>
        </r>
      </text>
    </comment>
    <comment ref="Z33" authorId="2" shapeId="0" xr:uid="{93B33762-AB1E-4574-B61A-40E8296A1BC7}">
      <text>
        <r>
          <rPr>
            <b/>
            <sz val="9"/>
            <color indexed="81"/>
            <rFont val="Tahoma"/>
            <family val="2"/>
          </rPr>
          <t>Dorien Andrew:</t>
        </r>
        <r>
          <rPr>
            <sz val="9"/>
            <color indexed="81"/>
            <rFont val="Tahoma"/>
            <family val="2"/>
          </rPr>
          <t xml:space="preserve">
8mins for cutting off loading </t>
        </r>
      </text>
    </comment>
    <comment ref="I34" authorId="1" shapeId="0" xr:uid="{B495D7ED-4433-4CF7-9276-20C655DC3CC6}">
      <text>
        <r>
          <rPr>
            <b/>
            <sz val="9"/>
            <color indexed="81"/>
            <rFont val="Tahoma"/>
            <family val="2"/>
          </rPr>
          <t>Kaylil Baptiste:</t>
        </r>
        <r>
          <rPr>
            <sz val="9"/>
            <color indexed="81"/>
            <rFont val="Tahoma"/>
            <family val="2"/>
          </rPr>
          <t xml:space="preserve">
69mins change over to Ting </t>
        </r>
      </text>
    </comment>
    <comment ref="J34" authorId="1" shapeId="0" xr:uid="{303A6923-6943-4715-9B61-B93BAD492D10}">
      <text>
        <r>
          <rPr>
            <b/>
            <sz val="9"/>
            <color indexed="81"/>
            <rFont val="Tahoma"/>
            <family val="2"/>
          </rPr>
          <t>Kaylil Baptiste:</t>
        </r>
        <r>
          <rPr>
            <sz val="9"/>
            <color indexed="81"/>
            <rFont val="Tahoma"/>
            <family val="2"/>
          </rPr>
          <t xml:space="preserve">
16mins waiting on product</t>
        </r>
      </text>
    </comment>
    <comment ref="O34" authorId="1" shapeId="0" xr:uid="{F50F9B13-B25C-4CC1-BC75-E2A3E3247352}">
      <text>
        <r>
          <rPr>
            <b/>
            <sz val="9"/>
            <color indexed="81"/>
            <rFont val="Tahoma"/>
            <family val="2"/>
          </rPr>
          <t>Kaylil Baptiste:</t>
        </r>
        <r>
          <rPr>
            <sz val="9"/>
            <color indexed="81"/>
            <rFont val="Tahoma"/>
            <family val="2"/>
          </rPr>
          <t xml:space="preserve">
89mins leaking cups on uncaser</t>
        </r>
      </text>
    </comment>
    <comment ref="M35" authorId="0" shapeId="0" xr:uid="{51CDC807-86FA-4DDB-BF7D-D5CF3A298B34}">
      <text>
        <r>
          <rPr>
            <b/>
            <sz val="9"/>
            <color indexed="81"/>
            <rFont val="Tahoma"/>
            <family val="2"/>
          </rPr>
          <t>Michael Julien:</t>
        </r>
        <r>
          <rPr>
            <sz val="9"/>
            <color indexed="81"/>
            <rFont val="Tahoma"/>
            <family val="2"/>
          </rPr>
          <t xml:space="preserve">
9mins low water in soft drink plant</t>
        </r>
      </text>
    </comment>
    <comment ref="O35" authorId="1" shapeId="0" xr:uid="{95CCA78A-AAB2-4469-B3AF-72D8D2FA18E5}">
      <text>
        <r>
          <rPr>
            <b/>
            <sz val="9"/>
            <color indexed="81"/>
            <rFont val="Tahoma"/>
            <family val="2"/>
          </rPr>
          <t>Kaylil Baptiste:</t>
        </r>
        <r>
          <rPr>
            <sz val="9"/>
            <color indexed="81"/>
            <rFont val="Tahoma"/>
            <family val="2"/>
          </rPr>
          <t xml:space="preserve">
90mins leaking cups on uncaser, 41mins uncaser head hitting crates</t>
        </r>
      </text>
    </comment>
    <comment ref="P35" authorId="1" shapeId="0" xr:uid="{5005A9D0-B217-43A3-8D1F-E2AAC72157BF}">
      <text>
        <r>
          <rPr>
            <b/>
            <sz val="9"/>
            <color indexed="81"/>
            <rFont val="Tahoma"/>
            <family val="2"/>
          </rPr>
          <t>Kaylil Baptiste:</t>
        </r>
        <r>
          <rPr>
            <sz val="9"/>
            <color indexed="81"/>
            <rFont val="Tahoma"/>
            <family val="2"/>
          </rPr>
          <t xml:space="preserve">
9mins bottles jamming at washer discharge flap </t>
        </r>
      </text>
    </comment>
    <comment ref="Q35" authorId="1" shapeId="0" xr:uid="{D4F48B60-D50F-4458-BE6B-7E38E1AB0AB0}">
      <text>
        <r>
          <rPr>
            <b/>
            <sz val="9"/>
            <color indexed="81"/>
            <rFont val="Tahoma"/>
            <family val="2"/>
          </rPr>
          <t>Kaylil Baptiste:</t>
        </r>
        <r>
          <rPr>
            <sz val="9"/>
            <color indexed="81"/>
            <rFont val="Tahoma"/>
            <family val="2"/>
          </rPr>
          <t xml:space="preserve">
17mins EBI running slow</t>
        </r>
      </text>
    </comment>
    <comment ref="Z35" authorId="0" shapeId="0" xr:uid="{49BD1FD3-F51D-45B6-82A2-E6A528162735}">
      <text>
        <r>
          <rPr>
            <b/>
            <sz val="9"/>
            <color indexed="81"/>
            <rFont val="Tahoma"/>
            <family val="2"/>
          </rPr>
          <t>Michael Julien:</t>
        </r>
        <r>
          <rPr>
            <sz val="9"/>
            <color indexed="81"/>
            <rFont val="Tahoma"/>
            <family val="2"/>
          </rPr>
          <t xml:space="preserve">
12mins stop to full line</t>
        </r>
      </text>
    </comment>
    <comment ref="I36" authorId="4" shapeId="0" xr:uid="{CC5F0526-C952-4043-8F22-90377DAACFCE}">
      <text>
        <r>
          <rPr>
            <b/>
            <sz val="9"/>
            <color indexed="81"/>
            <rFont val="Tahoma"/>
            <family val="2"/>
          </rPr>
          <t>Tyrell Bartholomew:</t>
        </r>
        <r>
          <rPr>
            <sz val="9"/>
            <color indexed="81"/>
            <rFont val="Tahoma"/>
            <family val="2"/>
          </rPr>
          <t xml:space="preserve">
73mins changing over from Ting Original to Carib.
6mins laber change over  from Ting to Carib </t>
        </r>
      </text>
    </comment>
    <comment ref="M36" authorId="4" shapeId="0" xr:uid="{FAEA7E6A-8FD8-4881-A335-D8D0D57BFEDD}">
      <text>
        <r>
          <rPr>
            <b/>
            <sz val="9"/>
            <color indexed="81"/>
            <rFont val="Tahoma"/>
            <family val="2"/>
          </rPr>
          <t>Tyrell Bartholomew:</t>
        </r>
        <r>
          <rPr>
            <sz val="9"/>
            <color indexed="81"/>
            <rFont val="Tahoma"/>
            <family val="2"/>
          </rPr>
          <t xml:space="preserve">
10mins low water pressure in soft drink plant  which delayed change over.</t>
        </r>
      </text>
    </comment>
    <comment ref="O36" authorId="1" shapeId="0" xr:uid="{F2355ED0-D24D-409E-AF08-4243A0319D82}">
      <text>
        <r>
          <rPr>
            <b/>
            <sz val="9"/>
            <color indexed="81"/>
            <rFont val="Tahoma"/>
            <family val="2"/>
          </rPr>
          <t>Kaylil Baptiste:</t>
        </r>
        <r>
          <rPr>
            <sz val="9"/>
            <color indexed="81"/>
            <rFont val="Tahoma"/>
            <family val="2"/>
          </rPr>
          <t xml:space="preserve">
94mins leaking cups on uncaser, 21mins uncaser head hitting crates</t>
        </r>
      </text>
    </comment>
    <comment ref="P36" authorId="1" shapeId="0" xr:uid="{D11FEF10-C72A-4DC4-B52D-C961D26D1CDE}">
      <text>
        <r>
          <rPr>
            <b/>
            <sz val="9"/>
            <color indexed="81"/>
            <rFont val="Tahoma"/>
            <family val="2"/>
          </rPr>
          <t>Kaylil Baptiste:</t>
        </r>
        <r>
          <rPr>
            <sz val="9"/>
            <color indexed="81"/>
            <rFont val="Tahoma"/>
            <family val="2"/>
          </rPr>
          <t xml:space="preserve">
5mins bottles jamming at washer discharge flap </t>
        </r>
      </text>
    </comment>
    <comment ref="S36" authorId="1" shapeId="0" xr:uid="{7DA01F5D-2ABE-4779-AF1F-7C58547FE8D7}">
      <text>
        <r>
          <rPr>
            <b/>
            <sz val="9"/>
            <color indexed="81"/>
            <rFont val="Tahoma"/>
            <family val="2"/>
          </rPr>
          <t>Kaylil Baptiste:</t>
        </r>
        <r>
          <rPr>
            <sz val="9"/>
            <color indexed="81"/>
            <rFont val="Tahoma"/>
            <family val="2"/>
          </rPr>
          <t xml:space="preserve">
29mins changing product from Ting to Carib (waiting for temperature drop )</t>
        </r>
      </text>
    </comment>
    <comment ref="T36" authorId="1" shapeId="0" xr:uid="{8258E51F-B3EE-4AE4-A6D8-421F541166FF}">
      <text>
        <r>
          <rPr>
            <b/>
            <sz val="9"/>
            <color indexed="81"/>
            <rFont val="Tahoma"/>
            <family val="2"/>
          </rPr>
          <t>Kaylil Baptiste:</t>
        </r>
        <r>
          <rPr>
            <sz val="9"/>
            <color indexed="81"/>
            <rFont val="Tahoma"/>
            <family val="2"/>
          </rPr>
          <t xml:space="preserve">
17mins damaged star wheel </t>
        </r>
      </text>
    </comment>
    <comment ref="W36" authorId="1" shapeId="0" xr:uid="{2D737EA4-064B-400D-9B79-61643FA7EB35}">
      <text>
        <r>
          <rPr>
            <b/>
            <sz val="9"/>
            <color indexed="81"/>
            <rFont val="Tahoma"/>
            <family val="2"/>
          </rPr>
          <t>Kaylil Baptiste:</t>
        </r>
        <r>
          <rPr>
            <sz val="9"/>
            <color indexed="81"/>
            <rFont val="Tahoma"/>
            <family val="2"/>
          </rPr>
          <t xml:space="preserve">
70mins leaking cups on packer, 7mins sensor damaged by bottle dropping from a compromised suction cup</t>
        </r>
      </text>
    </comment>
    <comment ref="AB36" authorId="3" shapeId="0" xr:uid="{6266F5C9-7B66-4231-9545-C71522A5387D}">
      <text>
        <r>
          <rPr>
            <b/>
            <sz val="9"/>
            <color indexed="81"/>
            <rFont val="Tahoma"/>
            <family val="2"/>
          </rPr>
          <t xml:space="preserve">Micah Noel
Micah Noel:
</t>
        </r>
        <r>
          <rPr>
            <sz val="9"/>
            <color indexed="81"/>
            <rFont val="Tahoma"/>
            <family val="2"/>
          </rPr>
          <t>42mins enquiring about and creating gap in washer for pre-washed bottles (uncaser suction cups issue also), 5 mnis high rejections caused by pre-washed bottles</t>
        </r>
      </text>
    </comment>
    <comment ref="D37" authorId="1" shapeId="0" xr:uid="{3E423946-64D0-4C7A-850D-B40A6C31B02B}">
      <text>
        <r>
          <rPr>
            <b/>
            <sz val="9"/>
            <color indexed="81"/>
            <rFont val="Tahoma"/>
            <family val="2"/>
          </rPr>
          <t>Kaylil Baptiste:</t>
        </r>
        <r>
          <rPr>
            <sz val="9"/>
            <color indexed="81"/>
            <rFont val="Tahoma"/>
            <family val="2"/>
          </rPr>
          <t xml:space="preserve">
1:00</t>
        </r>
      </text>
    </comment>
    <comment ref="J37" authorId="3" shapeId="0" xr:uid="{D4415EF4-DCCF-4A8B-97C2-830459F81BA9}">
      <text>
        <r>
          <rPr>
            <b/>
            <sz val="9"/>
            <color indexed="81"/>
            <rFont val="Tahoma"/>
            <family val="2"/>
          </rPr>
          <t>Micah Noel:</t>
        </r>
        <r>
          <rPr>
            <sz val="9"/>
            <color indexed="81"/>
            <rFont val="Tahoma"/>
            <family val="2"/>
          </rPr>
          <t xml:space="preserve">
low filler bowl level3 mins low filler bowl level 33 mins waiting for product realease by QA</t>
        </r>
      </text>
    </comment>
    <comment ref="O37" authorId="1" shapeId="0" xr:uid="{91F51FE5-6F3B-4B8E-B7DF-5219F8A20DC4}">
      <text>
        <r>
          <rPr>
            <b/>
            <sz val="9"/>
            <color indexed="81"/>
            <rFont val="Tahoma"/>
            <family val="2"/>
          </rPr>
          <t>Kaylil Baptiste:</t>
        </r>
        <r>
          <rPr>
            <sz val="9"/>
            <color indexed="81"/>
            <rFont val="Tahoma"/>
            <family val="2"/>
          </rPr>
          <t xml:space="preserve">
152mins leaking suction cups on uncaser, 9mins uncaser head hitting crates, 8mins uncaser head malfunction</t>
        </r>
      </text>
    </comment>
    <comment ref="P37" authorId="1" shapeId="0" xr:uid="{97F67E36-2025-45DE-AF2F-33D96600B23D}">
      <text>
        <r>
          <rPr>
            <b/>
            <sz val="9"/>
            <color indexed="81"/>
            <rFont val="Tahoma"/>
            <family val="2"/>
          </rPr>
          <t>Kaylil Baptiste:</t>
        </r>
        <r>
          <rPr>
            <sz val="9"/>
            <color indexed="81"/>
            <rFont val="Tahoma"/>
            <family val="2"/>
          </rPr>
          <t xml:space="preserve">
31mins fallen bottles on washer infeed flap, 11mins fallen bottles on washer discharge flap</t>
        </r>
      </text>
    </comment>
    <comment ref="Q37" authorId="1" shapeId="0" xr:uid="{C0A3D17E-A645-4B8A-821E-FCAF7DAA7F41}">
      <text>
        <r>
          <rPr>
            <b/>
            <sz val="9"/>
            <color indexed="81"/>
            <rFont val="Tahoma"/>
            <family val="2"/>
          </rPr>
          <t>Kaylil Baptiste:</t>
        </r>
        <r>
          <rPr>
            <sz val="9"/>
            <color indexed="81"/>
            <rFont val="Tahoma"/>
            <family val="2"/>
          </rPr>
          <t xml:space="preserve">
42mins high EBI rejection, 18mins test bottle #5 failing (tape had to be changed), 8mins fallen bottles on EBI starwheel, 5mins fallen bottles on OSW</t>
        </r>
      </text>
    </comment>
    <comment ref="S37" authorId="1" shapeId="0" xr:uid="{68F5BE53-6384-4219-BE26-5F4DC3A0D1E8}">
      <text>
        <r>
          <rPr>
            <b/>
            <sz val="9"/>
            <color indexed="81"/>
            <rFont val="Tahoma"/>
            <family val="2"/>
          </rPr>
          <t>Kaylil Baptiste:</t>
        </r>
        <r>
          <rPr>
            <sz val="9"/>
            <color indexed="81"/>
            <rFont val="Tahoma"/>
            <family val="2"/>
          </rPr>
          <t xml:space="preserve">
14mins high PU on pasteurizer</t>
        </r>
      </text>
    </comment>
    <comment ref="V37" authorId="1" shapeId="0" xr:uid="{A750AB86-E519-44E9-AFB5-E2AF6B167C28}">
      <text>
        <r>
          <rPr>
            <b/>
            <sz val="9"/>
            <color indexed="81"/>
            <rFont val="Tahoma"/>
            <family val="2"/>
          </rPr>
          <t>Kaylil Baptiste:</t>
        </r>
        <r>
          <rPr>
            <sz val="9"/>
            <color indexed="81"/>
            <rFont val="Tahoma"/>
            <family val="2"/>
          </rPr>
          <t xml:space="preserve">
300mins EBI discharge conveyor not coming on, 150mins EBI infeed conveyor is not stopping when emergency button is pressed while 
discharge #2 is taking longer to rest than is normal (ENI called in to rectify), 8mins fallen bottles on EBI shuffler, 6mins fallen bottles on EBI discharge</t>
        </r>
      </text>
    </comment>
    <comment ref="W37" authorId="1" shapeId="0" xr:uid="{FE6DEA6F-8C42-44B6-B2D7-44C89C2FFEF1}">
      <text>
        <r>
          <rPr>
            <b/>
            <sz val="9"/>
            <color indexed="81"/>
            <rFont val="Tahoma"/>
            <family val="2"/>
          </rPr>
          <t>Kaylil Baptiste:</t>
        </r>
        <r>
          <rPr>
            <sz val="9"/>
            <color indexed="81"/>
            <rFont val="Tahoma"/>
            <family val="2"/>
          </rPr>
          <t xml:space="preserve">
10mins leaking cups on packer</t>
        </r>
      </text>
    </comment>
    <comment ref="Z37" authorId="2" shapeId="0" xr:uid="{B48F178B-A4D8-4C82-B62B-FF892D5A8B94}">
      <text>
        <r>
          <rPr>
            <b/>
            <sz val="9"/>
            <color indexed="81"/>
            <rFont val="Tahoma"/>
            <family val="2"/>
          </rPr>
          <t>Dorien Andrew:</t>
        </r>
        <r>
          <rPr>
            <sz val="9"/>
            <color indexed="81"/>
            <rFont val="Tahoma"/>
            <family val="2"/>
          </rPr>
          <t xml:space="preserve">
60mins washer loading which started late because of late bus </t>
        </r>
      </text>
    </comment>
    <comment ref="AB37" authorId="3" shapeId="0" xr:uid="{C44EC1C4-F809-4A92-911D-9127BD7E43F4}">
      <text>
        <r>
          <rPr>
            <b/>
            <sz val="9"/>
            <color indexed="81"/>
            <rFont val="Tahoma"/>
            <family val="2"/>
          </rPr>
          <t>Micah Noel:</t>
        </r>
        <r>
          <rPr>
            <sz val="9"/>
            <color indexed="81"/>
            <rFont val="Tahoma"/>
            <family val="2"/>
          </rPr>
          <t xml:space="preserve">
High EBI rejections caused by pre-washer bottles</t>
        </r>
      </text>
    </comment>
    <comment ref="J38" authorId="1" shapeId="0" xr:uid="{265D071D-B546-44C4-B55C-6FB3BEE79BB6}">
      <text>
        <r>
          <rPr>
            <b/>
            <sz val="9"/>
            <color indexed="81"/>
            <rFont val="Tahoma"/>
            <family val="2"/>
          </rPr>
          <t>Kaylil Baptiste:</t>
        </r>
        <r>
          <rPr>
            <sz val="9"/>
            <color indexed="81"/>
            <rFont val="Tahoma"/>
            <family val="2"/>
          </rPr>
          <t xml:space="preserve">
7mins waiting on product </t>
        </r>
      </text>
    </comment>
    <comment ref="O38" authorId="1" shapeId="0" xr:uid="{4683D8BA-9C00-4537-AA7D-CC3EA597BA52}">
      <text>
        <r>
          <rPr>
            <b/>
            <sz val="9"/>
            <color indexed="81"/>
            <rFont val="Tahoma"/>
            <family val="2"/>
          </rPr>
          <t>Kaylil Baptiste:</t>
        </r>
        <r>
          <rPr>
            <sz val="9"/>
            <color indexed="81"/>
            <rFont val="Tahoma"/>
            <family val="2"/>
          </rPr>
          <t xml:space="preserve">
17mins leaking cups on uncaser</t>
        </r>
      </text>
    </comment>
    <comment ref="P38" authorId="1" shapeId="0" xr:uid="{C44175F1-4F4D-4AEF-88B1-1AC201737F2B}">
      <text>
        <r>
          <rPr>
            <b/>
            <sz val="9"/>
            <color indexed="81"/>
            <rFont val="Tahoma"/>
            <family val="2"/>
          </rPr>
          <t>Kaylil Baptiste:</t>
        </r>
        <r>
          <rPr>
            <sz val="9"/>
            <color indexed="81"/>
            <rFont val="Tahoma"/>
            <family val="2"/>
          </rPr>
          <t xml:space="preserve">
15mins fallen bottles on washer discharge flap</t>
        </r>
      </text>
    </comment>
    <comment ref="Q38" authorId="1" shapeId="0" xr:uid="{DB3D3AF7-8554-428A-B62E-CDC84C8A2B86}">
      <text>
        <r>
          <rPr>
            <b/>
            <sz val="9"/>
            <color indexed="81"/>
            <rFont val="Tahoma"/>
            <family val="2"/>
          </rPr>
          <t>Kaylil Baptiste:</t>
        </r>
        <r>
          <rPr>
            <sz val="9"/>
            <color indexed="81"/>
            <rFont val="Tahoma"/>
            <family val="2"/>
          </rPr>
          <t xml:space="preserve">
8mins high EBI rejection </t>
        </r>
      </text>
    </comment>
    <comment ref="V38" authorId="1" shapeId="0" xr:uid="{E1CF8AAC-9D3A-40CE-8531-AEEC63FD3572}">
      <text>
        <r>
          <rPr>
            <b/>
            <sz val="9"/>
            <color indexed="81"/>
            <rFont val="Tahoma"/>
            <family val="2"/>
          </rPr>
          <t>Kaylil Baptiste:</t>
        </r>
        <r>
          <rPr>
            <sz val="9"/>
            <color indexed="81"/>
            <rFont val="Tahoma"/>
            <family val="2"/>
          </rPr>
          <t xml:space="preserve">
11mins fallen bottles on EBI shuffler</t>
        </r>
      </text>
    </comment>
    <comment ref="Z38" authorId="2" shapeId="0" xr:uid="{7556B342-4FF2-4508-A80C-5109854F92E4}">
      <text>
        <r>
          <rPr>
            <b/>
            <sz val="9"/>
            <color indexed="81"/>
            <rFont val="Tahoma"/>
            <family val="2"/>
          </rPr>
          <t>Dorien Andrew:</t>
        </r>
        <r>
          <rPr>
            <sz val="9"/>
            <color indexed="81"/>
            <rFont val="Tahoma"/>
            <family val="2"/>
          </rPr>
          <t xml:space="preserve">
12mins stop to take midnight reading </t>
        </r>
      </text>
    </comment>
    <comment ref="I39" authorId="3" shapeId="0" xr:uid="{9864BA3D-6765-47A7-9F6F-548FC455CF54}">
      <text>
        <r>
          <rPr>
            <b/>
            <sz val="9"/>
            <color indexed="81"/>
            <rFont val="Tahoma"/>
            <family val="2"/>
          </rPr>
          <t>Micah Noel:</t>
        </r>
        <r>
          <rPr>
            <sz val="9"/>
            <color indexed="81"/>
            <rFont val="Tahoma"/>
            <family val="2"/>
          </rPr>
          <t xml:space="preserve">
12mins product change over</t>
        </r>
      </text>
    </comment>
    <comment ref="O39" authorId="1" shapeId="0" xr:uid="{E0D1DFBC-CA91-4C56-93FF-FBCBC90D33E5}">
      <text>
        <r>
          <rPr>
            <b/>
            <sz val="9"/>
            <color indexed="81"/>
            <rFont val="Tahoma"/>
            <family val="2"/>
          </rPr>
          <t>Kaylil Baptiste:</t>
        </r>
        <r>
          <rPr>
            <sz val="9"/>
            <color indexed="81"/>
            <rFont val="Tahoma"/>
            <family val="2"/>
          </rPr>
          <t xml:space="preserve">
16mins leaking cups on uncaser</t>
        </r>
      </text>
    </comment>
    <comment ref="P39" authorId="1" shapeId="0" xr:uid="{08D22EE4-6156-4212-97F0-570E8AD6D070}">
      <text>
        <r>
          <rPr>
            <b/>
            <sz val="9"/>
            <color indexed="81"/>
            <rFont val="Tahoma"/>
            <family val="2"/>
          </rPr>
          <t>Kaylil Baptiste:</t>
        </r>
        <r>
          <rPr>
            <sz val="9"/>
            <color indexed="81"/>
            <rFont val="Tahoma"/>
            <family val="2"/>
          </rPr>
          <t xml:space="preserve">
30mins high rejection due to labels on bottles</t>
        </r>
      </text>
    </comment>
    <comment ref="Q39" authorId="1" shapeId="0" xr:uid="{ECECBE75-B6A8-4CC7-8499-B363C9D33780}">
      <text>
        <r>
          <rPr>
            <b/>
            <sz val="9"/>
            <color indexed="81"/>
            <rFont val="Tahoma"/>
            <family val="2"/>
          </rPr>
          <t>Kaylil Baptiste:</t>
        </r>
        <r>
          <rPr>
            <sz val="9"/>
            <color indexed="81"/>
            <rFont val="Tahoma"/>
            <family val="2"/>
          </rPr>
          <t xml:space="preserve">
43mins high EBI rejection, 42mins test bottle failure, 24mins fallen bottles jam EBI starwheel</t>
        </r>
      </text>
    </comment>
    <comment ref="S39" authorId="1" shapeId="0" xr:uid="{910A1047-01F6-468A-8886-8CD4E2323FCA}">
      <text>
        <r>
          <rPr>
            <b/>
            <sz val="9"/>
            <color indexed="81"/>
            <rFont val="Tahoma"/>
            <family val="2"/>
          </rPr>
          <t>Kaylil Baptiste:</t>
        </r>
        <r>
          <rPr>
            <sz val="9"/>
            <color indexed="81"/>
            <rFont val="Tahoma"/>
            <family val="2"/>
          </rPr>
          <t xml:space="preserve">
177 mins broken shaft on pasteurizer pump 5, 103mins to full tank and heat up pasteurizer</t>
        </r>
      </text>
    </comment>
    <comment ref="V39" authorId="1" shapeId="0" xr:uid="{3D4FCD83-A8E2-4CBA-A179-7873A7874903}">
      <text>
        <r>
          <rPr>
            <b/>
            <sz val="9"/>
            <color indexed="81"/>
            <rFont val="Tahoma"/>
            <family val="2"/>
          </rPr>
          <t>Kaylil Baptiste:</t>
        </r>
        <r>
          <rPr>
            <sz val="9"/>
            <color indexed="81"/>
            <rFont val="Tahoma"/>
            <family val="2"/>
          </rPr>
          <t xml:space="preserve">
72mins labeler infeed conveyor repairs (stuttering)</t>
        </r>
      </text>
    </comment>
    <comment ref="AB39" authorId="3" shapeId="0" xr:uid="{5AB9EE4F-DAD2-4756-8C65-787292A99E88}">
      <text>
        <r>
          <rPr>
            <b/>
            <sz val="9"/>
            <color indexed="81"/>
            <rFont val="Tahoma"/>
            <family val="2"/>
          </rPr>
          <t>Micah Noel:</t>
        </r>
        <r>
          <rPr>
            <sz val="9"/>
            <color indexed="81"/>
            <rFont val="Tahoma"/>
            <family val="2"/>
          </rPr>
          <t xml:space="preserve">
16mins high rejection caused by old and mixed bottles </t>
        </r>
      </text>
    </comment>
    <comment ref="I40" authorId="2" shapeId="0" xr:uid="{BE60E7E9-AFDA-4C7E-83BD-823E0B7A2067}">
      <text>
        <r>
          <rPr>
            <b/>
            <sz val="9"/>
            <color indexed="81"/>
            <rFont val="Tahoma"/>
            <family val="2"/>
          </rPr>
          <t>Dorien Andrew:</t>
        </r>
        <r>
          <rPr>
            <sz val="9"/>
            <color indexed="81"/>
            <rFont val="Tahoma"/>
            <family val="2"/>
          </rPr>
          <t xml:space="preserve">
25mins change over from Guinness to Stag, 6mins stop to create gap in washer to switch from Guinn to CDC Green bottles</t>
        </r>
      </text>
    </comment>
    <comment ref="O40" authorId="1" shapeId="0" xr:uid="{218C4E06-575F-47BB-8A47-43C9F1D79239}">
      <text>
        <r>
          <rPr>
            <b/>
            <sz val="9"/>
            <color indexed="81"/>
            <rFont val="Tahoma"/>
            <family val="2"/>
          </rPr>
          <t>Kaylil Baptiste:</t>
        </r>
        <r>
          <rPr>
            <sz val="9"/>
            <color indexed="81"/>
            <rFont val="Tahoma"/>
            <family val="2"/>
          </rPr>
          <t xml:space="preserve">
56mins stop to repair stem on uncaser head, 22mins leaking cups, 16mins sensor adjustment on uncaser</t>
        </r>
      </text>
    </comment>
    <comment ref="P40" authorId="1" shapeId="0" xr:uid="{71BE4B94-384B-4320-AB56-13E2D1764E36}">
      <text>
        <r>
          <rPr>
            <b/>
            <sz val="9"/>
            <color indexed="81"/>
            <rFont val="Tahoma"/>
            <family val="2"/>
          </rPr>
          <t>Kaylil Baptiste:</t>
        </r>
        <r>
          <rPr>
            <sz val="9"/>
            <color indexed="81"/>
            <rFont val="Tahoma"/>
            <family val="2"/>
          </rPr>
          <t xml:space="preserve">
79mins bottles jamming on washer infeed flap, 10mins bottles jamming on washer discharge flap, 5mins bottles exiting washer  looking cloudy </t>
        </r>
      </text>
    </comment>
    <comment ref="Q40" authorId="1" shapeId="0" xr:uid="{4E363DE7-4E14-4651-A9CF-3D05922F40FD}">
      <text>
        <r>
          <rPr>
            <b/>
            <sz val="9"/>
            <color indexed="81"/>
            <rFont val="Tahoma"/>
            <family val="2"/>
          </rPr>
          <t>Kaylil Baptiste:</t>
        </r>
        <r>
          <rPr>
            <sz val="9"/>
            <color indexed="81"/>
            <rFont val="Tahoma"/>
            <family val="2"/>
          </rPr>
          <t xml:space="preserve">
79mins rejections caused by fast running conveyors which cannot be slowed down at the moment due to VLT restraints, 29mins trouble shooting EBI malfunction( all bottles exiting on rejection table conveyor/all bottles rejecting), 11mins stop to investigate to air leak, 10mins EBI adjustments to try stop the excessive rejections, 10 mins trouble shooting  to stop bottles jammimg at discharge, 6 mins stop to try vita malt starwheel in an effort to minmise bottles jamming at discharge. </t>
        </r>
      </text>
    </comment>
    <comment ref="S40" authorId="1" shapeId="0" xr:uid="{22359C02-6337-4BE7-89A0-643D0BEE054F}">
      <text>
        <r>
          <rPr>
            <b/>
            <sz val="9"/>
            <color indexed="81"/>
            <rFont val="Tahoma"/>
            <family val="2"/>
          </rPr>
          <t>Kaylil Baptiste:</t>
        </r>
        <r>
          <rPr>
            <sz val="9"/>
            <color indexed="81"/>
            <rFont val="Tahoma"/>
            <family val="2"/>
          </rPr>
          <t xml:space="preserve">
287mins pasteurizer pump#5 down for repairs</t>
        </r>
      </text>
    </comment>
    <comment ref="V40" authorId="1" shapeId="0" xr:uid="{C021AD55-6BD5-4746-B194-4F5C2553B63A}">
      <text>
        <r>
          <rPr>
            <b/>
            <sz val="9"/>
            <color indexed="81"/>
            <rFont val="Tahoma"/>
            <family val="2"/>
          </rPr>
          <t>Kaylil Baptiste:</t>
        </r>
        <r>
          <rPr>
            <sz val="9"/>
            <color indexed="81"/>
            <rFont val="Tahoma"/>
            <family val="2"/>
          </rPr>
          <t xml:space="preserve">
85mins pasteurizer infeed conveyor (came out of track), 47mins conveyors running faster than normal is causing bottle jam at discharge, 7mins EBI infeed conveyors not running, 5mins fallen bottles on EBI shuffler</t>
        </r>
      </text>
    </comment>
    <comment ref="O41" authorId="1" shapeId="0" xr:uid="{F6708CF3-55BC-4B46-9CB9-C41A19841348}">
      <text>
        <r>
          <rPr>
            <b/>
            <sz val="9"/>
            <color indexed="81"/>
            <rFont val="Tahoma"/>
            <family val="2"/>
          </rPr>
          <t>Kaylil Baptiste:</t>
        </r>
        <r>
          <rPr>
            <sz val="9"/>
            <color indexed="81"/>
            <rFont val="Tahoma"/>
            <family val="2"/>
          </rPr>
          <t xml:space="preserve">
17mins changing out leaking suction cups with new ones</t>
        </r>
      </text>
    </comment>
    <comment ref="P41" authorId="1" shapeId="0" xr:uid="{E7DE90A2-168A-42E1-B319-C08EDF42A1B7}">
      <text>
        <r>
          <rPr>
            <b/>
            <sz val="9"/>
            <color indexed="81"/>
            <rFont val="Tahoma"/>
            <family val="2"/>
          </rPr>
          <t>Kaylil Baptiste:</t>
        </r>
        <r>
          <rPr>
            <sz val="9"/>
            <color indexed="81"/>
            <rFont val="Tahoma"/>
            <family val="2"/>
          </rPr>
          <t xml:space="preserve">
24mins bottles jamming on washer infeed flap, 10mins bottles jamming on washer discharge flap</t>
        </r>
      </text>
    </comment>
    <comment ref="Q41" authorId="1" shapeId="0" xr:uid="{F6B10A1E-BB0F-48AD-9DAE-7E6C7D6B0A36}">
      <text>
        <r>
          <rPr>
            <b/>
            <sz val="9"/>
            <color indexed="81"/>
            <rFont val="Tahoma"/>
            <family val="2"/>
          </rPr>
          <t>Kaylil Baptiste:</t>
        </r>
        <r>
          <rPr>
            <sz val="9"/>
            <color indexed="81"/>
            <rFont val="Tahoma"/>
            <family val="2"/>
          </rPr>
          <t xml:space="preserve">
710mins troubleshooting EBI malfuction (all bottles rejecting)</t>
        </r>
      </text>
    </comment>
    <comment ref="T41" authorId="1" shapeId="0" xr:uid="{0117D3EA-CCCD-4D11-B7BB-3DB0A9DE1357}">
      <text>
        <r>
          <rPr>
            <b/>
            <sz val="9"/>
            <color indexed="81"/>
            <rFont val="Tahoma"/>
            <family val="2"/>
          </rPr>
          <t>Kaylil Baptiste:</t>
        </r>
        <r>
          <rPr>
            <sz val="9"/>
            <color indexed="81"/>
            <rFont val="Tahoma"/>
            <family val="2"/>
          </rPr>
          <t xml:space="preserve">
12mins adjustments to stop flagging labels</t>
        </r>
      </text>
    </comment>
    <comment ref="V41" authorId="1" shapeId="0" xr:uid="{907C62BF-067B-4759-A92E-A4055F154F85}">
      <text>
        <r>
          <rPr>
            <b/>
            <sz val="9"/>
            <color indexed="81"/>
            <rFont val="Tahoma"/>
            <family val="2"/>
          </rPr>
          <t>Kaylil Baptiste:</t>
        </r>
        <r>
          <rPr>
            <sz val="9"/>
            <color indexed="81"/>
            <rFont val="Tahoma"/>
            <family val="2"/>
          </rPr>
          <t xml:space="preserve">
20mins adjustment to EBI conveyors, 7mins EBI infeed conveyors running slow</t>
        </r>
      </text>
    </comment>
    <comment ref="AB41" authorId="3" shapeId="0" xr:uid="{E30AE2DC-00CC-4B00-A1F7-F35FD8A8F074}">
      <text>
        <r>
          <rPr>
            <b/>
            <sz val="9"/>
            <color indexed="81"/>
            <rFont val="Tahoma"/>
            <family val="2"/>
          </rPr>
          <t>Micah Noel:</t>
        </r>
        <r>
          <rPr>
            <sz val="9"/>
            <color indexed="81"/>
            <rFont val="Tahoma"/>
            <family val="2"/>
          </rPr>
          <t xml:space="preserve">
heavy EBI rejections caused by old bottles</t>
        </r>
      </text>
    </comment>
    <comment ref="I42" authorId="3" shapeId="0" xr:uid="{DCDC665B-8EEB-4A25-B32B-991AB3802001}">
      <text>
        <r>
          <rPr>
            <b/>
            <sz val="9"/>
            <color indexed="81"/>
            <rFont val="Tahoma"/>
            <family val="2"/>
          </rPr>
          <t>Micah Noel:</t>
        </r>
        <r>
          <rPr>
            <sz val="9"/>
            <color indexed="81"/>
            <rFont val="Tahoma"/>
            <family val="2"/>
          </rPr>
          <t xml:space="preserve">
11 mins Filler change over from Stag to Carib 6 mins labeler change over from Stag to Carib, 6mins washer space between green and amber bottles (change of product)</t>
        </r>
      </text>
    </comment>
    <comment ref="O42" authorId="1" shapeId="0" xr:uid="{EF365D4E-25BF-4D40-A1AC-ED61D43AB2B5}">
      <text>
        <r>
          <rPr>
            <b/>
            <sz val="9"/>
            <color indexed="81"/>
            <rFont val="Tahoma"/>
            <family val="2"/>
          </rPr>
          <t>Kaylil Baptiste:</t>
        </r>
        <r>
          <rPr>
            <sz val="9"/>
            <color indexed="81"/>
            <rFont val="Tahoma"/>
            <family val="2"/>
          </rPr>
          <t xml:space="preserve">
12mins uncaser head hitting crates</t>
        </r>
      </text>
    </comment>
    <comment ref="P42" authorId="1" shapeId="0" xr:uid="{B3B4D316-A1EB-42E9-A518-1E2E4C14550E}">
      <text>
        <r>
          <rPr>
            <b/>
            <sz val="9"/>
            <color indexed="81"/>
            <rFont val="Tahoma"/>
            <family val="2"/>
          </rPr>
          <t>Kaylil Baptiste:</t>
        </r>
        <r>
          <rPr>
            <sz val="9"/>
            <color indexed="81"/>
            <rFont val="Tahoma"/>
            <family val="2"/>
          </rPr>
          <t xml:space="preserve">
38mins high rejection due to labels, 7mins adding water to tank #3 on washer to address cloudy look, 6mins mins bottles jamming on washer infeed flap</t>
        </r>
      </text>
    </comment>
    <comment ref="Q42" authorId="1" shapeId="0" xr:uid="{37EB0807-1C3C-459B-9E96-3BBD17E49FFE}">
      <text>
        <r>
          <rPr>
            <b/>
            <sz val="9"/>
            <color indexed="81"/>
            <rFont val="Tahoma"/>
            <family val="2"/>
          </rPr>
          <t>Kaylil Baptiste:</t>
        </r>
        <r>
          <rPr>
            <sz val="9"/>
            <color indexed="81"/>
            <rFont val="Tahoma"/>
            <family val="2"/>
          </rPr>
          <t xml:space="preserve">
40mins ENI tech making adjustments to test bottle, 10mins high EBI rejection</t>
        </r>
      </text>
    </comment>
    <comment ref="H43" authorId="4" shapeId="0" xr:uid="{918CD7EF-4369-4C4C-A47B-D83145490E1A}">
      <text>
        <r>
          <rPr>
            <b/>
            <sz val="9"/>
            <color indexed="81"/>
            <rFont val="Tahoma"/>
            <family val="2"/>
          </rPr>
          <t>Tyrell Bartholomew:</t>
        </r>
        <r>
          <rPr>
            <sz val="9"/>
            <color indexed="81"/>
            <rFont val="Tahoma"/>
            <family val="2"/>
          </rPr>
          <t xml:space="preserve">
15mins removing incorrect crowns from hopper and crown chute.</t>
        </r>
      </text>
    </comment>
    <comment ref="O43" authorId="1" shapeId="0" xr:uid="{3B9649FA-FAD6-41B1-95AF-287A3692F244}">
      <text>
        <r>
          <rPr>
            <b/>
            <sz val="9"/>
            <color indexed="81"/>
            <rFont val="Tahoma"/>
            <family val="2"/>
          </rPr>
          <t>Kaylil Baptiste:</t>
        </r>
        <r>
          <rPr>
            <sz val="9"/>
            <color indexed="81"/>
            <rFont val="Tahoma"/>
            <family val="2"/>
          </rPr>
          <t xml:space="preserve">
10mins replacing leaking cups, 6mins uncaser head hitting crates</t>
        </r>
      </text>
    </comment>
    <comment ref="P43" authorId="1" shapeId="0" xr:uid="{98209ABE-9604-4F67-AA20-2C63E3998FCD}">
      <text>
        <r>
          <rPr>
            <b/>
            <sz val="9"/>
            <color indexed="81"/>
            <rFont val="Tahoma"/>
            <family val="2"/>
          </rPr>
          <t>Kaylil Baptiste:</t>
        </r>
        <r>
          <rPr>
            <sz val="9"/>
            <color indexed="81"/>
            <rFont val="Tahoma"/>
            <family val="2"/>
          </rPr>
          <t xml:space="preserve">
7mins jammed bottles on washer infeed flap</t>
        </r>
      </text>
    </comment>
    <comment ref="Z43" authorId="4" shapeId="0" xr:uid="{37711AAC-DCD2-4D25-B32E-93A42AE1C354}">
      <text>
        <r>
          <rPr>
            <b/>
            <sz val="9"/>
            <color indexed="81"/>
            <rFont val="Tahoma"/>
            <family val="2"/>
          </rPr>
          <t>Tyrell Bartholomew:</t>
        </r>
        <r>
          <rPr>
            <sz val="9"/>
            <color indexed="81"/>
            <rFont val="Tahoma"/>
            <family val="2"/>
          </rPr>
          <t xml:space="preserve">
10mins midnight reading on filler.</t>
        </r>
      </text>
    </comment>
    <comment ref="I44" authorId="4" shapeId="0" xr:uid="{937D93E6-74F3-454B-9A69-8056F093408E}">
      <text>
        <r>
          <rPr>
            <b/>
            <sz val="9"/>
            <color indexed="81"/>
            <rFont val="Tahoma"/>
            <family val="2"/>
          </rPr>
          <t>Tyrell Bartholomew:</t>
        </r>
        <r>
          <rPr>
            <sz val="9"/>
            <color indexed="81"/>
            <rFont val="Tahoma"/>
            <family val="2"/>
          </rPr>
          <t xml:space="preserve">
23mins changing over from carib to star malt.</t>
        </r>
      </text>
    </comment>
    <comment ref="O44" authorId="1" shapeId="0" xr:uid="{D101202A-3EB8-48CC-A42E-22261FDEB936}">
      <text>
        <r>
          <rPr>
            <b/>
            <sz val="9"/>
            <color indexed="81"/>
            <rFont val="Tahoma"/>
            <family val="2"/>
          </rPr>
          <t>Kaylil Baptiste:</t>
        </r>
        <r>
          <rPr>
            <sz val="9"/>
            <color indexed="81"/>
            <rFont val="Tahoma"/>
            <family val="2"/>
          </rPr>
          <t xml:space="preserve">
20mins replacing leaking cups, 9mins uncaser head hitting crates</t>
        </r>
      </text>
    </comment>
    <comment ref="P44" authorId="1" shapeId="0" xr:uid="{951EDE88-FBF7-46F3-B658-F84690410BDD}">
      <text>
        <r>
          <rPr>
            <b/>
            <sz val="9"/>
            <color indexed="81"/>
            <rFont val="Tahoma"/>
            <family val="2"/>
          </rPr>
          <t>Kaylil Baptiste:</t>
        </r>
        <r>
          <rPr>
            <sz val="9"/>
            <color indexed="81"/>
            <rFont val="Tahoma"/>
            <family val="2"/>
          </rPr>
          <t xml:space="preserve">
24mins jammed bottles on washer infeed flap</t>
        </r>
      </text>
    </comment>
    <comment ref="Q44" authorId="1" shapeId="0" xr:uid="{E75A2281-69AB-43F5-B509-D460733E3148}">
      <text>
        <r>
          <rPr>
            <b/>
            <sz val="9"/>
            <color indexed="81"/>
            <rFont val="Tahoma"/>
            <family val="2"/>
          </rPr>
          <t>Kaylil Baptiste:</t>
        </r>
        <r>
          <rPr>
            <sz val="9"/>
            <color indexed="81"/>
            <rFont val="Tahoma"/>
            <family val="2"/>
          </rPr>
          <t xml:space="preserve">
15mins high EBI rejection</t>
        </r>
      </text>
    </comment>
    <comment ref="S44" authorId="1" shapeId="0" xr:uid="{5CB57705-4274-4A50-BD23-87AC4F0DEC2E}">
      <text>
        <r>
          <rPr>
            <b/>
            <sz val="9"/>
            <color indexed="81"/>
            <rFont val="Tahoma"/>
            <family val="2"/>
          </rPr>
          <t>Kaylil Baptiste:</t>
        </r>
        <r>
          <rPr>
            <sz val="9"/>
            <color indexed="81"/>
            <rFont val="Tahoma"/>
            <family val="2"/>
          </rPr>
          <t xml:space="preserve">
42mins dry run on pasteurizer</t>
        </r>
      </text>
    </comment>
    <comment ref="T44" authorId="1" shapeId="0" xr:uid="{139B2E6E-50C6-4746-8FAD-2163EB8EC43A}">
      <text>
        <r>
          <rPr>
            <b/>
            <sz val="9"/>
            <color indexed="81"/>
            <rFont val="Tahoma"/>
            <family val="2"/>
          </rPr>
          <t>Kaylil Baptiste:</t>
        </r>
        <r>
          <rPr>
            <sz val="9"/>
            <color indexed="81"/>
            <rFont val="Tahoma"/>
            <family val="2"/>
          </rPr>
          <t xml:space="preserve">
6mins labeler adjustments</t>
        </r>
      </text>
    </comment>
    <comment ref="V44" authorId="1" shapeId="0" xr:uid="{9FC167E5-BF50-4830-8969-383BDF5BF41D}">
      <text>
        <r>
          <rPr>
            <b/>
            <sz val="9"/>
            <color indexed="81"/>
            <rFont val="Tahoma"/>
            <family val="2"/>
          </rPr>
          <t>Kaylil Baptiste:</t>
        </r>
        <r>
          <rPr>
            <sz val="9"/>
            <color indexed="81"/>
            <rFont val="Tahoma"/>
            <family val="2"/>
          </rPr>
          <t xml:space="preserve">
10mins fallen bottles on EBI shuffler</t>
        </r>
      </text>
    </comment>
    <comment ref="Z44" authorId="1" shapeId="0" xr:uid="{4884B813-FE80-4C9C-8181-C5F68DB10A78}">
      <text>
        <r>
          <rPr>
            <b/>
            <sz val="9"/>
            <color indexed="81"/>
            <rFont val="Tahoma"/>
            <family val="2"/>
          </rPr>
          <t>Kaylil Baptiste:</t>
        </r>
        <r>
          <rPr>
            <sz val="9"/>
            <color indexed="81"/>
            <rFont val="Tahoma"/>
            <family val="2"/>
          </rPr>
          <t xml:space="preserve">
7mins lack of man power </t>
        </r>
      </text>
    </comment>
    <comment ref="I45" authorId="3" shapeId="0" xr:uid="{5BFFE8DA-1FBF-48FA-AD6C-DFF071FBBBD9}">
      <text>
        <r>
          <rPr>
            <b/>
            <sz val="9"/>
            <color indexed="81"/>
            <rFont val="Tahoma"/>
            <family val="2"/>
          </rPr>
          <t>Micah Noel:</t>
        </r>
        <r>
          <rPr>
            <sz val="9"/>
            <color indexed="81"/>
            <rFont val="Tahoma"/>
            <family val="2"/>
          </rPr>
          <t xml:space="preserve">
Filler change over from star Malt to Carib</t>
        </r>
      </text>
    </comment>
    <comment ref="J45" authorId="3" shapeId="0" xr:uid="{FFCABBFB-C023-4A44-8F47-EB5CB419481A}">
      <text>
        <r>
          <rPr>
            <b/>
            <sz val="9"/>
            <color indexed="81"/>
            <rFont val="Tahoma"/>
            <family val="2"/>
          </rPr>
          <t>Micah Noel:</t>
        </r>
        <r>
          <rPr>
            <sz val="9"/>
            <color indexed="81"/>
            <rFont val="Tahoma"/>
            <family val="2"/>
          </rPr>
          <t xml:space="preserve">
waiting for product from filtration</t>
        </r>
      </text>
    </comment>
    <comment ref="O45" authorId="1" shapeId="0" xr:uid="{D4199F3B-28D8-4982-9073-29BCBAE270F4}">
      <text>
        <r>
          <rPr>
            <b/>
            <sz val="9"/>
            <color indexed="81"/>
            <rFont val="Tahoma"/>
            <family val="2"/>
          </rPr>
          <t>Kaylil Baptiste:</t>
        </r>
        <r>
          <rPr>
            <sz val="9"/>
            <color indexed="81"/>
            <rFont val="Tahoma"/>
            <family val="2"/>
          </rPr>
          <t xml:space="preserve">
9mins uncaser head hitting crates</t>
        </r>
      </text>
    </comment>
    <comment ref="P45" authorId="1" shapeId="0" xr:uid="{96B35F48-2DC2-413C-90FE-69C6F6B0F897}">
      <text>
        <r>
          <rPr>
            <b/>
            <sz val="9"/>
            <color indexed="81"/>
            <rFont val="Tahoma"/>
            <family val="2"/>
          </rPr>
          <t>Kaylil Baptiste:</t>
        </r>
        <r>
          <rPr>
            <sz val="9"/>
            <color indexed="81"/>
            <rFont val="Tahoma"/>
            <family val="2"/>
          </rPr>
          <t xml:space="preserve">
17mins high rejection due to labels on bottles, 10mins jammed bottles on washer infeed flap, 6mins jammed bottles on washer dicharge flap</t>
        </r>
      </text>
    </comment>
    <comment ref="V45" authorId="1" shapeId="0" xr:uid="{7C3BF4A4-E1EC-46F6-835F-3AA60AFB21D8}">
      <text>
        <r>
          <rPr>
            <b/>
            <sz val="9"/>
            <color indexed="81"/>
            <rFont val="Tahoma"/>
            <family val="2"/>
          </rPr>
          <t>Kaylil Baptiste:</t>
        </r>
        <r>
          <rPr>
            <sz val="9"/>
            <color indexed="81"/>
            <rFont val="Tahoma"/>
            <family val="2"/>
          </rPr>
          <t xml:space="preserve">
8mins fallen bottle on EBI discharge conveyor, 7mins fallen bottles on EBI shuffler</t>
        </r>
      </text>
    </comment>
    <comment ref="J46" authorId="0" shapeId="0" xr:uid="{CB6C9630-8272-4C5E-AE45-F34DD45F1512}">
      <text>
        <r>
          <rPr>
            <b/>
            <sz val="9"/>
            <color indexed="81"/>
            <rFont val="Tahoma"/>
            <family val="2"/>
          </rPr>
          <t>Michael Julien:</t>
        </r>
        <r>
          <rPr>
            <sz val="9"/>
            <color indexed="81"/>
            <rFont val="Tahoma"/>
            <family val="2"/>
          </rPr>
          <t xml:space="preserve">
7mins waiting for product to be analyzed</t>
        </r>
      </text>
    </comment>
    <comment ref="P46" authorId="1" shapeId="0" xr:uid="{341CC9D0-F71B-43C1-B167-EF3FFC768A6C}">
      <text>
        <r>
          <rPr>
            <b/>
            <sz val="9"/>
            <color indexed="81"/>
            <rFont val="Tahoma"/>
            <family val="2"/>
          </rPr>
          <t>Kaylil Baptiste:</t>
        </r>
        <r>
          <rPr>
            <sz val="9"/>
            <color indexed="81"/>
            <rFont val="Tahoma"/>
            <family val="2"/>
          </rPr>
          <t xml:space="preserve">
27mins jammed bottles on washer discharge flap</t>
        </r>
      </text>
    </comment>
    <comment ref="Q46" authorId="1" shapeId="0" xr:uid="{1F437743-78C7-4AA1-A8AA-67EDAA875105}">
      <text>
        <r>
          <rPr>
            <b/>
            <sz val="9"/>
            <color indexed="81"/>
            <rFont val="Tahoma"/>
            <family val="2"/>
          </rPr>
          <t>Kaylil Baptiste:</t>
        </r>
        <r>
          <rPr>
            <sz val="9"/>
            <color indexed="81"/>
            <rFont val="Tahoma"/>
            <family val="2"/>
          </rPr>
          <t xml:space="preserve">
8mins high EBI rejection </t>
        </r>
      </text>
    </comment>
    <comment ref="S46" authorId="1" shapeId="0" xr:uid="{0FD87280-2C2D-4AFA-92E7-170BD941DA19}">
      <text>
        <r>
          <rPr>
            <b/>
            <sz val="9"/>
            <color indexed="81"/>
            <rFont val="Tahoma"/>
            <family val="2"/>
          </rPr>
          <t>Kaylil Baptiste:</t>
        </r>
        <r>
          <rPr>
            <sz val="9"/>
            <color indexed="81"/>
            <rFont val="Tahoma"/>
            <family val="2"/>
          </rPr>
          <t xml:space="preserve">
29mins water added to tank 5 too fast and the temperature drop</t>
        </r>
      </text>
    </comment>
    <comment ref="Z46" authorId="1" shapeId="0" xr:uid="{F5B6A8A0-ACB7-44AE-8892-EDF8D6127CB3}">
      <text>
        <r>
          <rPr>
            <b/>
            <sz val="9"/>
            <color indexed="81"/>
            <rFont val="Tahoma"/>
            <family val="2"/>
          </rPr>
          <t>Kaylil Baptiste:</t>
        </r>
        <r>
          <rPr>
            <sz val="9"/>
            <color indexed="81"/>
            <rFont val="Tahoma"/>
            <family val="2"/>
          </rPr>
          <t xml:space="preserve">
18mins product preparation</t>
        </r>
      </text>
    </comment>
    <comment ref="I47" authorId="1" shapeId="0" xr:uid="{D54EE038-B8CA-4222-B7C6-05AE461A6F2D}">
      <text>
        <r>
          <rPr>
            <b/>
            <sz val="9"/>
            <color indexed="81"/>
            <rFont val="Tahoma"/>
            <family val="2"/>
          </rPr>
          <t>Kaylil Baptiste:</t>
        </r>
        <r>
          <rPr>
            <sz val="9"/>
            <color indexed="81"/>
            <rFont val="Tahoma"/>
            <family val="2"/>
          </rPr>
          <t xml:space="preserve">
50mins change over from Starmalt to Carib </t>
        </r>
      </text>
    </comment>
    <comment ref="P47" authorId="1" shapeId="0" xr:uid="{62958B68-C530-4A04-9253-1EF537FCF898}">
      <text>
        <r>
          <rPr>
            <b/>
            <sz val="9"/>
            <color indexed="81"/>
            <rFont val="Tahoma"/>
            <family val="2"/>
          </rPr>
          <t>Kaylil Baptiste:</t>
        </r>
        <r>
          <rPr>
            <sz val="9"/>
            <color indexed="81"/>
            <rFont val="Tahoma"/>
            <family val="2"/>
          </rPr>
          <t xml:space="preserve">
83mins high rejection due to labels on bottles, 27mins jammed bottles on washer discharge flap, 25mins jammed bottles on washer infeed flap</t>
        </r>
      </text>
    </comment>
    <comment ref="V47" authorId="1" shapeId="0" xr:uid="{DC4EB851-4789-46A1-B25C-683D17971A64}">
      <text>
        <r>
          <rPr>
            <b/>
            <sz val="9"/>
            <color indexed="81"/>
            <rFont val="Tahoma"/>
            <family val="2"/>
          </rPr>
          <t>Kaylil Baptiste:</t>
        </r>
        <r>
          <rPr>
            <sz val="9"/>
            <color indexed="81"/>
            <rFont val="Tahoma"/>
            <family val="2"/>
          </rPr>
          <t xml:space="preserve">
12mins fallen bottles on EBI discharge conveyor, 8mins fallen bottles inside EBI shuffler</t>
        </r>
      </text>
    </comment>
    <comment ref="N67" authorId="5" shapeId="0" xr:uid="{00000000-0006-0000-1400-000042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7" authorId="5" shapeId="0" xr:uid="{00000000-0006-0000-1400-00004301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Kaylil Baptiste</author>
    <author>Dorien Andrew</author>
    <author>Micah Noel</author>
    <author>Tyrell Bartholomew</author>
    <author>Michael Julien</author>
    <author>Royd</author>
  </authors>
  <commentList>
    <comment ref="O8" authorId="0" shapeId="0" xr:uid="{1B1ED4AC-65B9-4CAC-BBE6-58CDECFC6A23}">
      <text>
        <r>
          <rPr>
            <b/>
            <sz val="9"/>
            <color indexed="81"/>
            <rFont val="Tahoma"/>
            <family val="2"/>
          </rPr>
          <t>Kaylil Baptiste:</t>
        </r>
        <r>
          <rPr>
            <sz val="9"/>
            <color indexed="81"/>
            <rFont val="Tahoma"/>
            <family val="2"/>
          </rPr>
          <t xml:space="preserve">
36mins head sensor malfunction, 7mins changing leaking suction cups</t>
        </r>
      </text>
    </comment>
    <comment ref="Q8" authorId="0" shapeId="0" xr:uid="{29C85ABF-0011-452B-B910-EBB4F3DC0CE7}">
      <text>
        <r>
          <rPr>
            <b/>
            <sz val="9"/>
            <color indexed="81"/>
            <rFont val="Tahoma"/>
            <family val="2"/>
          </rPr>
          <t>Kaylil Baptiste:</t>
        </r>
        <r>
          <rPr>
            <sz val="9"/>
            <color indexed="81"/>
            <rFont val="Tahoma"/>
            <family val="2"/>
          </rPr>
          <t xml:space="preserve">
48mins test bottles failing, 9mins very heavy EBI rejection </t>
        </r>
      </text>
    </comment>
    <comment ref="R8" authorId="0" shapeId="0" xr:uid="{924FA8A0-2B37-4827-915D-3C22BFCF79A5}">
      <text>
        <r>
          <rPr>
            <b/>
            <sz val="9"/>
            <color indexed="81"/>
            <rFont val="Tahoma"/>
            <family val="2"/>
          </rPr>
          <t>Kaylil Baptiste:</t>
        </r>
        <r>
          <rPr>
            <sz val="9"/>
            <color indexed="81"/>
            <rFont val="Tahoma"/>
            <family val="2"/>
          </rPr>
          <t xml:space="preserve">
7mins infeed worm breaking bottles</t>
        </r>
      </text>
    </comment>
    <comment ref="W8" authorId="0" shapeId="0" xr:uid="{07B92874-4C8A-415C-87EF-FCAE3599413A}">
      <text>
        <r>
          <rPr>
            <b/>
            <sz val="9"/>
            <color indexed="81"/>
            <rFont val="Tahoma"/>
            <family val="2"/>
          </rPr>
          <t>Kaylil Baptiste:</t>
        </r>
        <r>
          <rPr>
            <sz val="9"/>
            <color indexed="81"/>
            <rFont val="Tahoma"/>
            <family val="2"/>
          </rPr>
          <t xml:space="preserve">
14mins packer head not moving</t>
        </r>
      </text>
    </comment>
    <comment ref="Z8" authorId="0" shapeId="0" xr:uid="{6D918016-1DFB-459A-88E0-BA7C1544181E}">
      <text>
        <r>
          <rPr>
            <b/>
            <sz val="9"/>
            <color indexed="81"/>
            <rFont val="Tahoma"/>
            <family val="2"/>
          </rPr>
          <t>Kaylil Baptiste:</t>
        </r>
        <r>
          <rPr>
            <sz val="9"/>
            <color indexed="81"/>
            <rFont val="Tahoma"/>
            <family val="2"/>
          </rPr>
          <t xml:space="preserve">
16mins waiting on lab tech to test bottles from Washer </t>
        </r>
      </text>
    </comment>
    <comment ref="AB8" authorId="0" shapeId="0" xr:uid="{8FD7D5FF-D84B-481F-8016-D33CB9BECCA0}">
      <text>
        <r>
          <rPr>
            <b/>
            <sz val="9"/>
            <color indexed="81"/>
            <rFont val="Tahoma"/>
            <family val="2"/>
          </rPr>
          <t>Kaylil Baptiste:</t>
        </r>
        <r>
          <rPr>
            <sz val="9"/>
            <color indexed="81"/>
            <rFont val="Tahoma"/>
            <family val="2"/>
          </rPr>
          <t xml:space="preserve">
9mins high rejection due to rewashed bottles</t>
        </r>
      </text>
    </comment>
    <comment ref="I9" authorId="1" shapeId="0" xr:uid="{2B7042A5-3819-4D8A-A2A4-185A764BEB80}">
      <text>
        <r>
          <rPr>
            <b/>
            <sz val="9"/>
            <color indexed="81"/>
            <rFont val="Tahoma"/>
            <family val="2"/>
          </rPr>
          <t>Dorien Andrew:</t>
        </r>
        <r>
          <rPr>
            <sz val="9"/>
            <color indexed="81"/>
            <rFont val="Tahoma"/>
            <family val="2"/>
          </rPr>
          <t xml:space="preserve">
9mins filler change over  </t>
        </r>
      </text>
    </comment>
    <comment ref="O9" authorId="0" shapeId="0" xr:uid="{38311CC5-B01F-45F3-ADD9-82F4138DC73A}">
      <text>
        <r>
          <rPr>
            <b/>
            <sz val="9"/>
            <color indexed="81"/>
            <rFont val="Tahoma"/>
            <family val="2"/>
          </rPr>
          <t>Kaylil Baptiste:</t>
        </r>
        <r>
          <rPr>
            <sz val="9"/>
            <color indexed="81"/>
            <rFont val="Tahoma"/>
            <family val="2"/>
          </rPr>
          <t xml:space="preserve">
44mins uncaser head malfunction, 8mins broken stem for centering cup, 6mins track broken on uncaser</t>
        </r>
      </text>
    </comment>
    <comment ref="P9" authorId="0" shapeId="0" xr:uid="{D43D5911-95EA-4ABF-B14C-6B9BD6E9EC35}">
      <text>
        <r>
          <rPr>
            <b/>
            <sz val="9"/>
            <color indexed="81"/>
            <rFont val="Tahoma"/>
            <family val="2"/>
          </rPr>
          <t>Kaylil Baptiste:</t>
        </r>
        <r>
          <rPr>
            <sz val="9"/>
            <color indexed="81"/>
            <rFont val="Tahoma"/>
            <family val="2"/>
          </rPr>
          <t xml:space="preserve">
103mins high rejection due to labels, 16mins bottles jam on washer discharge flap, 16mins bottles jam on washer infeed flap</t>
        </r>
      </text>
    </comment>
    <comment ref="Q9" authorId="0" shapeId="0" xr:uid="{52401052-9B44-48DF-A6D0-54A6B7320C21}">
      <text>
        <r>
          <rPr>
            <b/>
            <sz val="9"/>
            <color indexed="81"/>
            <rFont val="Tahoma"/>
            <family val="2"/>
          </rPr>
          <t>Kaylil Baptiste:</t>
        </r>
        <r>
          <rPr>
            <sz val="9"/>
            <color indexed="81"/>
            <rFont val="Tahoma"/>
            <family val="2"/>
          </rPr>
          <t xml:space="preserve">
33mins very heavy EBI rejection</t>
        </r>
      </text>
    </comment>
    <comment ref="R9" authorId="0" shapeId="0" xr:uid="{90D27CC7-339D-4378-8937-40E18C67C099}">
      <text>
        <r>
          <rPr>
            <b/>
            <sz val="9"/>
            <color indexed="81"/>
            <rFont val="Tahoma"/>
            <family val="2"/>
          </rPr>
          <t>Kaylil Baptiste:</t>
        </r>
        <r>
          <rPr>
            <sz val="9"/>
            <color indexed="81"/>
            <rFont val="Tahoma"/>
            <family val="2"/>
          </rPr>
          <t xml:space="preserve">
29mins filler infeed worm out of timing</t>
        </r>
      </text>
    </comment>
    <comment ref="V9" authorId="0" shapeId="0" xr:uid="{FF2BCD9B-4D2F-45F5-9388-859D9957933C}">
      <text>
        <r>
          <rPr>
            <b/>
            <sz val="9"/>
            <color indexed="81"/>
            <rFont val="Tahoma"/>
            <family val="2"/>
          </rPr>
          <t>Kaylil Baptiste:</t>
        </r>
        <r>
          <rPr>
            <sz val="9"/>
            <color indexed="81"/>
            <rFont val="Tahoma"/>
            <family val="2"/>
          </rPr>
          <t xml:space="preserve">
10mins fallen bottles on EBI discharge conveyors</t>
        </r>
      </text>
    </comment>
    <comment ref="Z9" authorId="0" shapeId="0" xr:uid="{519F9A6A-FCF4-4686-986D-755D6945E442}">
      <text>
        <r>
          <rPr>
            <b/>
            <sz val="9"/>
            <color indexed="81"/>
            <rFont val="Tahoma"/>
            <family val="2"/>
          </rPr>
          <t>Kaylil Baptiste:</t>
        </r>
        <r>
          <rPr>
            <sz val="9"/>
            <color indexed="81"/>
            <rFont val="Tahoma"/>
            <family val="2"/>
          </rPr>
          <t xml:space="preserve">
31mins waiting on bottles to exit washer</t>
        </r>
      </text>
    </comment>
    <comment ref="AB9" authorId="1" shapeId="0" xr:uid="{26380CDA-4005-4657-B904-AD4C8F415D0D}">
      <text>
        <r>
          <rPr>
            <b/>
            <sz val="9"/>
            <color indexed="81"/>
            <rFont val="Tahoma"/>
            <family val="2"/>
          </rPr>
          <t>Dorien Andrew:</t>
        </r>
        <r>
          <rPr>
            <sz val="9"/>
            <color indexed="81"/>
            <rFont val="Tahoma"/>
            <family val="2"/>
          </rPr>
          <t xml:space="preserve">
space in washer for rewash bottles </t>
        </r>
      </text>
    </comment>
    <comment ref="F10" authorId="2" shapeId="0" xr:uid="{7E95E471-BD06-45C5-B0C5-5ECA06CCE1FC}">
      <text>
        <r>
          <rPr>
            <b/>
            <sz val="9"/>
            <color indexed="81"/>
            <rFont val="Tahoma"/>
            <family val="2"/>
          </rPr>
          <t>Micah Noel:</t>
        </r>
        <r>
          <rPr>
            <sz val="9"/>
            <color indexed="81"/>
            <rFont val="Tahoma"/>
            <family val="2"/>
          </rPr>
          <t xml:space="preserve">
18 mins went to ebi dead plate repairs</t>
        </r>
      </text>
    </comment>
    <comment ref="O10" authorId="0" shapeId="0" xr:uid="{069CC926-FF9B-4EC7-911A-E7E9F27C1C70}">
      <text>
        <r>
          <rPr>
            <b/>
            <sz val="9"/>
            <color indexed="81"/>
            <rFont val="Tahoma"/>
            <family val="2"/>
          </rPr>
          <t>Kaylil Baptiste:</t>
        </r>
        <r>
          <rPr>
            <sz val="9"/>
            <color indexed="81"/>
            <rFont val="Tahoma"/>
            <family val="2"/>
          </rPr>
          <t xml:space="preserve">
83mins uncaser sensor malfunction, 27mins broken transport belt track, 17mins uncaser head hitting crates, 10mins changing cups</t>
        </r>
      </text>
    </comment>
    <comment ref="P10" authorId="0" shapeId="0" xr:uid="{67860B9B-9430-4305-B424-C9597361DC30}">
      <text>
        <r>
          <rPr>
            <b/>
            <sz val="9"/>
            <color indexed="81"/>
            <rFont val="Tahoma"/>
            <family val="2"/>
          </rPr>
          <t>Kaylil Baptiste:</t>
        </r>
        <r>
          <rPr>
            <sz val="9"/>
            <color indexed="81"/>
            <rFont val="Tahoma"/>
            <family val="2"/>
          </rPr>
          <t xml:space="preserve">
66mins fallen bottles jam at discharge flap, 59mins high rejection due to labels on bottles, 27mins fallen bottles at washer infeed flap, 14 mins to cut off a piece of guide rail at discharge flap, 14stop work to be done on washer extractor</t>
        </r>
      </text>
    </comment>
    <comment ref="Q10" authorId="0" shapeId="0" xr:uid="{8F09E9D6-EBFE-4A53-961D-7227A37C67E8}">
      <text>
        <r>
          <rPr>
            <b/>
            <sz val="9"/>
            <color indexed="81"/>
            <rFont val="Tahoma"/>
            <family val="2"/>
          </rPr>
          <t>Kaylil Baptiste:</t>
        </r>
        <r>
          <rPr>
            <sz val="9"/>
            <color indexed="81"/>
            <rFont val="Tahoma"/>
            <family val="2"/>
          </rPr>
          <t xml:space="preserve">
18mins bent dead plate had to be taken off machine and brought to maintenance workshop, 8mins fallen bottles on EBI starwheel, 7mins high EBI rejection, 6mins fallen bottles on EBI OSW</t>
        </r>
      </text>
    </comment>
    <comment ref="R10" authorId="0" shapeId="0" xr:uid="{58FF26E2-CF4E-4FB7-8B64-EA1315E10A03}">
      <text>
        <r>
          <rPr>
            <b/>
            <sz val="9"/>
            <color indexed="81"/>
            <rFont val="Tahoma"/>
            <family val="2"/>
          </rPr>
          <t>Kaylil Baptiste:</t>
        </r>
        <r>
          <rPr>
            <sz val="9"/>
            <color indexed="81"/>
            <rFont val="Tahoma"/>
            <family val="2"/>
          </rPr>
          <t xml:space="preserve">
6mins crowner stuck in chute</t>
        </r>
      </text>
    </comment>
    <comment ref="V10" authorId="0" shapeId="0" xr:uid="{40160E44-676E-422B-B72C-EF51D0079E7C}">
      <text>
        <r>
          <rPr>
            <b/>
            <sz val="9"/>
            <color indexed="81"/>
            <rFont val="Tahoma"/>
            <family val="2"/>
          </rPr>
          <t>Kaylil Baptiste:</t>
        </r>
        <r>
          <rPr>
            <sz val="9"/>
            <color indexed="81"/>
            <rFont val="Tahoma"/>
            <family val="2"/>
          </rPr>
          <t xml:space="preserve">
16mins fallen bottles on EBI shuffler, 16mins fallen bottles stuck on EBI discharge conveyor</t>
        </r>
      </text>
    </comment>
    <comment ref="Z10" authorId="1" shapeId="0" xr:uid="{9658F5A2-1701-4941-AD1A-E8FB4E29BCB1}">
      <text>
        <r>
          <rPr>
            <b/>
            <sz val="9"/>
            <color indexed="81"/>
            <rFont val="Tahoma"/>
            <family val="2"/>
          </rPr>
          <t>Dorien Andrew:</t>
        </r>
        <r>
          <rPr>
            <sz val="9"/>
            <color indexed="81"/>
            <rFont val="Tahoma"/>
            <family val="2"/>
          </rPr>
          <t xml:space="preserve">
31 mins reloading washer
14 mins lost due to late arrival of staff transport, 5 Mins filler taking midnight reading (change over to a new day)</t>
        </r>
      </text>
    </comment>
    <comment ref="AB10" authorId="2" shapeId="0" xr:uid="{36BC50EF-7A4B-4DB6-A049-359D00A4247F}">
      <text>
        <r>
          <rPr>
            <b/>
            <sz val="9"/>
            <color indexed="81"/>
            <rFont val="Tahoma"/>
            <family val="2"/>
          </rPr>
          <t>Micah Noel:</t>
        </r>
        <r>
          <rPr>
            <sz val="9"/>
            <color indexed="81"/>
            <rFont val="Tahoma"/>
            <family val="2"/>
          </rPr>
          <t xml:space="preserve">
Pre-washed bottles (high rejections)</t>
        </r>
      </text>
    </comment>
    <comment ref="E11" authorId="2" shapeId="0" xr:uid="{712F9E5C-4BAD-4CEE-8FDE-88139F01D311}">
      <text>
        <r>
          <rPr>
            <b/>
            <sz val="9"/>
            <color indexed="81"/>
            <rFont val="Tahoma"/>
            <family val="2"/>
          </rPr>
          <t>Micah Noel:</t>
        </r>
        <r>
          <rPr>
            <sz val="9"/>
            <color indexed="81"/>
            <rFont val="Tahoma"/>
            <family val="2"/>
          </rPr>
          <t xml:space="preserve">
EBI dead plate repairs stole 20 mins</t>
        </r>
      </text>
    </comment>
    <comment ref="J11" authorId="0" shapeId="0" xr:uid="{780E14CB-5D2B-4E52-9659-305C84044641}">
      <text>
        <r>
          <rPr>
            <b/>
            <sz val="9"/>
            <color indexed="81"/>
            <rFont val="Tahoma"/>
            <family val="2"/>
          </rPr>
          <t>Kaylil Baptiste:</t>
        </r>
        <r>
          <rPr>
            <sz val="9"/>
            <color indexed="81"/>
            <rFont val="Tahoma"/>
            <family val="2"/>
          </rPr>
          <t xml:space="preserve">
bowl level drop </t>
        </r>
      </text>
    </comment>
    <comment ref="O11" authorId="0" shapeId="0" xr:uid="{DE81F6D2-B564-450E-B580-B2D8867677DF}">
      <text>
        <r>
          <rPr>
            <b/>
            <sz val="9"/>
            <color indexed="81"/>
            <rFont val="Tahoma"/>
            <family val="2"/>
          </rPr>
          <t>Kaylil Baptiste:</t>
        </r>
        <r>
          <rPr>
            <sz val="9"/>
            <color indexed="81"/>
            <rFont val="Tahoma"/>
            <family val="2"/>
          </rPr>
          <t xml:space="preserve">
54mins leaking suction  cups, 7mins uncaser head hitting crates</t>
        </r>
      </text>
    </comment>
    <comment ref="P11" authorId="0" shapeId="0" xr:uid="{20116965-3174-43AB-BD34-BEC1005CE79D}">
      <text>
        <r>
          <rPr>
            <b/>
            <sz val="9"/>
            <color indexed="81"/>
            <rFont val="Tahoma"/>
            <family val="2"/>
          </rPr>
          <t>Kaylil Baptiste:</t>
        </r>
        <r>
          <rPr>
            <sz val="9"/>
            <color indexed="81"/>
            <rFont val="Tahoma"/>
            <family val="2"/>
          </rPr>
          <t xml:space="preserve">
25mins bottles jamming at washer infeed flap, 27mins bottles jamming at washer discharge flap</t>
        </r>
      </text>
    </comment>
    <comment ref="Q11" authorId="0" shapeId="0" xr:uid="{C41479F4-5BC9-46B8-BAD3-D0D35D43D61D}">
      <text>
        <r>
          <rPr>
            <b/>
            <sz val="9"/>
            <color indexed="81"/>
            <rFont val="Tahoma"/>
            <family val="2"/>
          </rPr>
          <t>Kaylil Baptiste:</t>
        </r>
        <r>
          <rPr>
            <sz val="9"/>
            <color indexed="81"/>
            <rFont val="Tahoma"/>
            <family val="2"/>
          </rPr>
          <t xml:space="preserve">
20mins EBI dead plate repairs</t>
        </r>
      </text>
    </comment>
    <comment ref="V11" authorId="0" shapeId="0" xr:uid="{3F4A0195-A3D7-4162-AC85-11D51FB3DA40}">
      <text>
        <r>
          <rPr>
            <b/>
            <sz val="9"/>
            <color indexed="81"/>
            <rFont val="Tahoma"/>
            <family val="2"/>
          </rPr>
          <t>Kaylil Baptiste:</t>
        </r>
        <r>
          <rPr>
            <sz val="9"/>
            <color indexed="81"/>
            <rFont val="Tahoma"/>
            <family val="2"/>
          </rPr>
          <t xml:space="preserve">
7mins fallen bottles inside shuffler</t>
        </r>
      </text>
    </comment>
    <comment ref="Z11" authorId="0" shapeId="0" xr:uid="{3E9CDC01-98F0-400A-B2B5-EA11AD66A329}">
      <text>
        <r>
          <rPr>
            <b/>
            <sz val="9"/>
            <color indexed="81"/>
            <rFont val="Tahoma"/>
            <family val="2"/>
          </rPr>
          <t>Kaylil Baptiste:</t>
        </r>
        <r>
          <rPr>
            <sz val="9"/>
            <color indexed="81"/>
            <rFont val="Tahoma"/>
            <family val="2"/>
          </rPr>
          <t xml:space="preserve">
10mins cutting off for loading</t>
        </r>
      </text>
    </comment>
    <comment ref="AB11" authorId="2" shapeId="0" xr:uid="{1917921F-B03E-4037-8686-9F87A5512E31}">
      <text>
        <r>
          <rPr>
            <b/>
            <sz val="9"/>
            <color indexed="81"/>
            <rFont val="Tahoma"/>
            <family val="2"/>
          </rPr>
          <t>Micah Noel:</t>
        </r>
        <r>
          <rPr>
            <sz val="9"/>
            <color indexed="81"/>
            <rFont val="Tahoma"/>
            <family val="2"/>
          </rPr>
          <t xml:space="preserve">
heavy EBI rejections caused by pre-washed bottles</t>
        </r>
      </text>
    </comment>
    <comment ref="I12" authorId="0" shapeId="0" xr:uid="{CACE3CAC-57AC-4AD6-B07C-EA666E5747A7}">
      <text>
        <r>
          <rPr>
            <b/>
            <sz val="9"/>
            <color indexed="81"/>
            <rFont val="Tahoma"/>
            <family val="2"/>
          </rPr>
          <t>Kaylil Baptiste:</t>
        </r>
        <r>
          <rPr>
            <sz val="9"/>
            <color indexed="81"/>
            <rFont val="Tahoma"/>
            <family val="2"/>
          </rPr>
          <t xml:space="preserve">
9mins product change over</t>
        </r>
      </text>
    </comment>
    <comment ref="O12" authorId="0" shapeId="0" xr:uid="{FFE93070-05B8-4C2B-BBD7-92F5775FBD48}">
      <text>
        <r>
          <rPr>
            <b/>
            <sz val="9"/>
            <color indexed="81"/>
            <rFont val="Tahoma"/>
            <family val="2"/>
          </rPr>
          <t>Kaylil Baptiste:</t>
        </r>
        <r>
          <rPr>
            <sz val="9"/>
            <color indexed="81"/>
            <rFont val="Tahoma"/>
            <family val="2"/>
          </rPr>
          <t xml:space="preserve">
9mins uncaser head hitting crates</t>
        </r>
      </text>
    </comment>
    <comment ref="P12" authorId="0" shapeId="0" xr:uid="{89E0BF55-DD51-41A7-93BA-7219A499164D}">
      <text>
        <r>
          <rPr>
            <b/>
            <sz val="9"/>
            <color indexed="81"/>
            <rFont val="Tahoma"/>
            <family val="2"/>
          </rPr>
          <t>Kaylil Baptiste:</t>
        </r>
        <r>
          <rPr>
            <sz val="9"/>
            <color indexed="81"/>
            <rFont val="Tahoma"/>
            <family val="2"/>
          </rPr>
          <t xml:space="preserve">
32mins bottles jamming at washer infeed flap, 25mins bottles jamming at washer discharge flap, 17mins high rejection due to labels on bottles</t>
        </r>
      </text>
    </comment>
    <comment ref="Q12" authorId="0" shapeId="0" xr:uid="{432677DD-E812-4B39-82F3-A330E5E5F719}">
      <text>
        <r>
          <rPr>
            <b/>
            <sz val="9"/>
            <color indexed="81"/>
            <rFont val="Tahoma"/>
            <family val="2"/>
          </rPr>
          <t>Kaylil Baptiste:</t>
        </r>
        <r>
          <rPr>
            <sz val="9"/>
            <color indexed="81"/>
            <rFont val="Tahoma"/>
            <family val="2"/>
          </rPr>
          <t xml:space="preserve">
9mins bottles jamming at  EBI starwheel, 7mins high EBI rejection</t>
        </r>
      </text>
    </comment>
    <comment ref="R12" authorId="0" shapeId="0" xr:uid="{DB013C06-8D4E-4701-AA4D-D550F2465375}">
      <text>
        <r>
          <rPr>
            <b/>
            <sz val="9"/>
            <color indexed="81"/>
            <rFont val="Tahoma"/>
            <family val="2"/>
          </rPr>
          <t>Kaylil Baptiste:</t>
        </r>
        <r>
          <rPr>
            <sz val="9"/>
            <color indexed="81"/>
            <rFont val="Tahoma"/>
            <family val="2"/>
          </rPr>
          <t xml:space="preserve">
9mins low air pressure on filler, 8mins crowner stuck in chute, 7mins crowns stuck in transfer chute, 5mins outfeed sensor backed up on filler</t>
        </r>
      </text>
    </comment>
    <comment ref="V12" authorId="0" shapeId="0" xr:uid="{A93B8BC5-2FD2-47BA-AB25-B3AEF0575C96}">
      <text>
        <r>
          <rPr>
            <b/>
            <sz val="9"/>
            <color indexed="81"/>
            <rFont val="Tahoma"/>
            <family val="2"/>
          </rPr>
          <t>Kaylil Baptiste:</t>
        </r>
        <r>
          <rPr>
            <sz val="9"/>
            <color indexed="81"/>
            <rFont val="Tahoma"/>
            <family val="2"/>
          </rPr>
          <t xml:space="preserve">
62mins conductiing repairs to derailed pasteurizer infeed conveyor, 45mins stop to repair conveyer, 6mins unresponsive EBI discharge conveyor</t>
        </r>
      </text>
    </comment>
    <comment ref="Z12" authorId="3" shapeId="0" xr:uid="{3B559CFD-C254-4E84-AAE2-6FE7840D3DF6}">
      <text>
        <r>
          <rPr>
            <b/>
            <sz val="9"/>
            <color indexed="81"/>
            <rFont val="Tahoma"/>
            <family val="2"/>
          </rPr>
          <t>Tyrell Bartholomew:</t>
        </r>
        <r>
          <rPr>
            <sz val="9"/>
            <color indexed="81"/>
            <rFont val="Tahoma"/>
            <family val="2"/>
          </rPr>
          <t xml:space="preserve">
45mins lost due to lack of man power.( making arrangement to the team as shift was significant short staffed).
10mins waiting on depalletiser( switching shifts)</t>
        </r>
      </text>
    </comment>
    <comment ref="AB12" authorId="3" shapeId="0" xr:uid="{59A35D04-C3B5-4CB8-8A96-6252D6839260}">
      <text>
        <r>
          <rPr>
            <b/>
            <sz val="9"/>
            <color indexed="81"/>
            <rFont val="Tahoma"/>
            <family val="2"/>
          </rPr>
          <t>Tyrell Bartholomew:</t>
        </r>
        <r>
          <rPr>
            <sz val="9"/>
            <color indexed="81"/>
            <rFont val="Tahoma"/>
            <family val="2"/>
          </rPr>
          <t xml:space="preserve">
15mins stop to remove short NR amber bottles at the washer infeed.</t>
        </r>
      </text>
    </comment>
    <comment ref="P13" authorId="0" shapeId="0" xr:uid="{6B00B9FA-05B3-4BC1-9858-B028278C436F}">
      <text>
        <r>
          <rPr>
            <b/>
            <sz val="9"/>
            <color indexed="81"/>
            <rFont val="Tahoma"/>
            <family val="2"/>
          </rPr>
          <t>Kaylil Baptiste:</t>
        </r>
        <r>
          <rPr>
            <sz val="9"/>
            <color indexed="81"/>
            <rFont val="Tahoma"/>
            <family val="2"/>
          </rPr>
          <t xml:space="preserve">
13mins high rejection due to labels on bottles</t>
        </r>
      </text>
    </comment>
    <comment ref="F14" authorId="2" shapeId="0" xr:uid="{485C8B0E-8C33-4FE6-A58B-095BE2BD8E62}">
      <text>
        <r>
          <rPr>
            <b/>
            <sz val="9"/>
            <color indexed="81"/>
            <rFont val="Tahoma"/>
            <family val="2"/>
          </rPr>
          <t>Micah Noel:</t>
        </r>
        <r>
          <rPr>
            <sz val="9"/>
            <color indexed="81"/>
            <rFont val="Tahoma"/>
            <family val="2"/>
          </rPr>
          <t xml:space="preserve">
EBI test bottle failure from 2317</t>
        </r>
      </text>
    </comment>
    <comment ref="I14" authorId="2" shapeId="0" xr:uid="{48FE8FA4-0A6B-4FC3-A503-581C346C8951}">
      <text>
        <r>
          <rPr>
            <b/>
            <sz val="9"/>
            <color indexed="81"/>
            <rFont val="Tahoma"/>
            <family val="2"/>
          </rPr>
          <t>Micah Noel:</t>
        </r>
        <r>
          <rPr>
            <sz val="9"/>
            <color indexed="81"/>
            <rFont val="Tahoma"/>
            <family val="2"/>
          </rPr>
          <t xml:space="preserve">
filler change over was much longer than usual as the crowner and filler bowl heights adjustment was problematic</t>
        </r>
      </text>
    </comment>
    <comment ref="J14" authorId="0" shapeId="0" xr:uid="{3442B91A-B71C-40AD-B7C1-8782FC148CFB}">
      <text>
        <r>
          <rPr>
            <b/>
            <sz val="9"/>
            <color indexed="81"/>
            <rFont val="Tahoma"/>
            <family val="2"/>
          </rPr>
          <t>Kaylil Baptiste:</t>
        </r>
        <r>
          <rPr>
            <sz val="9"/>
            <color indexed="81"/>
            <rFont val="Tahoma"/>
            <family val="2"/>
          </rPr>
          <t xml:space="preserve">
147mins filling bowl not adjusting </t>
        </r>
      </text>
    </comment>
    <comment ref="O14" authorId="0" shapeId="0" xr:uid="{4928ED04-CB80-4699-A76A-C2D3FAF734B6}">
      <text>
        <r>
          <rPr>
            <b/>
            <sz val="9"/>
            <color indexed="81"/>
            <rFont val="Tahoma"/>
            <family val="2"/>
          </rPr>
          <t>Kaylil Baptiste:</t>
        </r>
        <r>
          <rPr>
            <sz val="9"/>
            <color indexed="81"/>
            <rFont val="Tahoma"/>
            <family val="2"/>
          </rPr>
          <t xml:space="preserve">
24mins leaking cups, 6mins uncaser head hitting crates</t>
        </r>
      </text>
    </comment>
    <comment ref="P14" authorId="0" shapeId="0" xr:uid="{1D946CBF-96E0-4D01-9332-1A27F2D176BD}">
      <text>
        <r>
          <rPr>
            <b/>
            <sz val="9"/>
            <color indexed="81"/>
            <rFont val="Tahoma"/>
            <family val="2"/>
          </rPr>
          <t>Kaylil Baptiste:</t>
        </r>
        <r>
          <rPr>
            <sz val="9"/>
            <color indexed="81"/>
            <rFont val="Tahoma"/>
            <family val="2"/>
          </rPr>
          <t xml:space="preserve">
127mins high rejection due to labels on bottles, 31mins stop to add chemicals in the washer( stabillon)</t>
        </r>
      </text>
    </comment>
    <comment ref="Q14" authorId="0" shapeId="0" xr:uid="{F85B9582-54FC-4B80-A778-0ED8B0FA560B}">
      <text>
        <r>
          <rPr>
            <b/>
            <sz val="9"/>
            <color indexed="81"/>
            <rFont val="Tahoma"/>
            <family val="2"/>
          </rPr>
          <t>Kaylil Baptiste:</t>
        </r>
        <r>
          <rPr>
            <sz val="9"/>
            <color indexed="81"/>
            <rFont val="Tahoma"/>
            <family val="2"/>
          </rPr>
          <t xml:space="preserve">
43mins Test bottles #2 fail, 17mins resetting EBI, 9mins high EBI rejection</t>
        </r>
      </text>
    </comment>
    <comment ref="R14" authorId="0" shapeId="0" xr:uid="{6DA4E365-80E8-49F5-A861-2C6F18277AE0}">
      <text>
        <r>
          <rPr>
            <b/>
            <sz val="9"/>
            <color indexed="81"/>
            <rFont val="Tahoma"/>
            <family val="2"/>
          </rPr>
          <t>Kaylil Baptiste:</t>
        </r>
        <r>
          <rPr>
            <sz val="9"/>
            <color indexed="81"/>
            <rFont val="Tahoma"/>
            <family val="2"/>
          </rPr>
          <t xml:space="preserve">
87mins motor to adjust crowner height jam, 6mins fallen bottles stuck at filler infeed worm, 5mins filler height adjustment</t>
        </r>
      </text>
    </comment>
    <comment ref="V14" authorId="0" shapeId="0" xr:uid="{CAD56101-E213-469A-8E65-66F56DE83071}">
      <text>
        <r>
          <rPr>
            <b/>
            <sz val="9"/>
            <color indexed="81"/>
            <rFont val="Tahoma"/>
            <family val="2"/>
          </rPr>
          <t>Kaylil Baptiste:</t>
        </r>
        <r>
          <rPr>
            <sz val="9"/>
            <color indexed="81"/>
            <rFont val="Tahoma"/>
            <family val="2"/>
          </rPr>
          <t xml:space="preserve">
82mins pasteurizer infeed conveyor jam</t>
        </r>
      </text>
    </comment>
    <comment ref="Z14" authorId="1" shapeId="0" xr:uid="{86BA63B8-DD5B-4FAD-A356-9D9FB5C8B40B}">
      <text>
        <r>
          <rPr>
            <b/>
            <sz val="9"/>
            <color indexed="81"/>
            <rFont val="Tahoma"/>
            <family val="2"/>
          </rPr>
          <t>Dorien Andrew:</t>
        </r>
        <r>
          <rPr>
            <sz val="9"/>
            <color indexed="81"/>
            <rFont val="Tahoma"/>
            <family val="2"/>
          </rPr>
          <t xml:space="preserve">
10 mins lost for meeting, </t>
        </r>
      </text>
    </comment>
    <comment ref="AB14" authorId="1" shapeId="0" xr:uid="{DD89F91B-8687-473F-8A3F-3F91A4E23F6E}">
      <text>
        <r>
          <rPr>
            <b/>
            <sz val="9"/>
            <color indexed="81"/>
            <rFont val="Tahoma"/>
            <family val="2"/>
          </rPr>
          <t>Dorien Andrew:</t>
        </r>
        <r>
          <rPr>
            <sz val="9"/>
            <color indexed="81"/>
            <rFont val="Tahoma"/>
            <family val="2"/>
          </rPr>
          <t xml:space="preserve">
15mins incorrect bottles loaded, 6 mins gap from rewash bottles</t>
        </r>
      </text>
    </comment>
    <comment ref="E15" authorId="2" shapeId="0" xr:uid="{20395991-4B03-4685-A1CD-5D50EF0E08E5}">
      <text>
        <r>
          <rPr>
            <b/>
            <sz val="9"/>
            <color indexed="81"/>
            <rFont val="Tahoma"/>
            <family val="2"/>
          </rPr>
          <t>Micah Noel:</t>
        </r>
        <r>
          <rPr>
            <sz val="9"/>
            <color indexed="81"/>
            <rFont val="Tahoma"/>
            <family val="2"/>
          </rPr>
          <t xml:space="preserve">
Filling on pause since 2317 yesterday (5th)until 010 today with EBI test bottle failure</t>
        </r>
      </text>
    </comment>
    <comment ref="P15" authorId="0" shapeId="0" xr:uid="{BAB8535C-A8E9-4809-BBD1-030BB78A8410}">
      <text>
        <r>
          <rPr>
            <b/>
            <sz val="9"/>
            <color indexed="81"/>
            <rFont val="Tahoma"/>
            <family val="2"/>
          </rPr>
          <t>Kaylil Baptiste:</t>
        </r>
        <r>
          <rPr>
            <sz val="9"/>
            <color indexed="81"/>
            <rFont val="Tahoma"/>
            <family val="2"/>
          </rPr>
          <t xml:space="preserve">
30mins high rejection due to glue/ labels on bottle</t>
        </r>
      </text>
    </comment>
    <comment ref="Q15" authorId="0" shapeId="0" xr:uid="{8555053A-9663-4801-BCA3-A5690FCF25A2}">
      <text>
        <r>
          <rPr>
            <b/>
            <sz val="9"/>
            <color indexed="81"/>
            <rFont val="Tahoma"/>
            <family val="2"/>
          </rPr>
          <t>Kaylil Baptiste:</t>
        </r>
        <r>
          <rPr>
            <sz val="9"/>
            <color indexed="81"/>
            <rFont val="Tahoma"/>
            <family val="2"/>
          </rPr>
          <t xml:space="preserve">
10mins test bottle #2 failing</t>
        </r>
      </text>
    </comment>
    <comment ref="V15" authorId="0" shapeId="0" xr:uid="{D24AE2EF-9007-47CE-AA17-98053E570E6C}">
      <text>
        <r>
          <rPr>
            <b/>
            <sz val="9"/>
            <color indexed="81"/>
            <rFont val="Tahoma"/>
            <family val="2"/>
          </rPr>
          <t>Kaylil Baptiste:</t>
        </r>
        <r>
          <rPr>
            <sz val="9"/>
            <color indexed="81"/>
            <rFont val="Tahoma"/>
            <family val="2"/>
          </rPr>
          <t xml:space="preserve">
105mins pasteurizer infeed conveyor derailed, 10mins bottles jammed at EBI infeed</t>
        </r>
      </text>
    </comment>
    <comment ref="W15" authorId="0" shapeId="0" xr:uid="{9B128C4C-F700-48DD-A823-C8874D0EA20A}">
      <text>
        <r>
          <rPr>
            <b/>
            <sz val="9"/>
            <color indexed="81"/>
            <rFont val="Tahoma"/>
            <family val="2"/>
          </rPr>
          <t>Kaylil Baptiste:</t>
        </r>
        <r>
          <rPr>
            <sz val="9"/>
            <color indexed="81"/>
            <rFont val="Tahoma"/>
            <family val="2"/>
          </rPr>
          <t xml:space="preserve">
37mins packer head sensor malfunction</t>
        </r>
      </text>
    </comment>
    <comment ref="I16" authorId="0" shapeId="0" xr:uid="{6C424E8E-6549-474E-8F4D-2793A5075D55}">
      <text>
        <r>
          <rPr>
            <b/>
            <sz val="9"/>
            <color indexed="81"/>
            <rFont val="Tahoma"/>
            <family val="2"/>
          </rPr>
          <t>Kaylil Baptiste:</t>
        </r>
        <r>
          <rPr>
            <sz val="9"/>
            <color indexed="81"/>
            <rFont val="Tahoma"/>
            <family val="2"/>
          </rPr>
          <t xml:space="preserve">
9mins change over from Classic to Ginger </t>
        </r>
      </text>
    </comment>
    <comment ref="O16" authorId="0" shapeId="0" xr:uid="{31A307FF-0E5C-4EA9-9500-65635F6BBEBF}">
      <text>
        <r>
          <rPr>
            <b/>
            <sz val="9"/>
            <color indexed="81"/>
            <rFont val="Tahoma"/>
            <family val="2"/>
          </rPr>
          <t>Kaylil Baptiste:</t>
        </r>
        <r>
          <rPr>
            <sz val="9"/>
            <color indexed="81"/>
            <rFont val="Tahoma"/>
            <family val="2"/>
          </rPr>
          <t xml:space="preserve">
6mins uncaser head malfunction</t>
        </r>
      </text>
    </comment>
    <comment ref="P16" authorId="0" shapeId="0" xr:uid="{A1075DB3-AD8B-4AFD-8AAA-862D6B97276C}">
      <text>
        <r>
          <rPr>
            <b/>
            <sz val="9"/>
            <color indexed="81"/>
            <rFont val="Tahoma"/>
            <family val="2"/>
          </rPr>
          <t>Kaylil Baptiste:</t>
        </r>
        <r>
          <rPr>
            <sz val="9"/>
            <color indexed="81"/>
            <rFont val="Tahoma"/>
            <family val="2"/>
          </rPr>
          <t xml:space="preserve">
31mins high rejection due to glue/ labels on bottle, 12mins bottles jamming at washer infeed flap</t>
        </r>
      </text>
    </comment>
    <comment ref="V16" authorId="0" shapeId="0" xr:uid="{AD2DDDBD-674D-40A0-B106-899979AC96D9}">
      <text>
        <r>
          <rPr>
            <b/>
            <sz val="9"/>
            <color indexed="81"/>
            <rFont val="Tahoma"/>
            <family val="2"/>
          </rPr>
          <t>Kaylil Baptiste:</t>
        </r>
        <r>
          <rPr>
            <sz val="9"/>
            <color indexed="81"/>
            <rFont val="Tahoma"/>
            <family val="2"/>
          </rPr>
          <t xml:space="preserve">
12mins EBI discharge conveyor cut off</t>
        </r>
      </text>
    </comment>
    <comment ref="I17" authorId="0" shapeId="0" xr:uid="{667600DC-7DD7-4D7D-887B-E3CF70DAD026}">
      <text>
        <r>
          <rPr>
            <b/>
            <sz val="9"/>
            <color indexed="81"/>
            <rFont val="Tahoma"/>
            <family val="2"/>
          </rPr>
          <t>Kaylil Baptiste:</t>
        </r>
        <r>
          <rPr>
            <sz val="9"/>
            <color indexed="81"/>
            <rFont val="Tahoma"/>
            <family val="2"/>
          </rPr>
          <t xml:space="preserve">
120mins change over from Vitamalt Ginger to Guinness</t>
        </r>
      </text>
    </comment>
    <comment ref="P17" authorId="0" shapeId="0" xr:uid="{ED112C2A-5AC3-428F-8277-C1136909D8EC}">
      <text>
        <r>
          <rPr>
            <b/>
            <sz val="9"/>
            <color indexed="81"/>
            <rFont val="Tahoma"/>
            <family val="2"/>
          </rPr>
          <t>Kaylil Baptiste:</t>
        </r>
        <r>
          <rPr>
            <sz val="9"/>
            <color indexed="81"/>
            <rFont val="Tahoma"/>
            <family val="2"/>
          </rPr>
          <t xml:space="preserve">
22mins high rejection due to glue/ labels on bottle, 8mins bottles jamming at washer infeed flap</t>
        </r>
      </text>
    </comment>
    <comment ref="Q17" authorId="0" shapeId="0" xr:uid="{71C607FB-1959-4EA1-86D8-148079DD10DA}">
      <text>
        <r>
          <rPr>
            <b/>
            <sz val="9"/>
            <color indexed="81"/>
            <rFont val="Tahoma"/>
            <family val="2"/>
          </rPr>
          <t>Kaylil Baptiste:</t>
        </r>
        <r>
          <rPr>
            <sz val="9"/>
            <color indexed="81"/>
            <rFont val="Tahoma"/>
            <family val="2"/>
          </rPr>
          <t xml:space="preserve">
20mins high EBI rejection, 5mins fallen bottles at EBI starwheel</t>
        </r>
      </text>
    </comment>
    <comment ref="T17" authorId="0" shapeId="0" xr:uid="{084BB927-FF1C-4A45-B7D5-CAFBAD40D94A}">
      <text>
        <r>
          <rPr>
            <b/>
            <sz val="9"/>
            <color indexed="81"/>
            <rFont val="Tahoma"/>
            <family val="2"/>
          </rPr>
          <t>Kaylil Baptiste:</t>
        </r>
        <r>
          <rPr>
            <sz val="9"/>
            <color indexed="81"/>
            <rFont val="Tahoma"/>
            <family val="2"/>
          </rPr>
          <t xml:space="preserve">
35mins aggregate adjustor break, 6mins labeler adjustments</t>
        </r>
      </text>
    </comment>
    <comment ref="Z17" authorId="0" shapeId="0" xr:uid="{1653CC94-6D66-4A20-B014-069F5AD1C544}">
      <text>
        <r>
          <rPr>
            <b/>
            <sz val="9"/>
            <color indexed="81"/>
            <rFont val="Tahoma"/>
            <family val="2"/>
          </rPr>
          <t>Kaylil Baptiste:</t>
        </r>
        <r>
          <rPr>
            <sz val="9"/>
            <color indexed="81"/>
            <rFont val="Tahoma"/>
            <family val="2"/>
          </rPr>
          <t xml:space="preserve">
7mins late filler operator</t>
        </r>
      </text>
    </comment>
    <comment ref="D18" authorId="0" shapeId="0" xr:uid="{5949C213-D299-4A70-8815-8B13B789FD9E}">
      <text>
        <r>
          <rPr>
            <b/>
            <sz val="9"/>
            <color indexed="81"/>
            <rFont val="Tahoma"/>
            <family val="2"/>
          </rPr>
          <t>Kaylil Baptiste:</t>
        </r>
        <r>
          <rPr>
            <sz val="9"/>
            <color indexed="81"/>
            <rFont val="Tahoma"/>
            <family val="2"/>
          </rPr>
          <t xml:space="preserve">
9:10</t>
        </r>
      </text>
    </comment>
    <comment ref="O18" authorId="0" shapeId="0" xr:uid="{F5548EB2-A4AD-40F6-AD58-CBF87CD449AB}">
      <text>
        <r>
          <rPr>
            <b/>
            <sz val="9"/>
            <color indexed="81"/>
            <rFont val="Tahoma"/>
            <family val="2"/>
          </rPr>
          <t>Kaylil Baptiste:</t>
        </r>
        <r>
          <rPr>
            <sz val="9"/>
            <color indexed="81"/>
            <rFont val="Tahoma"/>
            <family val="2"/>
          </rPr>
          <t xml:space="preserve">
53mins uncaser head malfunction, 7mins uncaser head hitting crates</t>
        </r>
      </text>
    </comment>
    <comment ref="P18" authorId="0" shapeId="0" xr:uid="{1A3C6097-8EE5-4E91-8E38-5BB2BF32C91C}">
      <text>
        <r>
          <rPr>
            <b/>
            <sz val="9"/>
            <color indexed="81"/>
            <rFont val="Tahoma"/>
            <family val="2"/>
          </rPr>
          <t>Kaylil Baptiste:</t>
        </r>
        <r>
          <rPr>
            <sz val="9"/>
            <color indexed="81"/>
            <rFont val="Tahoma"/>
            <family val="2"/>
          </rPr>
          <t xml:space="preserve">
32mins bottles jamming at washer discharge flap, 25mins bottles jamming at washer infeed flap, 19mins high rejection due to glue/ labels on bottle</t>
        </r>
      </text>
    </comment>
    <comment ref="Q18" authorId="0" shapeId="0" xr:uid="{6582C346-5744-44AD-B45D-1FFB8D35B8FC}">
      <text>
        <r>
          <rPr>
            <b/>
            <sz val="9"/>
            <color indexed="81"/>
            <rFont val="Tahoma"/>
            <family val="2"/>
          </rPr>
          <t>Kaylil Baptiste:</t>
        </r>
        <r>
          <rPr>
            <sz val="9"/>
            <color indexed="81"/>
            <rFont val="Tahoma"/>
            <family val="2"/>
          </rPr>
          <t xml:space="preserve">
24mins high EBI rejection</t>
        </r>
      </text>
    </comment>
    <comment ref="R18" authorId="0" shapeId="0" xr:uid="{6E8C0EF2-174C-454C-8268-B078FDE3F5E6}">
      <text>
        <r>
          <rPr>
            <b/>
            <sz val="9"/>
            <color indexed="81"/>
            <rFont val="Tahoma"/>
            <family val="2"/>
          </rPr>
          <t>Kaylil Baptiste:</t>
        </r>
        <r>
          <rPr>
            <sz val="9"/>
            <color indexed="81"/>
            <rFont val="Tahoma"/>
            <family val="2"/>
          </rPr>
          <t xml:space="preserve">
47mins solenoid for fobber not working</t>
        </r>
      </text>
    </comment>
    <comment ref="V18" authorId="0" shapeId="0" xr:uid="{37956143-5DE6-4D69-B4D1-A10A78A85868}">
      <text>
        <r>
          <rPr>
            <b/>
            <sz val="9"/>
            <color indexed="81"/>
            <rFont val="Tahoma"/>
            <family val="2"/>
          </rPr>
          <t>Kaylil Baptiste:</t>
        </r>
        <r>
          <rPr>
            <sz val="9"/>
            <color indexed="81"/>
            <rFont val="Tahoma"/>
            <family val="2"/>
          </rPr>
          <t xml:space="preserve">
17mins fallen bottles sticking in EBI shuffler</t>
        </r>
      </text>
    </comment>
    <comment ref="Z18" authorId="0" shapeId="0" xr:uid="{3AF594A2-1300-44B3-8348-59A16DED8328}">
      <text>
        <r>
          <rPr>
            <b/>
            <sz val="9"/>
            <color indexed="81"/>
            <rFont val="Tahoma"/>
            <family val="2"/>
          </rPr>
          <t>Kaylil Baptiste:</t>
        </r>
        <r>
          <rPr>
            <sz val="9"/>
            <color indexed="81"/>
            <rFont val="Tahoma"/>
            <family val="2"/>
          </rPr>
          <t xml:space="preserve">
10mins product preparation, 120mins waiting on bottles from washer </t>
        </r>
      </text>
    </comment>
    <comment ref="AB18" authorId="2" shapeId="0" xr:uid="{DC48B95B-2FFD-411F-B091-B42283DA6D1A}">
      <text>
        <r>
          <rPr>
            <b/>
            <sz val="9"/>
            <color indexed="81"/>
            <rFont val="Tahoma"/>
            <family val="2"/>
          </rPr>
          <t>Micah Noel:</t>
        </r>
        <r>
          <rPr>
            <sz val="9"/>
            <color indexed="81"/>
            <rFont val="Tahoma"/>
            <family val="2"/>
          </rPr>
          <t xml:space="preserve">
heavy EBI rejections cause by pre-washed bottles</t>
        </r>
      </text>
    </comment>
    <comment ref="J19" authorId="4" shapeId="0" xr:uid="{5BB9F0F4-0B8F-4991-9E3E-DF5C3248FFEB}">
      <text>
        <r>
          <rPr>
            <b/>
            <sz val="9"/>
            <color indexed="81"/>
            <rFont val="Tahoma"/>
            <family val="2"/>
          </rPr>
          <t>Michael Julien:</t>
        </r>
        <r>
          <rPr>
            <sz val="9"/>
            <color indexed="81"/>
            <rFont val="Tahoma"/>
            <family val="2"/>
          </rPr>
          <t xml:space="preserve">
31mins no lab tech to analyse product, 130mins stop on line due to the unavailability of product.</t>
        </r>
      </text>
    </comment>
    <comment ref="N19" authorId="1" shapeId="0" xr:uid="{835B9ED7-489B-45DE-91AC-7EEFF3E33E3C}">
      <text>
        <r>
          <rPr>
            <b/>
            <sz val="9"/>
            <color indexed="81"/>
            <rFont val="Tahoma"/>
            <family val="2"/>
          </rPr>
          <t>Dorien Andrew:</t>
        </r>
        <r>
          <rPr>
            <sz val="9"/>
            <color indexed="81"/>
            <rFont val="Tahoma"/>
            <family val="2"/>
          </rPr>
          <t xml:space="preserve">
boiler cut off</t>
        </r>
      </text>
    </comment>
    <comment ref="O19" authorId="0" shapeId="0" xr:uid="{64483E04-5A4B-40E4-ABB0-2DB6793E0410}">
      <text>
        <r>
          <rPr>
            <b/>
            <sz val="9"/>
            <color indexed="81"/>
            <rFont val="Tahoma"/>
            <family val="2"/>
          </rPr>
          <t>Kaylil Baptiste:</t>
        </r>
        <r>
          <rPr>
            <sz val="9"/>
            <color indexed="81"/>
            <rFont val="Tahoma"/>
            <family val="2"/>
          </rPr>
          <t xml:space="preserve">
20mins uncaser head malfunction, 8mins uncaser head hitting crates, 5mins leaking suction cups</t>
        </r>
      </text>
    </comment>
    <comment ref="P19" authorId="0" shapeId="0" xr:uid="{9BA0B5F3-12ED-4B16-9D5E-E7E2AB1820F8}">
      <text>
        <r>
          <rPr>
            <b/>
            <sz val="9"/>
            <color indexed="81"/>
            <rFont val="Tahoma"/>
            <family val="2"/>
          </rPr>
          <t>Kaylil Baptiste:</t>
        </r>
        <r>
          <rPr>
            <sz val="9"/>
            <color indexed="81"/>
            <rFont val="Tahoma"/>
            <family val="2"/>
          </rPr>
          <t xml:space="preserve">
57mins bottles jamming at washer discharge flap,17mins high rejection due to glue/ labels on bottle, 8mins bottles jamming at washer infeed flap</t>
        </r>
      </text>
    </comment>
    <comment ref="Q19" authorId="0" shapeId="0" xr:uid="{82767724-4911-488A-AE99-9A7F6CE8469D}">
      <text>
        <r>
          <rPr>
            <b/>
            <sz val="9"/>
            <color indexed="81"/>
            <rFont val="Tahoma"/>
            <family val="2"/>
          </rPr>
          <t>Kaylil Baptiste:</t>
        </r>
        <r>
          <rPr>
            <sz val="9"/>
            <color indexed="81"/>
            <rFont val="Tahoma"/>
            <family val="2"/>
          </rPr>
          <t xml:space="preserve">
12mins fallen bottles on EBI starwheel, 10mins EBI syction cups malfunction</t>
        </r>
      </text>
    </comment>
    <comment ref="T19" authorId="0" shapeId="0" xr:uid="{62392279-FDC0-47F4-A681-D385543928B5}">
      <text>
        <r>
          <rPr>
            <b/>
            <sz val="9"/>
            <color indexed="81"/>
            <rFont val="Tahoma"/>
            <family val="2"/>
          </rPr>
          <t>Kaylil Baptiste:</t>
        </r>
        <r>
          <rPr>
            <sz val="9"/>
            <color indexed="81"/>
            <rFont val="Tahoma"/>
            <family val="2"/>
          </rPr>
          <t xml:space="preserve">
8mins missing labels</t>
        </r>
      </text>
    </comment>
    <comment ref="V19" authorId="0" shapeId="0" xr:uid="{C0A25D41-C009-4150-A4EE-CD1C992E2633}">
      <text>
        <r>
          <rPr>
            <b/>
            <sz val="9"/>
            <color indexed="81"/>
            <rFont val="Tahoma"/>
            <family val="2"/>
          </rPr>
          <t>Kaylil Baptiste:</t>
        </r>
        <r>
          <rPr>
            <sz val="9"/>
            <color indexed="81"/>
            <rFont val="Tahoma"/>
            <family val="2"/>
          </rPr>
          <t xml:space="preserve">
7mins fallen bottles inside shuffler</t>
        </r>
      </text>
    </comment>
    <comment ref="Z19" authorId="2" shapeId="0" xr:uid="{6217CE3B-14C2-42EA-8C48-8408CD07AD0A}">
      <text>
        <r>
          <rPr>
            <b/>
            <sz val="9"/>
            <color indexed="81"/>
            <rFont val="Tahoma"/>
            <family val="2"/>
          </rPr>
          <t>Micah Noel:</t>
        </r>
        <r>
          <rPr>
            <sz val="9"/>
            <color indexed="81"/>
            <rFont val="Tahoma"/>
            <family val="2"/>
          </rPr>
          <t xml:space="preserve">
237 mins stop for bottling hall and union meeting, 30 mins break, 11mins stop to do midnight change over.</t>
        </r>
      </text>
    </comment>
    <comment ref="J20" authorId="2" shapeId="0" xr:uid="{2A503DA2-8DFA-4A71-982C-0306F50C43F4}">
      <text>
        <r>
          <rPr>
            <b/>
            <sz val="9"/>
            <color indexed="81"/>
            <rFont val="Tahoma"/>
            <family val="2"/>
          </rPr>
          <t>Micah Noel:</t>
        </r>
        <r>
          <rPr>
            <sz val="9"/>
            <color indexed="81"/>
            <rFont val="Tahoma"/>
            <family val="2"/>
          </rPr>
          <t xml:space="preserve">
3 mins low filler bowl level caused by empty BBT</t>
        </r>
      </text>
    </comment>
    <comment ref="O20" authorId="0" shapeId="0" xr:uid="{1D8113C1-0F3E-4B97-B7BF-9DB6FECE69CB}">
      <text>
        <r>
          <rPr>
            <b/>
            <sz val="9"/>
            <color indexed="81"/>
            <rFont val="Tahoma"/>
            <family val="2"/>
          </rPr>
          <t>Kaylil Baptiste:</t>
        </r>
        <r>
          <rPr>
            <sz val="9"/>
            <color indexed="81"/>
            <rFont val="Tahoma"/>
            <family val="2"/>
          </rPr>
          <t xml:space="preserve">
44mins uncaser sensor malfunction, 6mins uncaser head hitting crates</t>
        </r>
      </text>
    </comment>
    <comment ref="P20" authorId="0" shapeId="0" xr:uid="{FB9EFE57-30E2-49E7-9524-48543FBF72C2}">
      <text>
        <r>
          <rPr>
            <b/>
            <sz val="9"/>
            <color indexed="81"/>
            <rFont val="Tahoma"/>
            <family val="2"/>
          </rPr>
          <t>Kaylil Baptiste:</t>
        </r>
        <r>
          <rPr>
            <sz val="9"/>
            <color indexed="81"/>
            <rFont val="Tahoma"/>
            <family val="2"/>
          </rPr>
          <t xml:space="preserve">
30mins bottles jamming at washer discharge flap,19mins high rejection due to glue/ labels on bottle, 10mins bottles jamming at washer infeed flap</t>
        </r>
      </text>
    </comment>
    <comment ref="Q20" authorId="0" shapeId="0" xr:uid="{080E2314-1F41-44F4-B946-E5C9BFBC1AA8}">
      <text>
        <r>
          <rPr>
            <b/>
            <sz val="9"/>
            <color indexed="81"/>
            <rFont val="Tahoma"/>
            <family val="2"/>
          </rPr>
          <t>Kaylil Baptiste:</t>
        </r>
        <r>
          <rPr>
            <sz val="9"/>
            <color indexed="81"/>
            <rFont val="Tahoma"/>
            <family val="2"/>
          </rPr>
          <t xml:space="preserve">
13mins high EBI rejection, 12mins changing suction cups to improve vaccum pressure, 5mins fallen bottles on EBI OSW</t>
        </r>
      </text>
    </comment>
    <comment ref="R20" authorId="0" shapeId="0" xr:uid="{CCE20BD6-8344-4F37-9696-F44DCB0EC891}">
      <text>
        <r>
          <rPr>
            <b/>
            <sz val="9"/>
            <color indexed="81"/>
            <rFont val="Tahoma"/>
            <family val="2"/>
          </rPr>
          <t>Kaylil Baptiste:</t>
        </r>
        <r>
          <rPr>
            <sz val="9"/>
            <color indexed="81"/>
            <rFont val="Tahoma"/>
            <family val="2"/>
          </rPr>
          <t xml:space="preserve">
7mins changing rubber on centering cup</t>
        </r>
      </text>
    </comment>
    <comment ref="V20" authorId="0" shapeId="0" xr:uid="{B504476F-123E-430E-995F-E04ABA3D9306}">
      <text>
        <r>
          <rPr>
            <b/>
            <sz val="9"/>
            <color indexed="81"/>
            <rFont val="Tahoma"/>
            <family val="2"/>
          </rPr>
          <t>Kaylil Baptiste:</t>
        </r>
        <r>
          <rPr>
            <sz val="9"/>
            <color indexed="81"/>
            <rFont val="Tahoma"/>
            <family val="2"/>
          </rPr>
          <t xml:space="preserve">
12mins fallen bottles inside shuffler</t>
        </r>
      </text>
    </comment>
    <comment ref="W20" authorId="0" shapeId="0" xr:uid="{37218C44-0998-4D9B-8B28-94C4A7C0728D}">
      <text>
        <r>
          <rPr>
            <b/>
            <sz val="9"/>
            <color indexed="81"/>
            <rFont val="Tahoma"/>
            <family val="2"/>
          </rPr>
          <t>Kaylil Baptiste:</t>
        </r>
        <r>
          <rPr>
            <sz val="9"/>
            <color indexed="81"/>
            <rFont val="Tahoma"/>
            <family val="2"/>
          </rPr>
          <t xml:space="preserve">
7mins packer head adjustments </t>
        </r>
      </text>
    </comment>
    <comment ref="Z20" authorId="4" shapeId="0" xr:uid="{D40FDFB0-E6B6-4ACE-A48B-E07CC510D025}">
      <text>
        <r>
          <rPr>
            <b/>
            <sz val="9"/>
            <color indexed="81"/>
            <rFont val="Tahoma"/>
            <family val="2"/>
          </rPr>
          <t>Michael Julien:</t>
        </r>
        <r>
          <rPr>
            <sz val="9"/>
            <color indexed="81"/>
            <rFont val="Tahoma"/>
            <family val="2"/>
          </rPr>
          <t xml:space="preserve">
11mins midnight change over, adjusting labeler speed.6 mins for cutting off loading</t>
        </r>
      </text>
    </comment>
    <comment ref="AB20" authorId="2" shapeId="0" xr:uid="{33B6D28F-FED3-4A38-82CF-F536E12FE482}">
      <text>
        <r>
          <rPr>
            <b/>
            <sz val="9"/>
            <color indexed="81"/>
            <rFont val="Tahoma"/>
            <family val="2"/>
          </rPr>
          <t>Micah Noel:</t>
        </r>
        <r>
          <rPr>
            <sz val="9"/>
            <color indexed="81"/>
            <rFont val="Tahoma"/>
            <family val="2"/>
          </rPr>
          <t xml:space="preserve">
high EBI rejections caused by pre-washed bottles, 3mins lost creating gap between returned and pre-washed bottles in washer</t>
        </r>
      </text>
    </comment>
    <comment ref="I21" authorId="0" shapeId="0" xr:uid="{F8773DAC-0FBD-41E2-B99B-26BB31025782}">
      <text>
        <r>
          <rPr>
            <b/>
            <sz val="9"/>
            <color indexed="81"/>
            <rFont val="Tahoma"/>
            <family val="2"/>
          </rPr>
          <t>Kaylil Baptiste:</t>
        </r>
        <r>
          <rPr>
            <sz val="9"/>
            <color indexed="81"/>
            <rFont val="Tahoma"/>
            <family val="2"/>
          </rPr>
          <t xml:space="preserve">
80mins product change over</t>
        </r>
      </text>
    </comment>
    <comment ref="J21" authorId="0" shapeId="0" xr:uid="{A9409F05-D3F8-4D76-A885-BB756D11DA0F}">
      <text>
        <r>
          <rPr>
            <b/>
            <sz val="9"/>
            <color indexed="81"/>
            <rFont val="Tahoma"/>
            <family val="2"/>
          </rPr>
          <t>Kaylil Baptiste:</t>
        </r>
        <r>
          <rPr>
            <sz val="9"/>
            <color indexed="81"/>
            <rFont val="Tahoma"/>
            <family val="2"/>
          </rPr>
          <t xml:space="preserve">
34mins waiting on product</t>
        </r>
      </text>
    </comment>
    <comment ref="O21" authorId="0" shapeId="0" xr:uid="{23994F03-34BF-466F-BE09-2D1723489CF7}">
      <text>
        <r>
          <rPr>
            <b/>
            <sz val="9"/>
            <color indexed="81"/>
            <rFont val="Tahoma"/>
            <family val="2"/>
          </rPr>
          <t>Kaylil Baptiste:</t>
        </r>
        <r>
          <rPr>
            <sz val="9"/>
            <color indexed="81"/>
            <rFont val="Tahoma"/>
            <family val="2"/>
          </rPr>
          <t xml:space="preserve">
5mins uncaser head hitting crates</t>
        </r>
      </text>
    </comment>
    <comment ref="R21" authorId="0" shapeId="0" xr:uid="{71C95CA2-5CD4-47EA-B55F-8E81BD0CC3C4}">
      <text>
        <r>
          <rPr>
            <b/>
            <sz val="9"/>
            <color indexed="81"/>
            <rFont val="Tahoma"/>
            <family val="2"/>
          </rPr>
          <t>Kaylil Baptiste:</t>
        </r>
        <r>
          <rPr>
            <sz val="9"/>
            <color indexed="81"/>
            <rFont val="Tahoma"/>
            <family val="2"/>
          </rPr>
          <t xml:space="preserve">
18mins crowner height adjustments, 5mins crowner stuck in chute</t>
        </r>
      </text>
    </comment>
    <comment ref="T21" authorId="0" shapeId="0" xr:uid="{617BC773-C43F-4283-84BC-331C9B39E194}">
      <text>
        <r>
          <rPr>
            <b/>
            <sz val="9"/>
            <color indexed="81"/>
            <rFont val="Tahoma"/>
            <family val="2"/>
          </rPr>
          <t>Kaylil Baptiste:</t>
        </r>
        <r>
          <rPr>
            <sz val="9"/>
            <color indexed="81"/>
            <rFont val="Tahoma"/>
            <family val="2"/>
          </rPr>
          <t xml:space="preserve">
31mins labels adjustments on labeler </t>
        </r>
      </text>
    </comment>
    <comment ref="U21" authorId="0" shapeId="0" xr:uid="{79ABD2E8-9255-423A-ABA8-A9A4CD48E516}">
      <text>
        <r>
          <rPr>
            <b/>
            <sz val="9"/>
            <color indexed="81"/>
            <rFont val="Tahoma"/>
            <family val="2"/>
          </rPr>
          <t>Kaylil Baptiste:</t>
        </r>
        <r>
          <rPr>
            <sz val="9"/>
            <color indexed="81"/>
            <rFont val="Tahoma"/>
            <family val="2"/>
          </rPr>
          <t xml:space="preserve">
22mins videojet not printing</t>
        </r>
      </text>
    </comment>
    <comment ref="W21" authorId="0" shapeId="0" xr:uid="{EFDC801C-E869-45E9-B713-5FC64DE17754}">
      <text>
        <r>
          <rPr>
            <b/>
            <sz val="9"/>
            <color indexed="81"/>
            <rFont val="Tahoma"/>
            <family val="2"/>
          </rPr>
          <t>Kaylil Baptiste:</t>
        </r>
        <r>
          <rPr>
            <sz val="9"/>
            <color indexed="81"/>
            <rFont val="Tahoma"/>
            <family val="2"/>
          </rPr>
          <t xml:space="preserve">
9mins replacing cups on packer </t>
        </r>
      </text>
    </comment>
    <comment ref="X21" authorId="0" shapeId="0" xr:uid="{BF8269A6-A2D8-4FB2-B7F0-72EF222F1EB2}">
      <text>
        <r>
          <rPr>
            <b/>
            <sz val="9"/>
            <color indexed="81"/>
            <rFont val="Tahoma"/>
            <family val="2"/>
          </rPr>
          <t>Kaylil Baptiste:</t>
        </r>
        <r>
          <rPr>
            <sz val="9"/>
            <color indexed="81"/>
            <rFont val="Tahoma"/>
            <family val="2"/>
          </rPr>
          <t xml:space="preserve">
5mins cartons not taping</t>
        </r>
      </text>
    </comment>
    <comment ref="P22" authorId="0" shapeId="0" xr:uid="{C5C46952-F278-42A8-A797-1075AF86213E}">
      <text>
        <r>
          <rPr>
            <b/>
            <sz val="9"/>
            <color indexed="81"/>
            <rFont val="Tahoma"/>
            <family val="2"/>
          </rPr>
          <t>Kaylil Baptiste:</t>
        </r>
        <r>
          <rPr>
            <sz val="9"/>
            <color indexed="81"/>
            <rFont val="Tahoma"/>
            <family val="2"/>
          </rPr>
          <t xml:space="preserve">
10mins high rejection due to labels, 8mins fallen bottles jam at flap discharge</t>
        </r>
      </text>
    </comment>
    <comment ref="Q22" authorId="0" shapeId="0" xr:uid="{548180FA-320F-4E93-BC58-4B09FF3C1ADC}">
      <text>
        <r>
          <rPr>
            <b/>
            <sz val="9"/>
            <color indexed="81"/>
            <rFont val="Tahoma"/>
            <family val="2"/>
          </rPr>
          <t>Kaylil Baptiste:</t>
        </r>
        <r>
          <rPr>
            <sz val="9"/>
            <color indexed="81"/>
            <rFont val="Tahoma"/>
            <family val="2"/>
          </rPr>
          <t xml:space="preserve">
42mins maintenance adjusting transfer plate in EBI</t>
        </r>
      </text>
    </comment>
    <comment ref="T22" authorId="0" shapeId="0" xr:uid="{DA5AE5CC-7FDD-45B8-867C-CB8017FB568D}">
      <text>
        <r>
          <rPr>
            <b/>
            <sz val="9"/>
            <color indexed="81"/>
            <rFont val="Tahoma"/>
            <family val="2"/>
          </rPr>
          <t>Kaylil Baptiste:</t>
        </r>
        <r>
          <rPr>
            <sz val="9"/>
            <color indexed="81"/>
            <rFont val="Tahoma"/>
            <family val="2"/>
          </rPr>
          <t xml:space="preserve">
5mins misaligned label adjustments</t>
        </r>
      </text>
    </comment>
    <comment ref="G23" authorId="2" shapeId="0" xr:uid="{6983A5D1-2C34-4878-BD54-D372FA436ED2}">
      <text>
        <r>
          <rPr>
            <b/>
            <sz val="9"/>
            <color indexed="81"/>
            <rFont val="Tahoma"/>
            <family val="2"/>
          </rPr>
          <t>Micah Noel:</t>
        </r>
        <r>
          <rPr>
            <sz val="9"/>
            <color indexed="81"/>
            <rFont val="Tahoma"/>
            <family val="2"/>
          </rPr>
          <t xml:space="preserve">
wait for packaging material to finish up</t>
        </r>
      </text>
    </comment>
    <comment ref="I23" authorId="0" shapeId="0" xr:uid="{7D76A410-0B8D-477F-89D3-1BA9225F4CFB}">
      <text>
        <r>
          <rPr>
            <b/>
            <sz val="9"/>
            <color indexed="81"/>
            <rFont val="Tahoma"/>
            <family val="2"/>
          </rPr>
          <t>Kaylil Baptiste:</t>
        </r>
        <r>
          <rPr>
            <sz val="9"/>
            <color indexed="81"/>
            <rFont val="Tahoma"/>
            <family val="2"/>
          </rPr>
          <t xml:space="preserve">
28mins product change over from Pearsecco to Rose</t>
        </r>
      </text>
    </comment>
    <comment ref="O23" authorId="0" shapeId="0" xr:uid="{69195DE6-2324-4DE6-9137-FD08DB437BD5}">
      <text>
        <r>
          <rPr>
            <b/>
            <sz val="9"/>
            <color indexed="81"/>
            <rFont val="Tahoma"/>
            <family val="2"/>
          </rPr>
          <t>Kaylil Baptiste:</t>
        </r>
        <r>
          <rPr>
            <sz val="9"/>
            <color indexed="81"/>
            <rFont val="Tahoma"/>
            <family val="2"/>
          </rPr>
          <t xml:space="preserve">
22mins uncaser head hitting crates</t>
        </r>
      </text>
    </comment>
    <comment ref="P23" authorId="0" shapeId="0" xr:uid="{8E054896-E389-45A6-97CE-D77C6D58DC6B}">
      <text>
        <r>
          <rPr>
            <b/>
            <sz val="9"/>
            <color indexed="81"/>
            <rFont val="Tahoma"/>
            <family val="2"/>
          </rPr>
          <t>Kaylil Baptiste:</t>
        </r>
        <r>
          <rPr>
            <sz val="9"/>
            <color indexed="81"/>
            <rFont val="Tahoma"/>
            <family val="2"/>
          </rPr>
          <t xml:space="preserve">
14mins mins fallen bottles jam at flap infeed</t>
        </r>
      </text>
    </comment>
    <comment ref="Q23" authorId="0" shapeId="0" xr:uid="{D1392AEF-F271-4BE0-A026-7A2FEA8695D8}">
      <text>
        <r>
          <rPr>
            <b/>
            <sz val="9"/>
            <color indexed="81"/>
            <rFont val="Tahoma"/>
            <family val="2"/>
          </rPr>
          <t>Kaylil Baptiste:</t>
        </r>
        <r>
          <rPr>
            <sz val="9"/>
            <color indexed="81"/>
            <rFont val="Tahoma"/>
            <family val="2"/>
          </rPr>
          <t xml:space="preserve">
30mins test bottle failure</t>
        </r>
      </text>
    </comment>
    <comment ref="X23" authorId="0" shapeId="0" xr:uid="{A4E5AD0C-A34B-4297-BD81-F33F38B9D344}">
      <text>
        <r>
          <rPr>
            <b/>
            <sz val="9"/>
            <color indexed="81"/>
            <rFont val="Tahoma"/>
            <family val="2"/>
          </rPr>
          <t>Kaylil Baptiste:</t>
        </r>
        <r>
          <rPr>
            <sz val="9"/>
            <color indexed="81"/>
            <rFont val="Tahoma"/>
            <family val="2"/>
          </rPr>
          <t xml:space="preserve">
45mins carton errector malfunction,13mins carton errector jamming</t>
        </r>
      </text>
    </comment>
    <comment ref="Z23" authorId="0" shapeId="0" xr:uid="{8118A1B7-E7BC-4C90-A7D3-6C2771C111BF}">
      <text>
        <r>
          <rPr>
            <b/>
            <sz val="9"/>
            <color indexed="81"/>
            <rFont val="Tahoma"/>
            <family val="2"/>
          </rPr>
          <t>Kaylil Baptiste:</t>
        </r>
        <r>
          <rPr>
            <sz val="9"/>
            <color indexed="81"/>
            <rFont val="Tahoma"/>
            <family val="2"/>
          </rPr>
          <t xml:space="preserve">
6mins waiting on palletizer </t>
        </r>
      </text>
    </comment>
    <comment ref="AB23" authorId="2" shapeId="0" xr:uid="{0D4AA7E5-9B17-47A9-A071-3C692A1E57D0}">
      <text>
        <r>
          <rPr>
            <b/>
            <sz val="9"/>
            <color indexed="81"/>
            <rFont val="Tahoma"/>
            <family val="2"/>
          </rPr>
          <t>Micah Noel:</t>
        </r>
        <r>
          <rPr>
            <sz val="9"/>
            <color indexed="81"/>
            <rFont val="Tahoma"/>
            <family val="2"/>
          </rPr>
          <t xml:space="preserve">
5 mins EBI rejection caused by mixed bottles entering unit (cdc clear) 8 mins waiting for bottles from logistics</t>
        </r>
      </text>
    </comment>
    <comment ref="H24" authorId="0" shapeId="0" xr:uid="{4EE96513-E05F-4E77-96BC-BA7C369B7D65}">
      <text>
        <r>
          <rPr>
            <b/>
            <sz val="9"/>
            <color indexed="81"/>
            <rFont val="Tahoma"/>
            <family val="2"/>
          </rPr>
          <t>Kaylil Baptiste:</t>
        </r>
        <r>
          <rPr>
            <sz val="9"/>
            <color indexed="81"/>
            <rFont val="Tahoma"/>
            <family val="2"/>
          </rPr>
          <t xml:space="preserve">
10mins lost waiting on stag crowns </t>
        </r>
      </text>
    </comment>
    <comment ref="I24" authorId="2" shapeId="0" xr:uid="{34EF6A35-8F7C-4617-B1B8-F1C2A38A93BA}">
      <text>
        <r>
          <rPr>
            <b/>
            <sz val="9"/>
            <color indexed="81"/>
            <rFont val="Tahoma"/>
            <family val="2"/>
          </rPr>
          <t>Micah Noel:</t>
        </r>
        <r>
          <rPr>
            <sz val="9"/>
            <color indexed="81"/>
            <rFont val="Tahoma"/>
            <family val="2"/>
          </rPr>
          <t xml:space="preserve"> 
 62 minutes went into actual filler change over  </t>
        </r>
      </text>
    </comment>
    <comment ref="O24" authorId="0" shapeId="0" xr:uid="{B5F6A77D-994C-49C2-BF33-8D48770FD389}">
      <text>
        <r>
          <rPr>
            <b/>
            <sz val="9"/>
            <color indexed="81"/>
            <rFont val="Tahoma"/>
            <family val="2"/>
          </rPr>
          <t>Kaylil Baptiste:</t>
        </r>
        <r>
          <rPr>
            <sz val="9"/>
            <color indexed="81"/>
            <rFont val="Tahoma"/>
            <family val="2"/>
          </rPr>
          <t xml:space="preserve">
12mins uncaser head hitting crates</t>
        </r>
      </text>
    </comment>
    <comment ref="P24" authorId="0" shapeId="0" xr:uid="{1AC7B5BA-0026-4036-BA8C-E872CEED79FF}">
      <text>
        <r>
          <rPr>
            <b/>
            <sz val="9"/>
            <color indexed="81"/>
            <rFont val="Tahoma"/>
            <family val="2"/>
          </rPr>
          <t>Kaylil Baptiste:</t>
        </r>
        <r>
          <rPr>
            <sz val="9"/>
            <color indexed="81"/>
            <rFont val="Tahoma"/>
            <family val="2"/>
          </rPr>
          <t xml:space="preserve">
14mins bottles jam at discharge flap, 10mins high rejection due to labels, 7mins fallen bottles jam at flap infeed</t>
        </r>
      </text>
    </comment>
    <comment ref="R24" authorId="0" shapeId="0" xr:uid="{1B2711BE-9374-461E-9D79-D3A8B879EC6F}">
      <text>
        <r>
          <rPr>
            <b/>
            <sz val="9"/>
            <color indexed="81"/>
            <rFont val="Tahoma"/>
            <family val="2"/>
          </rPr>
          <t>Kaylil Baptiste:</t>
        </r>
        <r>
          <rPr>
            <sz val="9"/>
            <color indexed="81"/>
            <rFont val="Tahoma"/>
            <family val="2"/>
          </rPr>
          <t xml:space="preserve">
50 minutes was used to do midweek clean while operator waitied for maintenance to adjust filler bowl manually, 35 minutes lost caused my filler bowl refusal to to have the height adjusted automatically</t>
        </r>
      </text>
    </comment>
    <comment ref="W24" authorId="0" shapeId="0" xr:uid="{F07E5D33-5247-43F7-89CD-5B9B308DFEE4}">
      <text>
        <r>
          <rPr>
            <b/>
            <sz val="9"/>
            <color indexed="81"/>
            <rFont val="Tahoma"/>
            <family val="2"/>
          </rPr>
          <t>Kaylil Baptiste:</t>
        </r>
        <r>
          <rPr>
            <sz val="9"/>
            <color indexed="81"/>
            <rFont val="Tahoma"/>
            <family val="2"/>
          </rPr>
          <t xml:space="preserve">
25mins packer sensor malfunction, 10mins leaking cups on packer</t>
        </r>
      </text>
    </comment>
    <comment ref="Z24" authorId="0" shapeId="0" xr:uid="{996ACFBA-8719-4B87-A9FF-226AE85C43EF}">
      <text>
        <r>
          <rPr>
            <b/>
            <sz val="9"/>
            <color indexed="81"/>
            <rFont val="Tahoma"/>
            <family val="2"/>
          </rPr>
          <t>Kaylil Baptiste:</t>
        </r>
        <r>
          <rPr>
            <sz val="9"/>
            <color indexed="81"/>
            <rFont val="Tahoma"/>
            <family val="2"/>
          </rPr>
          <t xml:space="preserve">
18mins waiting on washer operator to load line</t>
        </r>
      </text>
    </comment>
    <comment ref="O25" authorId="0" shapeId="0" xr:uid="{F0EFDB22-DCA9-4DF1-B781-AB87942A0B9D}">
      <text>
        <r>
          <rPr>
            <b/>
            <sz val="9"/>
            <color indexed="81"/>
            <rFont val="Tahoma"/>
            <family val="2"/>
          </rPr>
          <t>Kaylil Baptiste:</t>
        </r>
        <r>
          <rPr>
            <sz val="9"/>
            <color indexed="81"/>
            <rFont val="Tahoma"/>
            <family val="2"/>
          </rPr>
          <t xml:space="preserve">
6mins uncaser head hitting damaged crates</t>
        </r>
      </text>
    </comment>
    <comment ref="P25" authorId="0" shapeId="0" xr:uid="{736B99D9-6005-40E0-BFED-FF892966D0F1}">
      <text>
        <r>
          <rPr>
            <b/>
            <sz val="9"/>
            <color indexed="81"/>
            <rFont val="Tahoma"/>
            <family val="2"/>
          </rPr>
          <t>Kaylil Baptiste:</t>
        </r>
        <r>
          <rPr>
            <sz val="9"/>
            <color indexed="81"/>
            <rFont val="Tahoma"/>
            <family val="2"/>
          </rPr>
          <t xml:space="preserve">
8mins bottles jamming washer discharge flap, 24mins high EBI rejection due to labels, 12mins bottles jamming washer infeed flap</t>
        </r>
      </text>
    </comment>
    <comment ref="Q25" authorId="0" shapeId="0" xr:uid="{FECA6587-87F2-4753-B543-9281F2A8A30C}">
      <text>
        <r>
          <rPr>
            <b/>
            <sz val="9"/>
            <color indexed="81"/>
            <rFont val="Tahoma"/>
            <family val="2"/>
          </rPr>
          <t>Kaylil Baptiste:</t>
        </r>
        <r>
          <rPr>
            <sz val="9"/>
            <color indexed="81"/>
            <rFont val="Tahoma"/>
            <family val="2"/>
          </rPr>
          <t xml:space="preserve">
11mins fallen bottles jamming OSW, 10mins high EBI rejection, 9mins bottles jamming starwheel</t>
        </r>
      </text>
    </comment>
    <comment ref="R25" authorId="0" shapeId="0" xr:uid="{5B789C11-89AE-4448-98F2-839666A50806}">
      <text>
        <r>
          <rPr>
            <b/>
            <sz val="9"/>
            <color indexed="81"/>
            <rFont val="Tahoma"/>
            <family val="2"/>
          </rPr>
          <t>Kaylil Baptiste:</t>
        </r>
        <r>
          <rPr>
            <sz val="9"/>
            <color indexed="81"/>
            <rFont val="Tahoma"/>
            <family val="2"/>
          </rPr>
          <t xml:space="preserve">
5mins crowner self flushing</t>
        </r>
      </text>
    </comment>
    <comment ref="V25" authorId="0" shapeId="0" xr:uid="{F5F1001E-6E5B-46C5-B36D-E5F6A7DA1F4C}">
      <text>
        <r>
          <rPr>
            <b/>
            <sz val="9"/>
            <color indexed="81"/>
            <rFont val="Tahoma"/>
            <family val="2"/>
          </rPr>
          <t>Kaylil Baptiste:</t>
        </r>
        <r>
          <rPr>
            <sz val="9"/>
            <color indexed="81"/>
            <rFont val="Tahoma"/>
            <family val="2"/>
          </rPr>
          <t xml:space="preserve">
11mins fallen bottles inside shuffler, 8mins  bottles falling / jamming on pasteurizer discharge</t>
        </r>
      </text>
    </comment>
    <comment ref="W25" authorId="0" shapeId="0" xr:uid="{0F579D49-AE19-45A0-8DAC-7DFDD3F964E0}">
      <text>
        <r>
          <rPr>
            <b/>
            <sz val="9"/>
            <color indexed="81"/>
            <rFont val="Tahoma"/>
            <family val="2"/>
          </rPr>
          <t>Kaylil Baptiste:</t>
        </r>
        <r>
          <rPr>
            <sz val="9"/>
            <color indexed="81"/>
            <rFont val="Tahoma"/>
            <family val="2"/>
          </rPr>
          <t xml:space="preserve">
6mins centering device adjustments</t>
        </r>
      </text>
    </comment>
    <comment ref="Z25" authorId="0" shapeId="0" xr:uid="{A3FB14AA-06DB-4C67-A7CD-BB324DF3C62C}">
      <text>
        <r>
          <rPr>
            <b/>
            <sz val="9"/>
            <color indexed="81"/>
            <rFont val="Tahoma"/>
            <family val="2"/>
          </rPr>
          <t>Kaylil Baptiste:</t>
        </r>
        <r>
          <rPr>
            <sz val="9"/>
            <color indexed="81"/>
            <rFont val="Tahoma"/>
            <family val="2"/>
          </rPr>
          <t xml:space="preserve">
midnigt change over</t>
        </r>
      </text>
    </comment>
    <comment ref="AB25" authorId="2" shapeId="0" xr:uid="{B27A1246-F9B6-4448-9A49-3E6690F74FDB}">
      <text>
        <r>
          <rPr>
            <b/>
            <sz val="9"/>
            <color indexed="81"/>
            <rFont val="Tahoma"/>
            <family val="2"/>
          </rPr>
          <t>Micah Noel:</t>
        </r>
        <r>
          <rPr>
            <sz val="9"/>
            <color indexed="81"/>
            <rFont val="Tahoma"/>
            <family val="2"/>
          </rPr>
          <t xml:space="preserve">
7 mins space in washer to separate pre-washed bottles 8 mins heavy EBI rejections caused by pre-washed bottles</t>
        </r>
      </text>
    </comment>
    <comment ref="I26" authorId="2" shapeId="0" xr:uid="{BF71E989-1546-4559-88F1-08BB03DACA56}">
      <text>
        <r>
          <rPr>
            <b/>
            <sz val="9"/>
            <color indexed="81"/>
            <rFont val="Tahoma"/>
            <family val="2"/>
          </rPr>
          <t>Micah Noel:</t>
        </r>
        <r>
          <rPr>
            <sz val="9"/>
            <color indexed="81"/>
            <rFont val="Tahoma"/>
            <family val="2"/>
          </rPr>
          <t xml:space="preserve">
Filler change over from Stag to Star Malt</t>
        </r>
      </text>
    </comment>
    <comment ref="O26" authorId="0" shapeId="0" xr:uid="{9CB2CFFC-8FAC-477B-9674-51D699A5C5EE}">
      <text>
        <r>
          <rPr>
            <b/>
            <sz val="9"/>
            <color indexed="81"/>
            <rFont val="Tahoma"/>
            <family val="2"/>
          </rPr>
          <t>Kaylil Baptiste:</t>
        </r>
        <r>
          <rPr>
            <sz val="9"/>
            <color indexed="81"/>
            <rFont val="Tahoma"/>
            <family val="2"/>
          </rPr>
          <t xml:space="preserve">
22mins leaking cups, 20mins uncaser head malfunction, 11mins uncaser head hitting damaged crates</t>
        </r>
      </text>
    </comment>
    <comment ref="P26" authorId="0" shapeId="0" xr:uid="{805B39DB-BF44-4B10-98EC-EC64F12901EE}">
      <text>
        <r>
          <rPr>
            <b/>
            <sz val="9"/>
            <color indexed="81"/>
            <rFont val="Tahoma"/>
            <family val="2"/>
          </rPr>
          <t>Kaylil Baptiste:</t>
        </r>
        <r>
          <rPr>
            <sz val="9"/>
            <color indexed="81"/>
            <rFont val="Tahoma"/>
            <family val="2"/>
          </rPr>
          <t xml:space="preserve">
38mins bottles jamming washer discharge flap, 5mins bottles jamming washer infeed flap</t>
        </r>
      </text>
    </comment>
    <comment ref="S26" authorId="0" shapeId="0" xr:uid="{1B80896B-5660-410C-8FEB-947726C96478}">
      <text>
        <r>
          <rPr>
            <b/>
            <sz val="9"/>
            <color indexed="81"/>
            <rFont val="Tahoma"/>
            <family val="2"/>
          </rPr>
          <t>Kaylil Baptiste:</t>
        </r>
        <r>
          <rPr>
            <sz val="9"/>
            <color indexed="81"/>
            <rFont val="Tahoma"/>
            <family val="2"/>
          </rPr>
          <t xml:space="preserve">
60mins waiting on dry run, 13mins low PU on pasteurizer </t>
        </r>
      </text>
    </comment>
    <comment ref="V26" authorId="0" shapeId="0" xr:uid="{17C1388E-18AD-49A9-AA91-5398D01081E9}">
      <text>
        <r>
          <rPr>
            <b/>
            <sz val="9"/>
            <color indexed="81"/>
            <rFont val="Tahoma"/>
            <family val="2"/>
          </rPr>
          <t>Kaylil Baptiste:</t>
        </r>
        <r>
          <rPr>
            <sz val="9"/>
            <color indexed="81"/>
            <rFont val="Tahoma"/>
            <family val="2"/>
          </rPr>
          <t xml:space="preserve">
5mins fallen bottles on crate washer infeed, 5mins fallen bottles inside shuffler</t>
        </r>
      </text>
    </comment>
    <comment ref="O27" authorId="0" shapeId="0" xr:uid="{203B3089-7E58-42AC-8607-DD2AD6533B30}">
      <text>
        <r>
          <rPr>
            <b/>
            <sz val="9"/>
            <color indexed="81"/>
            <rFont val="Tahoma"/>
            <family val="2"/>
          </rPr>
          <t>Kaylil Baptiste:</t>
        </r>
        <r>
          <rPr>
            <sz val="9"/>
            <color indexed="81"/>
            <rFont val="Tahoma"/>
            <family val="2"/>
          </rPr>
          <t xml:space="preserve">
26mins uncaser head hitting damaged crates</t>
        </r>
      </text>
    </comment>
    <comment ref="P27" authorId="0" shapeId="0" xr:uid="{46036C36-DCF2-4D69-95AA-BC363F0F3645}">
      <text>
        <r>
          <rPr>
            <b/>
            <sz val="9"/>
            <color indexed="81"/>
            <rFont val="Tahoma"/>
            <family val="2"/>
          </rPr>
          <t>Kaylil Baptiste:</t>
        </r>
        <r>
          <rPr>
            <sz val="9"/>
            <color indexed="81"/>
            <rFont val="Tahoma"/>
            <family val="2"/>
          </rPr>
          <t xml:space="preserve">
11mins bottles jam at washer discharge flap, 9mins bottles jam at washer infeed flap, 5mins bottles jam at carriers </t>
        </r>
      </text>
    </comment>
    <comment ref="R27" authorId="0" shapeId="0" xr:uid="{8B9301D0-1623-4DDE-940F-8FD667CBADB9}">
      <text>
        <r>
          <rPr>
            <b/>
            <sz val="9"/>
            <color indexed="81"/>
            <rFont val="Tahoma"/>
            <family val="2"/>
          </rPr>
          <t>Kaylil Baptiste:</t>
        </r>
        <r>
          <rPr>
            <sz val="9"/>
            <color indexed="81"/>
            <rFont val="Tahoma"/>
            <family val="2"/>
          </rPr>
          <t xml:space="preserve">
5mins cleaning filler base</t>
        </r>
      </text>
    </comment>
    <comment ref="V27" authorId="0" shapeId="0" xr:uid="{82FDCE7F-E9BF-46C0-9304-4499AD3B1379}">
      <text>
        <r>
          <rPr>
            <b/>
            <sz val="9"/>
            <color indexed="81"/>
            <rFont val="Tahoma"/>
            <family val="2"/>
          </rPr>
          <t>Kaylil Baptiste:</t>
        </r>
        <r>
          <rPr>
            <sz val="9"/>
            <color indexed="81"/>
            <rFont val="Tahoma"/>
            <family val="2"/>
          </rPr>
          <t xml:space="preserve">
113mins crate rinser conveyor derailed, 23mins fallen bottles inside shuffler</t>
        </r>
      </text>
    </comment>
    <comment ref="Z27" authorId="0" shapeId="0" xr:uid="{0A9E9178-2BF6-4A51-BF64-E0C08059E659}">
      <text>
        <r>
          <rPr>
            <b/>
            <sz val="9"/>
            <color indexed="81"/>
            <rFont val="Tahoma"/>
            <family val="2"/>
          </rPr>
          <t>Kaylil Baptiste:</t>
        </r>
        <r>
          <rPr>
            <sz val="9"/>
            <color indexed="81"/>
            <rFont val="Tahoma"/>
            <family val="2"/>
          </rPr>
          <t xml:space="preserve">
27mins toolbox meeting, 10mins stop to take midnight reading </t>
        </r>
      </text>
    </comment>
    <comment ref="AB27" authorId="2" shapeId="0" xr:uid="{656FADDF-F693-44F3-9AA5-4172A8D8292C}">
      <text>
        <r>
          <rPr>
            <b/>
            <sz val="9"/>
            <color indexed="81"/>
            <rFont val="Tahoma"/>
            <family val="2"/>
          </rPr>
          <t>Micah Noel:</t>
        </r>
        <r>
          <rPr>
            <sz val="9"/>
            <color indexed="81"/>
            <rFont val="Tahoma"/>
            <family val="2"/>
          </rPr>
          <t xml:space="preserve">
high EBI rejections caused by pre-rejected bottles</t>
        </r>
      </text>
    </comment>
    <comment ref="I28" authorId="2" shapeId="0" xr:uid="{9793019A-C95E-41F3-BA6C-5B503A417EC8}">
      <text>
        <r>
          <rPr>
            <b/>
            <sz val="9"/>
            <color indexed="81"/>
            <rFont val="Tahoma"/>
            <family val="2"/>
          </rPr>
          <t>Micah Noel:</t>
        </r>
        <r>
          <rPr>
            <sz val="9"/>
            <color indexed="81"/>
            <rFont val="Tahoma"/>
            <family val="2"/>
          </rPr>
          <t xml:space="preserve">
Filler change over from Star Malt to Guinness</t>
        </r>
      </text>
    </comment>
    <comment ref="O28" authorId="0" shapeId="0" xr:uid="{E2E718CB-38D1-4E25-8F81-A971AC368AD4}">
      <text>
        <r>
          <rPr>
            <b/>
            <sz val="9"/>
            <color indexed="81"/>
            <rFont val="Tahoma"/>
            <family val="2"/>
          </rPr>
          <t>Kaylil Baptiste:</t>
        </r>
        <r>
          <rPr>
            <sz val="9"/>
            <color indexed="81"/>
            <rFont val="Tahoma"/>
            <family val="2"/>
          </rPr>
          <t xml:space="preserve">
5mins uncaser head hitting crates</t>
        </r>
      </text>
    </comment>
    <comment ref="P28" authorId="0" shapeId="0" xr:uid="{B0454FB1-65B5-4568-9750-4325991374C0}">
      <text>
        <r>
          <rPr>
            <b/>
            <sz val="9"/>
            <color indexed="81"/>
            <rFont val="Tahoma"/>
            <family val="2"/>
          </rPr>
          <t>Kaylil Baptiste:</t>
        </r>
        <r>
          <rPr>
            <sz val="9"/>
            <color indexed="81"/>
            <rFont val="Tahoma"/>
            <family val="2"/>
          </rPr>
          <t xml:space="preserve">
6mins bottles jam at washer discharge</t>
        </r>
      </text>
    </comment>
    <comment ref="Q28" authorId="0" shapeId="0" xr:uid="{92124FF3-72B6-402C-9C09-102AB0AF1F91}">
      <text>
        <r>
          <rPr>
            <b/>
            <sz val="9"/>
            <color indexed="81"/>
            <rFont val="Tahoma"/>
            <family val="2"/>
          </rPr>
          <t>Kaylil Baptiste:</t>
        </r>
        <r>
          <rPr>
            <sz val="9"/>
            <color indexed="81"/>
            <rFont val="Tahoma"/>
            <family val="2"/>
          </rPr>
          <t xml:space="preserve">
10mins high EBI rejection </t>
        </r>
      </text>
    </comment>
    <comment ref="S28" authorId="0" shapeId="0" xr:uid="{10AE3CD0-9670-4FC4-A8ED-E526DD8F75D8}">
      <text>
        <r>
          <rPr>
            <b/>
            <sz val="9"/>
            <color indexed="81"/>
            <rFont val="Tahoma"/>
            <family val="2"/>
          </rPr>
          <t>Kaylil Baptiste:</t>
        </r>
        <r>
          <rPr>
            <sz val="9"/>
            <color indexed="81"/>
            <rFont val="Tahoma"/>
            <family val="2"/>
          </rPr>
          <t xml:space="preserve">
92mins awaiting dry run for Guinness</t>
        </r>
      </text>
    </comment>
    <comment ref="W28" authorId="0" shapeId="0" xr:uid="{DD0C14FC-0E83-4A66-B775-07931527A71A}">
      <text>
        <r>
          <rPr>
            <b/>
            <sz val="9"/>
            <color indexed="81"/>
            <rFont val="Tahoma"/>
            <family val="2"/>
          </rPr>
          <t>Kaylil Baptiste:</t>
        </r>
        <r>
          <rPr>
            <sz val="9"/>
            <color indexed="81"/>
            <rFont val="Tahoma"/>
            <family val="2"/>
          </rPr>
          <t xml:space="preserve">
5mins packer head adjustments </t>
        </r>
      </text>
    </comment>
    <comment ref="Z28" authorId="2" shapeId="0" xr:uid="{6851ED01-92DB-43F8-BEE5-FD3FED7EDC78}">
      <text>
        <r>
          <rPr>
            <b/>
            <sz val="9"/>
            <color indexed="81"/>
            <rFont val="Tahoma"/>
            <family val="2"/>
          </rPr>
          <t>Micah Noel:</t>
        </r>
        <r>
          <rPr>
            <sz val="9"/>
            <color indexed="81"/>
            <rFont val="Tahoma"/>
            <family val="2"/>
          </rPr>
          <t xml:space="preserve">
165mins repasteurizing low Pu starmalt, 10mins washer loading</t>
        </r>
      </text>
    </comment>
    <comment ref="G29" authorId="0" shapeId="0" xr:uid="{E3673C5C-ADB0-4A7F-8FC4-67D8C0FA543D}">
      <text>
        <r>
          <rPr>
            <b/>
            <sz val="9"/>
            <color indexed="81"/>
            <rFont val="Tahoma"/>
            <family val="2"/>
          </rPr>
          <t>Kaylil Baptiste:</t>
        </r>
        <r>
          <rPr>
            <sz val="9"/>
            <color indexed="81"/>
            <rFont val="Tahoma"/>
            <family val="2"/>
          </rPr>
          <t xml:space="preserve">
11:30
</t>
        </r>
      </text>
    </comment>
    <comment ref="K29" authorId="1" shapeId="0" xr:uid="{23AD56B5-6C74-4646-B676-7845AB6615FE}">
      <text>
        <r>
          <rPr>
            <b/>
            <sz val="9"/>
            <color indexed="81"/>
            <rFont val="Tahoma"/>
            <family val="2"/>
          </rPr>
          <t>Dorien Andrew:</t>
        </r>
        <r>
          <rPr>
            <sz val="9"/>
            <color indexed="81"/>
            <rFont val="Tahoma"/>
            <family val="2"/>
          </rPr>
          <t xml:space="preserve">
air compressor cut off </t>
        </r>
      </text>
    </comment>
    <comment ref="P29" authorId="0" shapeId="0" xr:uid="{815A2325-73D3-45B3-BEED-FB53FF0BA81B}">
      <text>
        <r>
          <rPr>
            <b/>
            <sz val="9"/>
            <color indexed="81"/>
            <rFont val="Tahoma"/>
            <family val="2"/>
          </rPr>
          <t>Kaylil Baptiste:</t>
        </r>
        <r>
          <rPr>
            <sz val="9"/>
            <color indexed="81"/>
            <rFont val="Tahoma"/>
            <family val="2"/>
          </rPr>
          <t xml:space="preserve">
828mins broken shaft at washer infeed, 9mins fallen bottles on washer discharge</t>
        </r>
      </text>
    </comment>
    <comment ref="V29" authorId="0" shapeId="0" xr:uid="{23F5A5A6-C98A-4238-A978-E4AE99AE96F5}">
      <text>
        <r>
          <rPr>
            <b/>
            <sz val="9"/>
            <color indexed="81"/>
            <rFont val="Tahoma"/>
            <family val="2"/>
          </rPr>
          <t>Kaylil Baptiste:</t>
        </r>
        <r>
          <rPr>
            <sz val="9"/>
            <color indexed="81"/>
            <rFont val="Tahoma"/>
            <family val="2"/>
          </rPr>
          <t xml:space="preserve">
5mins EBI discharge conveyor not coming on, 5mins fallen bottles on EBI shuffler</t>
        </r>
      </text>
    </comment>
    <comment ref="Z29" authorId="0" shapeId="0" xr:uid="{DC910FDA-3549-4661-8481-B928BBB59687}">
      <text>
        <r>
          <rPr>
            <b/>
            <sz val="9"/>
            <color indexed="81"/>
            <rFont val="Tahoma"/>
            <family val="2"/>
          </rPr>
          <t>Kaylil Baptiste:</t>
        </r>
        <r>
          <rPr>
            <sz val="9"/>
            <color indexed="81"/>
            <rFont val="Tahoma"/>
            <family val="2"/>
          </rPr>
          <t xml:space="preserve">
15mins product preparation</t>
        </r>
      </text>
    </comment>
    <comment ref="AB29" authorId="2" shapeId="0" xr:uid="{3E8B4211-C214-463C-91D8-77ACCCF6C6FC}">
      <text>
        <r>
          <rPr>
            <b/>
            <sz val="9"/>
            <color indexed="81"/>
            <rFont val="Tahoma"/>
            <family val="2"/>
          </rPr>
          <t>Micah Noel:</t>
        </r>
        <r>
          <rPr>
            <sz val="9"/>
            <color indexed="81"/>
            <rFont val="Tahoma"/>
            <family val="2"/>
          </rPr>
          <t xml:space="preserve">
High EBI rejections caused by old/bad bottles</t>
        </r>
      </text>
    </comment>
    <comment ref="P30" authorId="0" shapeId="0" xr:uid="{03F17494-1514-4D32-97DE-8C37F0340A6C}">
      <text>
        <r>
          <rPr>
            <b/>
            <sz val="9"/>
            <color indexed="81"/>
            <rFont val="Tahoma"/>
            <family val="2"/>
          </rPr>
          <t>Kaylil Baptiste:</t>
        </r>
        <r>
          <rPr>
            <sz val="9"/>
            <color indexed="81"/>
            <rFont val="Tahoma"/>
            <family val="2"/>
          </rPr>
          <t xml:space="preserve">
broken shaft at washer infeed</t>
        </r>
      </text>
    </comment>
    <comment ref="D31" authorId="0" shapeId="0" xr:uid="{0BE4B931-42EB-47B0-A057-3DF23A4CE0CC}">
      <text>
        <r>
          <rPr>
            <b/>
            <sz val="9"/>
            <color indexed="81"/>
            <rFont val="Tahoma"/>
            <family val="2"/>
          </rPr>
          <t>Kaylil Baptiste:</t>
        </r>
        <r>
          <rPr>
            <sz val="9"/>
            <color indexed="81"/>
            <rFont val="Tahoma"/>
            <family val="2"/>
          </rPr>
          <t xml:space="preserve">
6:00</t>
        </r>
      </text>
    </comment>
    <comment ref="K31" authorId="0" shapeId="0" xr:uid="{AF3E6A46-8816-4C71-9F4A-70B8E97AD641}">
      <text>
        <r>
          <rPr>
            <b/>
            <sz val="9"/>
            <color indexed="81"/>
            <rFont val="Tahoma"/>
            <family val="2"/>
          </rPr>
          <t>Kaylil Baptiste:</t>
        </r>
        <r>
          <rPr>
            <sz val="9"/>
            <color indexed="81"/>
            <rFont val="Tahoma"/>
            <family val="2"/>
          </rPr>
          <t xml:space="preserve">
16mins low air pressure </t>
        </r>
      </text>
    </comment>
    <comment ref="N31" authorId="4" shapeId="0" xr:uid="{634B399C-082B-4353-8812-EEB8CB7D4E9E}">
      <text>
        <r>
          <rPr>
            <b/>
            <sz val="9"/>
            <color indexed="81"/>
            <rFont val="Tahoma"/>
            <family val="2"/>
          </rPr>
          <t>Michael Julien:</t>
        </r>
        <r>
          <rPr>
            <sz val="9"/>
            <color indexed="81"/>
            <rFont val="Tahoma"/>
            <family val="2"/>
          </rPr>
          <t xml:space="preserve">
low temp on washer tank 1
</t>
        </r>
      </text>
    </comment>
    <comment ref="O31" authorId="0" shapeId="0" xr:uid="{7004253F-614A-4E99-A0EE-288B29EE3998}">
      <text>
        <r>
          <rPr>
            <b/>
            <sz val="9"/>
            <color indexed="81"/>
            <rFont val="Tahoma"/>
            <family val="2"/>
          </rPr>
          <t>Kaylil Baptiste:</t>
        </r>
        <r>
          <rPr>
            <sz val="9"/>
            <color indexed="81"/>
            <rFont val="Tahoma"/>
            <family val="2"/>
          </rPr>
          <t xml:space="preserve">
12mins uncaser head hitting crates</t>
        </r>
      </text>
    </comment>
    <comment ref="P31" authorId="0" shapeId="0" xr:uid="{33187E0A-AB7F-40DB-953D-A8E85C955745}">
      <text>
        <r>
          <rPr>
            <b/>
            <sz val="9"/>
            <color indexed="81"/>
            <rFont val="Tahoma"/>
            <family val="2"/>
          </rPr>
          <t>Kaylil Baptiste:</t>
        </r>
        <r>
          <rPr>
            <sz val="9"/>
            <color indexed="81"/>
            <rFont val="Tahoma"/>
            <family val="2"/>
          </rPr>
          <t xml:space="preserve">
480mins broken shaft at washer infeed, 11mins bottles jam at washer infeed flap,  8mins bottles jam at washer discharge flap</t>
        </r>
      </text>
    </comment>
    <comment ref="Q31" authorId="0" shapeId="0" xr:uid="{BAA89B2B-60F0-433F-B416-92D748B32DA7}">
      <text>
        <r>
          <rPr>
            <b/>
            <sz val="9"/>
            <color indexed="81"/>
            <rFont val="Tahoma"/>
            <family val="2"/>
          </rPr>
          <t>Kaylil Baptiste:</t>
        </r>
        <r>
          <rPr>
            <sz val="9"/>
            <color indexed="81"/>
            <rFont val="Tahoma"/>
            <family val="2"/>
          </rPr>
          <t xml:space="preserve">
34mins high EBI rejection</t>
        </r>
      </text>
    </comment>
    <comment ref="U31" authorId="0" shapeId="0" xr:uid="{7C0AA394-5A31-4E7E-8992-2D8F4582DAFE}">
      <text>
        <r>
          <rPr>
            <b/>
            <sz val="9"/>
            <color indexed="81"/>
            <rFont val="Tahoma"/>
            <family val="2"/>
          </rPr>
          <t>Kaylil Baptiste:</t>
        </r>
        <r>
          <rPr>
            <sz val="9"/>
            <color indexed="81"/>
            <rFont val="Tahoma"/>
            <family val="2"/>
          </rPr>
          <t xml:space="preserve">
23mins videojet not printing properly</t>
        </r>
      </text>
    </comment>
    <comment ref="I32" authorId="2" shapeId="0" xr:uid="{E0B57B0B-7E1C-4257-936B-66A39854FB81}">
      <text>
        <r>
          <rPr>
            <b/>
            <sz val="9"/>
            <color indexed="81"/>
            <rFont val="Tahoma"/>
            <family val="2"/>
          </rPr>
          <t>Micah Noel:</t>
        </r>
        <r>
          <rPr>
            <sz val="9"/>
            <color indexed="81"/>
            <rFont val="Tahoma"/>
            <family val="2"/>
          </rPr>
          <t xml:space="preserve">
58 mins Filler change over from Guinness to Carib which included a cold caustic flush 8mins labeler change over from guinness carib</t>
        </r>
      </text>
    </comment>
    <comment ref="O32" authorId="0" shapeId="0" xr:uid="{D3F4300C-8736-45B8-A188-C00AB19378AB}">
      <text>
        <r>
          <rPr>
            <b/>
            <sz val="9"/>
            <color indexed="81"/>
            <rFont val="Tahoma"/>
            <family val="2"/>
          </rPr>
          <t>Kaylil Baptiste:</t>
        </r>
        <r>
          <rPr>
            <sz val="9"/>
            <color indexed="81"/>
            <rFont val="Tahoma"/>
            <family val="2"/>
          </rPr>
          <t xml:space="preserve">
18mins crate stopper sticking</t>
        </r>
      </text>
    </comment>
    <comment ref="P32" authorId="0" shapeId="0" xr:uid="{6667A683-F559-4130-BB60-8E8DCDCFDA76}">
      <text>
        <r>
          <rPr>
            <b/>
            <sz val="9"/>
            <color indexed="81"/>
            <rFont val="Tahoma"/>
            <family val="2"/>
          </rPr>
          <t>Kaylil Baptiste:</t>
        </r>
        <r>
          <rPr>
            <sz val="9"/>
            <color indexed="81"/>
            <rFont val="Tahoma"/>
            <family val="2"/>
          </rPr>
          <t xml:space="preserve">
9mins bottles jam at washer infeed flap, 8mins high rejection due to labels</t>
        </r>
      </text>
    </comment>
    <comment ref="Q32" authorId="0" shapeId="0" xr:uid="{788F01BB-E3E5-4B68-BABA-3EEBC4ECF102}">
      <text>
        <r>
          <rPr>
            <b/>
            <sz val="9"/>
            <color indexed="81"/>
            <rFont val="Tahoma"/>
            <family val="2"/>
          </rPr>
          <t>Kaylil Baptiste:</t>
        </r>
        <r>
          <rPr>
            <sz val="9"/>
            <color indexed="81"/>
            <rFont val="Tahoma"/>
            <family val="2"/>
          </rPr>
          <t xml:space="preserve">
10mins fallen bottles on OSW</t>
        </r>
      </text>
    </comment>
    <comment ref="V32" authorId="0" shapeId="0" xr:uid="{7262C709-310B-48B7-9EC6-D4CAFC0B5C47}">
      <text>
        <r>
          <rPr>
            <b/>
            <sz val="9"/>
            <color indexed="81"/>
            <rFont val="Tahoma"/>
            <family val="2"/>
          </rPr>
          <t>Kaylil Baptiste:</t>
        </r>
        <r>
          <rPr>
            <sz val="9"/>
            <color indexed="81"/>
            <rFont val="Tahoma"/>
            <family val="2"/>
          </rPr>
          <t xml:space="preserve">
9mins all crate rinser conveyors cut off</t>
        </r>
      </text>
    </comment>
    <comment ref="J33" authorId="0" shapeId="0" xr:uid="{D888ACC6-A9D5-415A-8EA0-F617B7CE557E}">
      <text>
        <r>
          <rPr>
            <b/>
            <sz val="9"/>
            <color indexed="81"/>
            <rFont val="Tahoma"/>
            <family val="2"/>
          </rPr>
          <t>Kaylil Baptiste:</t>
        </r>
        <r>
          <rPr>
            <sz val="9"/>
            <color indexed="81"/>
            <rFont val="Tahoma"/>
            <family val="2"/>
          </rPr>
          <t xml:space="preserve">
33mins waiting on product from filtration</t>
        </r>
      </text>
    </comment>
    <comment ref="O33" authorId="0" shapeId="0" xr:uid="{BD63A5FC-04AF-49BA-810F-996D22EEE93D}">
      <text>
        <r>
          <rPr>
            <b/>
            <sz val="9"/>
            <color indexed="81"/>
            <rFont val="Tahoma"/>
            <family val="2"/>
          </rPr>
          <t>Kaylil Baptiste:</t>
        </r>
        <r>
          <rPr>
            <sz val="9"/>
            <color indexed="81"/>
            <rFont val="Tahoma"/>
            <family val="2"/>
          </rPr>
          <t xml:space="preserve">
6mins uncaser head malfunction</t>
        </r>
      </text>
    </comment>
    <comment ref="P33" authorId="0" shapeId="0" xr:uid="{D83552EC-BBA6-4C81-B4DE-8917592283DA}">
      <text>
        <r>
          <rPr>
            <b/>
            <sz val="9"/>
            <color indexed="81"/>
            <rFont val="Tahoma"/>
            <family val="2"/>
          </rPr>
          <t>Kaylil Baptiste:</t>
        </r>
        <r>
          <rPr>
            <sz val="9"/>
            <color indexed="81"/>
            <rFont val="Tahoma"/>
            <family val="2"/>
          </rPr>
          <t xml:space="preserve">
14mins bottles jam at washer infeed flap,  5mins bottles jam at washer discharge flap</t>
        </r>
      </text>
    </comment>
    <comment ref="Q33" authorId="0" shapeId="0" xr:uid="{955ECBA8-5680-43E6-8BE0-423468C266E9}">
      <text>
        <r>
          <rPr>
            <b/>
            <sz val="9"/>
            <color indexed="81"/>
            <rFont val="Tahoma"/>
            <family val="2"/>
          </rPr>
          <t>Kaylil Baptiste:</t>
        </r>
        <r>
          <rPr>
            <sz val="9"/>
            <color indexed="81"/>
            <rFont val="Tahoma"/>
            <family val="2"/>
          </rPr>
          <t xml:space="preserve">
8mins fallen bottles on EBI starwheel</t>
        </r>
      </text>
    </comment>
    <comment ref="R33" authorId="0" shapeId="0" xr:uid="{DC7EC3C9-AC49-4A0E-8454-5AA2DE0E7410}">
      <text>
        <r>
          <rPr>
            <b/>
            <sz val="9"/>
            <color indexed="81"/>
            <rFont val="Tahoma"/>
            <family val="2"/>
          </rPr>
          <t>Kaylil Baptiste:</t>
        </r>
        <r>
          <rPr>
            <sz val="9"/>
            <color indexed="81"/>
            <rFont val="Tahoma"/>
            <family val="2"/>
          </rPr>
          <t xml:space="preserve">
9mins crowner stuck in chute</t>
        </r>
      </text>
    </comment>
    <comment ref="T33" authorId="0" shapeId="0" xr:uid="{6164EE90-B51E-46C7-94FE-E7C97D3260DB}">
      <text>
        <r>
          <rPr>
            <b/>
            <sz val="9"/>
            <color indexed="81"/>
            <rFont val="Tahoma"/>
            <family val="2"/>
          </rPr>
          <t>Kaylil Baptiste:</t>
        </r>
        <r>
          <rPr>
            <sz val="9"/>
            <color indexed="81"/>
            <rFont val="Tahoma"/>
            <family val="2"/>
          </rPr>
          <t xml:space="preserve">
8mins flagging labels, 5mins misaligned labels</t>
        </r>
      </text>
    </comment>
    <comment ref="V33" authorId="0" shapeId="0" xr:uid="{74D14373-2135-4FB7-B7AA-677E7273BB56}">
      <text>
        <r>
          <rPr>
            <b/>
            <sz val="9"/>
            <color indexed="81"/>
            <rFont val="Tahoma"/>
            <family val="2"/>
          </rPr>
          <t>Kaylil Baptiste:</t>
        </r>
        <r>
          <rPr>
            <sz val="9"/>
            <color indexed="81"/>
            <rFont val="Tahoma"/>
            <family val="2"/>
          </rPr>
          <t xml:space="preserve">
14mins fallen bottles inside EBI</t>
        </r>
      </text>
    </comment>
    <comment ref="Z33" authorId="1" shapeId="0" xr:uid="{1FC9CF9F-7CE9-44A8-89D0-63736B13DFBD}">
      <text>
        <r>
          <rPr>
            <b/>
            <sz val="9"/>
            <color indexed="81"/>
            <rFont val="Tahoma"/>
            <family val="2"/>
          </rPr>
          <t>Dorien Andrew:</t>
        </r>
        <r>
          <rPr>
            <sz val="9"/>
            <color indexed="81"/>
            <rFont val="Tahoma"/>
            <family val="2"/>
          </rPr>
          <t xml:space="preserve">
10mins taking midnight reading, switching palletizer </t>
        </r>
      </text>
    </comment>
    <comment ref="I34" authorId="2" shapeId="0" xr:uid="{ED52955D-8EEE-4280-8D36-028BB79C0D86}">
      <text>
        <r>
          <rPr>
            <b/>
            <sz val="9"/>
            <color indexed="81"/>
            <rFont val="Tahoma"/>
            <family val="2"/>
          </rPr>
          <t>Micah Noel:</t>
        </r>
        <r>
          <rPr>
            <sz val="9"/>
            <color indexed="81"/>
            <rFont val="Tahoma"/>
            <family val="2"/>
          </rPr>
          <t xml:space="preserve">
4 mins Filler switching from amber to flint medium weight 6 mins placing crates into pasteurizer to separate amber from flint </t>
        </r>
      </text>
    </comment>
    <comment ref="P34" authorId="0" shapeId="0" xr:uid="{D7E6FB14-C81F-494B-BA6A-B53E7F0D46B1}">
      <text>
        <r>
          <rPr>
            <b/>
            <sz val="9"/>
            <color indexed="81"/>
            <rFont val="Tahoma"/>
            <family val="2"/>
          </rPr>
          <t>Kaylil Baptiste:</t>
        </r>
        <r>
          <rPr>
            <sz val="9"/>
            <color indexed="81"/>
            <rFont val="Tahoma"/>
            <family val="2"/>
          </rPr>
          <t xml:space="preserve">
15mins high rejection due to labels on bottles, 7mins bottles jam at washer discharge flap</t>
        </r>
      </text>
    </comment>
    <comment ref="Q34" authorId="0" shapeId="0" xr:uid="{303B1A85-9361-4532-BD47-9A7A3BCC1F90}">
      <text>
        <r>
          <rPr>
            <b/>
            <sz val="9"/>
            <color indexed="81"/>
            <rFont val="Tahoma"/>
            <family val="2"/>
          </rPr>
          <t>Kaylil Baptiste:</t>
        </r>
        <r>
          <rPr>
            <sz val="9"/>
            <color indexed="81"/>
            <rFont val="Tahoma"/>
            <family val="2"/>
          </rPr>
          <t xml:space="preserve">
8mins high EBI rejection</t>
        </r>
      </text>
    </comment>
    <comment ref="Z34" authorId="2" shapeId="0" xr:uid="{835BB642-DE5F-464B-8885-72B5A9D824D9}">
      <text>
        <r>
          <rPr>
            <b/>
            <sz val="9"/>
            <color indexed="81"/>
            <rFont val="Tahoma"/>
            <family val="2"/>
          </rPr>
          <t>Micah Noel:</t>
        </r>
        <r>
          <rPr>
            <sz val="9"/>
            <color indexed="81"/>
            <rFont val="Tahoma"/>
            <family val="2"/>
          </rPr>
          <t xml:space="preserve">
5 mins waitiing for crate lids person 3 mins switching palletizer</t>
        </r>
      </text>
    </comment>
    <comment ref="AB34" authorId="2" shapeId="0" xr:uid="{C4E5F6CD-0B04-4F1B-9874-6CFFDFAF0950}">
      <text>
        <r>
          <rPr>
            <b/>
            <sz val="9"/>
            <color indexed="81"/>
            <rFont val="Tahoma"/>
            <family val="2"/>
          </rPr>
          <t>Micah Noel:</t>
        </r>
        <r>
          <rPr>
            <sz val="9"/>
            <color indexed="81"/>
            <rFont val="Tahoma"/>
            <family val="2"/>
          </rPr>
          <t xml:space="preserve">
incorrect bottle stuck at EBI star wheel</t>
        </r>
      </text>
    </comment>
    <comment ref="I35" authorId="2" shapeId="0" xr:uid="{D693F164-82C2-4021-BAA8-DFE3FC616D3F}">
      <text>
        <r>
          <rPr>
            <b/>
            <sz val="9"/>
            <color indexed="81"/>
            <rFont val="Tahoma"/>
            <family val="2"/>
          </rPr>
          <t>Micah Noel:</t>
        </r>
        <r>
          <rPr>
            <sz val="9"/>
            <color indexed="81"/>
            <rFont val="Tahoma"/>
            <family val="2"/>
          </rPr>
          <t xml:space="preserve">
filler switching from flint to amber medium weight bottles.</t>
        </r>
      </text>
    </comment>
    <comment ref="P35" authorId="0" shapeId="0" xr:uid="{B7590AA7-ADDA-45D6-9EDE-B2C3929C5264}">
      <text>
        <r>
          <rPr>
            <b/>
            <sz val="9"/>
            <color indexed="81"/>
            <rFont val="Tahoma"/>
            <family val="2"/>
          </rPr>
          <t>Kaylil Baptiste:</t>
        </r>
        <r>
          <rPr>
            <sz val="9"/>
            <color indexed="81"/>
            <rFont val="Tahoma"/>
            <family val="2"/>
          </rPr>
          <t xml:space="preserve">
11mins bottles jam at washer discharge flap</t>
        </r>
      </text>
    </comment>
    <comment ref="Z35" authorId="2" shapeId="0" xr:uid="{950F5FEE-2941-436E-BAEB-AE688AA130E9}">
      <text>
        <r>
          <rPr>
            <b/>
            <sz val="9"/>
            <color indexed="81"/>
            <rFont val="Tahoma"/>
            <family val="2"/>
          </rPr>
          <t>Micah Noel:</t>
        </r>
        <r>
          <rPr>
            <sz val="9"/>
            <color indexed="81"/>
            <rFont val="Tahoma"/>
            <family val="2"/>
          </rPr>
          <t xml:space="preserve">
16mins switching palletizer</t>
        </r>
      </text>
    </comment>
    <comment ref="H36" authorId="0" shapeId="0" xr:uid="{925B1EAA-8100-4B3F-804B-E19FA0BC86AA}">
      <text>
        <r>
          <rPr>
            <b/>
            <sz val="9"/>
            <color indexed="81"/>
            <rFont val="Tahoma"/>
            <family val="2"/>
          </rPr>
          <t>Kaylil Baptiste:</t>
        </r>
        <r>
          <rPr>
            <sz val="9"/>
            <color indexed="81"/>
            <rFont val="Tahoma"/>
            <family val="2"/>
          </rPr>
          <t xml:space="preserve">
12mins waiting on labels</t>
        </r>
      </text>
    </comment>
    <comment ref="L36" authorId="0" shapeId="0" xr:uid="{8D8DF4A1-9668-46BC-B56B-6700D04CF74F}">
      <text>
        <r>
          <rPr>
            <b/>
            <sz val="9"/>
            <color indexed="81"/>
            <rFont val="Tahoma"/>
            <family val="2"/>
          </rPr>
          <t>Kaylil Baptiste:</t>
        </r>
        <r>
          <rPr>
            <sz val="9"/>
            <color indexed="81"/>
            <rFont val="Tahoma"/>
            <family val="2"/>
          </rPr>
          <t xml:space="preserve">
14mins low CO2 on filler </t>
        </r>
      </text>
    </comment>
    <comment ref="O36" authorId="0" shapeId="0" xr:uid="{DDA8D150-F23D-4D78-886B-205971956144}">
      <text>
        <r>
          <rPr>
            <b/>
            <sz val="9"/>
            <color indexed="81"/>
            <rFont val="Tahoma"/>
            <family val="2"/>
          </rPr>
          <t>Kaylil Baptiste:</t>
        </r>
        <r>
          <rPr>
            <sz val="9"/>
            <color indexed="81"/>
            <rFont val="Tahoma"/>
            <family val="2"/>
          </rPr>
          <t xml:space="preserve">
12mins uncaser head hitting crates</t>
        </r>
      </text>
    </comment>
    <comment ref="P36" authorId="0" shapeId="0" xr:uid="{44DA99C1-CC8F-4725-9D66-E9CB8032A8C9}">
      <text>
        <r>
          <rPr>
            <b/>
            <sz val="9"/>
            <color indexed="81"/>
            <rFont val="Tahoma"/>
            <family val="2"/>
          </rPr>
          <t>Kaylil Baptiste:</t>
        </r>
        <r>
          <rPr>
            <sz val="9"/>
            <color indexed="81"/>
            <rFont val="Tahoma"/>
            <family val="2"/>
          </rPr>
          <t xml:space="preserve">
17mins bottles jam at washer discharge flap</t>
        </r>
      </text>
    </comment>
    <comment ref="T36" authorId="0" shapeId="0" xr:uid="{FA4E89F0-6C1D-4748-9453-2AB6CF22F9CD}">
      <text>
        <r>
          <rPr>
            <b/>
            <sz val="9"/>
            <color indexed="81"/>
            <rFont val="Tahoma"/>
            <family val="2"/>
          </rPr>
          <t>Kaylil Baptiste:</t>
        </r>
        <r>
          <rPr>
            <sz val="9"/>
            <color indexed="81"/>
            <rFont val="Tahoma"/>
            <family val="2"/>
          </rPr>
          <t xml:space="preserve">
</t>
        </r>
      </text>
    </comment>
    <comment ref="V36" authorId="0" shapeId="0" xr:uid="{86FDD037-18C0-4AB4-AFED-F15B29E82F5B}">
      <text>
        <r>
          <rPr>
            <b/>
            <sz val="9"/>
            <color indexed="81"/>
            <rFont val="Tahoma"/>
            <family val="2"/>
          </rPr>
          <t>Kaylil Baptiste:</t>
        </r>
        <r>
          <rPr>
            <sz val="9"/>
            <color indexed="81"/>
            <rFont val="Tahoma"/>
            <family val="2"/>
          </rPr>
          <t xml:space="preserve">
9mins malfunction at packer discharge #2</t>
        </r>
      </text>
    </comment>
    <comment ref="Z36" authorId="4" shapeId="0" xr:uid="{D37DADDC-6A36-40E8-BDB7-B07979B4FE97}">
      <text>
        <r>
          <rPr>
            <b/>
            <sz val="9"/>
            <color indexed="81"/>
            <rFont val="Tahoma"/>
            <family val="2"/>
          </rPr>
          <t>Michael Julien:</t>
        </r>
        <r>
          <rPr>
            <sz val="9"/>
            <color indexed="81"/>
            <rFont val="Tahoma"/>
            <family val="2"/>
          </rPr>
          <t xml:space="preserve">
10mins taking midnight reading , 9mins waiting on palletizer, 9mins stop to laod washer discharge conveyor</t>
        </r>
      </text>
    </comment>
    <comment ref="AB36" authorId="1" shapeId="0" xr:uid="{2DE5C096-551B-4CCE-93AA-8A26F719831A}">
      <text>
        <r>
          <rPr>
            <b/>
            <sz val="9"/>
            <color indexed="81"/>
            <rFont val="Tahoma"/>
            <family val="2"/>
          </rPr>
          <t>Dorien Andrew:</t>
        </r>
        <r>
          <rPr>
            <sz val="9"/>
            <color indexed="81"/>
            <rFont val="Tahoma"/>
            <family val="2"/>
          </rPr>
          <t xml:space="preserve">
19mins high rejection due to old/ rewashed bottles, 13mins incorrect bottles loaded</t>
        </r>
      </text>
    </comment>
    <comment ref="H37" authorId="0" shapeId="0" xr:uid="{DB5B0C9B-8E9D-4F66-88E4-9C97AB114C83}">
      <text>
        <r>
          <rPr>
            <b/>
            <sz val="9"/>
            <color indexed="81"/>
            <rFont val="Tahoma"/>
            <family val="2"/>
          </rPr>
          <t>Kaylil Baptiste:</t>
        </r>
        <r>
          <rPr>
            <sz val="9"/>
            <color indexed="81"/>
            <rFont val="Tahoma"/>
            <family val="2"/>
          </rPr>
          <t xml:space="preserve">
18mins filler operator waiting on crowns</t>
        </r>
      </text>
    </comment>
    <comment ref="I37" authorId="2" shapeId="0" xr:uid="{FC4B0543-7052-457F-B00F-B88C7379F936}">
      <text>
        <r>
          <rPr>
            <b/>
            <sz val="9"/>
            <color indexed="81"/>
            <rFont val="Tahoma"/>
            <family val="2"/>
          </rPr>
          <t>Micah Noel:</t>
        </r>
        <r>
          <rPr>
            <sz val="9"/>
            <color indexed="81"/>
            <rFont val="Tahoma"/>
            <family val="2"/>
          </rPr>
          <t xml:space="preserve">
Filler change over from carib amber to stag (cdc bottle)</t>
        </r>
      </text>
    </comment>
    <comment ref="J37" authorId="2" shapeId="0" xr:uid="{43D963B1-3325-429A-8F00-9B036C4E32AF}">
      <text>
        <r>
          <rPr>
            <b/>
            <sz val="9"/>
            <color indexed="81"/>
            <rFont val="Tahoma"/>
            <family val="2"/>
          </rPr>
          <t>Micah Noel:</t>
        </r>
        <r>
          <rPr>
            <sz val="9"/>
            <color indexed="81"/>
            <rFont val="Tahoma"/>
            <family val="2"/>
          </rPr>
          <t xml:space="preserve">
6mins waiting from product from filtration</t>
        </r>
      </text>
    </comment>
    <comment ref="P37" authorId="0" shapeId="0" xr:uid="{E1A5804F-4338-45FA-A62D-AADF1301BC3F}">
      <text>
        <r>
          <rPr>
            <b/>
            <sz val="9"/>
            <color indexed="81"/>
            <rFont val="Tahoma"/>
            <family val="2"/>
          </rPr>
          <t>Kaylil Baptiste:</t>
        </r>
        <r>
          <rPr>
            <sz val="9"/>
            <color indexed="81"/>
            <rFont val="Tahoma"/>
            <family val="2"/>
          </rPr>
          <t xml:space="preserve">
12mins washer infeed gone out of timing, 6mins bottles jam at washer discharge flap</t>
        </r>
      </text>
    </comment>
    <comment ref="Q37" authorId="0" shapeId="0" xr:uid="{2C76AD77-CD71-475F-BA56-C42D7D74F965}">
      <text>
        <r>
          <rPr>
            <b/>
            <sz val="9"/>
            <color indexed="81"/>
            <rFont val="Tahoma"/>
            <family val="2"/>
          </rPr>
          <t>Kaylil Baptiste:</t>
        </r>
        <r>
          <rPr>
            <sz val="9"/>
            <color indexed="81"/>
            <rFont val="Tahoma"/>
            <family val="2"/>
          </rPr>
          <t xml:space="preserve">
10mins high EBI rejection</t>
        </r>
      </text>
    </comment>
    <comment ref="T37" authorId="0" shapeId="0" xr:uid="{391F2A80-04BD-4777-AB05-B4FD0EC7F708}">
      <text>
        <r>
          <rPr>
            <b/>
            <sz val="9"/>
            <color indexed="81"/>
            <rFont val="Tahoma"/>
            <family val="2"/>
          </rPr>
          <t>Kaylil Baptiste:</t>
        </r>
        <r>
          <rPr>
            <sz val="9"/>
            <color indexed="81"/>
            <rFont val="Tahoma"/>
            <family val="2"/>
          </rPr>
          <t xml:space="preserve">
37mins adjustments on magazine, 13mins missing labels, 8mins start up adjustments</t>
        </r>
      </text>
    </comment>
    <comment ref="Z37" authorId="2" shapeId="0" xr:uid="{FA69D145-193B-485D-8EB2-1377EBE6871E}">
      <text>
        <r>
          <rPr>
            <b/>
            <sz val="9"/>
            <color indexed="81"/>
            <rFont val="Tahoma"/>
            <family val="2"/>
          </rPr>
          <t>Micah Noel:</t>
        </r>
        <r>
          <rPr>
            <sz val="9"/>
            <color indexed="81"/>
            <rFont val="Tahoma"/>
            <family val="2"/>
          </rPr>
          <t xml:space="preserve">
 15 mins removing excess amber bottles from washer 7 mins switching palletizer</t>
        </r>
      </text>
    </comment>
    <comment ref="D38" authorId="0" shapeId="0" xr:uid="{8E3A0199-23AE-49F2-BA49-2B83CFA0F497}">
      <text>
        <r>
          <rPr>
            <b/>
            <sz val="9"/>
            <color indexed="81"/>
            <rFont val="Tahoma"/>
            <family val="2"/>
          </rPr>
          <t>Kaylil Baptiste:</t>
        </r>
        <r>
          <rPr>
            <sz val="9"/>
            <color indexed="81"/>
            <rFont val="Tahoma"/>
            <family val="2"/>
          </rPr>
          <t xml:space="preserve">
24:20</t>
        </r>
      </text>
    </comment>
    <comment ref="P38" authorId="0" shapeId="0" xr:uid="{D94B7814-08E8-4C40-9C20-4D8E08189D99}">
      <text>
        <r>
          <rPr>
            <b/>
            <sz val="9"/>
            <color indexed="81"/>
            <rFont val="Tahoma"/>
            <family val="2"/>
          </rPr>
          <t>Kaylil Baptiste:</t>
        </r>
        <r>
          <rPr>
            <sz val="9"/>
            <color indexed="81"/>
            <rFont val="Tahoma"/>
            <family val="2"/>
          </rPr>
          <t xml:space="preserve">
17mins bottles jam at washer discharge flap</t>
        </r>
      </text>
    </comment>
    <comment ref="R38" authorId="0" shapeId="0" xr:uid="{47DFC169-E3B0-4721-981E-691EBF234A45}">
      <text>
        <r>
          <rPr>
            <b/>
            <sz val="9"/>
            <color indexed="81"/>
            <rFont val="Tahoma"/>
            <family val="2"/>
          </rPr>
          <t>Kaylil Baptiste:</t>
        </r>
        <r>
          <rPr>
            <sz val="9"/>
            <color indexed="81"/>
            <rFont val="Tahoma"/>
            <family val="2"/>
          </rPr>
          <t xml:space="preserve">
7mins inspecting filler centering cups and rollers</t>
        </r>
      </text>
    </comment>
    <comment ref="T38" authorId="0" shapeId="0" xr:uid="{1B5E2A80-2FBB-4058-B581-799C7A9D675C}">
      <text>
        <r>
          <rPr>
            <b/>
            <sz val="9"/>
            <color indexed="81"/>
            <rFont val="Tahoma"/>
            <family val="2"/>
          </rPr>
          <t>Kaylil Baptiste:</t>
        </r>
        <r>
          <rPr>
            <sz val="9"/>
            <color indexed="81"/>
            <rFont val="Tahoma"/>
            <family val="2"/>
          </rPr>
          <t xml:space="preserve">
5mins magazine adjustments</t>
        </r>
      </text>
    </comment>
    <comment ref="V38" authorId="0" shapeId="0" xr:uid="{D9BFD885-670B-46E4-9D37-273AB4270D40}">
      <text>
        <r>
          <rPr>
            <b/>
            <sz val="9"/>
            <color indexed="81"/>
            <rFont val="Tahoma"/>
            <family val="2"/>
          </rPr>
          <t>Kaylil Baptiste:</t>
        </r>
        <r>
          <rPr>
            <sz val="9"/>
            <color indexed="81"/>
            <rFont val="Tahoma"/>
            <family val="2"/>
          </rPr>
          <t xml:space="preserve">
13mins fallen bottles inside EBI shuffler, 8mins fallen bottles stuck on pasteurizer discharge conveyor</t>
        </r>
      </text>
    </comment>
    <comment ref="Z38" authorId="0" shapeId="0" xr:uid="{4E879535-DB95-4A33-9A5F-ED2EF0299D7B}">
      <text>
        <r>
          <rPr>
            <b/>
            <sz val="9"/>
            <color indexed="81"/>
            <rFont val="Tahoma"/>
            <family val="2"/>
          </rPr>
          <t>Kaylil Baptiste:</t>
        </r>
        <r>
          <rPr>
            <sz val="9"/>
            <color indexed="81"/>
            <rFont val="Tahoma"/>
            <family val="2"/>
          </rPr>
          <t xml:space="preserve">
45mins delayed start up waiting on bottles to exit washer</t>
        </r>
      </text>
    </comment>
    <comment ref="I39" authorId="1" shapeId="0" xr:uid="{A7B3EC26-F573-464E-B330-4B8CE371A7AA}">
      <text>
        <r>
          <rPr>
            <b/>
            <sz val="9"/>
            <color indexed="81"/>
            <rFont val="Tahoma"/>
            <family val="2"/>
          </rPr>
          <t>Dorien Andrew:</t>
        </r>
        <r>
          <rPr>
            <sz val="9"/>
            <color indexed="81"/>
            <rFont val="Tahoma"/>
            <family val="2"/>
          </rPr>
          <t xml:space="preserve">
11 mins wait for CDC brown in washer, 8mins product change over</t>
        </r>
      </text>
    </comment>
    <comment ref="J39" authorId="0" shapeId="0" xr:uid="{73829F99-99FB-42F8-B6C8-6A4133EB0CCE}">
      <text>
        <r>
          <rPr>
            <b/>
            <sz val="9"/>
            <color indexed="81"/>
            <rFont val="Tahoma"/>
            <family val="2"/>
          </rPr>
          <t>Kaylil Baptiste:</t>
        </r>
        <r>
          <rPr>
            <sz val="9"/>
            <color indexed="81"/>
            <rFont val="Tahoma"/>
            <family val="2"/>
          </rPr>
          <t xml:space="preserve">
5mins switching BBTs</t>
        </r>
      </text>
    </comment>
    <comment ref="Q39" authorId="0" shapeId="0" xr:uid="{1EAA4555-48AC-4B5A-8250-08F25EABBCC0}">
      <text>
        <r>
          <rPr>
            <b/>
            <sz val="9"/>
            <color indexed="81"/>
            <rFont val="Tahoma"/>
            <family val="2"/>
          </rPr>
          <t>Kaylil Baptiste:</t>
        </r>
        <r>
          <rPr>
            <sz val="9"/>
            <color indexed="81"/>
            <rFont val="Tahoma"/>
            <family val="2"/>
          </rPr>
          <t xml:space="preserve">
6mins high EBI rejection </t>
        </r>
      </text>
    </comment>
    <comment ref="S39" authorId="0" shapeId="0" xr:uid="{0E902583-DBB5-4586-948D-0DAF8866494A}">
      <text>
        <r>
          <rPr>
            <b/>
            <sz val="9"/>
            <color indexed="81"/>
            <rFont val="Tahoma"/>
            <family val="2"/>
          </rPr>
          <t>Kaylil Baptiste:</t>
        </r>
        <r>
          <rPr>
            <sz val="9"/>
            <color indexed="81"/>
            <rFont val="Tahoma"/>
            <family val="2"/>
          </rPr>
          <t xml:space="preserve">
12mins lost for hydraulic isses </t>
        </r>
      </text>
    </comment>
    <comment ref="V39" authorId="0" shapeId="0" xr:uid="{7B76B059-0025-46B5-B9A4-34592B8548A8}">
      <text>
        <r>
          <rPr>
            <b/>
            <sz val="9"/>
            <color indexed="81"/>
            <rFont val="Tahoma"/>
            <family val="2"/>
          </rPr>
          <t>Kaylil Baptiste:</t>
        </r>
        <r>
          <rPr>
            <sz val="9"/>
            <color indexed="81"/>
            <rFont val="Tahoma"/>
            <family val="2"/>
          </rPr>
          <t xml:space="preserve">
7mins fallen bottles inside EBI shuffler</t>
        </r>
      </text>
    </comment>
    <comment ref="W39" authorId="0" shapeId="0" xr:uid="{76E0A41B-D8BE-4CF5-B735-B18FF0EAA041}">
      <text>
        <r>
          <rPr>
            <b/>
            <sz val="9"/>
            <color indexed="81"/>
            <rFont val="Tahoma"/>
            <family val="2"/>
          </rPr>
          <t>Kaylil Baptiste:</t>
        </r>
        <r>
          <rPr>
            <sz val="9"/>
            <color indexed="81"/>
            <rFont val="Tahoma"/>
            <family val="2"/>
          </rPr>
          <t xml:space="preserve">
5mins packer head adjustments</t>
        </r>
      </text>
    </comment>
    <comment ref="Z39" authorId="4" shapeId="0" xr:uid="{98F63A0C-DC53-4467-9553-28124739627B}">
      <text>
        <r>
          <rPr>
            <b/>
            <sz val="9"/>
            <color indexed="81"/>
            <rFont val="Tahoma"/>
            <family val="2"/>
          </rPr>
          <t>Michael Julien:</t>
        </r>
        <r>
          <rPr>
            <sz val="9"/>
            <color indexed="81"/>
            <rFont val="Tahoma"/>
            <family val="2"/>
          </rPr>
          <t xml:space="preserve">
waiting for someone at pasteurizer discharge 4 mins changing palletiser</t>
        </r>
      </text>
    </comment>
    <comment ref="G40" authorId="2" shapeId="0" xr:uid="{B2A043C4-0B4A-4305-84A5-99DC8A2F298F}">
      <text>
        <r>
          <rPr>
            <b/>
            <sz val="9"/>
            <color indexed="81"/>
            <rFont val="Tahoma"/>
            <family val="2"/>
          </rPr>
          <t>Micah Noel:</t>
        </r>
        <r>
          <rPr>
            <sz val="9"/>
            <color indexed="81"/>
            <rFont val="Tahoma"/>
            <family val="2"/>
          </rPr>
          <t xml:space="preserve">
packer sensor problem extended finish time</t>
        </r>
      </text>
    </comment>
    <comment ref="I40" authorId="4" shapeId="0" xr:uid="{8970AC28-B164-4C9C-ACC5-C86D34F9147E}">
      <text>
        <r>
          <rPr>
            <b/>
            <sz val="9"/>
            <color indexed="81"/>
            <rFont val="Tahoma"/>
            <family val="2"/>
          </rPr>
          <t>Michael Julien:</t>
        </r>
        <r>
          <rPr>
            <sz val="9"/>
            <color indexed="81"/>
            <rFont val="Tahoma"/>
            <family val="2"/>
          </rPr>
          <t xml:space="preserve">
5mins changing from amber to flint, 4 mins switching from amber to flint in pasteurizer </t>
        </r>
      </text>
    </comment>
    <comment ref="Q40" authorId="0" shapeId="0" xr:uid="{2F08B13B-515A-4544-B734-D519B42CC71A}">
      <text>
        <r>
          <rPr>
            <b/>
            <sz val="9"/>
            <color indexed="81"/>
            <rFont val="Tahoma"/>
            <family val="2"/>
          </rPr>
          <t>Kaylil Baptiste:</t>
        </r>
        <r>
          <rPr>
            <sz val="9"/>
            <color indexed="81"/>
            <rFont val="Tahoma"/>
            <family val="2"/>
          </rPr>
          <t xml:space="preserve">
6mins fallen bottles on OSW</t>
        </r>
      </text>
    </comment>
    <comment ref="R40" authorId="0" shapeId="0" xr:uid="{17C1535B-98AC-4750-8509-660510CA6557}">
      <text>
        <r>
          <rPr>
            <b/>
            <sz val="9"/>
            <color indexed="81"/>
            <rFont val="Tahoma"/>
            <family val="2"/>
          </rPr>
          <t>Kaylil Baptiste:</t>
        </r>
        <r>
          <rPr>
            <sz val="9"/>
            <color indexed="81"/>
            <rFont val="Tahoma"/>
            <family val="2"/>
          </rPr>
          <t xml:space="preserve">
6mins cleaning filler base</t>
        </r>
      </text>
    </comment>
    <comment ref="T40" authorId="0" shapeId="0" xr:uid="{5C4567EC-D2CF-4FF7-A68C-6A60396DCD11}">
      <text>
        <r>
          <rPr>
            <b/>
            <sz val="9"/>
            <color indexed="81"/>
            <rFont val="Tahoma"/>
            <family val="2"/>
          </rPr>
          <t>Kaylil Baptiste:</t>
        </r>
        <r>
          <rPr>
            <sz val="9"/>
            <color indexed="81"/>
            <rFont val="Tahoma"/>
            <family val="2"/>
          </rPr>
          <t xml:space="preserve">
9mins labeler startup adjustments</t>
        </r>
      </text>
    </comment>
    <comment ref="Z40" authorId="4" shapeId="0" xr:uid="{78A93AF0-67BB-40B2-9CB7-2567D0C75E98}">
      <text>
        <r>
          <rPr>
            <b/>
            <sz val="9"/>
            <color indexed="81"/>
            <rFont val="Tahoma"/>
            <family val="2"/>
          </rPr>
          <t>Michael Julien:</t>
        </r>
        <r>
          <rPr>
            <sz val="9"/>
            <color indexed="81"/>
            <rFont val="Tahoma"/>
            <family val="2"/>
          </rPr>
          <t xml:space="preserve">
2mins waiting for glue 6mins palletiser packing slow 5 mins waiitng for palletizer (shift change)</t>
        </r>
      </text>
    </comment>
    <comment ref="AB40" authorId="2" shapeId="0" xr:uid="{A283AA3B-CBA2-487B-BCBA-20B9DB14DF02}">
      <text>
        <r>
          <rPr>
            <b/>
            <sz val="9"/>
            <color indexed="81"/>
            <rFont val="Tahoma"/>
            <family val="2"/>
          </rPr>
          <t>Micah Noel:</t>
        </r>
        <r>
          <rPr>
            <sz val="9"/>
            <color indexed="81"/>
            <rFont val="Tahoma"/>
            <family val="2"/>
          </rPr>
          <t xml:space="preserve">
waitng for bottles from </t>
        </r>
      </text>
    </comment>
    <comment ref="I41" authorId="2" shapeId="0" xr:uid="{434A20BA-8069-419B-930E-A47338A68037}">
      <text>
        <r>
          <rPr>
            <b/>
            <sz val="9"/>
            <color indexed="81"/>
            <rFont val="Tahoma"/>
            <family val="2"/>
          </rPr>
          <t>Micah Noel:</t>
        </r>
        <r>
          <rPr>
            <sz val="9"/>
            <color indexed="81"/>
            <rFont val="Tahoma"/>
            <family val="2"/>
          </rPr>
          <t xml:space="preserve">
42mins filler change over from carib ginger shandy</t>
        </r>
      </text>
    </comment>
    <comment ref="O41" authorId="0" shapeId="0" xr:uid="{14E65E00-3892-41F6-B471-6EC769380C1F}">
      <text>
        <r>
          <rPr>
            <b/>
            <sz val="9"/>
            <color indexed="81"/>
            <rFont val="Tahoma"/>
            <family val="2"/>
          </rPr>
          <t>Kaylil Baptiste:</t>
        </r>
        <r>
          <rPr>
            <sz val="9"/>
            <color indexed="81"/>
            <rFont val="Tahoma"/>
            <family val="2"/>
          </rPr>
          <t xml:space="preserve">
7mins uncaser head hitting crates</t>
        </r>
      </text>
    </comment>
    <comment ref="T41" authorId="0" shapeId="0" xr:uid="{3F2AF566-E30D-460C-A0D7-DD8B061F55F4}">
      <text>
        <r>
          <rPr>
            <b/>
            <sz val="9"/>
            <color indexed="81"/>
            <rFont val="Tahoma"/>
            <family val="2"/>
          </rPr>
          <t>Kaylil Baptiste:</t>
        </r>
        <r>
          <rPr>
            <sz val="9"/>
            <color indexed="81"/>
            <rFont val="Tahoma"/>
            <family val="2"/>
          </rPr>
          <t xml:space="preserve">
30mins labeler startup adjustments</t>
        </r>
      </text>
    </comment>
    <comment ref="V41" authorId="0" shapeId="0" xr:uid="{87273B84-079A-4775-A498-6E4608358042}">
      <text>
        <r>
          <rPr>
            <b/>
            <sz val="9"/>
            <color indexed="81"/>
            <rFont val="Tahoma"/>
            <family val="2"/>
          </rPr>
          <t>Kaylil Baptiste:</t>
        </r>
        <r>
          <rPr>
            <sz val="9"/>
            <color indexed="81"/>
            <rFont val="Tahoma"/>
            <family val="2"/>
          </rPr>
          <t xml:space="preserve">
24mins EBI infeed conveyors unresponsive, 6mins fallen bottles stuck on pasteurizer discharge conveyor</t>
        </r>
      </text>
    </comment>
    <comment ref="W41" authorId="0" shapeId="0" xr:uid="{4E7B9E98-9303-4F0B-89A8-C0620907160A}">
      <text>
        <r>
          <rPr>
            <b/>
            <sz val="9"/>
            <color indexed="81"/>
            <rFont val="Tahoma"/>
            <family val="2"/>
          </rPr>
          <t>Kaylil Baptiste:</t>
        </r>
        <r>
          <rPr>
            <sz val="9"/>
            <color indexed="81"/>
            <rFont val="Tahoma"/>
            <family val="2"/>
          </rPr>
          <t xml:space="preserve">
87mins packer sensor malfunction </t>
        </r>
      </text>
    </comment>
    <comment ref="Z41" authorId="2" shapeId="0" xr:uid="{0EAC7EE1-1579-4256-A161-08C1250371CC}">
      <text>
        <r>
          <rPr>
            <b/>
            <sz val="9"/>
            <color indexed="81"/>
            <rFont val="Tahoma"/>
            <family val="2"/>
          </rPr>
          <t>Micah Noel:</t>
        </r>
        <r>
          <rPr>
            <sz val="9"/>
            <color indexed="81"/>
            <rFont val="Tahoma"/>
            <family val="2"/>
          </rPr>
          <t xml:space="preserve">
30mins incorrect bottle type loaded (explorer), 30mins ENI tech adjusting EBI 45 mins supervisor trying to find correct bottle despite instructions was given to forklift operator to load the explorer 142mins manually offloading wrong bottle type from washer, 29mins staff meeting, 6mins stop to load washer conveyor</t>
        </r>
      </text>
    </comment>
    <comment ref="I42" authorId="0" shapeId="0" xr:uid="{6500B06A-602B-4C73-8A9F-3821A509A3D4}">
      <text>
        <r>
          <rPr>
            <b/>
            <sz val="9"/>
            <color indexed="81"/>
            <rFont val="Tahoma"/>
            <family val="2"/>
          </rPr>
          <t>Kaylil Baptiste:</t>
        </r>
        <r>
          <rPr>
            <sz val="9"/>
            <color indexed="81"/>
            <rFont val="Tahoma"/>
            <family val="2"/>
          </rPr>
          <t xml:space="preserve">
24mins product change over </t>
        </r>
      </text>
    </comment>
    <comment ref="O42" authorId="0" shapeId="0" xr:uid="{B2B7DD60-7F5B-4CBE-8836-11DAF6E07240}">
      <text>
        <r>
          <rPr>
            <b/>
            <sz val="9"/>
            <color indexed="81"/>
            <rFont val="Tahoma"/>
            <family val="2"/>
          </rPr>
          <t>Kaylil Baptiste:</t>
        </r>
        <r>
          <rPr>
            <sz val="9"/>
            <color indexed="81"/>
            <rFont val="Tahoma"/>
            <family val="2"/>
          </rPr>
          <t xml:space="preserve">
12mins uncaser head hitting crates</t>
        </r>
      </text>
    </comment>
    <comment ref="P42" authorId="0" shapeId="0" xr:uid="{7E42F5C1-62D9-4082-9E20-BD9E002C04B7}">
      <text>
        <r>
          <rPr>
            <b/>
            <sz val="9"/>
            <color indexed="81"/>
            <rFont val="Tahoma"/>
            <family val="2"/>
          </rPr>
          <t>Kaylil Baptiste:</t>
        </r>
        <r>
          <rPr>
            <sz val="9"/>
            <color indexed="81"/>
            <rFont val="Tahoma"/>
            <family val="2"/>
          </rPr>
          <t xml:space="preserve">
12mins bottles jam at washer discharge flap, 9mins bottles jam at washer infeed flap</t>
        </r>
      </text>
    </comment>
    <comment ref="Q42" authorId="0" shapeId="0" xr:uid="{5B2D94F1-2622-4FE7-8730-644F36BEB14D}">
      <text>
        <r>
          <rPr>
            <b/>
            <sz val="9"/>
            <color indexed="81"/>
            <rFont val="Tahoma"/>
            <family val="2"/>
          </rPr>
          <t>Kaylil Baptiste:</t>
        </r>
        <r>
          <rPr>
            <sz val="9"/>
            <color indexed="81"/>
            <rFont val="Tahoma"/>
            <family val="2"/>
          </rPr>
          <t xml:space="preserve">
6mins high EBI rejection</t>
        </r>
      </text>
    </comment>
    <comment ref="S42" authorId="0" shapeId="0" xr:uid="{0B578999-E5D2-4077-A833-E9F767EB7959}">
      <text>
        <r>
          <rPr>
            <b/>
            <sz val="9"/>
            <color indexed="81"/>
            <rFont val="Tahoma"/>
            <family val="2"/>
          </rPr>
          <t>Kaylil Baptiste:</t>
        </r>
        <r>
          <rPr>
            <sz val="9"/>
            <color indexed="81"/>
            <rFont val="Tahoma"/>
            <family val="2"/>
          </rPr>
          <t xml:space="preserve">
142 mins lost for hydraulic isses, 30mins dry run</t>
        </r>
      </text>
    </comment>
    <comment ref="W42" authorId="0" shapeId="0" xr:uid="{0462FC0F-147C-4268-97C7-8CC82AEBFED5}">
      <text>
        <r>
          <rPr>
            <b/>
            <sz val="9"/>
            <color indexed="81"/>
            <rFont val="Tahoma"/>
            <family val="2"/>
          </rPr>
          <t>Kaylil Baptiste:</t>
        </r>
        <r>
          <rPr>
            <sz val="9"/>
            <color indexed="81"/>
            <rFont val="Tahoma"/>
            <family val="2"/>
          </rPr>
          <t xml:space="preserve">
10mins changing fingers on packer, 9mins packer head adjustments, 8mins packer sensor malfunction </t>
        </r>
      </text>
    </comment>
    <comment ref="Z42" authorId="2" shapeId="0" xr:uid="{CF2A7F8F-0BE4-4A2C-BCCC-3C0DE2E7F0AD}">
      <text>
        <r>
          <rPr>
            <b/>
            <sz val="9"/>
            <color indexed="81"/>
            <rFont val="Tahoma"/>
            <family val="2"/>
          </rPr>
          <t>Micah Noel:</t>
        </r>
        <r>
          <rPr>
            <sz val="9"/>
            <color indexed="81"/>
            <rFont val="Tahoma"/>
            <family val="2"/>
          </rPr>
          <t xml:space="preserve">
switching palletizer</t>
        </r>
      </text>
    </comment>
    <comment ref="AB42" authorId="2" shapeId="0" xr:uid="{778745A2-51D2-4632-A203-B939079E5F2E}">
      <text>
        <r>
          <rPr>
            <b/>
            <sz val="9"/>
            <color indexed="81"/>
            <rFont val="Tahoma"/>
            <family val="2"/>
          </rPr>
          <t>Micah Noel:</t>
        </r>
        <r>
          <rPr>
            <sz val="9"/>
            <color indexed="81"/>
            <rFont val="Tahoma"/>
            <family val="2"/>
          </rPr>
          <t xml:space="preserve">
high EBI rejections caused by Pre-washed bottles</t>
        </r>
      </text>
    </comment>
    <comment ref="O43" authorId="0" shapeId="0" xr:uid="{F2F12E48-16A6-4789-94C1-2B9C3AA7E10E}">
      <text>
        <r>
          <rPr>
            <b/>
            <sz val="9"/>
            <color indexed="81"/>
            <rFont val="Tahoma"/>
            <family val="2"/>
          </rPr>
          <t>Kaylil Baptiste:</t>
        </r>
        <r>
          <rPr>
            <sz val="9"/>
            <color indexed="81"/>
            <rFont val="Tahoma"/>
            <family val="2"/>
          </rPr>
          <t xml:space="preserve">
23mins uncaser heard hitting crates</t>
        </r>
      </text>
    </comment>
    <comment ref="P43" authorId="0" shapeId="0" xr:uid="{A2F195D7-4C5A-4D16-9021-8C66E2E0F638}">
      <text>
        <r>
          <rPr>
            <b/>
            <sz val="9"/>
            <color indexed="81"/>
            <rFont val="Tahoma"/>
            <family val="2"/>
          </rPr>
          <t>Kaylil Baptiste:</t>
        </r>
        <r>
          <rPr>
            <sz val="9"/>
            <color indexed="81"/>
            <rFont val="Tahoma"/>
            <family val="2"/>
          </rPr>
          <t xml:space="preserve">
20mins fallen bottles on washer infeed</t>
        </r>
      </text>
    </comment>
    <comment ref="Q43" authorId="0" shapeId="0" xr:uid="{1956FB84-CAE7-4ADC-8B9E-F517A16D0CAC}">
      <text>
        <r>
          <rPr>
            <b/>
            <sz val="9"/>
            <color indexed="81"/>
            <rFont val="Tahoma"/>
            <family val="2"/>
          </rPr>
          <t>Kaylil Baptiste:</t>
        </r>
        <r>
          <rPr>
            <sz val="9"/>
            <color indexed="81"/>
            <rFont val="Tahoma"/>
            <family val="2"/>
          </rPr>
          <t xml:space="preserve">
11mins high EBI rejection, 6mins fallen bottles jam OSW</t>
        </r>
      </text>
    </comment>
    <comment ref="R43" authorId="0" shapeId="0" xr:uid="{69AD8356-CFB4-40A6-BD40-E6572CF1E477}">
      <text>
        <r>
          <rPr>
            <b/>
            <sz val="9"/>
            <color indexed="81"/>
            <rFont val="Tahoma"/>
            <family val="2"/>
          </rPr>
          <t>Kaylil Baptiste:</t>
        </r>
        <r>
          <rPr>
            <sz val="9"/>
            <color indexed="81"/>
            <rFont val="Tahoma"/>
            <family val="2"/>
          </rPr>
          <t xml:space="preserve">
8mins crowner stuck in chute</t>
        </r>
      </text>
    </comment>
    <comment ref="V43" authorId="0" shapeId="0" xr:uid="{0CCCFC89-5A35-41A7-B382-DD3D6A08AD8B}">
      <text>
        <r>
          <rPr>
            <b/>
            <sz val="9"/>
            <color indexed="81"/>
            <rFont val="Tahoma"/>
            <family val="2"/>
          </rPr>
          <t>Kaylil Baptiste:</t>
        </r>
        <r>
          <rPr>
            <sz val="9"/>
            <color indexed="81"/>
            <rFont val="Tahoma"/>
            <family val="2"/>
          </rPr>
          <t xml:space="preserve">
6mins fallen bottles inside EBI shuffler</t>
        </r>
      </text>
    </comment>
    <comment ref="Z43" authorId="2" shapeId="0" xr:uid="{471A6A3B-E26F-4B70-BAAB-5B48548EF81F}">
      <text>
        <r>
          <rPr>
            <b/>
            <sz val="9"/>
            <color indexed="81"/>
            <rFont val="Tahoma"/>
            <family val="2"/>
          </rPr>
          <t>Micah Noel:</t>
        </r>
        <r>
          <rPr>
            <sz val="9"/>
            <color indexed="81"/>
            <rFont val="Tahoma"/>
            <family val="2"/>
          </rPr>
          <t xml:space="preserve">
Filler operator taking midnight readings (switching over to a new day)</t>
        </r>
      </text>
    </comment>
    <comment ref="AB43" authorId="0" shapeId="0" xr:uid="{C4FE0FFF-1FF1-431F-AF1E-F3C6B0C92326}">
      <text>
        <r>
          <rPr>
            <b/>
            <sz val="9"/>
            <color indexed="81"/>
            <rFont val="Tahoma"/>
            <family val="2"/>
          </rPr>
          <t>Kaylil Baptiste:</t>
        </r>
        <r>
          <rPr>
            <sz val="9"/>
            <color indexed="81"/>
            <rFont val="Tahoma"/>
            <family val="2"/>
          </rPr>
          <t xml:space="preserve">
32mins high EBI rejections caused by pre-washed bottles</t>
        </r>
      </text>
    </comment>
    <comment ref="I44" authorId="0" shapeId="0" xr:uid="{361B99E8-EE7D-4628-A98B-1F7CF069B64E}">
      <text>
        <r>
          <rPr>
            <b/>
            <sz val="9"/>
            <color indexed="81"/>
            <rFont val="Tahoma"/>
            <family val="2"/>
          </rPr>
          <t>Kaylil Baptiste:</t>
        </r>
        <r>
          <rPr>
            <sz val="9"/>
            <color indexed="81"/>
            <rFont val="Tahoma"/>
            <family val="2"/>
          </rPr>
          <t xml:space="preserve">
200mins product change over</t>
        </r>
      </text>
    </comment>
    <comment ref="R44" authorId="0" shapeId="0" xr:uid="{D90716E1-AF24-4442-8DAA-05AF71DA3F34}">
      <text>
        <r>
          <rPr>
            <b/>
            <sz val="9"/>
            <color indexed="81"/>
            <rFont val="Tahoma"/>
            <family val="2"/>
          </rPr>
          <t>Kaylil Baptiste:</t>
        </r>
        <r>
          <rPr>
            <sz val="9"/>
            <color indexed="81"/>
            <rFont val="Tahoma"/>
            <family val="2"/>
          </rPr>
          <t xml:space="preserve">
80mins crowner height not moving</t>
        </r>
      </text>
    </comment>
    <comment ref="I45" authorId="0" shapeId="0" xr:uid="{066B50E2-54C6-4276-9C21-800B315BE2AE}">
      <text>
        <r>
          <rPr>
            <b/>
            <sz val="9"/>
            <color indexed="81"/>
            <rFont val="Tahoma"/>
            <family val="2"/>
          </rPr>
          <t>Kaylil Baptiste:</t>
        </r>
        <r>
          <rPr>
            <sz val="9"/>
            <color indexed="81"/>
            <rFont val="Tahoma"/>
            <family val="2"/>
          </rPr>
          <t xml:space="preserve">
10mins product change over</t>
        </r>
      </text>
    </comment>
    <comment ref="J45" authorId="1" shapeId="0" xr:uid="{7BBE3D4E-BF61-46E6-A863-EC28F2A3A5D7}">
      <text>
        <r>
          <rPr>
            <b/>
            <sz val="9"/>
            <color indexed="81"/>
            <rFont val="Tahoma"/>
            <family val="2"/>
          </rPr>
          <t>Dorien Andrew:</t>
        </r>
        <r>
          <rPr>
            <sz val="9"/>
            <color indexed="81"/>
            <rFont val="Tahoma"/>
            <family val="2"/>
          </rPr>
          <t xml:space="preserve">
waiting on labtech to green light product</t>
        </r>
      </text>
    </comment>
    <comment ref="Q45" authorId="0" shapeId="0" xr:uid="{C1002242-A3D7-4AA1-900D-5F60CE6BE3DA}">
      <text>
        <r>
          <rPr>
            <b/>
            <sz val="9"/>
            <color indexed="81"/>
            <rFont val="Tahoma"/>
            <family val="2"/>
          </rPr>
          <t>Kaylil Baptiste:</t>
        </r>
        <r>
          <rPr>
            <sz val="9"/>
            <color indexed="81"/>
            <rFont val="Tahoma"/>
            <family val="2"/>
          </rPr>
          <t xml:space="preserve">
5mins fallen bottles jam om EBI starwheel</t>
        </r>
      </text>
    </comment>
    <comment ref="V45" authorId="0" shapeId="0" xr:uid="{05BB3A3C-A2E1-41F9-AFF4-E6DE5DAC971A}">
      <text>
        <r>
          <rPr>
            <b/>
            <sz val="9"/>
            <color indexed="81"/>
            <rFont val="Tahoma"/>
            <family val="2"/>
          </rPr>
          <t>Kaylil Baptiste:</t>
        </r>
        <r>
          <rPr>
            <sz val="9"/>
            <color indexed="81"/>
            <rFont val="Tahoma"/>
            <family val="2"/>
          </rPr>
          <t xml:space="preserve">
9mins EBI discharge conveyor rail came out </t>
        </r>
      </text>
    </comment>
    <comment ref="X45" authorId="0" shapeId="0" xr:uid="{9AFDC518-402F-4D72-B076-AB05F85BF693}">
      <text>
        <r>
          <rPr>
            <b/>
            <sz val="9"/>
            <color indexed="81"/>
            <rFont val="Tahoma"/>
            <family val="2"/>
          </rPr>
          <t>Kaylil Baptiste:</t>
        </r>
        <r>
          <rPr>
            <sz val="9"/>
            <color indexed="81"/>
            <rFont val="Tahoma"/>
            <family val="2"/>
          </rPr>
          <t xml:space="preserve">
22mins bending flats</t>
        </r>
      </text>
    </comment>
    <comment ref="Q46" authorId="0" shapeId="0" xr:uid="{4B14D055-61EC-47A2-910F-85118AF8BC20}">
      <text>
        <r>
          <rPr>
            <b/>
            <sz val="9"/>
            <color indexed="81"/>
            <rFont val="Tahoma"/>
            <family val="2"/>
          </rPr>
          <t>Kaylil Baptiste:</t>
        </r>
        <r>
          <rPr>
            <sz val="9"/>
            <color indexed="81"/>
            <rFont val="Tahoma"/>
            <family val="2"/>
          </rPr>
          <t xml:space="preserve">
5mins fallen bottles jam OSW</t>
        </r>
      </text>
    </comment>
    <comment ref="V46" authorId="0" shapeId="0" xr:uid="{C37EA6A0-119E-4398-866B-4151651B257E}">
      <text>
        <r>
          <rPr>
            <b/>
            <sz val="9"/>
            <color indexed="81"/>
            <rFont val="Tahoma"/>
            <family val="2"/>
          </rPr>
          <t>Kaylil Baptiste:</t>
        </r>
        <r>
          <rPr>
            <sz val="9"/>
            <color indexed="81"/>
            <rFont val="Tahoma"/>
            <family val="2"/>
          </rPr>
          <t xml:space="preserve">
5mins fallen bottles inside EBI shuffler</t>
        </r>
      </text>
    </comment>
    <comment ref="W46" authorId="0" shapeId="0" xr:uid="{4CFB8F4A-0FC9-486D-9C5E-403C936D2271}">
      <text>
        <r>
          <rPr>
            <b/>
            <sz val="9"/>
            <color indexed="81"/>
            <rFont val="Tahoma"/>
            <family val="2"/>
          </rPr>
          <t>Kaylil Baptiste:</t>
        </r>
        <r>
          <rPr>
            <sz val="9"/>
            <color indexed="81"/>
            <rFont val="Tahoma"/>
            <family val="2"/>
          </rPr>
          <t xml:space="preserve">
88mins packer sensor malfunction </t>
        </r>
      </text>
    </comment>
    <comment ref="X46" authorId="0" shapeId="0" xr:uid="{5EEA338D-8366-47F8-A134-BEBC30AF452A}">
      <text>
        <r>
          <rPr>
            <b/>
            <sz val="9"/>
            <color indexed="81"/>
            <rFont val="Tahoma"/>
            <family val="2"/>
          </rPr>
          <t>Kaylil Baptiste:</t>
        </r>
        <r>
          <rPr>
            <sz val="9"/>
            <color indexed="81"/>
            <rFont val="Tahoma"/>
            <family val="2"/>
          </rPr>
          <t xml:space="preserve">
173mins bending flats, 11mins cartoon errector destroying boxes</t>
        </r>
      </text>
    </comment>
    <comment ref="Z46" authorId="2" shapeId="0" xr:uid="{DC7FD339-BC90-4BE0-8377-4884EFFAB53E}">
      <text>
        <r>
          <rPr>
            <b/>
            <sz val="9"/>
            <color indexed="81"/>
            <rFont val="Tahoma"/>
            <family val="2"/>
          </rPr>
          <t>Micah Noel:</t>
        </r>
        <r>
          <rPr>
            <sz val="9"/>
            <color indexed="81"/>
            <rFont val="Tahoma"/>
            <family val="2"/>
          </rPr>
          <t xml:space="preserve">
8 mins removing low filled bottles from line</t>
        </r>
      </text>
    </comment>
    <comment ref="AB46" authorId="3" shapeId="0" xr:uid="{060D4C15-B0AB-43EA-AB84-A3703F731A2D}">
      <text>
        <r>
          <rPr>
            <b/>
            <sz val="9"/>
            <color indexed="81"/>
            <rFont val="Tahoma"/>
            <family val="2"/>
          </rPr>
          <t>Tyrell Bartholomew:</t>
        </r>
        <r>
          <rPr>
            <sz val="9"/>
            <color indexed="81"/>
            <rFont val="Tahoma"/>
            <family val="2"/>
          </rPr>
          <t xml:space="preserve">
7mins lost removing incorrect bottle type.</t>
        </r>
      </text>
    </comment>
    <comment ref="H47" authorId="3" shapeId="0" xr:uid="{552D5BEF-CA99-49B8-B94B-0AB700787023}">
      <text>
        <r>
          <rPr>
            <b/>
            <sz val="9"/>
            <color indexed="81"/>
            <rFont val="Tahoma"/>
            <family val="2"/>
          </rPr>
          <t>Tyrell Bartholomew:</t>
        </r>
        <r>
          <rPr>
            <sz val="9"/>
            <color indexed="81"/>
            <rFont val="Tahoma"/>
            <family val="2"/>
          </rPr>
          <t xml:space="preserve">
crown hopper empty</t>
        </r>
      </text>
    </comment>
    <comment ref="I47" authorId="3" shapeId="0" xr:uid="{B7D83531-B6CF-4AA8-98F7-6A68609BB49C}">
      <text>
        <r>
          <rPr>
            <b/>
            <sz val="9"/>
            <color indexed="81"/>
            <rFont val="Tahoma"/>
            <family val="2"/>
          </rPr>
          <t>Tyrell Bartholomew:</t>
        </r>
        <r>
          <rPr>
            <sz val="9"/>
            <color indexed="81"/>
            <rFont val="Tahoma"/>
            <family val="2"/>
          </rPr>
          <t xml:space="preserve">
44 mins changing over from cream soda to banana. 60 mins changing over from boxes to crate on packer.</t>
        </r>
      </text>
    </comment>
    <comment ref="M47" authorId="3" shapeId="0" xr:uid="{F3587BE2-6B81-4869-84EB-401C1D875E08}">
      <text>
        <r>
          <rPr>
            <b/>
            <sz val="9"/>
            <color indexed="81"/>
            <rFont val="Tahoma"/>
            <family val="2"/>
          </rPr>
          <t>Tyrell Bartholomew:</t>
        </r>
        <r>
          <rPr>
            <sz val="9"/>
            <color indexed="81"/>
            <rFont val="Tahoma"/>
            <family val="2"/>
          </rPr>
          <t xml:space="preserve">
low water in the soft drink plnt</t>
        </r>
      </text>
    </comment>
    <comment ref="T47" authorId="0" shapeId="0" xr:uid="{6F8973A4-DE6F-4703-97AC-8A9AB4024224}">
      <text>
        <r>
          <rPr>
            <b/>
            <sz val="9"/>
            <color indexed="81"/>
            <rFont val="Tahoma"/>
            <family val="2"/>
          </rPr>
          <t>Kaylil Baptiste:</t>
        </r>
        <r>
          <rPr>
            <sz val="9"/>
            <color indexed="81"/>
            <rFont val="Tahoma"/>
            <family val="2"/>
          </rPr>
          <t xml:space="preserve">
12mins misalgned labels adjustments</t>
        </r>
      </text>
    </comment>
    <comment ref="W47" authorId="0" shapeId="0" xr:uid="{5A8021BD-2D83-4869-A949-59DDFB536B55}">
      <text>
        <r>
          <rPr>
            <b/>
            <sz val="9"/>
            <color indexed="81"/>
            <rFont val="Tahoma"/>
            <family val="2"/>
          </rPr>
          <t>Kaylil Baptiste:</t>
        </r>
        <r>
          <rPr>
            <sz val="9"/>
            <color indexed="81"/>
            <rFont val="Tahoma"/>
            <family val="2"/>
          </rPr>
          <t xml:space="preserve">
95mins packer sensor malfunction </t>
        </r>
      </text>
    </comment>
    <comment ref="X47" authorId="0" shapeId="0" xr:uid="{8BF381B8-3F21-47C8-AF55-09F93649C4E8}">
      <text>
        <r>
          <rPr>
            <b/>
            <sz val="9"/>
            <color indexed="81"/>
            <rFont val="Tahoma"/>
            <family val="2"/>
          </rPr>
          <t>Kaylil Baptiste:</t>
        </r>
        <r>
          <rPr>
            <sz val="9"/>
            <color indexed="81"/>
            <rFont val="Tahoma"/>
            <family val="2"/>
          </rPr>
          <t xml:space="preserve">
120mins bending flats</t>
        </r>
      </text>
    </comment>
    <comment ref="I48" authorId="1" shapeId="0" xr:uid="{658A11AE-AE8E-4B08-8255-DA5F5D3A8F8B}">
      <text>
        <r>
          <rPr>
            <b/>
            <sz val="9"/>
            <color indexed="81"/>
            <rFont val="Tahoma"/>
            <family val="2"/>
          </rPr>
          <t>Dorien Andrew:</t>
        </r>
        <r>
          <rPr>
            <sz val="9"/>
            <color indexed="81"/>
            <rFont val="Tahoma"/>
            <family val="2"/>
          </rPr>
          <t xml:space="preserve">
16 mins change over on filler for next product 29 mins change over on packer for cartons</t>
        </r>
      </text>
    </comment>
    <comment ref="J48" authorId="0" shapeId="0" xr:uid="{B675716D-7665-4355-882E-B1B89830D80B}">
      <text>
        <r>
          <rPr>
            <b/>
            <sz val="9"/>
            <color indexed="81"/>
            <rFont val="Tahoma"/>
            <family val="2"/>
          </rPr>
          <t>Kaylil Baptiste:</t>
        </r>
        <r>
          <rPr>
            <sz val="9"/>
            <color indexed="81"/>
            <rFont val="Tahoma"/>
            <family val="2"/>
          </rPr>
          <t xml:space="preserve">
12mins waiting on product </t>
        </r>
      </text>
    </comment>
    <comment ref="W48" authorId="0" shapeId="0" xr:uid="{BE7D95CB-1108-4575-9E4A-760DF611419C}">
      <text>
        <r>
          <rPr>
            <b/>
            <sz val="9"/>
            <color indexed="81"/>
            <rFont val="Tahoma"/>
            <family val="2"/>
          </rPr>
          <t>Kaylil Baptiste:</t>
        </r>
        <r>
          <rPr>
            <sz val="9"/>
            <color indexed="81"/>
            <rFont val="Tahoma"/>
            <family val="2"/>
          </rPr>
          <t xml:space="preserve">
9mins packer fingers hitting crate edges</t>
        </r>
      </text>
    </comment>
    <comment ref="X48" authorId="0" shapeId="0" xr:uid="{585C55B6-2613-40A7-9C5C-644F53817A77}">
      <text>
        <r>
          <rPr>
            <b/>
            <sz val="9"/>
            <color indexed="81"/>
            <rFont val="Tahoma"/>
            <family val="2"/>
          </rPr>
          <t>Kaylil Baptiste:</t>
        </r>
        <r>
          <rPr>
            <sz val="9"/>
            <color indexed="81"/>
            <rFont val="Tahoma"/>
            <family val="2"/>
          </rPr>
          <t xml:space="preserve">
25mins cartoon errector bending flats  </t>
        </r>
      </text>
    </comment>
    <comment ref="AB48" authorId="1" shapeId="0" xr:uid="{42CD3455-E5A2-49BF-975C-DEDCC3ADBCBD}">
      <text>
        <r>
          <rPr>
            <b/>
            <sz val="9"/>
            <color indexed="81"/>
            <rFont val="Tahoma"/>
            <family val="2"/>
          </rPr>
          <t>Dorien Andrew:</t>
        </r>
        <r>
          <rPr>
            <sz val="9"/>
            <color indexed="81"/>
            <rFont val="Tahoma"/>
            <family val="2"/>
          </rPr>
          <t xml:space="preserve">
waiting on man power from logistics to fold boxes</t>
        </r>
      </text>
    </comment>
    <comment ref="I49" authorId="0" shapeId="0" xr:uid="{12415F48-654D-46D4-B701-089562763DCA}">
      <text>
        <r>
          <rPr>
            <b/>
            <sz val="9"/>
            <color indexed="81"/>
            <rFont val="Tahoma"/>
            <family val="2"/>
          </rPr>
          <t>Kaylil Baptiste:</t>
        </r>
        <r>
          <rPr>
            <sz val="9"/>
            <color indexed="81"/>
            <rFont val="Tahoma"/>
            <family val="2"/>
          </rPr>
          <t xml:space="preserve">
25mins product change over </t>
        </r>
      </text>
    </comment>
    <comment ref="M49" authorId="4" shapeId="0" xr:uid="{11F4D42E-1ADD-4995-85A8-6F2F1BB2D02D}">
      <text>
        <r>
          <rPr>
            <b/>
            <sz val="9"/>
            <color indexed="81"/>
            <rFont val="Tahoma"/>
            <family val="2"/>
          </rPr>
          <t>Michael Julien:</t>
        </r>
        <r>
          <rPr>
            <sz val="9"/>
            <color indexed="81"/>
            <rFont val="Tahoma"/>
            <family val="2"/>
          </rPr>
          <t xml:space="preserve">
low water pressure in soft drink plant</t>
        </r>
      </text>
    </comment>
    <comment ref="X49" authorId="0" shapeId="0" xr:uid="{69190C18-E167-4FAB-9C2B-78FE2FB003CC}">
      <text>
        <r>
          <rPr>
            <b/>
            <sz val="9"/>
            <color indexed="81"/>
            <rFont val="Tahoma"/>
            <family val="2"/>
          </rPr>
          <t>Kaylil Baptiste:</t>
        </r>
        <r>
          <rPr>
            <sz val="9"/>
            <color indexed="81"/>
            <rFont val="Tahoma"/>
            <family val="2"/>
          </rPr>
          <t xml:space="preserve">
22mins tentioners came out on cartoon errector</t>
        </r>
      </text>
    </comment>
    <comment ref="I50" authorId="4" shapeId="0" xr:uid="{E6907839-F4CC-414E-B58B-9CAE76C228B0}">
      <text>
        <r>
          <rPr>
            <b/>
            <sz val="9"/>
            <color indexed="81"/>
            <rFont val="Tahoma"/>
            <family val="2"/>
          </rPr>
          <t>Michael Julien:</t>
        </r>
        <r>
          <rPr>
            <sz val="9"/>
            <color indexed="81"/>
            <rFont val="Tahoma"/>
            <family val="2"/>
          </rPr>
          <t xml:space="preserve">
37 mins changeover from grape to sorrel
</t>
        </r>
      </text>
    </comment>
    <comment ref="O50" authorId="0" shapeId="0" xr:uid="{2D0DB812-BCBA-4BB0-96B0-4F0439D00142}">
      <text>
        <r>
          <rPr>
            <b/>
            <sz val="9"/>
            <color indexed="81"/>
            <rFont val="Tahoma"/>
            <family val="2"/>
          </rPr>
          <t>Kaylil Baptiste:</t>
        </r>
        <r>
          <rPr>
            <sz val="9"/>
            <color indexed="81"/>
            <rFont val="Tahoma"/>
            <family val="2"/>
          </rPr>
          <t xml:space="preserve">
20mins uncaser head hitting crates</t>
        </r>
      </text>
    </comment>
    <comment ref="U50" authorId="0" shapeId="0" xr:uid="{00045205-84D4-4DA3-8CC0-5AF8F9939291}">
      <text>
        <r>
          <rPr>
            <b/>
            <sz val="9"/>
            <color indexed="81"/>
            <rFont val="Tahoma"/>
            <family val="2"/>
          </rPr>
          <t>Kaylil Baptiste:</t>
        </r>
        <r>
          <rPr>
            <sz val="9"/>
            <color indexed="81"/>
            <rFont val="Tahoma"/>
            <family val="2"/>
          </rPr>
          <t xml:space="preserve">
10mins videojet not printing properly </t>
        </r>
      </text>
    </comment>
    <comment ref="Z50" authorId="2" shapeId="0" xr:uid="{39786006-3EB3-4486-BDD3-7FB6AEBB8D5D}">
      <text>
        <r>
          <rPr>
            <b/>
            <sz val="9"/>
            <color indexed="81"/>
            <rFont val="Tahoma"/>
            <family val="2"/>
          </rPr>
          <t>Micah Noel:</t>
        </r>
        <r>
          <rPr>
            <sz val="9"/>
            <color indexed="81"/>
            <rFont val="Tahoma"/>
            <family val="2"/>
          </rPr>
          <t xml:space="preserve">
Waiting for palletizer (shift change)
10mins break, 5mins stop to full up line</t>
        </r>
      </text>
    </comment>
    <comment ref="AB50" authorId="4" shapeId="0" xr:uid="{A2E22F50-70B7-483E-AB14-0B5BF07E3241}">
      <text>
        <r>
          <rPr>
            <b/>
            <sz val="9"/>
            <color indexed="81"/>
            <rFont val="Tahoma"/>
            <family val="2"/>
          </rPr>
          <t>Michael Julien:</t>
        </r>
        <r>
          <rPr>
            <sz val="9"/>
            <color indexed="81"/>
            <rFont val="Tahoma"/>
            <family val="2"/>
          </rPr>
          <t xml:space="preserve">
22 mins waiting for pallets to pack finish product</t>
        </r>
      </text>
    </comment>
    <comment ref="M51" authorId="2" shapeId="0" xr:uid="{12181FDC-112A-46B2-80E7-EED6D25AA927}">
      <text>
        <r>
          <rPr>
            <b/>
            <sz val="9"/>
            <color indexed="81"/>
            <rFont val="Tahoma"/>
            <family val="2"/>
          </rPr>
          <t>Micah Noel:</t>
        </r>
        <r>
          <rPr>
            <sz val="9"/>
            <color indexed="81"/>
            <rFont val="Tahoma"/>
            <family val="2"/>
          </rPr>
          <t xml:space="preserve">
low water level in soft drink plant</t>
        </r>
      </text>
    </comment>
    <comment ref="Q51" authorId="0" shapeId="0" xr:uid="{A3339876-920A-458D-BF98-8CD8F224572C}">
      <text>
        <r>
          <rPr>
            <b/>
            <sz val="9"/>
            <color indexed="81"/>
            <rFont val="Tahoma"/>
            <family val="2"/>
          </rPr>
          <t>Kaylil Baptiste:</t>
        </r>
        <r>
          <rPr>
            <sz val="9"/>
            <color indexed="81"/>
            <rFont val="Tahoma"/>
            <family val="2"/>
          </rPr>
          <t xml:space="preserve">
18mins high EBI rejection, 7mins fallen bottles on EBI starwheel </t>
        </r>
      </text>
    </comment>
    <comment ref="X51" authorId="0" shapeId="0" xr:uid="{4BF3C972-B096-45DF-8716-AAC10E303C5E}">
      <text>
        <r>
          <rPr>
            <b/>
            <sz val="9"/>
            <color indexed="81"/>
            <rFont val="Tahoma"/>
            <family val="2"/>
          </rPr>
          <t>Kaylil Baptiste:</t>
        </r>
        <r>
          <rPr>
            <sz val="9"/>
            <color indexed="81"/>
            <rFont val="Tahoma"/>
            <family val="2"/>
          </rPr>
          <t xml:space="preserve">
24mins cartoon errector not sealing</t>
        </r>
      </text>
    </comment>
    <comment ref="Z51" authorId="2" shapeId="0" xr:uid="{C8103953-D670-48B5-984A-83FFF90B1414}">
      <text>
        <r>
          <rPr>
            <b/>
            <sz val="9"/>
            <color indexed="81"/>
            <rFont val="Tahoma"/>
            <family val="2"/>
          </rPr>
          <t>Micah Noel:</t>
        </r>
        <r>
          <rPr>
            <sz val="9"/>
            <color indexed="81"/>
            <rFont val="Tahoma"/>
            <family val="2"/>
          </rPr>
          <t xml:space="preserve">
Filler operator taking midnight readings</t>
        </r>
      </text>
    </comment>
    <comment ref="I52" authorId="2" shapeId="0" xr:uid="{0AC782F7-8FAA-4261-ADA4-7F89C16A9045}">
      <text>
        <r>
          <rPr>
            <b/>
            <sz val="9"/>
            <color indexed="81"/>
            <rFont val="Tahoma"/>
            <family val="2"/>
          </rPr>
          <t>Micah Noel:</t>
        </r>
        <r>
          <rPr>
            <sz val="9"/>
            <color indexed="81"/>
            <rFont val="Tahoma"/>
            <family val="2"/>
          </rPr>
          <t xml:space="preserve">
Filler change over from J.Cool to stag</t>
        </r>
      </text>
    </comment>
    <comment ref="O52" authorId="0" shapeId="0" xr:uid="{5F926645-7039-40E5-867A-376959744610}">
      <text>
        <r>
          <rPr>
            <b/>
            <sz val="9"/>
            <color indexed="81"/>
            <rFont val="Tahoma"/>
            <family val="2"/>
          </rPr>
          <t>Kaylil Baptiste:</t>
        </r>
        <r>
          <rPr>
            <sz val="9"/>
            <color indexed="81"/>
            <rFont val="Tahoma"/>
            <family val="2"/>
          </rPr>
          <t xml:space="preserve">
19mins uncaser head hitting old crates</t>
        </r>
      </text>
    </comment>
    <comment ref="S52" authorId="0" shapeId="0" xr:uid="{3BBB6EB9-1BBA-4528-AB37-3BDB133D7484}">
      <text>
        <r>
          <rPr>
            <b/>
            <sz val="9"/>
            <color indexed="81"/>
            <rFont val="Tahoma"/>
            <family val="2"/>
          </rPr>
          <t xml:space="preserve">Micah Noel:
</t>
        </r>
        <r>
          <rPr>
            <sz val="9"/>
            <color indexed="81"/>
            <rFont val="Tahoma"/>
            <family val="2"/>
          </rPr>
          <t>132mins</t>
        </r>
        <r>
          <rPr>
            <b/>
            <sz val="9"/>
            <color indexed="81"/>
            <rFont val="Tahoma"/>
            <family val="2"/>
          </rPr>
          <t xml:space="preserve"> </t>
        </r>
        <r>
          <rPr>
            <sz val="9"/>
            <color indexed="81"/>
            <rFont val="Tahoma"/>
            <family val="2"/>
          </rPr>
          <t>waiting for pasteurizer to reach operational specs plus PU results for Stag which came after J.Cool</t>
        </r>
      </text>
    </comment>
    <comment ref="T52" authorId="0" shapeId="0" xr:uid="{EFA9C94F-B4ED-4F1A-9FBE-BCD67996B9C8}">
      <text>
        <r>
          <rPr>
            <b/>
            <sz val="9"/>
            <color indexed="81"/>
            <rFont val="Tahoma"/>
            <family val="2"/>
          </rPr>
          <t>Kaylil Baptiste:</t>
        </r>
        <r>
          <rPr>
            <sz val="9"/>
            <color indexed="81"/>
            <rFont val="Tahoma"/>
            <family val="2"/>
          </rPr>
          <t xml:space="preserve">
7mins missing labels</t>
        </r>
      </text>
    </comment>
    <comment ref="V52" authorId="0" shapeId="0" xr:uid="{273F3909-5DA9-4CFE-82FC-8A5BF900584E}">
      <text>
        <r>
          <rPr>
            <b/>
            <sz val="9"/>
            <color indexed="81"/>
            <rFont val="Tahoma"/>
            <family val="2"/>
          </rPr>
          <t>Kaylil Baptiste:</t>
        </r>
        <r>
          <rPr>
            <sz val="9"/>
            <color indexed="81"/>
            <rFont val="Tahoma"/>
            <family val="2"/>
          </rPr>
          <t xml:space="preserve">
5mins fallen bottles inside shuffler</t>
        </r>
      </text>
    </comment>
    <comment ref="W52" authorId="0" shapeId="0" xr:uid="{D3399FF9-AEB4-4516-A18C-D016C57F53B7}">
      <text>
        <r>
          <rPr>
            <b/>
            <sz val="9"/>
            <color indexed="81"/>
            <rFont val="Tahoma"/>
            <family val="2"/>
          </rPr>
          <t>Kaylil Baptiste:</t>
        </r>
        <r>
          <rPr>
            <sz val="9"/>
            <color indexed="81"/>
            <rFont val="Tahoma"/>
            <family val="2"/>
          </rPr>
          <t xml:space="preserve">
35mins straightening bent fingers on packer, 6mins leaking air hose on packer</t>
        </r>
      </text>
    </comment>
    <comment ref="J53" authorId="3" shapeId="0" xr:uid="{54FAE592-89AE-450D-877E-3DDA69C022D0}">
      <text>
        <r>
          <rPr>
            <b/>
            <sz val="9"/>
            <color indexed="81"/>
            <rFont val="Tahoma"/>
            <family val="2"/>
          </rPr>
          <t>Tyrell Bartholomew:</t>
        </r>
        <r>
          <rPr>
            <sz val="9"/>
            <color indexed="81"/>
            <rFont val="Tahoma"/>
            <family val="2"/>
          </rPr>
          <t xml:space="preserve">
7mins bowl level drop. Changing BBT.</t>
        </r>
      </text>
    </comment>
    <comment ref="P53" authorId="0" shapeId="0" xr:uid="{7038D44C-788B-4EA6-AAFD-C4161502091A}">
      <text>
        <r>
          <rPr>
            <b/>
            <sz val="9"/>
            <color indexed="81"/>
            <rFont val="Tahoma"/>
            <family val="2"/>
          </rPr>
          <t>Kaylil Baptiste:</t>
        </r>
        <r>
          <rPr>
            <sz val="9"/>
            <color indexed="81"/>
            <rFont val="Tahoma"/>
            <family val="2"/>
          </rPr>
          <t xml:space="preserve">
6mins fallen bottles at washer infeed flap</t>
        </r>
      </text>
    </comment>
    <comment ref="R53" authorId="0" shapeId="0" xr:uid="{37F2184F-2C23-4E97-9840-8973A8A27A96}">
      <text>
        <r>
          <rPr>
            <b/>
            <sz val="9"/>
            <color indexed="81"/>
            <rFont val="Tahoma"/>
            <family val="2"/>
          </rPr>
          <t>Kaylil Baptiste:</t>
        </r>
        <r>
          <rPr>
            <sz val="9"/>
            <color indexed="81"/>
            <rFont val="Tahoma"/>
            <family val="2"/>
          </rPr>
          <t xml:space="preserve">
7mins bottle jamming at filler infeed, 5mins cleaning filler base</t>
        </r>
      </text>
    </comment>
    <comment ref="S53" authorId="0" shapeId="0" xr:uid="{7C2C7146-DCB3-4859-8709-64BCBEB954B3}">
      <text>
        <r>
          <rPr>
            <b/>
            <sz val="9"/>
            <color indexed="81"/>
            <rFont val="Tahoma"/>
            <family val="2"/>
          </rPr>
          <t>Kaylil Baptiste:</t>
        </r>
        <r>
          <rPr>
            <sz val="9"/>
            <color indexed="81"/>
            <rFont val="Tahoma"/>
            <family val="2"/>
          </rPr>
          <t xml:space="preserve">
18mins pasteurizer hydraulics malfunction</t>
        </r>
      </text>
    </comment>
    <comment ref="V53" authorId="0" shapeId="0" xr:uid="{A90DE064-5DF2-41B3-BF78-2B45961E0569}">
      <text>
        <r>
          <rPr>
            <b/>
            <sz val="9"/>
            <color indexed="81"/>
            <rFont val="Tahoma"/>
            <family val="2"/>
          </rPr>
          <t>Kaylil Baptiste:</t>
        </r>
        <r>
          <rPr>
            <sz val="9"/>
            <color indexed="81"/>
            <rFont val="Tahoma"/>
            <family val="2"/>
          </rPr>
          <t xml:space="preserve">
10mins proximity sensor malfunction on labeler discharge</t>
        </r>
      </text>
    </comment>
    <comment ref="W53" authorId="0" shapeId="0" xr:uid="{BD3C66E5-5C0B-4371-A365-C15CCCDDCFA8}">
      <text>
        <r>
          <rPr>
            <b/>
            <sz val="9"/>
            <color indexed="81"/>
            <rFont val="Tahoma"/>
            <family val="2"/>
          </rPr>
          <t>Kaylil Baptiste:</t>
        </r>
        <r>
          <rPr>
            <sz val="9"/>
            <color indexed="81"/>
            <rFont val="Tahoma"/>
            <family val="2"/>
          </rPr>
          <t xml:space="preserve">
29mins bent fingers on packer</t>
        </r>
      </text>
    </comment>
    <comment ref="Z53" authorId="3" shapeId="0" xr:uid="{D8AB4FF8-B674-4D9A-BE7E-AE3FBE878431}">
      <text>
        <r>
          <rPr>
            <b/>
            <sz val="9"/>
            <color indexed="81"/>
            <rFont val="Tahoma"/>
            <family val="2"/>
          </rPr>
          <t>Tyrell Bartholomew:</t>
        </r>
        <r>
          <rPr>
            <sz val="9"/>
            <color indexed="81"/>
            <rFont val="Tahoma"/>
            <family val="2"/>
          </rPr>
          <t xml:space="preserve">
360mins lost due to absent filler operator, 75mins product preapration, 10mins no personnel at pasteurizer discharge,  3mins stop waiting on crates. 6mins palletizer packing slow.</t>
        </r>
      </text>
    </comment>
    <comment ref="Q54" authorId="0" shapeId="0" xr:uid="{7CD715D8-BDD3-4683-A31A-AF5B06B50A33}">
      <text>
        <r>
          <rPr>
            <b/>
            <sz val="9"/>
            <color indexed="81"/>
            <rFont val="Tahoma"/>
            <family val="2"/>
          </rPr>
          <t>Kaylil Baptiste:</t>
        </r>
        <r>
          <rPr>
            <sz val="9"/>
            <color indexed="81"/>
            <rFont val="Tahoma"/>
            <family val="2"/>
          </rPr>
          <t xml:space="preserve">
5mins flase rejection</t>
        </r>
      </text>
    </comment>
    <comment ref="W54" authorId="0" shapeId="0" xr:uid="{17BCBF22-16EE-449C-B682-8F7F6F487CF5}">
      <text>
        <r>
          <rPr>
            <b/>
            <sz val="9"/>
            <color indexed="81"/>
            <rFont val="Tahoma"/>
            <family val="2"/>
          </rPr>
          <t>Kaylil Baptiste:</t>
        </r>
        <r>
          <rPr>
            <sz val="9"/>
            <color indexed="81"/>
            <rFont val="Tahoma"/>
            <family val="2"/>
          </rPr>
          <t xml:space="preserve">
28mins maintenance working on crate stopper, 15mins bent fingers on packer</t>
        </r>
      </text>
    </comment>
    <comment ref="Z54" authorId="4" shapeId="0" xr:uid="{3715A132-FCF4-4447-AFE2-87EDC27EB0C9}">
      <text>
        <r>
          <rPr>
            <b/>
            <sz val="9"/>
            <color indexed="81"/>
            <rFont val="Tahoma"/>
            <family val="2"/>
          </rPr>
          <t>Michael Julien:</t>
        </r>
        <r>
          <rPr>
            <sz val="9"/>
            <color indexed="81"/>
            <rFont val="Tahoma"/>
            <family val="2"/>
          </rPr>
          <t xml:space="preserve">
3mins empting pasteurizer, 7mins midnight change over</t>
        </r>
      </text>
    </comment>
    <comment ref="AB54" authorId="0" shapeId="0" xr:uid="{B55E1F64-3A33-458D-B5AE-7D54E949D7A8}">
      <text>
        <r>
          <rPr>
            <b/>
            <sz val="9"/>
            <color indexed="81"/>
            <rFont val="Tahoma"/>
            <family val="2"/>
          </rPr>
          <t>Kaylil Baptiste:</t>
        </r>
        <r>
          <rPr>
            <sz val="9"/>
            <color indexed="81"/>
            <rFont val="Tahoma"/>
            <family val="2"/>
          </rPr>
          <t xml:space="preserve">
6mins waiting on crates to load line</t>
        </r>
      </text>
    </comment>
    <comment ref="I55" authorId="0" shapeId="0" xr:uid="{43BEFD0D-AC9C-48DC-B9B8-2C3524FF6480}">
      <text>
        <r>
          <rPr>
            <b/>
            <sz val="9"/>
            <color indexed="81"/>
            <rFont val="Tahoma"/>
            <family val="2"/>
          </rPr>
          <t>Kaylil Baptiste:</t>
        </r>
        <r>
          <rPr>
            <sz val="9"/>
            <color indexed="81"/>
            <rFont val="Tahoma"/>
            <family val="2"/>
          </rPr>
          <t xml:space="preserve">
7mins change over</t>
        </r>
      </text>
    </comment>
    <comment ref="O55" authorId="0" shapeId="0" xr:uid="{E86D4F41-1D7D-4C1B-9EBC-8BAAB4866E00}">
      <text>
        <r>
          <rPr>
            <b/>
            <sz val="9"/>
            <color indexed="81"/>
            <rFont val="Tahoma"/>
            <family val="2"/>
          </rPr>
          <t>Kaylil Baptiste:</t>
        </r>
        <r>
          <rPr>
            <sz val="9"/>
            <color indexed="81"/>
            <rFont val="Tahoma"/>
            <family val="2"/>
          </rPr>
          <t xml:space="preserve">
9min case sticking on crate transport belt </t>
        </r>
      </text>
    </comment>
    <comment ref="P55" authorId="0" shapeId="0" xr:uid="{79CF1CDD-E82A-4A1A-8BD0-9CF98718D203}">
      <text>
        <r>
          <rPr>
            <b/>
            <sz val="9"/>
            <color indexed="81"/>
            <rFont val="Tahoma"/>
            <family val="2"/>
          </rPr>
          <t>Kaylil Baptiste:</t>
        </r>
        <r>
          <rPr>
            <sz val="9"/>
            <color indexed="81"/>
            <rFont val="Tahoma"/>
            <family val="2"/>
          </rPr>
          <t xml:space="preserve">
7mins fallen bottles on washer infeed flap</t>
        </r>
      </text>
    </comment>
    <comment ref="Q55" authorId="0" shapeId="0" xr:uid="{3001A21A-1C94-4096-A614-3E6BF374071E}">
      <text>
        <r>
          <rPr>
            <b/>
            <sz val="9"/>
            <color indexed="81"/>
            <rFont val="Tahoma"/>
            <family val="2"/>
          </rPr>
          <t>Kaylil Baptiste:</t>
        </r>
        <r>
          <rPr>
            <sz val="9"/>
            <color indexed="81"/>
            <rFont val="Tahoma"/>
            <family val="2"/>
          </rPr>
          <t xml:space="preserve">
5mins fallen bottles on EBI starwheel</t>
        </r>
      </text>
    </comment>
    <comment ref="AB55" authorId="0" shapeId="0" xr:uid="{E60C3EA4-21BC-4203-AD11-4A3C200CF525}">
      <text>
        <r>
          <rPr>
            <b/>
            <sz val="9"/>
            <color indexed="81"/>
            <rFont val="Tahoma"/>
            <family val="2"/>
          </rPr>
          <t>Kaylil Baptiste:</t>
        </r>
        <r>
          <rPr>
            <sz val="9"/>
            <color indexed="81"/>
            <rFont val="Tahoma"/>
            <family val="2"/>
          </rPr>
          <t xml:space="preserve">
7mins waiting on crates</t>
        </r>
      </text>
    </comment>
    <comment ref="I56" authorId="0" shapeId="0" xr:uid="{90A5B83A-31CD-4820-8566-4ECCCF6C3C86}">
      <text>
        <r>
          <rPr>
            <b/>
            <sz val="9"/>
            <color indexed="81"/>
            <rFont val="Tahoma"/>
            <family val="2"/>
          </rPr>
          <t>Kaylil Baptiste:</t>
        </r>
        <r>
          <rPr>
            <sz val="9"/>
            <color indexed="81"/>
            <rFont val="Tahoma"/>
            <family val="2"/>
          </rPr>
          <t xml:space="preserve">
5mins removing excess clear bottles</t>
        </r>
      </text>
    </comment>
    <comment ref="P56" authorId="0" shapeId="0" xr:uid="{78F6A0AE-461E-4637-8EA2-2F2D6EB18182}">
      <text>
        <r>
          <rPr>
            <b/>
            <sz val="9"/>
            <color indexed="81"/>
            <rFont val="Tahoma"/>
            <family val="2"/>
          </rPr>
          <t>Kaylil Baptiste:</t>
        </r>
        <r>
          <rPr>
            <sz val="9"/>
            <color indexed="81"/>
            <rFont val="Tahoma"/>
            <family val="2"/>
          </rPr>
          <t xml:space="preserve">
24mins fallen bottles on washer discharge flap</t>
        </r>
      </text>
    </comment>
    <comment ref="Q56" authorId="0" shapeId="0" xr:uid="{96D0A98A-EC64-4281-BB4A-B117A101F535}">
      <text>
        <r>
          <rPr>
            <b/>
            <sz val="9"/>
            <color indexed="81"/>
            <rFont val="Tahoma"/>
            <family val="2"/>
          </rPr>
          <t>Kaylil Baptiste:</t>
        </r>
        <r>
          <rPr>
            <sz val="9"/>
            <color indexed="81"/>
            <rFont val="Tahoma"/>
            <family val="2"/>
          </rPr>
          <t xml:space="preserve">
70mins trouble shooting and addressing EBI starwheel malfunction, all bottles were rejecting due to lack of suction</t>
        </r>
      </text>
    </comment>
    <comment ref="V56" authorId="0" shapeId="0" xr:uid="{5CD504ED-6C19-48C5-8BDA-CC2EEE6DD24D}">
      <text>
        <r>
          <rPr>
            <b/>
            <sz val="9"/>
            <color indexed="81"/>
            <rFont val="Tahoma"/>
            <family val="2"/>
          </rPr>
          <t>Kaylil Baptiste:</t>
        </r>
        <r>
          <rPr>
            <sz val="9"/>
            <color indexed="81"/>
            <rFont val="Tahoma"/>
            <family val="2"/>
          </rPr>
          <t xml:space="preserve">
10mins fallen bottles inside shuffler</t>
        </r>
      </text>
    </comment>
    <comment ref="W56" authorId="0" shapeId="0" xr:uid="{8DA4BF6A-3943-4590-8BBC-E19E98BEA2D4}">
      <text>
        <r>
          <rPr>
            <b/>
            <sz val="9"/>
            <color indexed="81"/>
            <rFont val="Tahoma"/>
            <family val="2"/>
          </rPr>
          <t>Kaylil Baptiste:</t>
        </r>
        <r>
          <rPr>
            <sz val="9"/>
            <color indexed="81"/>
            <rFont val="Tahoma"/>
            <family val="2"/>
          </rPr>
          <t xml:space="preserve">
29mins crate stopper malfunction, 5mins leaking cups</t>
        </r>
      </text>
    </comment>
    <comment ref="Y56" authorId="0" shapeId="0" xr:uid="{75E99FB4-6A57-4EC8-848F-958CB9A01D5C}">
      <text>
        <r>
          <rPr>
            <b/>
            <sz val="9"/>
            <color indexed="81"/>
            <rFont val="Tahoma"/>
            <family val="2"/>
          </rPr>
          <t>Kaylil Baptiste:</t>
        </r>
        <r>
          <rPr>
            <sz val="9"/>
            <color indexed="81"/>
            <rFont val="Tahoma"/>
            <family val="2"/>
          </rPr>
          <t xml:space="preserve">
11mins to address leaking crate washer pump</t>
        </r>
      </text>
    </comment>
    <comment ref="Z56" authorId="2" shapeId="0" xr:uid="{4854DED5-6B6A-4C83-89E5-A9EF61528B9B}">
      <text>
        <r>
          <rPr>
            <b/>
            <sz val="9"/>
            <color indexed="81"/>
            <rFont val="Tahoma"/>
            <family val="2"/>
          </rPr>
          <t>Micah Noel:</t>
        </r>
        <r>
          <rPr>
            <sz val="9"/>
            <color indexed="81"/>
            <rFont val="Tahoma"/>
            <family val="2"/>
          </rPr>
          <t xml:space="preserve">
11mins wait for palletizer and crate lids operators (change of shift)  4 mins lost veryfying pallet ticket</t>
        </r>
      </text>
    </comment>
    <comment ref="AB56" authorId="2" shapeId="0" xr:uid="{E2A6917C-0DC2-4E53-A514-752211A8EAF0}">
      <text>
        <r>
          <rPr>
            <b/>
            <sz val="9"/>
            <color indexed="81"/>
            <rFont val="Tahoma"/>
            <family val="2"/>
          </rPr>
          <t>Micah Noel:</t>
        </r>
        <r>
          <rPr>
            <sz val="9"/>
            <color indexed="81"/>
            <rFont val="Tahoma"/>
            <family val="2"/>
          </rPr>
          <t xml:space="preserve">
5 mins heavy EBI rejection caused by previously rejected bottles</t>
        </r>
      </text>
    </comment>
    <comment ref="H57" authorId="3" shapeId="0" xr:uid="{8AE2BDC2-AC0F-42F4-AA63-E7E8D5546E66}">
      <text>
        <r>
          <rPr>
            <b/>
            <sz val="9"/>
            <color indexed="81"/>
            <rFont val="Tahoma"/>
            <family val="2"/>
          </rPr>
          <t>Tyrell Bartholomew:</t>
        </r>
        <r>
          <rPr>
            <sz val="9"/>
            <color indexed="81"/>
            <rFont val="Tahoma"/>
            <family val="2"/>
          </rPr>
          <t xml:space="preserve">
1min crown hopper empty.</t>
        </r>
      </text>
    </comment>
    <comment ref="I57" authorId="2" shapeId="0" xr:uid="{53AB80DD-E1E4-49BA-9B38-AB3498476A76}">
      <text>
        <r>
          <rPr>
            <b/>
            <sz val="9"/>
            <color indexed="81"/>
            <rFont val="Tahoma"/>
            <family val="2"/>
          </rPr>
          <t>Micah Noel:</t>
        </r>
        <r>
          <rPr>
            <sz val="9"/>
            <color indexed="81"/>
            <rFont val="Tahoma"/>
            <family val="2"/>
          </rPr>
          <t xml:space="preserve">
Filler change over took longer than is normal owing to a nonresponsive filling bowl</t>
        </r>
      </text>
    </comment>
    <comment ref="R57" authorId="0" shapeId="0" xr:uid="{02C8DF82-88C3-47E2-8612-500E2D695D92}">
      <text>
        <r>
          <rPr>
            <b/>
            <sz val="9"/>
            <color indexed="81"/>
            <rFont val="Tahoma"/>
            <family val="2"/>
          </rPr>
          <t>Kaylil Baptiste:</t>
        </r>
        <r>
          <rPr>
            <sz val="9"/>
            <color indexed="81"/>
            <rFont val="Tahoma"/>
            <family val="2"/>
          </rPr>
          <t xml:space="preserve">
36mins filling bowl height not adjusting, 23mins replacing missing filling tubes, 8mins cleaning filler base, 5mins infeed worm went out of timing</t>
        </r>
      </text>
    </comment>
    <comment ref="S57" authorId="0" shapeId="0" xr:uid="{C53E2F6D-EDA8-4092-AA39-8E0E581CC1E6}">
      <text>
        <r>
          <rPr>
            <b/>
            <sz val="9"/>
            <color indexed="81"/>
            <rFont val="Tahoma"/>
            <family val="2"/>
          </rPr>
          <t>Kaylil Baptiste:</t>
        </r>
        <r>
          <rPr>
            <sz val="9"/>
            <color indexed="81"/>
            <rFont val="Tahoma"/>
            <family val="2"/>
          </rPr>
          <t xml:space="preserve">
74mins dry run</t>
        </r>
      </text>
    </comment>
    <comment ref="AB57" authorId="3" shapeId="0" xr:uid="{CB59BBF4-4484-46B5-BDE8-B6B06CFD26F2}">
      <text>
        <r>
          <rPr>
            <b/>
            <sz val="9"/>
            <color indexed="81"/>
            <rFont val="Tahoma"/>
            <family val="2"/>
          </rPr>
          <t>Tyrell Bartholomew:</t>
        </r>
        <r>
          <rPr>
            <sz val="9"/>
            <color indexed="81"/>
            <rFont val="Tahoma"/>
            <family val="2"/>
          </rPr>
          <t xml:space="preserve">
13mins incorrect bottle type jamming EBI star wheel</t>
        </r>
      </text>
    </comment>
    <comment ref="N68" authorId="5" shapeId="0" xr:uid="{00000000-0006-0000-1500-00001C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8" authorId="5" shapeId="0" xr:uid="{00000000-0006-0000-1500-00001D01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Michael Julien</author>
    <author>Kaylil Baptiste</author>
    <author>Dorien Andrew</author>
    <author>Micah Noel</author>
    <author>Royd</author>
  </authors>
  <commentList>
    <comment ref="I8" authorId="0" shapeId="0" xr:uid="{A4F9423D-E25D-4125-95EF-09688D364F3D}">
      <text>
        <r>
          <rPr>
            <b/>
            <sz val="9"/>
            <color indexed="81"/>
            <rFont val="Tahoma"/>
            <family val="2"/>
          </rPr>
          <t>Michael Julien:</t>
        </r>
        <r>
          <rPr>
            <sz val="9"/>
            <color indexed="81"/>
            <rFont val="Tahoma"/>
            <family val="2"/>
          </rPr>
          <t xml:space="preserve">
 3mins removing crates from pasteurizer.</t>
        </r>
      </text>
    </comment>
    <comment ref="P8" authorId="1" shapeId="0" xr:uid="{B53FD0B5-4526-4AD4-A34A-BC63B4980747}">
      <text>
        <r>
          <rPr>
            <b/>
            <sz val="9"/>
            <color indexed="81"/>
            <rFont val="Tahoma"/>
            <family val="2"/>
          </rPr>
          <t>Kaylil Baptiste:</t>
        </r>
        <r>
          <rPr>
            <sz val="9"/>
            <color indexed="81"/>
            <rFont val="Tahoma"/>
            <family val="2"/>
          </rPr>
          <t xml:space="preserve">
5mins fallen bottles at washer discharge flap</t>
        </r>
      </text>
    </comment>
    <comment ref="V8" authorId="1" shapeId="0" xr:uid="{A2FB7640-A8EC-4102-AC12-90EF6C9D042E}">
      <text>
        <r>
          <rPr>
            <b/>
            <sz val="9"/>
            <color indexed="81"/>
            <rFont val="Tahoma"/>
            <family val="2"/>
          </rPr>
          <t>Kaylil Baptiste:</t>
        </r>
        <r>
          <rPr>
            <sz val="9"/>
            <color indexed="81"/>
            <rFont val="Tahoma"/>
            <family val="2"/>
          </rPr>
          <t xml:space="preserve">
13mins bottles jamming at EBI infeed #2</t>
        </r>
      </text>
    </comment>
    <comment ref="W8" authorId="1" shapeId="0" xr:uid="{46E6D5E5-56A4-44B7-B6DE-C8C3AC60921F}">
      <text>
        <r>
          <rPr>
            <b/>
            <sz val="9"/>
            <color indexed="81"/>
            <rFont val="Tahoma"/>
            <family val="2"/>
          </rPr>
          <t>Kaylil Baptiste:</t>
        </r>
        <r>
          <rPr>
            <sz val="9"/>
            <color indexed="81"/>
            <rFont val="Tahoma"/>
            <family val="2"/>
          </rPr>
          <t xml:space="preserve">
9mins adjusting bent fingers on packer</t>
        </r>
      </text>
    </comment>
    <comment ref="Z8" authorId="1" shapeId="0" xr:uid="{45C8EBE5-457B-45B8-8A1B-C98E8163D457}">
      <text>
        <r>
          <rPr>
            <b/>
            <sz val="9"/>
            <color indexed="81"/>
            <rFont val="Tahoma"/>
            <family val="2"/>
          </rPr>
          <t>Kaylil Baptiste:</t>
        </r>
        <r>
          <rPr>
            <sz val="9"/>
            <color indexed="81"/>
            <rFont val="Tahoma"/>
            <family val="2"/>
          </rPr>
          <t xml:space="preserve">
8mins midnight change over</t>
        </r>
      </text>
    </comment>
    <comment ref="I9" authorId="1" shapeId="0" xr:uid="{00135402-8918-4107-8594-53D62B438FDB}">
      <text>
        <r>
          <rPr>
            <b/>
            <sz val="9"/>
            <color indexed="81"/>
            <rFont val="Tahoma"/>
            <family val="2"/>
          </rPr>
          <t>Kaylil Baptiste:</t>
        </r>
        <r>
          <rPr>
            <sz val="9"/>
            <color indexed="81"/>
            <rFont val="Tahoma"/>
            <family val="2"/>
          </rPr>
          <t xml:space="preserve">
15mins product chang over</t>
        </r>
      </text>
    </comment>
    <comment ref="R9" authorId="1" shapeId="0" xr:uid="{20CB8136-C826-480E-9363-3E3A0607EA2D}">
      <text>
        <r>
          <rPr>
            <b/>
            <sz val="9"/>
            <color indexed="81"/>
            <rFont val="Tahoma"/>
            <family val="2"/>
          </rPr>
          <t>Kaylil Baptiste:</t>
        </r>
        <r>
          <rPr>
            <sz val="9"/>
            <color indexed="81"/>
            <rFont val="Tahoma"/>
            <family val="2"/>
          </rPr>
          <t xml:space="preserve">
6mins cleaning filler base </t>
        </r>
      </text>
    </comment>
    <comment ref="V9" authorId="1" shapeId="0" xr:uid="{C58D2D1D-8580-4975-9C4D-D392D3218147}">
      <text>
        <r>
          <rPr>
            <b/>
            <sz val="9"/>
            <color indexed="81"/>
            <rFont val="Tahoma"/>
            <family val="2"/>
          </rPr>
          <t>Kaylil Baptiste:</t>
        </r>
        <r>
          <rPr>
            <sz val="9"/>
            <color indexed="81"/>
            <rFont val="Tahoma"/>
            <family val="2"/>
          </rPr>
          <t xml:space="preserve">
6mins bottles jamming at EBI infeed #2</t>
        </r>
      </text>
    </comment>
    <comment ref="I10" authorId="2" shapeId="0" xr:uid="{15FCC211-AA26-49F9-BB72-A18104A1E0DA}">
      <text>
        <r>
          <rPr>
            <b/>
            <sz val="9"/>
            <color indexed="81"/>
            <rFont val="Tahoma"/>
            <family val="2"/>
          </rPr>
          <t>Dorien Andrew:</t>
        </r>
        <r>
          <rPr>
            <sz val="9"/>
            <color indexed="81"/>
            <rFont val="Tahoma"/>
            <family val="2"/>
          </rPr>
          <t xml:space="preserve">
filler bowl not moving repairs in progress</t>
        </r>
      </text>
    </comment>
    <comment ref="R10" authorId="1" shapeId="0" xr:uid="{5289C9F1-B364-480B-A907-F0DDA975EA01}">
      <text>
        <r>
          <rPr>
            <b/>
            <sz val="9"/>
            <color indexed="81"/>
            <rFont val="Tahoma"/>
            <family val="2"/>
          </rPr>
          <t>Kaylil Baptiste:</t>
        </r>
        <r>
          <rPr>
            <sz val="9"/>
            <color indexed="81"/>
            <rFont val="Tahoma"/>
            <family val="2"/>
          </rPr>
          <t xml:space="preserve">
929mins filler height adjustment malfunction</t>
        </r>
      </text>
    </comment>
    <comment ref="R11" authorId="1" shapeId="0" xr:uid="{4025EBA8-CCEE-4C9A-B3F3-72F69187B67A}">
      <text>
        <r>
          <rPr>
            <b/>
            <sz val="9"/>
            <color indexed="81"/>
            <rFont val="Tahoma"/>
            <family val="2"/>
          </rPr>
          <t>Kaylil Baptiste:</t>
        </r>
        <r>
          <rPr>
            <sz val="9"/>
            <color indexed="81"/>
            <rFont val="Tahoma"/>
            <family val="2"/>
          </rPr>
          <t xml:space="preserve">
520mins filler bowl not moving repairs + filler not starting, 100mins low filler volume, 70mins crowner sorter unit had to be replaced</t>
        </r>
      </text>
    </comment>
    <comment ref="I12" authorId="3" shapeId="0" xr:uid="{DAA3A2A5-1CFA-4CDD-9763-EAF58F96D04F}">
      <text>
        <r>
          <rPr>
            <b/>
            <sz val="9"/>
            <color indexed="81"/>
            <rFont val="Tahoma"/>
            <family val="2"/>
          </rPr>
          <t>Micah Noel:</t>
        </r>
        <r>
          <rPr>
            <sz val="9"/>
            <color indexed="81"/>
            <rFont val="Tahoma"/>
            <family val="2"/>
          </rPr>
          <t xml:space="preserve">
filler change over from Pearseco to Carib</t>
        </r>
      </text>
    </comment>
    <comment ref="O12" authorId="1" shapeId="0" xr:uid="{B12289F9-10AF-40BF-8ADE-FFFD0D967271}">
      <text>
        <r>
          <rPr>
            <b/>
            <sz val="9"/>
            <color indexed="81"/>
            <rFont val="Tahoma"/>
            <family val="2"/>
          </rPr>
          <t>Kaylil Baptiste:</t>
        </r>
        <r>
          <rPr>
            <sz val="9"/>
            <color indexed="81"/>
            <rFont val="Tahoma"/>
            <family val="2"/>
          </rPr>
          <t xml:space="preserve">
110mins crate stopper malfunction, 7mins uncaser head malfunction</t>
        </r>
      </text>
    </comment>
    <comment ref="R12" authorId="1" shapeId="0" xr:uid="{6AA46CF5-2B3E-41FE-988D-7178F073B2BC}">
      <text>
        <r>
          <rPr>
            <b/>
            <sz val="9"/>
            <color indexed="81"/>
            <rFont val="Tahoma"/>
            <family val="2"/>
          </rPr>
          <t>Kaylil Baptiste:</t>
        </r>
        <r>
          <rPr>
            <sz val="9"/>
            <color indexed="81"/>
            <rFont val="Tahoma"/>
            <family val="2"/>
          </rPr>
          <t xml:space="preserve">
42mins filler infeed screw jump timing</t>
        </r>
      </text>
    </comment>
    <comment ref="U12" authorId="1" shapeId="0" xr:uid="{04B44AAB-F4D4-441A-8099-4B720B4B1E2F}">
      <text>
        <r>
          <rPr>
            <b/>
            <sz val="9"/>
            <color indexed="81"/>
            <rFont val="Tahoma"/>
            <family val="2"/>
          </rPr>
          <t>Kaylil Baptiste:</t>
        </r>
        <r>
          <rPr>
            <sz val="9"/>
            <color indexed="81"/>
            <rFont val="Tahoma"/>
            <family val="2"/>
          </rPr>
          <t xml:space="preserve">
28mins videojet not printing properly </t>
        </r>
      </text>
    </comment>
    <comment ref="V12" authorId="1" shapeId="0" xr:uid="{F5B2B209-421B-4FD8-9845-D9DB9C1F758B}">
      <text>
        <r>
          <rPr>
            <b/>
            <sz val="9"/>
            <color indexed="81"/>
            <rFont val="Tahoma"/>
            <family val="2"/>
          </rPr>
          <t>Kaylil Baptiste:</t>
        </r>
        <r>
          <rPr>
            <sz val="9"/>
            <color indexed="81"/>
            <rFont val="Tahoma"/>
            <family val="2"/>
          </rPr>
          <t xml:space="preserve">
6mins fallen bottles stuck on shuffler </t>
        </r>
      </text>
    </comment>
    <comment ref="Z12" authorId="2" shapeId="0" xr:uid="{E2C108E8-2383-46BC-8F92-AEFF940CD329}">
      <text>
        <r>
          <rPr>
            <b/>
            <sz val="9"/>
            <color indexed="81"/>
            <rFont val="Tahoma"/>
            <family val="2"/>
          </rPr>
          <t>Dorien Andrew:</t>
        </r>
        <r>
          <rPr>
            <sz val="9"/>
            <color indexed="81"/>
            <rFont val="Tahoma"/>
            <family val="2"/>
          </rPr>
          <t xml:space="preserve">
6mins waiting on palletizer, 7mins lack of man power on shift</t>
        </r>
      </text>
    </comment>
    <comment ref="D13" authorId="1" shapeId="0" xr:uid="{BFAC05E0-CF6C-4B77-AFF7-22950943127E}">
      <text>
        <r>
          <rPr>
            <b/>
            <sz val="9"/>
            <color indexed="81"/>
            <rFont val="Tahoma"/>
            <family val="2"/>
          </rPr>
          <t>Kaylil Baptiste:</t>
        </r>
        <r>
          <rPr>
            <sz val="9"/>
            <color indexed="81"/>
            <rFont val="Tahoma"/>
            <family val="2"/>
          </rPr>
          <t xml:space="preserve">
6:00</t>
        </r>
      </text>
    </comment>
    <comment ref="P13" authorId="1" shapeId="0" xr:uid="{1B5DEF7D-A0B6-4129-83FB-CCF5C8FE0D29}">
      <text>
        <r>
          <rPr>
            <b/>
            <sz val="9"/>
            <color indexed="81"/>
            <rFont val="Tahoma"/>
            <family val="2"/>
          </rPr>
          <t>Kaylil Baptiste:</t>
        </r>
        <r>
          <rPr>
            <sz val="9"/>
            <color indexed="81"/>
            <rFont val="Tahoma"/>
            <family val="2"/>
          </rPr>
          <t xml:space="preserve">
5mins high EBI rejection due to labels</t>
        </r>
      </text>
    </comment>
    <comment ref="Q13" authorId="1" shapeId="0" xr:uid="{AF86D4AF-73FA-467D-82BF-49449A8C6B8E}">
      <text>
        <r>
          <rPr>
            <b/>
            <sz val="9"/>
            <color indexed="81"/>
            <rFont val="Tahoma"/>
            <family val="2"/>
          </rPr>
          <t>Kaylil Baptiste:</t>
        </r>
        <r>
          <rPr>
            <sz val="9"/>
            <color indexed="81"/>
            <rFont val="Tahoma"/>
            <family val="2"/>
          </rPr>
          <t xml:space="preserve">
90mins not getting air in starwheel suction cups on EBI, 26mins adjusting parameter on EBI</t>
        </r>
      </text>
    </comment>
    <comment ref="R13" authorId="1" shapeId="0" xr:uid="{1A8C94CF-38A0-46C7-B82C-FAC6A680717E}">
      <text>
        <r>
          <rPr>
            <b/>
            <sz val="9"/>
            <color indexed="81"/>
            <rFont val="Tahoma"/>
            <family val="2"/>
          </rPr>
          <t>Kaylil Baptiste:</t>
        </r>
        <r>
          <rPr>
            <sz val="9"/>
            <color indexed="81"/>
            <rFont val="Tahoma"/>
            <family val="2"/>
          </rPr>
          <t xml:space="preserve">
166mins filler sensor malfunction, 140mins work on filler to eliminate low fills</t>
        </r>
      </text>
    </comment>
    <comment ref="Z13" authorId="3" shapeId="0" xr:uid="{364EA70B-F9D9-4292-9F3E-2CE725A7E77E}">
      <text>
        <r>
          <rPr>
            <b/>
            <sz val="9"/>
            <color indexed="81"/>
            <rFont val="Tahoma"/>
            <family val="2"/>
          </rPr>
          <t>Micah Noel:</t>
        </r>
        <r>
          <rPr>
            <sz val="9"/>
            <color indexed="81"/>
            <rFont val="Tahoma"/>
            <family val="2"/>
          </rPr>
          <t xml:space="preserve">
360mins absent filler and filtration operators, 240mins product preparation, 7mins removing discoloured/white bottles from washer</t>
        </r>
      </text>
    </comment>
    <comment ref="AB13" authorId="3" shapeId="0" xr:uid="{5D542BAC-7A93-4D94-B039-FB03B25D8ABA}">
      <text>
        <r>
          <rPr>
            <b/>
            <sz val="9"/>
            <color indexed="81"/>
            <rFont val="Tahoma"/>
            <family val="2"/>
          </rPr>
          <t>Micah Noel:</t>
        </r>
        <r>
          <rPr>
            <sz val="9"/>
            <color indexed="81"/>
            <rFont val="Tahoma"/>
            <family val="2"/>
          </rPr>
          <t xml:space="preserve">
11mins several stop on EBI caused by mixed bottles ( carib+ cider)</t>
        </r>
      </text>
    </comment>
    <comment ref="I14" authorId="3" shapeId="0" xr:uid="{7335C4BE-8A21-4D7E-8B42-9A5ADF2B892E}">
      <text>
        <r>
          <rPr>
            <b/>
            <sz val="9"/>
            <color indexed="81"/>
            <rFont val="Tahoma"/>
            <family val="2"/>
          </rPr>
          <t>Micah Noel:</t>
        </r>
        <r>
          <rPr>
            <sz val="9"/>
            <color indexed="81"/>
            <rFont val="Tahoma"/>
            <family val="2"/>
          </rPr>
          <t xml:space="preserve">
121mins filler change over from Pearseco to Carib</t>
        </r>
      </text>
    </comment>
    <comment ref="J14" authorId="3" shapeId="0" xr:uid="{32A37095-EDFB-4C5D-A1BF-FBD4BB64B7F4}">
      <text>
        <r>
          <rPr>
            <b/>
            <sz val="9"/>
            <color indexed="81"/>
            <rFont val="Tahoma"/>
            <family val="2"/>
          </rPr>
          <t>Micah Noel:</t>
        </r>
        <r>
          <rPr>
            <sz val="9"/>
            <color indexed="81"/>
            <rFont val="Tahoma"/>
            <family val="2"/>
          </rPr>
          <t xml:space="preserve">
waiting for product</t>
        </r>
      </text>
    </comment>
    <comment ref="Q14" authorId="1" shapeId="0" xr:uid="{8F78B183-D5DF-43E0-9B1E-DF66A03FA2E1}">
      <text>
        <r>
          <rPr>
            <b/>
            <sz val="9"/>
            <color indexed="81"/>
            <rFont val="Tahoma"/>
            <family val="2"/>
          </rPr>
          <t>Kaylil Baptiste:</t>
        </r>
        <r>
          <rPr>
            <sz val="9"/>
            <color indexed="81"/>
            <rFont val="Tahoma"/>
            <family val="2"/>
          </rPr>
          <t xml:space="preserve">
50mins changing spacer on EBI starwheel, 46mins all bottles rejecting technician called to make adjustment</t>
        </r>
      </text>
    </comment>
    <comment ref="L15" authorId="1" shapeId="0" xr:uid="{301538E9-5752-4CE9-9FD2-A28D8948F4DC}">
      <text>
        <r>
          <rPr>
            <b/>
            <sz val="9"/>
            <color indexed="81"/>
            <rFont val="Tahoma"/>
            <family val="2"/>
          </rPr>
          <t>Kaylil Baptiste:</t>
        </r>
        <r>
          <rPr>
            <sz val="9"/>
            <color indexed="81"/>
            <rFont val="Tahoma"/>
            <family val="2"/>
          </rPr>
          <t xml:space="preserve">
10mins low CO2 on filler </t>
        </r>
      </text>
    </comment>
    <comment ref="O15" authorId="1" shapeId="0" xr:uid="{CB0416D5-6577-4292-99E8-51B7D721F744}">
      <text>
        <r>
          <rPr>
            <b/>
            <sz val="9"/>
            <color indexed="81"/>
            <rFont val="Tahoma"/>
            <family val="2"/>
          </rPr>
          <t>Kaylil Baptiste:</t>
        </r>
        <r>
          <rPr>
            <sz val="9"/>
            <color indexed="81"/>
            <rFont val="Tahoma"/>
            <family val="2"/>
          </rPr>
          <t xml:space="preserve">
17mins uncaser head jammin crates, 10mins uncaser head malfunction</t>
        </r>
      </text>
    </comment>
    <comment ref="P15" authorId="1" shapeId="0" xr:uid="{103A6DE2-7E95-4089-ACA7-2C9C05F443E7}">
      <text>
        <r>
          <rPr>
            <b/>
            <sz val="9"/>
            <color indexed="81"/>
            <rFont val="Tahoma"/>
            <family val="2"/>
          </rPr>
          <t>Kaylil Baptiste:</t>
        </r>
        <r>
          <rPr>
            <sz val="9"/>
            <color indexed="81"/>
            <rFont val="Tahoma"/>
            <family val="2"/>
          </rPr>
          <t xml:space="preserve">
47mins bottles jam at washer discharge, 22mins high rejection due to labels, 9mins bottles jam at washer infeed</t>
        </r>
      </text>
    </comment>
    <comment ref="Q15" authorId="1" shapeId="0" xr:uid="{C60E03C4-C45A-418D-B81F-BA5DB12CC7F3}">
      <text>
        <r>
          <rPr>
            <b/>
            <sz val="9"/>
            <color indexed="81"/>
            <rFont val="Tahoma"/>
            <family val="2"/>
          </rPr>
          <t>Kaylil Baptiste:</t>
        </r>
        <r>
          <rPr>
            <sz val="9"/>
            <color indexed="81"/>
            <rFont val="Tahoma"/>
            <family val="2"/>
          </rPr>
          <t xml:space="preserve">
7mins fallen bottles on EBI starwheel </t>
        </r>
      </text>
    </comment>
    <comment ref="R15" authorId="1" shapeId="0" xr:uid="{1256E2B7-3F80-4976-A49B-E9DB6EC3A491}">
      <text>
        <r>
          <rPr>
            <b/>
            <sz val="9"/>
            <color indexed="81"/>
            <rFont val="Tahoma"/>
            <family val="2"/>
          </rPr>
          <t>Kaylil Baptiste:</t>
        </r>
        <r>
          <rPr>
            <sz val="9"/>
            <color indexed="81"/>
            <rFont val="Tahoma"/>
            <family val="2"/>
          </rPr>
          <t xml:space="preserve">
35mins filler not resetting had to restart, 34mins filler panel overheating, 23mins filler sensor malfunction, 17 mins lost replacing tube on valve #16</t>
        </r>
      </text>
    </comment>
    <comment ref="V15" authorId="1" shapeId="0" xr:uid="{C18BB76A-2C85-4865-BF56-3E002D9FF537}">
      <text>
        <r>
          <rPr>
            <b/>
            <sz val="9"/>
            <color indexed="81"/>
            <rFont val="Tahoma"/>
            <family val="2"/>
          </rPr>
          <t>Kaylil Baptiste:</t>
        </r>
        <r>
          <rPr>
            <sz val="9"/>
            <color indexed="81"/>
            <rFont val="Tahoma"/>
            <family val="2"/>
          </rPr>
          <t xml:space="preserve">
10mins falllen bottles inside shuffler</t>
        </r>
      </text>
    </comment>
    <comment ref="Z15" authorId="2" shapeId="0" xr:uid="{A4EA802A-8BA7-4635-AF43-BD57B910A05B}">
      <text>
        <r>
          <rPr>
            <b/>
            <sz val="9"/>
            <color indexed="81"/>
            <rFont val="Tahoma"/>
            <family val="2"/>
          </rPr>
          <t>Dorien Andrew:</t>
        </r>
        <r>
          <rPr>
            <sz val="9"/>
            <color indexed="81"/>
            <rFont val="Tahoma"/>
            <family val="2"/>
          </rPr>
          <t xml:space="preserve">
waiting on palletizer </t>
        </r>
      </text>
    </comment>
    <comment ref="AB15" authorId="3" shapeId="0" xr:uid="{84BEF38F-BBD1-4D60-9962-D655949EF44F}">
      <text>
        <r>
          <rPr>
            <b/>
            <sz val="9"/>
            <color indexed="81"/>
            <rFont val="Tahoma"/>
            <family val="2"/>
          </rPr>
          <t>Micah Noel:</t>
        </r>
        <r>
          <rPr>
            <sz val="9"/>
            <color indexed="81"/>
            <rFont val="Tahoma"/>
            <family val="2"/>
          </rPr>
          <t xml:space="preserve">
High rejections caused by mixed bottles entering EBI</t>
        </r>
      </text>
    </comment>
    <comment ref="I16" authorId="3" shapeId="0" xr:uid="{7D0C5777-4854-4CC3-9484-FDBE8A8F7229}">
      <text>
        <r>
          <rPr>
            <b/>
            <sz val="9"/>
            <color indexed="81"/>
            <rFont val="Tahoma"/>
            <family val="2"/>
          </rPr>
          <t>Micah Noel:</t>
        </r>
        <r>
          <rPr>
            <sz val="9"/>
            <color indexed="81"/>
            <rFont val="Tahoma"/>
            <family val="2"/>
          </rPr>
          <t xml:space="preserve">
25 mins filler change over from CDC medium weight to short green 23 mins labeler change over </t>
        </r>
      </text>
    </comment>
    <comment ref="O16" authorId="1" shapeId="0" xr:uid="{1AEB7E06-B499-406F-B4B8-94116AC8A8EA}">
      <text>
        <r>
          <rPr>
            <b/>
            <sz val="9"/>
            <color indexed="81"/>
            <rFont val="Tahoma"/>
            <family val="2"/>
          </rPr>
          <t>Kaylil Baptiste:</t>
        </r>
        <r>
          <rPr>
            <sz val="9"/>
            <color indexed="81"/>
            <rFont val="Tahoma"/>
            <family val="2"/>
          </rPr>
          <t xml:space="preserve">
9mins uncaser head malfunction</t>
        </r>
      </text>
    </comment>
    <comment ref="P16" authorId="1" shapeId="0" xr:uid="{69528BDF-ABC3-459D-8B85-E81B9B2E5FF1}">
      <text>
        <r>
          <rPr>
            <b/>
            <sz val="9"/>
            <color indexed="81"/>
            <rFont val="Tahoma"/>
            <family val="2"/>
          </rPr>
          <t>Kaylil Baptiste:</t>
        </r>
        <r>
          <rPr>
            <sz val="9"/>
            <color indexed="81"/>
            <rFont val="Tahoma"/>
            <family val="2"/>
          </rPr>
          <t xml:space="preserve">
11mins high rejection due to labels, 8mins bottles jam at washer discharge</t>
        </r>
      </text>
    </comment>
    <comment ref="Q16" authorId="1" shapeId="0" xr:uid="{3F69284F-373F-4008-A5D2-754CB92E12B7}">
      <text>
        <r>
          <rPr>
            <b/>
            <sz val="9"/>
            <color indexed="81"/>
            <rFont val="Tahoma"/>
            <family val="2"/>
          </rPr>
          <t>Kaylil Baptiste:</t>
        </r>
        <r>
          <rPr>
            <sz val="9"/>
            <color indexed="81"/>
            <rFont val="Tahoma"/>
            <family val="2"/>
          </rPr>
          <t xml:space="preserve">
8mins E&amp;I Tech making adjustment to stop heavy rejection, 6mins alignement issues on EBI, 5mins fallen bottles on EBI starwheel</t>
        </r>
      </text>
    </comment>
    <comment ref="R16" authorId="1" shapeId="0" xr:uid="{F0DF09C6-566B-4DC1-A2F8-DE5018857072}">
      <text>
        <r>
          <rPr>
            <b/>
            <sz val="9"/>
            <color indexed="81"/>
            <rFont val="Tahoma"/>
            <family val="2"/>
          </rPr>
          <t>Kaylil Baptiste:</t>
        </r>
        <r>
          <rPr>
            <sz val="9"/>
            <color indexed="81"/>
            <rFont val="Tahoma"/>
            <family val="2"/>
          </rPr>
          <t xml:space="preserve">
5mins crowner stuck in chute</t>
        </r>
      </text>
    </comment>
    <comment ref="AB16" authorId="3" shapeId="0" xr:uid="{9B6DCFA2-1E3A-4ADA-B147-CB76CD5060DC}">
      <text>
        <r>
          <rPr>
            <b/>
            <sz val="9"/>
            <color indexed="81"/>
            <rFont val="Tahoma"/>
            <family val="2"/>
          </rPr>
          <t>Micah Noel:</t>
        </r>
        <r>
          <rPr>
            <sz val="9"/>
            <color indexed="81"/>
            <rFont val="Tahoma"/>
            <family val="2"/>
          </rPr>
          <t xml:space="preserve">
mixed bottles entering EBI (short + medium weight green)</t>
        </r>
      </text>
    </comment>
    <comment ref="I17" authorId="2" shapeId="0" xr:uid="{7CF35A3A-A18B-4CB0-AE81-483967F52BE8}">
      <text>
        <r>
          <rPr>
            <b/>
            <sz val="9"/>
            <color indexed="81"/>
            <rFont val="Tahoma"/>
            <family val="2"/>
          </rPr>
          <t>Dorien Andrew:</t>
        </r>
        <r>
          <rPr>
            <sz val="9"/>
            <color indexed="81"/>
            <rFont val="Tahoma"/>
            <family val="2"/>
          </rPr>
          <t xml:space="preserve">
changing from short green to medium green </t>
        </r>
      </text>
    </comment>
    <comment ref="J17" authorId="3" shapeId="0" xr:uid="{5CE63901-2B1B-47A1-A147-BA2C34D456F2}">
      <text>
        <r>
          <rPr>
            <b/>
            <sz val="9"/>
            <color indexed="81"/>
            <rFont val="Tahoma"/>
            <family val="2"/>
          </rPr>
          <t>Micah Noel:</t>
        </r>
        <r>
          <rPr>
            <sz val="9"/>
            <color indexed="81"/>
            <rFont val="Tahoma"/>
            <family val="2"/>
          </rPr>
          <t xml:space="preserve">
7mins waiting for product from filtration</t>
        </r>
      </text>
    </comment>
    <comment ref="L17" authorId="1" shapeId="0" xr:uid="{943459EB-6B77-4E2C-ABDE-0D32F68308DB}">
      <text>
        <r>
          <rPr>
            <b/>
            <sz val="9"/>
            <color indexed="81"/>
            <rFont val="Tahoma"/>
            <family val="2"/>
          </rPr>
          <t>Kaylil Baptiste:</t>
        </r>
        <r>
          <rPr>
            <sz val="9"/>
            <color indexed="81"/>
            <rFont val="Tahoma"/>
            <family val="2"/>
          </rPr>
          <t xml:space="preserve">
7mins low CO2 on filler </t>
        </r>
      </text>
    </comment>
    <comment ref="O17" authorId="1" shapeId="0" xr:uid="{E9827272-E3A6-47D8-9673-FEAFB154842D}">
      <text>
        <r>
          <rPr>
            <b/>
            <sz val="9"/>
            <color indexed="81"/>
            <rFont val="Tahoma"/>
            <family val="2"/>
          </rPr>
          <t>Kaylil Baptiste:</t>
        </r>
        <r>
          <rPr>
            <sz val="9"/>
            <color indexed="81"/>
            <rFont val="Tahoma"/>
            <family val="2"/>
          </rPr>
          <t xml:space="preserve">
20mins uncaser head hitting crates</t>
        </r>
      </text>
    </comment>
    <comment ref="P17" authorId="1" shapeId="0" xr:uid="{07F9D8C6-D923-4339-83A8-17A487D25CF5}">
      <text>
        <r>
          <rPr>
            <b/>
            <sz val="9"/>
            <color indexed="81"/>
            <rFont val="Tahoma"/>
            <family val="2"/>
          </rPr>
          <t>Kaylil Baptiste:</t>
        </r>
        <r>
          <rPr>
            <sz val="9"/>
            <color indexed="81"/>
            <rFont val="Tahoma"/>
            <family val="2"/>
          </rPr>
          <t xml:space="preserve">
64mins bottles jam at washer discharge flap, 9mins high EBI rejection due to labels </t>
        </r>
      </text>
    </comment>
    <comment ref="Q17" authorId="1" shapeId="0" xr:uid="{F939447A-7941-4FA5-95ED-5E4B88325FB3}">
      <text>
        <r>
          <rPr>
            <b/>
            <sz val="9"/>
            <color indexed="81"/>
            <rFont val="Tahoma"/>
            <family val="2"/>
          </rPr>
          <t>Kaylil Baptiste:</t>
        </r>
        <r>
          <rPr>
            <sz val="9"/>
            <color indexed="81"/>
            <rFont val="Tahoma"/>
            <family val="2"/>
          </rPr>
          <t xml:space="preserve">
13mins high EBI rejection, 13mins fallen bottles on EBI starwheel</t>
        </r>
      </text>
    </comment>
    <comment ref="R17" authorId="1" shapeId="0" xr:uid="{3FE014FC-DEE3-4475-B170-2E7B41B0BA7A}">
      <text>
        <r>
          <rPr>
            <b/>
            <sz val="9"/>
            <color indexed="81"/>
            <rFont val="Tahoma"/>
            <family val="2"/>
          </rPr>
          <t>Kaylil Baptiste:</t>
        </r>
        <r>
          <rPr>
            <sz val="9"/>
            <color indexed="81"/>
            <rFont val="Tahoma"/>
            <family val="2"/>
          </rPr>
          <t xml:space="preserve">
23mins crowner stuck in chute, 9mins cleaning filler base </t>
        </r>
      </text>
    </comment>
    <comment ref="T17" authorId="1" shapeId="0" xr:uid="{31B836E7-9134-4554-876E-3C9462B3FD4D}">
      <text>
        <r>
          <rPr>
            <b/>
            <sz val="9"/>
            <color indexed="81"/>
            <rFont val="Tahoma"/>
            <family val="2"/>
          </rPr>
          <t>Kaylil Baptiste:</t>
        </r>
        <r>
          <rPr>
            <sz val="9"/>
            <color indexed="81"/>
            <rFont val="Tahoma"/>
            <family val="2"/>
          </rPr>
          <t xml:space="preserve">
6mins missing labels</t>
        </r>
      </text>
    </comment>
    <comment ref="V17" authorId="1" shapeId="0" xr:uid="{4DCD2EBE-861E-421B-80D4-7486AE594321}">
      <text>
        <r>
          <rPr>
            <b/>
            <sz val="9"/>
            <color indexed="81"/>
            <rFont val="Tahoma"/>
            <family val="2"/>
          </rPr>
          <t>Kaylil Baptiste:</t>
        </r>
        <r>
          <rPr>
            <sz val="9"/>
            <color indexed="81"/>
            <rFont val="Tahoma"/>
            <family val="2"/>
          </rPr>
          <t xml:space="preserve">
18mins falllen bottles inside shuffler</t>
        </r>
      </text>
    </comment>
    <comment ref="W17" authorId="1" shapeId="0" xr:uid="{04C416C1-4DAE-4F59-9AF2-9A8A2EF4BDD2}">
      <text>
        <r>
          <rPr>
            <b/>
            <sz val="9"/>
            <color indexed="81"/>
            <rFont val="Tahoma"/>
            <family val="2"/>
          </rPr>
          <t>Kaylil Baptiste:</t>
        </r>
        <r>
          <rPr>
            <sz val="9"/>
            <color indexed="81"/>
            <rFont val="Tahoma"/>
            <family val="2"/>
          </rPr>
          <t xml:space="preserve">
6mins bent fingers, 5mins packer head adjustments</t>
        </r>
      </text>
    </comment>
    <comment ref="Z17" authorId="2" shapeId="0" xr:uid="{132ABE8C-7CA5-4DA4-9587-FE32B3BC8093}">
      <text>
        <r>
          <rPr>
            <b/>
            <sz val="9"/>
            <color indexed="81"/>
            <rFont val="Tahoma"/>
            <family val="2"/>
          </rPr>
          <t>Dorien Andrew:</t>
        </r>
        <r>
          <rPr>
            <sz val="9"/>
            <color indexed="81"/>
            <rFont val="Tahoma"/>
            <family val="2"/>
          </rPr>
          <t xml:space="preserve">
10mins taking midnight reading 4 mins waiting for palletizer (shift change)</t>
        </r>
      </text>
    </comment>
    <comment ref="AB17" authorId="1" shapeId="0" xr:uid="{B8778267-0BBB-4E85-8227-B64312F623C5}">
      <text>
        <r>
          <rPr>
            <b/>
            <sz val="9"/>
            <color indexed="81"/>
            <rFont val="Tahoma"/>
            <family val="2"/>
          </rPr>
          <t>Kaylil Baptiste:</t>
        </r>
        <r>
          <rPr>
            <sz val="9"/>
            <color indexed="81"/>
            <rFont val="Tahoma"/>
            <family val="2"/>
          </rPr>
          <t xml:space="preserve">
5mins incorrect bottles jamming starwheel</t>
        </r>
      </text>
    </comment>
    <comment ref="L18" authorId="3" shapeId="0" xr:uid="{298B5055-1EE9-4444-83F5-980689352B19}">
      <text>
        <r>
          <rPr>
            <b/>
            <sz val="9"/>
            <color indexed="81"/>
            <rFont val="Tahoma"/>
            <family val="2"/>
          </rPr>
          <t>Micah Noel:</t>
        </r>
        <r>
          <rPr>
            <sz val="9"/>
            <color indexed="81"/>
            <rFont val="Tahoma"/>
            <family val="2"/>
          </rPr>
          <t xml:space="preserve">
low co2 pressure on filler (low at source)</t>
        </r>
      </text>
    </comment>
    <comment ref="O18" authorId="1" shapeId="0" xr:uid="{56F67BF5-F9DC-4746-BA6D-9CAA8CCE90A1}">
      <text>
        <r>
          <rPr>
            <b/>
            <sz val="9"/>
            <color indexed="81"/>
            <rFont val="Tahoma"/>
            <family val="2"/>
          </rPr>
          <t>Kaylil Baptiste:</t>
        </r>
        <r>
          <rPr>
            <sz val="9"/>
            <color indexed="81"/>
            <rFont val="Tahoma"/>
            <family val="2"/>
          </rPr>
          <t xml:space="preserve">
12mins uncaser head hitting crates</t>
        </r>
      </text>
    </comment>
    <comment ref="P18" authorId="1" shapeId="0" xr:uid="{F5D43519-79AB-4F26-9E6D-07422509F394}">
      <text>
        <r>
          <rPr>
            <b/>
            <sz val="9"/>
            <color indexed="81"/>
            <rFont val="Tahoma"/>
            <family val="2"/>
          </rPr>
          <t>Kaylil Baptiste:</t>
        </r>
        <r>
          <rPr>
            <sz val="9"/>
            <color indexed="81"/>
            <rFont val="Tahoma"/>
            <family val="2"/>
          </rPr>
          <t xml:space="preserve">
24mins high rejection due to labels on bottles, 22mins bottles jam at washer discharge, 6mins bottles jam at washer infeed</t>
        </r>
      </text>
    </comment>
    <comment ref="Q18" authorId="1" shapeId="0" xr:uid="{361F7749-C546-4A43-BA3A-36681C737439}">
      <text>
        <r>
          <rPr>
            <b/>
            <sz val="9"/>
            <color indexed="81"/>
            <rFont val="Tahoma"/>
            <family val="2"/>
          </rPr>
          <t>Kaylil Baptiste:</t>
        </r>
        <r>
          <rPr>
            <sz val="9"/>
            <color indexed="81"/>
            <rFont val="Tahoma"/>
            <family val="2"/>
          </rPr>
          <t xml:space="preserve">
6mins high EBI rejection</t>
        </r>
      </text>
    </comment>
    <comment ref="R18" authorId="1" shapeId="0" xr:uid="{4BF47CBA-F352-47EC-A83E-F74152D3CF74}">
      <text>
        <r>
          <rPr>
            <b/>
            <sz val="9"/>
            <color indexed="81"/>
            <rFont val="Tahoma"/>
            <family val="2"/>
          </rPr>
          <t>Kaylil Baptiste:</t>
        </r>
        <r>
          <rPr>
            <sz val="9"/>
            <color indexed="81"/>
            <rFont val="Tahoma"/>
            <family val="2"/>
          </rPr>
          <t xml:space="preserve">
5mins crowns stuck in chute</t>
        </r>
      </text>
    </comment>
    <comment ref="V18" authorId="1" shapeId="0" xr:uid="{A0E4E3B1-9B47-4295-90D1-BA87D4E10FB8}">
      <text>
        <r>
          <rPr>
            <b/>
            <sz val="9"/>
            <color indexed="81"/>
            <rFont val="Tahoma"/>
            <family val="2"/>
          </rPr>
          <t>Kaylil Baptiste:</t>
        </r>
        <r>
          <rPr>
            <sz val="9"/>
            <color indexed="81"/>
            <rFont val="Tahoma"/>
            <family val="2"/>
          </rPr>
          <t xml:space="preserve">
18mins falllen bottles inside shuffler</t>
        </r>
      </text>
    </comment>
    <comment ref="X18" authorId="1" shapeId="0" xr:uid="{1C6244DC-794C-484F-8FEF-E436D681D158}">
      <text>
        <r>
          <rPr>
            <b/>
            <sz val="9"/>
            <color indexed="81"/>
            <rFont val="Tahoma"/>
            <family val="2"/>
          </rPr>
          <t>Kaylil Baptiste:</t>
        </r>
        <r>
          <rPr>
            <sz val="9"/>
            <color indexed="81"/>
            <rFont val="Tahoma"/>
            <family val="2"/>
          </rPr>
          <t xml:space="preserve">
140mins working with the OEM to repair carton erector</t>
        </r>
      </text>
    </comment>
    <comment ref="Z18" authorId="2" shapeId="0" xr:uid="{3142E2D7-4C69-476C-B780-E3DEEF262E17}">
      <text>
        <r>
          <rPr>
            <b/>
            <sz val="9"/>
            <color indexed="81"/>
            <rFont val="Tahoma"/>
            <family val="2"/>
          </rPr>
          <t>Dorien Andrew:</t>
        </r>
        <r>
          <rPr>
            <sz val="9"/>
            <color indexed="81"/>
            <rFont val="Tahoma"/>
            <family val="2"/>
          </rPr>
          <t xml:space="preserve">
45 mins lost due to washer over load (miscommunication with logistics) 15 mins tool box meeting (11-7 shift) 15 mins tool box meeting (7-2 shift), 5mins stop to clean behind pasteurizer, 2 mins caused by slow palletizing</t>
        </r>
      </text>
    </comment>
    <comment ref="AB18" authorId="1" shapeId="0" xr:uid="{4403D858-FB8F-4BE3-BAFD-A76A7B0523EF}">
      <text>
        <r>
          <rPr>
            <b/>
            <sz val="9"/>
            <color indexed="81"/>
            <rFont val="Tahoma"/>
            <family val="2"/>
          </rPr>
          <t>Kaylil Baptiste:</t>
        </r>
        <r>
          <rPr>
            <sz val="9"/>
            <color indexed="81"/>
            <rFont val="Tahoma"/>
            <family val="2"/>
          </rPr>
          <t xml:space="preserve">
8mins high rejection due to rewashed</t>
        </r>
      </text>
    </comment>
    <comment ref="D19" authorId="1" shapeId="0" xr:uid="{7C9FDF65-8AF3-44BC-BA24-990888C4F3A3}">
      <text>
        <r>
          <rPr>
            <b/>
            <sz val="9"/>
            <color indexed="81"/>
            <rFont val="Tahoma"/>
            <family val="2"/>
          </rPr>
          <t>Kaylil Baptiste:</t>
        </r>
        <r>
          <rPr>
            <sz val="9"/>
            <color indexed="81"/>
            <rFont val="Tahoma"/>
            <family val="2"/>
          </rPr>
          <t xml:space="preserve">
12:17</t>
        </r>
      </text>
    </comment>
    <comment ref="J19" authorId="1" shapeId="0" xr:uid="{C5A00018-4A12-4B5A-8161-8856378DA7AF}">
      <text>
        <r>
          <rPr>
            <b/>
            <sz val="9"/>
            <color indexed="81"/>
            <rFont val="Tahoma"/>
            <family val="2"/>
          </rPr>
          <t>Kaylil Baptiste:</t>
        </r>
        <r>
          <rPr>
            <sz val="9"/>
            <color indexed="81"/>
            <rFont val="Tahoma"/>
            <family val="2"/>
          </rPr>
          <t xml:space="preserve">
30mins waiting on product (adjustment being done)</t>
        </r>
      </text>
    </comment>
    <comment ref="O19" authorId="1" shapeId="0" xr:uid="{F561BA48-8FDB-413E-A465-235B17E20BF4}">
      <text>
        <r>
          <rPr>
            <b/>
            <sz val="9"/>
            <color indexed="81"/>
            <rFont val="Tahoma"/>
            <family val="2"/>
          </rPr>
          <t>Kaylil Baptiste:</t>
        </r>
        <r>
          <rPr>
            <sz val="9"/>
            <color indexed="81"/>
            <rFont val="Tahoma"/>
            <family val="2"/>
          </rPr>
          <t xml:space="preserve">
17mins uncaser head malfunction, 15mins uncaser head hitting crates</t>
        </r>
      </text>
    </comment>
    <comment ref="P19" authorId="1" shapeId="0" xr:uid="{E223B1ED-D728-4566-8147-161C802BCDBA}">
      <text>
        <r>
          <rPr>
            <b/>
            <sz val="9"/>
            <color indexed="81"/>
            <rFont val="Tahoma"/>
            <family val="2"/>
          </rPr>
          <t>Kaylil Baptiste:</t>
        </r>
        <r>
          <rPr>
            <sz val="9"/>
            <color indexed="81"/>
            <rFont val="Tahoma"/>
            <family val="2"/>
          </rPr>
          <t xml:space="preserve">
5mins fallen bottles on EBI infeed</t>
        </r>
      </text>
    </comment>
    <comment ref="Q19" authorId="1" shapeId="0" xr:uid="{2FC78D8D-55F0-4EFC-8D79-EB6EA9D38D25}">
      <text>
        <r>
          <rPr>
            <b/>
            <sz val="9"/>
            <color indexed="81"/>
            <rFont val="Tahoma"/>
            <family val="2"/>
          </rPr>
          <t>Kaylil Baptiste:</t>
        </r>
        <r>
          <rPr>
            <sz val="9"/>
            <color indexed="81"/>
            <rFont val="Tahoma"/>
            <family val="2"/>
          </rPr>
          <t xml:space="preserve">
8mins high EBI rejection, 8mins fallen bottles on EBI starwheel </t>
        </r>
      </text>
    </comment>
    <comment ref="R19" authorId="1" shapeId="0" xr:uid="{30814258-35BC-471A-BFCC-07286A8BD557}">
      <text>
        <r>
          <rPr>
            <b/>
            <sz val="9"/>
            <color indexed="81"/>
            <rFont val="Tahoma"/>
            <family val="2"/>
          </rPr>
          <t>Kaylil Baptiste:</t>
        </r>
        <r>
          <rPr>
            <sz val="9"/>
            <color indexed="81"/>
            <rFont val="Tahoma"/>
            <family val="2"/>
          </rPr>
          <t xml:space="preserve">
15mins making adjustment to filling bowl </t>
        </r>
      </text>
    </comment>
    <comment ref="S19" authorId="1" shapeId="0" xr:uid="{621356CA-E0AF-4153-8616-3A0282A8FEBD}">
      <text>
        <r>
          <rPr>
            <b/>
            <sz val="9"/>
            <color indexed="81"/>
            <rFont val="Tahoma"/>
            <family val="2"/>
          </rPr>
          <t>Kaylil Baptiste:</t>
        </r>
        <r>
          <rPr>
            <sz val="9"/>
            <color indexed="81"/>
            <rFont val="Tahoma"/>
            <family val="2"/>
          </rPr>
          <t xml:space="preserve">
32mins pasteurizer hydraulics malfunction, 30mins waitining on dry run, 11mins waiting for pasteurizer temp to increase</t>
        </r>
      </text>
    </comment>
    <comment ref="U19" authorId="1" shapeId="0" xr:uid="{74FD24CC-84D8-4A66-9CA4-2043BD761EA5}">
      <text>
        <r>
          <rPr>
            <b/>
            <sz val="9"/>
            <color indexed="81"/>
            <rFont val="Tahoma"/>
            <family val="2"/>
          </rPr>
          <t>Kaylil Baptiste:</t>
        </r>
        <r>
          <rPr>
            <sz val="9"/>
            <color indexed="81"/>
            <rFont val="Tahoma"/>
            <family val="2"/>
          </rPr>
          <t xml:space="preserve">
72mins videojet not printing properly, 8mins date code adjustments</t>
        </r>
      </text>
    </comment>
    <comment ref="V19" authorId="1" shapeId="0" xr:uid="{EE6AF7CA-B0E2-4C55-9780-885C0807544C}">
      <text>
        <r>
          <rPr>
            <b/>
            <sz val="9"/>
            <color indexed="81"/>
            <rFont val="Tahoma"/>
            <family val="2"/>
          </rPr>
          <t>Kaylil Baptiste:</t>
        </r>
        <r>
          <rPr>
            <sz val="9"/>
            <color indexed="81"/>
            <rFont val="Tahoma"/>
            <family val="2"/>
          </rPr>
          <t xml:space="preserve">
10mins bottles sticking on EBI infeed, 6mins Fallen bottle stuck on washer discharge conveyor, 6mins falllen bottles inside shuffler</t>
        </r>
      </text>
    </comment>
    <comment ref="X19" authorId="1" shapeId="0" xr:uid="{9E9B8208-5748-46C0-BD3B-7A0F1D2073A2}">
      <text>
        <r>
          <rPr>
            <b/>
            <sz val="9"/>
            <color indexed="81"/>
            <rFont val="Tahoma"/>
            <family val="2"/>
          </rPr>
          <t>Kaylil Baptiste:</t>
        </r>
        <r>
          <rPr>
            <sz val="9"/>
            <color indexed="81"/>
            <rFont val="Tahoma"/>
            <family val="2"/>
          </rPr>
          <t xml:space="preserve">
25mins tape not taping properly on cartoon errector </t>
        </r>
      </text>
    </comment>
    <comment ref="AB19" authorId="3" shapeId="0" xr:uid="{04A8CF93-BF8E-466E-A7B6-02979031380C}">
      <text>
        <r>
          <rPr>
            <b/>
            <sz val="9"/>
            <color indexed="81"/>
            <rFont val="Tahoma"/>
            <family val="2"/>
          </rPr>
          <t>Micah Noel:</t>
        </r>
        <r>
          <rPr>
            <sz val="9"/>
            <color indexed="81"/>
            <rFont val="Tahoma"/>
            <family val="2"/>
          </rPr>
          <t xml:space="preserve">
16mins stops on EBI caused by mixed bottles (Carib + cider)</t>
        </r>
      </text>
    </comment>
    <comment ref="I20" authorId="2" shapeId="0" xr:uid="{F5D8EB4C-E48B-48F8-AD9D-FAE6CF1F9B73}">
      <text>
        <r>
          <rPr>
            <b/>
            <sz val="9"/>
            <color indexed="81"/>
            <rFont val="Tahoma"/>
            <family val="2"/>
          </rPr>
          <t>Dorien Andrew:</t>
        </r>
        <r>
          <rPr>
            <sz val="9"/>
            <color indexed="81"/>
            <rFont val="Tahoma"/>
            <family val="2"/>
          </rPr>
          <t xml:space="preserve">
65mins product change over </t>
        </r>
      </text>
    </comment>
    <comment ref="Q20" authorId="1" shapeId="0" xr:uid="{015F0559-4EF0-4449-9253-49AC38E6F5FE}">
      <text>
        <r>
          <rPr>
            <b/>
            <sz val="9"/>
            <color indexed="81"/>
            <rFont val="Tahoma"/>
            <family val="2"/>
          </rPr>
          <t>Kaylil Baptiste:</t>
        </r>
        <r>
          <rPr>
            <sz val="9"/>
            <color indexed="81"/>
            <rFont val="Tahoma"/>
            <family val="2"/>
          </rPr>
          <t xml:space="preserve">
68mins lost for ring replacement on EBI star wheel </t>
        </r>
      </text>
    </comment>
    <comment ref="R20" authorId="1" shapeId="0" xr:uid="{20C80C8A-DC09-4F5D-B632-A167F9CB1D01}">
      <text>
        <r>
          <rPr>
            <b/>
            <sz val="9"/>
            <color indexed="81"/>
            <rFont val="Tahoma"/>
            <family val="2"/>
          </rPr>
          <t>Kaylil Baptiste:</t>
        </r>
        <r>
          <rPr>
            <sz val="9"/>
            <color indexed="81"/>
            <rFont val="Tahoma"/>
            <family val="2"/>
          </rPr>
          <t xml:space="preserve">
6mins worm went out of timing on filler</t>
        </r>
      </text>
    </comment>
    <comment ref="T20" authorId="1" shapeId="0" xr:uid="{2F6B9C9C-001F-4C45-A72B-F049D9389D56}">
      <text>
        <r>
          <rPr>
            <b/>
            <sz val="9"/>
            <color indexed="81"/>
            <rFont val="Tahoma"/>
            <family val="2"/>
          </rPr>
          <t>Kaylil Baptiste:</t>
        </r>
        <r>
          <rPr>
            <sz val="9"/>
            <color indexed="81"/>
            <rFont val="Tahoma"/>
            <family val="2"/>
          </rPr>
          <t xml:space="preserve">
5mins misaligned labels</t>
        </r>
      </text>
    </comment>
    <comment ref="V20" authorId="1" shapeId="0" xr:uid="{1852F497-8CE1-4F06-B350-264361F652E7}">
      <text>
        <r>
          <rPr>
            <b/>
            <sz val="9"/>
            <color indexed="81"/>
            <rFont val="Tahoma"/>
            <family val="2"/>
          </rPr>
          <t>Kaylil Baptiste:</t>
        </r>
        <r>
          <rPr>
            <sz val="9"/>
            <color indexed="81"/>
            <rFont val="Tahoma"/>
            <family val="2"/>
          </rPr>
          <t xml:space="preserve">
7mins EBI discharge conveyor cut off, 7mins falllen bottles inside shuffler</t>
        </r>
      </text>
    </comment>
    <comment ref="W20" authorId="1" shapeId="0" xr:uid="{83FE5A3B-EB12-41D2-B0CB-C9A4D64021B1}">
      <text>
        <r>
          <rPr>
            <b/>
            <sz val="9"/>
            <color indexed="81"/>
            <rFont val="Tahoma"/>
            <family val="2"/>
          </rPr>
          <t>Kaylil Baptiste:</t>
        </r>
        <r>
          <rPr>
            <sz val="9"/>
            <color indexed="81"/>
            <rFont val="Tahoma"/>
            <family val="2"/>
          </rPr>
          <t xml:space="preserve">
47mins head jamming in bend finger, 25mins leaking air on packer head</t>
        </r>
      </text>
    </comment>
    <comment ref="O21" authorId="1" shapeId="0" xr:uid="{F796F996-6EF0-47C0-8F08-41EA31164EAA}">
      <text>
        <r>
          <rPr>
            <b/>
            <sz val="9"/>
            <color indexed="81"/>
            <rFont val="Tahoma"/>
            <family val="2"/>
          </rPr>
          <t>Kaylil Baptiste:</t>
        </r>
        <r>
          <rPr>
            <sz val="9"/>
            <color indexed="81"/>
            <rFont val="Tahoma"/>
            <family val="2"/>
          </rPr>
          <t xml:space="preserve">
19mins uncaser head not picking up the bottles, 11mins uncaser head hitting crates</t>
        </r>
      </text>
    </comment>
    <comment ref="P21" authorId="1" shapeId="0" xr:uid="{85E082E0-5C5F-42A3-AC59-FAC85C03ABC2}">
      <text>
        <r>
          <rPr>
            <b/>
            <sz val="9"/>
            <color indexed="81"/>
            <rFont val="Tahoma"/>
            <family val="2"/>
          </rPr>
          <t>Kaylil Baptiste:</t>
        </r>
        <r>
          <rPr>
            <sz val="9"/>
            <color indexed="81"/>
            <rFont val="Tahoma"/>
            <family val="2"/>
          </rPr>
          <t xml:space="preserve">
34mins bottles jam at washer discharge, 8mins mins bottles jam at washer infeed</t>
        </r>
      </text>
    </comment>
    <comment ref="Z21" authorId="3" shapeId="0" xr:uid="{B834F26C-37E5-4813-BB80-D4AEF0102814}">
      <text>
        <r>
          <rPr>
            <b/>
            <sz val="9"/>
            <color indexed="81"/>
            <rFont val="Tahoma"/>
            <family val="2"/>
          </rPr>
          <t>Micah Noel:</t>
        </r>
        <r>
          <rPr>
            <sz val="9"/>
            <color indexed="81"/>
            <rFont val="Tahoma"/>
            <family val="2"/>
          </rPr>
          <t xml:space="preserve">
6 mins Filler operator taking midnight readings 5 mins palletizer stamping pallet tickets 4 mins low filler bowl level</t>
        </r>
      </text>
    </comment>
    <comment ref="AB21" authorId="3" shapeId="0" xr:uid="{9DB7A3AB-D2A0-4483-B88E-B4DF156B4811}">
      <text>
        <r>
          <rPr>
            <b/>
            <sz val="9"/>
            <color indexed="81"/>
            <rFont val="Tahoma"/>
            <family val="2"/>
          </rPr>
          <t>Micah Noel:</t>
        </r>
        <r>
          <rPr>
            <sz val="9"/>
            <color indexed="81"/>
            <rFont val="Tahoma"/>
            <family val="2"/>
          </rPr>
          <t xml:space="preserve">
high EBI rejection caused by pre-washed/rejected bottles</t>
        </r>
      </text>
    </comment>
    <comment ref="I22" authorId="2" shapeId="0" xr:uid="{F6949E6A-8F6A-446C-AF82-4959A4B48858}">
      <text>
        <r>
          <rPr>
            <b/>
            <sz val="9"/>
            <color indexed="81"/>
            <rFont val="Tahoma"/>
            <family val="2"/>
          </rPr>
          <t>Dorien Andrew:</t>
        </r>
        <r>
          <rPr>
            <sz val="9"/>
            <color indexed="81"/>
            <rFont val="Tahoma"/>
            <family val="2"/>
          </rPr>
          <t xml:space="preserve">
packer changed over for carton then changed back to hard shells </t>
        </r>
      </text>
    </comment>
    <comment ref="O22" authorId="1" shapeId="0" xr:uid="{638096A6-E2A6-42B1-9294-200BC7EE1607}">
      <text>
        <r>
          <rPr>
            <b/>
            <sz val="9"/>
            <color indexed="81"/>
            <rFont val="Tahoma"/>
            <family val="2"/>
          </rPr>
          <t>Kaylil Baptiste:</t>
        </r>
        <r>
          <rPr>
            <sz val="9"/>
            <color indexed="81"/>
            <rFont val="Tahoma"/>
            <family val="2"/>
          </rPr>
          <t xml:space="preserve">
7mins uncaser head hitting crates</t>
        </r>
      </text>
    </comment>
    <comment ref="Z22" authorId="1" shapeId="0" xr:uid="{11BFA4D3-CD0C-4768-ABAE-53DDC5AA3462}">
      <text>
        <r>
          <rPr>
            <b/>
            <sz val="9"/>
            <color indexed="81"/>
            <rFont val="Tahoma"/>
            <family val="2"/>
          </rPr>
          <t>Kaylil Baptiste:</t>
        </r>
        <r>
          <rPr>
            <sz val="9"/>
            <color indexed="81"/>
            <rFont val="Tahoma"/>
            <family val="2"/>
          </rPr>
          <t xml:space="preserve">
10mins waiting on palletizer </t>
        </r>
      </text>
    </comment>
    <comment ref="I23" authorId="1" shapeId="0" xr:uid="{615CBFE4-7F84-4B6F-86F5-3C0BD7E599CE}">
      <text>
        <r>
          <rPr>
            <b/>
            <sz val="9"/>
            <color indexed="81"/>
            <rFont val="Tahoma"/>
            <family val="2"/>
          </rPr>
          <t>Kaylil Baptiste:</t>
        </r>
        <r>
          <rPr>
            <sz val="9"/>
            <color indexed="81"/>
            <rFont val="Tahoma"/>
            <family val="2"/>
          </rPr>
          <t xml:space="preserve">
8mins change over from short bottles to 275 clear</t>
        </r>
      </text>
    </comment>
    <comment ref="S23" authorId="1" shapeId="0" xr:uid="{2DD33C09-BF34-44D5-9F1B-421A44243A05}">
      <text>
        <r>
          <rPr>
            <b/>
            <sz val="9"/>
            <color indexed="81"/>
            <rFont val="Tahoma"/>
            <family val="2"/>
          </rPr>
          <t>Kaylil Baptiste:</t>
        </r>
        <r>
          <rPr>
            <sz val="9"/>
            <color indexed="81"/>
            <rFont val="Tahoma"/>
            <family val="2"/>
          </rPr>
          <t xml:space="preserve">
17mins pasteurizer hydraulics malfunction</t>
        </r>
      </text>
    </comment>
    <comment ref="T23" authorId="1" shapeId="0" xr:uid="{D14F0A67-151D-4B94-8EFC-736329281C54}">
      <text>
        <r>
          <rPr>
            <b/>
            <sz val="9"/>
            <color indexed="81"/>
            <rFont val="Tahoma"/>
            <family val="2"/>
          </rPr>
          <t>Kaylil Baptiste:</t>
        </r>
        <r>
          <rPr>
            <sz val="9"/>
            <color indexed="81"/>
            <rFont val="Tahoma"/>
            <family val="2"/>
          </rPr>
          <t xml:space="preserve">
126mins problem with hand control and back aggregate unable to adjust on labeller, 13mins glue pump not coming on </t>
        </r>
      </text>
    </comment>
    <comment ref="X23" authorId="1" shapeId="0" xr:uid="{78E7E454-9DDF-4313-8160-DDC36D5D8ABB}">
      <text>
        <r>
          <rPr>
            <b/>
            <sz val="9"/>
            <color indexed="81"/>
            <rFont val="Tahoma"/>
            <family val="2"/>
          </rPr>
          <t>Kaylil Baptiste:</t>
        </r>
        <r>
          <rPr>
            <sz val="9"/>
            <color indexed="81"/>
            <rFont val="Tahoma"/>
            <family val="2"/>
          </rPr>
          <t xml:space="preserve">
142mins carton errector destroying boxes </t>
        </r>
      </text>
    </comment>
    <comment ref="I24" authorId="3" shapeId="0" xr:uid="{D57B5E08-F8A8-4711-B586-60FFFEB28CF7}">
      <text>
        <r>
          <rPr>
            <b/>
            <sz val="9"/>
            <color indexed="81"/>
            <rFont val="Tahoma"/>
            <family val="2"/>
          </rPr>
          <t>Micah Noel:</t>
        </r>
        <r>
          <rPr>
            <sz val="9"/>
            <color indexed="81"/>
            <rFont val="Tahoma"/>
            <family val="2"/>
          </rPr>
          <t xml:space="preserve">
filler change over from shandy lime to Sorrel</t>
        </r>
      </text>
    </comment>
    <comment ref="P25" authorId="1" shapeId="0" xr:uid="{9645DFAE-D2DF-4F44-A8D3-659508369B51}">
      <text>
        <r>
          <rPr>
            <b/>
            <sz val="9"/>
            <color indexed="81"/>
            <rFont val="Tahoma"/>
            <family val="2"/>
          </rPr>
          <t>Kaylil Baptiste:</t>
        </r>
        <r>
          <rPr>
            <sz val="9"/>
            <color indexed="81"/>
            <rFont val="Tahoma"/>
            <family val="2"/>
          </rPr>
          <t xml:space="preserve">
12mins bottles jam at washer discharge</t>
        </r>
      </text>
    </comment>
    <comment ref="Q25" authorId="1" shapeId="0" xr:uid="{12331967-5DCF-4566-BA6A-237AC7FF9727}">
      <text>
        <r>
          <rPr>
            <b/>
            <sz val="9"/>
            <color indexed="81"/>
            <rFont val="Tahoma"/>
            <family val="2"/>
          </rPr>
          <t>Kaylil Baptiste:</t>
        </r>
        <r>
          <rPr>
            <sz val="9"/>
            <color indexed="81"/>
            <rFont val="Tahoma"/>
            <family val="2"/>
          </rPr>
          <t xml:space="preserve">
5mins parameter adjustment on EBI </t>
        </r>
      </text>
    </comment>
    <comment ref="Z25" authorId="3" shapeId="0" xr:uid="{E6E0D910-F91C-4F69-9408-13B07BBDA194}">
      <text>
        <r>
          <rPr>
            <b/>
            <sz val="9"/>
            <color indexed="81"/>
            <rFont val="Tahoma"/>
            <family val="2"/>
          </rPr>
          <t>Micah Noel:</t>
        </r>
        <r>
          <rPr>
            <sz val="9"/>
            <color indexed="81"/>
            <rFont val="Tahoma"/>
            <family val="2"/>
          </rPr>
          <t xml:space="preserve">
5 Mins filler operator taking midnight readings</t>
        </r>
      </text>
    </comment>
    <comment ref="AB25" authorId="3" shapeId="0" xr:uid="{15DC3D08-0C9B-4F2A-ADCE-03FA4DEFE087}">
      <text>
        <r>
          <rPr>
            <b/>
            <sz val="9"/>
            <color indexed="81"/>
            <rFont val="Tahoma"/>
            <family val="2"/>
          </rPr>
          <t>Micah Noel:</t>
        </r>
        <r>
          <rPr>
            <sz val="9"/>
            <color indexed="81"/>
            <rFont val="Tahoma"/>
            <family val="2"/>
          </rPr>
          <t xml:space="preserve">
Incorrect bottle type stuck in EBI starwheel</t>
        </r>
      </text>
    </comment>
    <comment ref="I26" authorId="3" shapeId="0" xr:uid="{3D6933B4-D9F8-4C7B-A821-A930EAE8E3C5}">
      <text>
        <r>
          <rPr>
            <b/>
            <sz val="9"/>
            <color indexed="81"/>
            <rFont val="Tahoma"/>
            <family val="2"/>
          </rPr>
          <t>Micah Noel:</t>
        </r>
        <r>
          <rPr>
            <sz val="9"/>
            <color indexed="81"/>
            <rFont val="Tahoma"/>
            <family val="2"/>
          </rPr>
          <t xml:space="preserve">
Filler and EBI change over from medium weight to short flint</t>
        </r>
      </text>
    </comment>
    <comment ref="P26" authorId="1" shapeId="0" xr:uid="{324D6CAD-E114-4FCE-B5F0-7680B54ADA84}">
      <text>
        <r>
          <rPr>
            <b/>
            <sz val="9"/>
            <color indexed="81"/>
            <rFont val="Tahoma"/>
            <family val="2"/>
          </rPr>
          <t>Kaylil Baptiste:</t>
        </r>
        <r>
          <rPr>
            <sz val="9"/>
            <color indexed="81"/>
            <rFont val="Tahoma"/>
            <family val="2"/>
          </rPr>
          <t xml:space="preserve">
23mins high rejection due to labels on bottles, 14mins bottles jam at washer discharge</t>
        </r>
      </text>
    </comment>
    <comment ref="Q26" authorId="1" shapeId="0" xr:uid="{DC80F4FF-2BBF-41AE-B52B-652E2BC543D1}">
      <text>
        <r>
          <rPr>
            <b/>
            <sz val="9"/>
            <color indexed="81"/>
            <rFont val="Tahoma"/>
            <family val="2"/>
          </rPr>
          <t>Kaylil Baptiste:</t>
        </r>
        <r>
          <rPr>
            <sz val="9"/>
            <color indexed="81"/>
            <rFont val="Tahoma"/>
            <family val="2"/>
          </rPr>
          <t xml:space="preserve">
21mins EBI sensor malfunction, 5mins falllen  bottles on EBI starwheel</t>
        </r>
      </text>
    </comment>
    <comment ref="V26" authorId="1" shapeId="0" xr:uid="{1CF27C1A-65FD-47FC-8D26-07F86D84BCEF}">
      <text>
        <r>
          <rPr>
            <b/>
            <sz val="9"/>
            <color indexed="81"/>
            <rFont val="Tahoma"/>
            <family val="2"/>
          </rPr>
          <t>Kaylil Baptiste:</t>
        </r>
        <r>
          <rPr>
            <sz val="9"/>
            <color indexed="81"/>
            <rFont val="Tahoma"/>
            <family val="2"/>
          </rPr>
          <t xml:space="preserve">
10mins bottles falling / sticking on washer discharge #2 conveyor</t>
        </r>
      </text>
    </comment>
    <comment ref="I27" authorId="0" shapeId="0" xr:uid="{6945BFB9-5FE3-459F-B61F-F9AD8CB873EE}">
      <text>
        <r>
          <rPr>
            <b/>
            <sz val="9"/>
            <color indexed="81"/>
            <rFont val="Tahoma"/>
            <family val="2"/>
          </rPr>
          <t>Michael Julien:</t>
        </r>
        <r>
          <rPr>
            <sz val="9"/>
            <color indexed="81"/>
            <rFont val="Tahoma"/>
            <family val="2"/>
          </rPr>
          <t xml:space="preserve">
67 MINS CHANGE OVER FROM SHANDY TO STAG</t>
        </r>
      </text>
    </comment>
    <comment ref="P27" authorId="1" shapeId="0" xr:uid="{4821022F-5A25-4376-98D5-155ED9B560BA}">
      <text>
        <r>
          <rPr>
            <b/>
            <sz val="9"/>
            <color indexed="81"/>
            <rFont val="Tahoma"/>
            <family val="2"/>
          </rPr>
          <t>Kaylil Baptiste:</t>
        </r>
        <r>
          <rPr>
            <sz val="9"/>
            <color indexed="81"/>
            <rFont val="Tahoma"/>
            <family val="2"/>
          </rPr>
          <t xml:space="preserve">
20mins bottles jam at washer discharge, 6mins bottles jam at washer infeed, 9mins high rejection due to labels on bottle</t>
        </r>
      </text>
    </comment>
    <comment ref="Q27" authorId="1" shapeId="0" xr:uid="{925C78D9-6221-4C0C-A573-B1EF81AC15BC}">
      <text>
        <r>
          <rPr>
            <b/>
            <sz val="9"/>
            <color indexed="81"/>
            <rFont val="Tahoma"/>
            <family val="2"/>
          </rPr>
          <t>Kaylil Baptiste:</t>
        </r>
        <r>
          <rPr>
            <sz val="9"/>
            <color indexed="81"/>
            <rFont val="Tahoma"/>
            <family val="2"/>
          </rPr>
          <t xml:space="preserve">
7mins EBI rejection table full </t>
        </r>
      </text>
    </comment>
    <comment ref="R27" authorId="1" shapeId="0" xr:uid="{B3BD2F6D-2830-4341-B129-63D5D3C0BC90}">
      <text>
        <r>
          <rPr>
            <b/>
            <sz val="9"/>
            <color indexed="81"/>
            <rFont val="Tahoma"/>
            <family val="2"/>
          </rPr>
          <t>Kaylil Baptiste:</t>
        </r>
        <r>
          <rPr>
            <sz val="9"/>
            <color indexed="81"/>
            <rFont val="Tahoma"/>
            <family val="2"/>
          </rPr>
          <t xml:space="preserve">
107mins maintnance working on worm, 12mins worm going out of timing</t>
        </r>
      </text>
    </comment>
    <comment ref="V27" authorId="1" shapeId="0" xr:uid="{113664AB-C917-4E3B-9C77-408D2B419F68}">
      <text>
        <r>
          <rPr>
            <b/>
            <sz val="9"/>
            <color indexed="81"/>
            <rFont val="Tahoma"/>
            <family val="2"/>
          </rPr>
          <t>Kaylil Baptiste:</t>
        </r>
        <r>
          <rPr>
            <sz val="9"/>
            <color indexed="81"/>
            <rFont val="Tahoma"/>
            <family val="2"/>
          </rPr>
          <t xml:space="preserve">
18mins EBI discharge running slow, 6mins fallen bottles stick in shuffler</t>
        </r>
      </text>
    </comment>
    <comment ref="Z27" authorId="2" shapeId="0" xr:uid="{98564D3A-B230-4572-872C-57AE3EB39BE0}">
      <text>
        <r>
          <rPr>
            <b/>
            <sz val="9"/>
            <color indexed="81"/>
            <rFont val="Tahoma"/>
            <family val="2"/>
          </rPr>
          <t>Dorien Andrew:</t>
        </r>
        <r>
          <rPr>
            <sz val="9"/>
            <color indexed="81"/>
            <rFont val="Tahoma"/>
            <family val="2"/>
          </rPr>
          <t xml:space="preserve">
14mins mid week cleaning, 19mins waiting on lab swab, 15mins fulling back tank on washer </t>
        </r>
      </text>
    </comment>
    <comment ref="K28" authorId="1" shapeId="0" xr:uid="{C4679600-5DFF-4AFE-8BA7-4DC9714A9180}">
      <text>
        <r>
          <rPr>
            <b/>
            <sz val="9"/>
            <color indexed="81"/>
            <rFont val="Tahoma"/>
            <family val="2"/>
          </rPr>
          <t>Kaylil Baptiste:</t>
        </r>
        <r>
          <rPr>
            <sz val="9"/>
            <color indexed="81"/>
            <rFont val="Tahoma"/>
            <family val="2"/>
          </rPr>
          <t xml:space="preserve">
7mins low air pressure on pasteurizer </t>
        </r>
      </text>
    </comment>
    <comment ref="P28" authorId="1" shapeId="0" xr:uid="{0E4E501E-30D6-4027-A673-314DACD00B49}">
      <text>
        <r>
          <rPr>
            <b/>
            <sz val="9"/>
            <color indexed="81"/>
            <rFont val="Tahoma"/>
            <family val="2"/>
          </rPr>
          <t>Kaylil Baptiste:</t>
        </r>
        <r>
          <rPr>
            <sz val="9"/>
            <color indexed="81"/>
            <rFont val="Tahoma"/>
            <family val="2"/>
          </rPr>
          <t xml:space="preserve">
18mins bottles jam at washer discharge, 5mins bottles jam at washer infeed </t>
        </r>
      </text>
    </comment>
    <comment ref="Q28" authorId="1" shapeId="0" xr:uid="{6C4A6B7A-0E00-4FFB-A314-D98EDC0AE3C0}">
      <text>
        <r>
          <rPr>
            <b/>
            <sz val="9"/>
            <color indexed="81"/>
            <rFont val="Tahoma"/>
            <family val="2"/>
          </rPr>
          <t>Kaylil Baptiste:</t>
        </r>
        <r>
          <rPr>
            <sz val="9"/>
            <color indexed="81"/>
            <rFont val="Tahoma"/>
            <family val="2"/>
          </rPr>
          <t xml:space="preserve">
6mins fallen bottles on OSW</t>
        </r>
      </text>
    </comment>
    <comment ref="R28" authorId="1" shapeId="0" xr:uid="{8F704AAC-2F0B-4AD1-A9FF-D7C33FBB525C}">
      <text>
        <r>
          <rPr>
            <b/>
            <sz val="9"/>
            <color indexed="81"/>
            <rFont val="Tahoma"/>
            <family val="2"/>
          </rPr>
          <t>Kaylil Baptiste:</t>
        </r>
        <r>
          <rPr>
            <sz val="9"/>
            <color indexed="81"/>
            <rFont val="Tahoma"/>
            <family val="2"/>
          </rPr>
          <t xml:space="preserve">
5mins crowns stuck in chute </t>
        </r>
      </text>
    </comment>
    <comment ref="T28" authorId="1" shapeId="0" xr:uid="{99A1DD19-E568-419A-9FA4-88605E2488A0}">
      <text>
        <r>
          <rPr>
            <b/>
            <sz val="9"/>
            <color indexed="81"/>
            <rFont val="Tahoma"/>
            <family val="2"/>
          </rPr>
          <t>Kaylil Baptiste:</t>
        </r>
        <r>
          <rPr>
            <sz val="9"/>
            <color indexed="81"/>
            <rFont val="Tahoma"/>
            <family val="2"/>
          </rPr>
          <t xml:space="preserve">
8mins missing labels</t>
        </r>
      </text>
    </comment>
    <comment ref="U28" authorId="1" shapeId="0" xr:uid="{F752D164-3107-481F-94A5-409300E0BCAF}">
      <text>
        <r>
          <rPr>
            <b/>
            <sz val="9"/>
            <color indexed="81"/>
            <rFont val="Tahoma"/>
            <family val="2"/>
          </rPr>
          <t>Kaylil Baptiste:</t>
        </r>
        <r>
          <rPr>
            <sz val="9"/>
            <color indexed="81"/>
            <rFont val="Tahoma"/>
            <family val="2"/>
          </rPr>
          <t xml:space="preserve">
74mins videojet not printing properly </t>
        </r>
      </text>
    </comment>
    <comment ref="V28" authorId="1" shapeId="0" xr:uid="{EB715508-A553-4765-9F90-5B2F98DC8003}">
      <text>
        <r>
          <rPr>
            <b/>
            <sz val="9"/>
            <color indexed="81"/>
            <rFont val="Tahoma"/>
            <family val="2"/>
          </rPr>
          <t>Kaylil Baptiste:</t>
        </r>
        <r>
          <rPr>
            <sz val="9"/>
            <color indexed="81"/>
            <rFont val="Tahoma"/>
            <family val="2"/>
          </rPr>
          <t xml:space="preserve">
11mins fallen bottles stick in shuffler, 6mins fallen bottle jammed on pasteurizer discharge conveyor</t>
        </r>
      </text>
    </comment>
    <comment ref="W28" authorId="1" shapeId="0" xr:uid="{A7BBDE65-58EF-4F23-81EC-D2FA89364B3E}">
      <text>
        <r>
          <rPr>
            <b/>
            <sz val="9"/>
            <color indexed="81"/>
            <rFont val="Tahoma"/>
            <family val="2"/>
          </rPr>
          <t>Kaylil Baptiste:</t>
        </r>
        <r>
          <rPr>
            <sz val="9"/>
            <color indexed="81"/>
            <rFont val="Tahoma"/>
            <family val="2"/>
          </rPr>
          <t xml:space="preserve">
6mins bent fingers on packer </t>
        </r>
      </text>
    </comment>
    <comment ref="Z28" authorId="3" shapeId="0" xr:uid="{7D2F76DD-C3A8-4399-9618-EA2B277D11ED}">
      <text>
        <r>
          <rPr>
            <b/>
            <sz val="9"/>
            <color indexed="81"/>
            <rFont val="Tahoma"/>
            <family val="2"/>
          </rPr>
          <t>Micah Noel:</t>
        </r>
        <r>
          <rPr>
            <sz val="9"/>
            <color indexed="81"/>
            <rFont val="Tahoma"/>
            <family val="2"/>
          </rPr>
          <t xml:space="preserve">
8 Mins filler operator taking midnight readings </t>
        </r>
      </text>
    </comment>
    <comment ref="AB28" authorId="3" shapeId="0" xr:uid="{E6E38358-21DB-4090-B163-1DB562360EE9}">
      <text>
        <r>
          <rPr>
            <b/>
            <sz val="9"/>
            <color indexed="81"/>
            <rFont val="Tahoma"/>
            <family val="2"/>
          </rPr>
          <t>Micah Noel:</t>
        </r>
        <r>
          <rPr>
            <sz val="9"/>
            <color indexed="81"/>
            <rFont val="Tahoma"/>
            <family val="2"/>
          </rPr>
          <t xml:space="preserve">
5mins waiting for crates</t>
        </r>
      </text>
    </comment>
    <comment ref="I29" authorId="1" shapeId="0" xr:uid="{558979D7-924E-4715-AB3A-7C7BDFF3FF0A}">
      <text>
        <r>
          <rPr>
            <b/>
            <sz val="9"/>
            <color indexed="81"/>
            <rFont val="Tahoma"/>
            <family val="2"/>
          </rPr>
          <t>Kaylil Baptiste:</t>
        </r>
        <r>
          <rPr>
            <sz val="9"/>
            <color indexed="81"/>
            <rFont val="Tahoma"/>
            <family val="2"/>
          </rPr>
          <t xml:space="preserve">
10mins change over from Stag to Carib</t>
        </r>
      </text>
    </comment>
    <comment ref="O29" authorId="1" shapeId="0" xr:uid="{7A561330-ECEC-444A-A517-CA0A983F1FE7}">
      <text>
        <r>
          <rPr>
            <b/>
            <sz val="9"/>
            <color indexed="81"/>
            <rFont val="Tahoma"/>
            <family val="2"/>
          </rPr>
          <t>Kaylil Baptiste:</t>
        </r>
        <r>
          <rPr>
            <sz val="9"/>
            <color indexed="81"/>
            <rFont val="Tahoma"/>
            <family val="2"/>
          </rPr>
          <t xml:space="preserve">
7mins uncaser head malfunction </t>
        </r>
      </text>
    </comment>
    <comment ref="P29" authorId="1" shapeId="0" xr:uid="{787C0FF8-7141-40D2-A19A-8D3631E70D9B}">
      <text>
        <r>
          <rPr>
            <b/>
            <sz val="9"/>
            <color indexed="81"/>
            <rFont val="Tahoma"/>
            <family val="2"/>
          </rPr>
          <t>Kaylil Baptiste:</t>
        </r>
        <r>
          <rPr>
            <sz val="9"/>
            <color indexed="81"/>
            <rFont val="Tahoma"/>
            <family val="2"/>
          </rPr>
          <t xml:space="preserve">
17mins bottles jam at washer discharge</t>
        </r>
      </text>
    </comment>
    <comment ref="V29" authorId="1" shapeId="0" xr:uid="{EBC4C8AD-EDFF-49BD-BBA7-4A9144B79F4E}">
      <text>
        <r>
          <rPr>
            <b/>
            <sz val="9"/>
            <color indexed="81"/>
            <rFont val="Tahoma"/>
            <family val="2"/>
          </rPr>
          <t>Kaylil Baptiste:</t>
        </r>
        <r>
          <rPr>
            <sz val="9"/>
            <color indexed="81"/>
            <rFont val="Tahoma"/>
            <family val="2"/>
          </rPr>
          <t xml:space="preserve">
9mins fallen bottles stick in shuffler</t>
        </r>
      </text>
    </comment>
    <comment ref="W29" authorId="1" shapeId="0" xr:uid="{20A64AEB-22D5-493C-A2C8-94572D33B80E}">
      <text>
        <r>
          <rPr>
            <b/>
            <sz val="9"/>
            <color indexed="81"/>
            <rFont val="Tahoma"/>
            <family val="2"/>
          </rPr>
          <t>Kaylil Baptiste:</t>
        </r>
        <r>
          <rPr>
            <sz val="9"/>
            <color indexed="81"/>
            <rFont val="Tahoma"/>
            <family val="2"/>
          </rPr>
          <t xml:space="preserve">
39mins bent fingers on packer </t>
        </r>
      </text>
    </comment>
    <comment ref="Z29" authorId="0" shapeId="0" xr:uid="{3468E068-9318-4C48-8888-C4515ADD0CEE}">
      <text>
        <r>
          <rPr>
            <b/>
            <sz val="9"/>
            <color indexed="81"/>
            <rFont val="Tahoma"/>
            <family val="2"/>
          </rPr>
          <t>Michael Julien:</t>
        </r>
        <r>
          <rPr>
            <sz val="9"/>
            <color indexed="81"/>
            <rFont val="Tahoma"/>
            <family val="2"/>
          </rPr>
          <t xml:space="preserve">
8mins waiting for palletiser 12 mins water making contact with glue on pallets affected the sticking power of the glue 
</t>
        </r>
      </text>
    </comment>
    <comment ref="AB29" authorId="1" shapeId="0" xr:uid="{AD1B6FFA-8767-4BD0-A21A-35023F2CE434}">
      <text>
        <r>
          <rPr>
            <b/>
            <sz val="9"/>
            <color indexed="81"/>
            <rFont val="Tahoma"/>
            <family val="2"/>
          </rPr>
          <t>Kaylil Baptiste:</t>
        </r>
        <r>
          <rPr>
            <sz val="9"/>
            <color indexed="81"/>
            <rFont val="Tahoma"/>
            <family val="2"/>
          </rPr>
          <t xml:space="preserve">
15mins waiting on bottles </t>
        </r>
      </text>
    </comment>
    <comment ref="H30" authorId="3" shapeId="0" xr:uid="{B8EBA78E-8803-4170-9F9A-4FAEBC9D9C7E}">
      <text>
        <r>
          <rPr>
            <b/>
            <sz val="9"/>
            <color indexed="81"/>
            <rFont val="Tahoma"/>
            <family val="2"/>
          </rPr>
          <t>Micah Noel:</t>
        </r>
        <r>
          <rPr>
            <sz val="9"/>
            <color indexed="81"/>
            <rFont val="Tahoma"/>
            <family val="2"/>
          </rPr>
          <t xml:space="preserve">
10 mins waiting for labeler operator, 5 mins glue finished on labeler</t>
        </r>
      </text>
    </comment>
    <comment ref="O30" authorId="1" shapeId="0" xr:uid="{29605BF5-CA68-449A-8E2C-4A7D30F505EB}">
      <text>
        <r>
          <rPr>
            <b/>
            <sz val="9"/>
            <color indexed="81"/>
            <rFont val="Tahoma"/>
            <family val="2"/>
          </rPr>
          <t>Kaylil Baptiste:</t>
        </r>
        <r>
          <rPr>
            <sz val="9"/>
            <color indexed="81"/>
            <rFont val="Tahoma"/>
            <family val="2"/>
          </rPr>
          <t xml:space="preserve">
6mins blank screen on uncaser, 5mins uncaser head malfunction </t>
        </r>
      </text>
    </comment>
    <comment ref="P30" authorId="1" shapeId="0" xr:uid="{EC9010FE-E8CC-4A79-8759-7BC087E4C72C}">
      <text>
        <r>
          <rPr>
            <b/>
            <sz val="9"/>
            <color indexed="81"/>
            <rFont val="Tahoma"/>
            <family val="2"/>
          </rPr>
          <t>Kaylil Baptiste:</t>
        </r>
        <r>
          <rPr>
            <sz val="9"/>
            <color indexed="81"/>
            <rFont val="Tahoma"/>
            <family val="2"/>
          </rPr>
          <t xml:space="preserve">
17mins bottles jam at washer discharge</t>
        </r>
      </text>
    </comment>
    <comment ref="R30" authorId="1" shapeId="0" xr:uid="{88996A00-9AFA-4A34-B30D-5631AC187A56}">
      <text>
        <r>
          <rPr>
            <b/>
            <sz val="9"/>
            <color indexed="81"/>
            <rFont val="Tahoma"/>
            <family val="2"/>
          </rPr>
          <t>Kaylil Baptiste:</t>
        </r>
        <r>
          <rPr>
            <sz val="9"/>
            <color indexed="81"/>
            <rFont val="Tahoma"/>
            <family val="2"/>
          </rPr>
          <t xml:space="preserve">
7mins crowner stuck in chute </t>
        </r>
      </text>
    </comment>
    <comment ref="V30" authorId="1" shapeId="0" xr:uid="{3A8C5E70-82A7-4401-9E50-C9048D8742E9}">
      <text>
        <r>
          <rPr>
            <b/>
            <sz val="9"/>
            <color indexed="81"/>
            <rFont val="Tahoma"/>
            <family val="2"/>
          </rPr>
          <t>Kaylil Baptiste:</t>
        </r>
        <r>
          <rPr>
            <sz val="9"/>
            <color indexed="81"/>
            <rFont val="Tahoma"/>
            <family val="2"/>
          </rPr>
          <t xml:space="preserve">
11mins fallen bottles inside shuffler </t>
        </r>
      </text>
    </comment>
    <comment ref="Z30" authorId="3" shapeId="0" xr:uid="{BF783D2D-3262-4A22-9EEC-E34D748A3082}">
      <text>
        <r>
          <rPr>
            <b/>
            <sz val="9"/>
            <color indexed="81"/>
            <rFont val="Tahoma"/>
            <family val="2"/>
          </rPr>
          <t>Micah Noel:</t>
        </r>
        <r>
          <rPr>
            <sz val="9"/>
            <color indexed="81"/>
            <rFont val="Tahoma"/>
            <family val="2"/>
          </rPr>
          <t xml:space="preserve">
6mins filler operator taking midnight readings, 10mins tool box meeting</t>
        </r>
      </text>
    </comment>
    <comment ref="AB30" authorId="3" shapeId="0" xr:uid="{3384DB02-A3EC-4025-8025-5A313E501DB9}">
      <text>
        <r>
          <rPr>
            <b/>
            <sz val="9"/>
            <color indexed="81"/>
            <rFont val="Tahoma"/>
            <family val="2"/>
          </rPr>
          <t>Micah Noel:</t>
        </r>
        <r>
          <rPr>
            <sz val="9"/>
            <color indexed="81"/>
            <rFont val="Tahoma"/>
            <family val="2"/>
          </rPr>
          <t xml:space="preserve">
43mins heavy EBI rejections caused by pre-washed/EBI rejected bottles</t>
        </r>
      </text>
    </comment>
    <comment ref="I31" authorId="1" shapeId="0" xr:uid="{55213D09-E8A7-4EE1-9BFA-F33B9443D5FD}">
      <text>
        <r>
          <rPr>
            <b/>
            <sz val="9"/>
            <color indexed="81"/>
            <rFont val="Tahoma"/>
            <family val="2"/>
          </rPr>
          <t>Kaylil Baptiste:</t>
        </r>
        <r>
          <rPr>
            <sz val="9"/>
            <color indexed="81"/>
            <rFont val="Tahoma"/>
            <family val="2"/>
          </rPr>
          <t xml:space="preserve">
50mins change over </t>
        </r>
      </text>
    </comment>
    <comment ref="J31" authorId="1" shapeId="0" xr:uid="{D9E2AC5B-FC1A-4219-9642-9505282F1C23}">
      <text>
        <r>
          <rPr>
            <b/>
            <sz val="9"/>
            <color indexed="81"/>
            <rFont val="Tahoma"/>
            <family val="2"/>
          </rPr>
          <t>Kaylil Baptiste:</t>
        </r>
        <r>
          <rPr>
            <sz val="9"/>
            <color indexed="81"/>
            <rFont val="Tahoma"/>
            <family val="2"/>
          </rPr>
          <t xml:space="preserve">
175mins product change over </t>
        </r>
      </text>
    </comment>
    <comment ref="O31" authorId="1" shapeId="0" xr:uid="{B78B1683-FEF6-4E94-9531-7A07F42B1236}">
      <text>
        <r>
          <rPr>
            <b/>
            <sz val="9"/>
            <color indexed="81"/>
            <rFont val="Tahoma"/>
            <family val="2"/>
          </rPr>
          <t>Kaylil Baptiste:</t>
        </r>
        <r>
          <rPr>
            <sz val="9"/>
            <color indexed="81"/>
            <rFont val="Tahoma"/>
            <family val="2"/>
          </rPr>
          <t xml:space="preserve">
9mins uncaser head hitting crates </t>
        </r>
      </text>
    </comment>
    <comment ref="P31" authorId="1" shapeId="0" xr:uid="{4F286B7A-6C1C-4480-B2F5-DB3B161117B4}">
      <text>
        <r>
          <rPr>
            <b/>
            <sz val="9"/>
            <color indexed="81"/>
            <rFont val="Tahoma"/>
            <family val="2"/>
          </rPr>
          <t>Kaylil Baptiste:</t>
        </r>
        <r>
          <rPr>
            <sz val="9"/>
            <color indexed="81"/>
            <rFont val="Tahoma"/>
            <family val="2"/>
          </rPr>
          <t xml:space="preserve">
51mins high EBI rejection due labels on bottles, 19mins bottles jam at washer discharge, 6mins bottles jam at washer infeed</t>
        </r>
      </text>
    </comment>
    <comment ref="T31" authorId="1" shapeId="0" xr:uid="{8DB76D01-0D16-4E3C-A90F-DD7C233F553C}">
      <text>
        <r>
          <rPr>
            <b/>
            <sz val="9"/>
            <color indexed="81"/>
            <rFont val="Tahoma"/>
            <family val="2"/>
          </rPr>
          <t>Kaylil Baptiste:</t>
        </r>
        <r>
          <rPr>
            <sz val="9"/>
            <color indexed="81"/>
            <rFont val="Tahoma"/>
            <family val="2"/>
          </rPr>
          <t xml:space="preserve">
34mins damage pallet had to be replaced</t>
        </r>
      </text>
    </comment>
    <comment ref="U31" authorId="1" shapeId="0" xr:uid="{3D9FA121-B893-40AA-BC14-9D8F3162B141}">
      <text>
        <r>
          <rPr>
            <b/>
            <sz val="9"/>
            <color indexed="81"/>
            <rFont val="Tahoma"/>
            <family val="2"/>
          </rPr>
          <t>Kaylil Baptiste:</t>
        </r>
        <r>
          <rPr>
            <sz val="9"/>
            <color indexed="81"/>
            <rFont val="Tahoma"/>
            <family val="2"/>
          </rPr>
          <t xml:space="preserve">
36mins date code adjustment on videojet </t>
        </r>
      </text>
    </comment>
    <comment ref="Z31" authorId="0" shapeId="0" xr:uid="{ADEC3D62-0D88-4143-8A00-E9CE600A21E2}">
      <text>
        <r>
          <rPr>
            <b/>
            <sz val="9"/>
            <color indexed="81"/>
            <rFont val="Tahoma"/>
            <family val="2"/>
          </rPr>
          <t>Michael Julien:</t>
        </r>
        <r>
          <rPr>
            <sz val="9"/>
            <color indexed="81"/>
            <rFont val="Tahoma"/>
            <family val="2"/>
          </rPr>
          <t xml:space="preserve">
6 minswaiting on crates to load line due to damage crates coming on line with bottles. 19 mins awaiting crates to empty EBI table</t>
        </r>
      </text>
    </comment>
    <comment ref="D32" authorId="1" shapeId="0" xr:uid="{3CC04EA5-390C-47ED-8531-A7C8CBAD9C7E}">
      <text>
        <r>
          <rPr>
            <b/>
            <sz val="9"/>
            <color indexed="81"/>
            <rFont val="Tahoma"/>
            <family val="2"/>
          </rPr>
          <t>Kaylil Baptiste:</t>
        </r>
        <r>
          <rPr>
            <sz val="9"/>
            <color indexed="81"/>
            <rFont val="Tahoma"/>
            <family val="2"/>
          </rPr>
          <t xml:space="preserve">
12:55am</t>
        </r>
      </text>
    </comment>
    <comment ref="O32" authorId="1" shapeId="0" xr:uid="{3A01A4C1-2549-42D1-B0D7-708DE9575A87}">
      <text>
        <r>
          <rPr>
            <b/>
            <sz val="9"/>
            <color indexed="81"/>
            <rFont val="Tahoma"/>
            <family val="2"/>
          </rPr>
          <t>Kaylil Baptiste:</t>
        </r>
        <r>
          <rPr>
            <sz val="9"/>
            <color indexed="81"/>
            <rFont val="Tahoma"/>
            <family val="2"/>
          </rPr>
          <t xml:space="preserve">
40mins crate stopper malfunction</t>
        </r>
      </text>
    </comment>
    <comment ref="P32" authorId="1" shapeId="0" xr:uid="{EACA080E-EC00-475C-9C3A-F5E6CCAEADAC}">
      <text>
        <r>
          <rPr>
            <b/>
            <sz val="9"/>
            <color indexed="81"/>
            <rFont val="Tahoma"/>
            <family val="2"/>
          </rPr>
          <t>Kaylil Baptiste:</t>
        </r>
        <r>
          <rPr>
            <sz val="9"/>
            <color indexed="81"/>
            <rFont val="Tahoma"/>
            <family val="2"/>
          </rPr>
          <t xml:space="preserve">
44mins high rejection due to labels on bottles, 18mins discharge cam jammed on Washer </t>
        </r>
      </text>
    </comment>
    <comment ref="R32" authorId="1" shapeId="0" xr:uid="{81FAC029-9307-4DF5-94B0-EE162BA41513}">
      <text>
        <r>
          <rPr>
            <b/>
            <sz val="9"/>
            <color indexed="81"/>
            <rFont val="Tahoma"/>
            <family val="2"/>
          </rPr>
          <t>Kaylil Baptiste:</t>
        </r>
        <r>
          <rPr>
            <sz val="9"/>
            <color indexed="81"/>
            <rFont val="Tahoma"/>
            <family val="2"/>
          </rPr>
          <t xml:space="preserve">
34mins filler sensor malfunction</t>
        </r>
      </text>
    </comment>
    <comment ref="W32" authorId="1" shapeId="0" xr:uid="{5E78C5E6-9708-403F-8FF6-DF989C3DDCF9}">
      <text>
        <r>
          <rPr>
            <b/>
            <sz val="9"/>
            <color indexed="81"/>
            <rFont val="Tahoma"/>
            <family val="2"/>
          </rPr>
          <t>Kaylil Baptiste:</t>
        </r>
        <r>
          <rPr>
            <sz val="9"/>
            <color indexed="81"/>
            <rFont val="Tahoma"/>
            <family val="2"/>
          </rPr>
          <t xml:space="preserve">
180mins packer sensor malfunction, 110mins communication problem on packer</t>
        </r>
      </text>
    </comment>
    <comment ref="Z32" authorId="3" shapeId="0" xr:uid="{FD753ECF-7811-4035-A67C-38AB8DE38D55}">
      <text>
        <r>
          <rPr>
            <b/>
            <sz val="9"/>
            <color indexed="81"/>
            <rFont val="Tahoma"/>
            <family val="2"/>
          </rPr>
          <t>Micah Noel:</t>
        </r>
        <r>
          <rPr>
            <sz val="9"/>
            <color indexed="81"/>
            <rFont val="Tahoma"/>
            <family val="2"/>
          </rPr>
          <t xml:space="preserve">
12mins filler preparation, 8mins lab tech swabbing, 36mins washer loading,  35mins stop for break </t>
        </r>
      </text>
    </comment>
    <comment ref="AB32" authorId="3" shapeId="0" xr:uid="{016A6D75-1473-46E3-BE2B-D0A9EDCD9A38}">
      <text>
        <r>
          <rPr>
            <b/>
            <sz val="9"/>
            <color indexed="81"/>
            <rFont val="Tahoma"/>
            <family val="2"/>
          </rPr>
          <t>Micah Noel:</t>
        </r>
        <r>
          <rPr>
            <sz val="9"/>
            <color indexed="81"/>
            <rFont val="Tahoma"/>
            <family val="2"/>
          </rPr>
          <t xml:space="preserve">
incorrect bottles sticking at EBI starwheel</t>
        </r>
      </text>
    </comment>
    <comment ref="I33" authorId="3" shapeId="0" xr:uid="{99009C2A-8D1A-4879-9296-BB284511F973}">
      <text>
        <r>
          <rPr>
            <b/>
            <sz val="9"/>
            <color indexed="81"/>
            <rFont val="Tahoma"/>
            <family val="2"/>
          </rPr>
          <t>Micah Noel:</t>
        </r>
        <r>
          <rPr>
            <sz val="9"/>
            <color indexed="81"/>
            <rFont val="Tahoma"/>
            <family val="2"/>
          </rPr>
          <t xml:space="preserve">
Filler change over from medium weight to short bottles</t>
        </r>
      </text>
    </comment>
    <comment ref="O33" authorId="1" shapeId="0" xr:uid="{57BBD88B-68C0-42D9-8A9C-D3EE6382F4AD}">
      <text>
        <r>
          <rPr>
            <b/>
            <sz val="9"/>
            <color indexed="81"/>
            <rFont val="Tahoma"/>
            <family val="2"/>
          </rPr>
          <t>Kaylil Baptiste:</t>
        </r>
        <r>
          <rPr>
            <sz val="9"/>
            <color indexed="81"/>
            <rFont val="Tahoma"/>
            <family val="2"/>
          </rPr>
          <t xml:space="preserve">
9mins uncaser head hitting crates</t>
        </r>
      </text>
    </comment>
    <comment ref="P33" authorId="1" shapeId="0" xr:uid="{EFD9FD07-3930-4D72-93EB-E220C07A09EE}">
      <text>
        <r>
          <rPr>
            <b/>
            <sz val="9"/>
            <color indexed="81"/>
            <rFont val="Tahoma"/>
            <family val="2"/>
          </rPr>
          <t>Kaylil Baptiste:</t>
        </r>
        <r>
          <rPr>
            <sz val="9"/>
            <color indexed="81"/>
            <rFont val="Tahoma"/>
            <family val="2"/>
          </rPr>
          <t xml:space="preserve">
6mins high rejection due to labels on bottles</t>
        </r>
      </text>
    </comment>
    <comment ref="Q33" authorId="1" shapeId="0" xr:uid="{30D413E7-784B-45E3-BD99-4E5216DC1B57}">
      <text>
        <r>
          <rPr>
            <b/>
            <sz val="9"/>
            <color indexed="81"/>
            <rFont val="Tahoma"/>
            <family val="2"/>
          </rPr>
          <t>Kaylil Baptiste:</t>
        </r>
        <r>
          <rPr>
            <sz val="9"/>
            <color indexed="81"/>
            <rFont val="Tahoma"/>
            <family val="2"/>
          </rPr>
          <t xml:space="preserve">
6mins ENI tech making adjustment to stop high rejection</t>
        </r>
      </text>
    </comment>
    <comment ref="Z33" authorId="2" shapeId="0" xr:uid="{FD82B899-85A4-438C-9BE7-C2849E872F69}">
      <text>
        <r>
          <rPr>
            <b/>
            <sz val="9"/>
            <color indexed="81"/>
            <rFont val="Tahoma"/>
            <family val="2"/>
          </rPr>
          <t>Dorien Andrew:</t>
        </r>
        <r>
          <rPr>
            <sz val="9"/>
            <color indexed="81"/>
            <rFont val="Tahoma"/>
            <family val="2"/>
          </rPr>
          <t xml:space="preserve">
5mins removing empty crates, 7 mins lost waiting on neck labels, 8 mins lost no one at pasteurizer discharge.  </t>
        </r>
      </text>
    </comment>
    <comment ref="H34" authorId="1" shapeId="0" xr:uid="{AA150CE6-DBC7-4D0D-A917-1A33B9A7A9BF}">
      <text>
        <r>
          <rPr>
            <b/>
            <sz val="9"/>
            <color indexed="81"/>
            <rFont val="Tahoma"/>
            <family val="2"/>
          </rPr>
          <t>Kaylil Baptiste:</t>
        </r>
        <r>
          <rPr>
            <sz val="9"/>
            <color indexed="81"/>
            <rFont val="Tahoma"/>
            <family val="2"/>
          </rPr>
          <t xml:space="preserve">
4 mins lost labels finish, 5mins waiting on crowns from logistic </t>
        </r>
      </text>
    </comment>
    <comment ref="I34" authorId="2" shapeId="0" xr:uid="{2126DA9F-2669-49F0-B6CB-29EC100A46DC}">
      <text>
        <r>
          <rPr>
            <b/>
            <sz val="9"/>
            <color indexed="81"/>
            <rFont val="Tahoma"/>
            <family val="2"/>
          </rPr>
          <t>Dorien Andrew:</t>
        </r>
        <r>
          <rPr>
            <sz val="9"/>
            <color indexed="81"/>
            <rFont val="Tahoma"/>
            <family val="2"/>
          </rPr>
          <t xml:space="preserve">
changing over and CIP</t>
        </r>
      </text>
    </comment>
    <comment ref="T34" authorId="1" shapeId="0" xr:uid="{3BD1A249-01CA-423E-AF31-6FD13B9C760A}">
      <text>
        <r>
          <rPr>
            <b/>
            <sz val="9"/>
            <color indexed="81"/>
            <rFont val="Tahoma"/>
            <family val="2"/>
          </rPr>
          <t>Kaylil Baptiste:</t>
        </r>
        <r>
          <rPr>
            <sz val="9"/>
            <color indexed="81"/>
            <rFont val="Tahoma"/>
            <family val="2"/>
          </rPr>
          <t xml:space="preserve">
36mins gripper jam on labeler</t>
        </r>
      </text>
    </comment>
    <comment ref="O35" authorId="1" shapeId="0" xr:uid="{0733D399-6446-46F5-A2DE-3E0C8802559A}">
      <text>
        <r>
          <rPr>
            <b/>
            <sz val="9"/>
            <color indexed="81"/>
            <rFont val="Tahoma"/>
            <family val="2"/>
          </rPr>
          <t>Kaylil Baptiste:</t>
        </r>
        <r>
          <rPr>
            <sz val="9"/>
            <color indexed="81"/>
            <rFont val="Tahoma"/>
            <family val="2"/>
          </rPr>
          <t xml:space="preserve">
20mins uncaser sensor malfunction </t>
        </r>
      </text>
    </comment>
    <comment ref="P35" authorId="1" shapeId="0" xr:uid="{770BA560-2483-4DB5-878E-CD843A4E1A48}">
      <text>
        <r>
          <rPr>
            <b/>
            <sz val="9"/>
            <color indexed="81"/>
            <rFont val="Tahoma"/>
            <family val="2"/>
          </rPr>
          <t>Kaylil Baptiste:</t>
        </r>
        <r>
          <rPr>
            <sz val="9"/>
            <color indexed="81"/>
            <rFont val="Tahoma"/>
            <family val="2"/>
          </rPr>
          <t xml:space="preserve">
20mins broken bottles jam at washer discharge, 5mins bottles jam at washer infeed, 5mins high rejection due to labels on bottles </t>
        </r>
      </text>
    </comment>
    <comment ref="T35" authorId="1" shapeId="0" xr:uid="{DE6B61CC-BA67-4B40-8BB4-C27B021FDD9E}">
      <text>
        <r>
          <rPr>
            <b/>
            <sz val="9"/>
            <color indexed="81"/>
            <rFont val="Tahoma"/>
            <family val="2"/>
          </rPr>
          <t>Kaylil Baptiste:</t>
        </r>
        <r>
          <rPr>
            <sz val="9"/>
            <color indexed="81"/>
            <rFont val="Tahoma"/>
            <family val="2"/>
          </rPr>
          <t xml:space="preserve">
90 mins neck gripper jammed on labeler,  13 mins adding oil to labeler, 9mins missing labels</t>
        </r>
      </text>
    </comment>
    <comment ref="V35" authorId="1" shapeId="0" xr:uid="{F48C888A-A844-40BF-8F95-B7AF9D067239}">
      <text>
        <r>
          <rPr>
            <b/>
            <sz val="9"/>
            <color indexed="81"/>
            <rFont val="Tahoma"/>
            <family val="2"/>
          </rPr>
          <t>Kaylil Baptiste:</t>
        </r>
        <r>
          <rPr>
            <sz val="9"/>
            <color indexed="81"/>
            <rFont val="Tahoma"/>
            <family val="2"/>
          </rPr>
          <t xml:space="preserve">
8mins fallen bottles inside shuffler </t>
        </r>
      </text>
    </comment>
    <comment ref="Z35" authorId="0" shapeId="0" xr:uid="{34DAB9D8-89AD-461C-9BC1-4617D238C6C1}">
      <text>
        <r>
          <rPr>
            <b/>
            <sz val="9"/>
            <color indexed="81"/>
            <rFont val="Tahoma"/>
            <family val="2"/>
          </rPr>
          <t>Michael Julien:</t>
        </r>
        <r>
          <rPr>
            <sz val="9"/>
            <color indexed="81"/>
            <rFont val="Tahoma"/>
            <family val="2"/>
          </rPr>
          <t xml:space="preserve">
5 min midnight change over. 4 min emptying pasteurizer after midnight</t>
        </r>
      </text>
    </comment>
    <comment ref="I36" authorId="3" shapeId="0" xr:uid="{EB6589F9-D8D4-468A-B2AC-803F22877856}">
      <text>
        <r>
          <rPr>
            <b/>
            <sz val="9"/>
            <color indexed="81"/>
            <rFont val="Tahoma"/>
            <family val="2"/>
          </rPr>
          <t>Micah Noel:</t>
        </r>
        <r>
          <rPr>
            <sz val="9"/>
            <color indexed="81"/>
            <rFont val="Tahoma"/>
            <family val="2"/>
          </rPr>
          <t xml:space="preserve">
13mins filler change over from Carib to Satg 12 mins labeler change over from carib to Stag</t>
        </r>
      </text>
    </comment>
    <comment ref="J36" authorId="3" shapeId="0" xr:uid="{54038B7D-AE4C-4341-8C84-58BA1E0446F6}">
      <text>
        <r>
          <rPr>
            <b/>
            <sz val="9"/>
            <color indexed="81"/>
            <rFont val="Tahoma"/>
            <family val="2"/>
          </rPr>
          <t>Micah Noel:</t>
        </r>
        <r>
          <rPr>
            <sz val="9"/>
            <color indexed="81"/>
            <rFont val="Tahoma"/>
            <family val="2"/>
          </rPr>
          <t xml:space="preserve">
waiting for product from filtration (operator went to lab to find out if BBT were to be blended or put on line as a single tank/BBT)</t>
        </r>
      </text>
    </comment>
    <comment ref="Q36" authorId="1" shapeId="0" xr:uid="{37254C61-FC65-4457-800E-CF80496ADA88}">
      <text>
        <r>
          <rPr>
            <b/>
            <sz val="9"/>
            <color indexed="81"/>
            <rFont val="Tahoma"/>
            <family val="2"/>
          </rPr>
          <t>Kaylil Baptiste:</t>
        </r>
        <r>
          <rPr>
            <sz val="9"/>
            <color indexed="81"/>
            <rFont val="Tahoma"/>
            <family val="2"/>
          </rPr>
          <t xml:space="preserve">
13mins high EBI rejection </t>
        </r>
      </text>
    </comment>
    <comment ref="S36" authorId="1" shapeId="0" xr:uid="{4BB4AE78-F2F6-48BE-9ED9-CE79BDCF7A69}">
      <text>
        <r>
          <rPr>
            <b/>
            <sz val="9"/>
            <color indexed="81"/>
            <rFont val="Tahoma"/>
            <family val="2"/>
          </rPr>
          <t>Kaylil Baptiste:</t>
        </r>
        <r>
          <rPr>
            <sz val="9"/>
            <color indexed="81"/>
            <rFont val="Tahoma"/>
            <family val="2"/>
          </rPr>
          <t xml:space="preserve">
11mins pasteurizer hydraulics malfunction</t>
        </r>
      </text>
    </comment>
    <comment ref="T36" authorId="1" shapeId="0" xr:uid="{4BC70130-F21F-4EBD-A600-20DA54440A32}">
      <text>
        <r>
          <rPr>
            <b/>
            <sz val="9"/>
            <color indexed="81"/>
            <rFont val="Tahoma"/>
            <family val="2"/>
          </rPr>
          <t>Kaylil Baptiste:</t>
        </r>
        <r>
          <rPr>
            <sz val="9"/>
            <color indexed="81"/>
            <rFont val="Tahoma"/>
            <family val="2"/>
          </rPr>
          <t xml:space="preserve">
64mins missing labels, 6mins adjustment to magazine on labeler</t>
        </r>
      </text>
    </comment>
    <comment ref="V36" authorId="1" shapeId="0" xr:uid="{ED79B75B-E5C2-4EB9-90E7-8B2695C223A3}">
      <text>
        <r>
          <rPr>
            <b/>
            <sz val="9"/>
            <color indexed="81"/>
            <rFont val="Tahoma"/>
            <family val="2"/>
          </rPr>
          <t>Kaylil Baptiste:</t>
        </r>
        <r>
          <rPr>
            <sz val="9"/>
            <color indexed="81"/>
            <rFont val="Tahoma"/>
            <family val="2"/>
          </rPr>
          <t xml:space="preserve">
153mins chain slipping causing bottles to delay coming to labeller, 6mins fallen bottles inside shuffler </t>
        </r>
      </text>
    </comment>
    <comment ref="Z36" authorId="1" shapeId="0" xr:uid="{4393022E-DA5A-41B0-BC85-EC805388EACC}">
      <text>
        <r>
          <rPr>
            <b/>
            <sz val="9"/>
            <color indexed="81"/>
            <rFont val="Tahoma"/>
            <family val="2"/>
          </rPr>
          <t>Kaylil Baptiste:</t>
        </r>
        <r>
          <rPr>
            <sz val="9"/>
            <color indexed="81"/>
            <rFont val="Tahoma"/>
            <family val="2"/>
          </rPr>
          <t xml:space="preserve">
7mins waiting on palletizer </t>
        </r>
      </text>
    </comment>
    <comment ref="D37" authorId="1" shapeId="0" xr:uid="{5ABEB6D1-C290-4F69-A60E-E8C9539AC6AA}">
      <text>
        <r>
          <rPr>
            <b/>
            <sz val="9"/>
            <color indexed="81"/>
            <rFont val="Tahoma"/>
            <family val="2"/>
          </rPr>
          <t>Kaylil Baptiste:</t>
        </r>
        <r>
          <rPr>
            <sz val="9"/>
            <color indexed="81"/>
            <rFont val="Tahoma"/>
            <family val="2"/>
          </rPr>
          <t xml:space="preserve">
4:20am</t>
        </r>
      </text>
    </comment>
    <comment ref="P37" authorId="1" shapeId="0" xr:uid="{7D9A83D9-E99E-401D-BE8A-A7E88B360759}">
      <text>
        <r>
          <rPr>
            <b/>
            <sz val="9"/>
            <color indexed="81"/>
            <rFont val="Tahoma"/>
            <family val="2"/>
          </rPr>
          <t>Kaylil Baptiste:</t>
        </r>
        <r>
          <rPr>
            <sz val="9"/>
            <color indexed="81"/>
            <rFont val="Tahoma"/>
            <family val="2"/>
          </rPr>
          <t xml:space="preserve">
41mins stop to clean rinse tanks and strainers</t>
        </r>
      </text>
    </comment>
    <comment ref="V37" authorId="1" shapeId="0" xr:uid="{6F3BBB38-2946-48CB-BFB0-CF2784A85ADE}">
      <text>
        <r>
          <rPr>
            <b/>
            <sz val="9"/>
            <color indexed="81"/>
            <rFont val="Tahoma"/>
            <family val="2"/>
          </rPr>
          <t>Kaylil Baptiste:</t>
        </r>
        <r>
          <rPr>
            <sz val="9"/>
            <color indexed="81"/>
            <rFont val="Tahoma"/>
            <family val="2"/>
          </rPr>
          <t xml:space="preserve">
6mins fallen/ stuck bottles on pasteurizer discharge</t>
        </r>
      </text>
    </comment>
    <comment ref="Z37" authorId="1" shapeId="0" xr:uid="{7EC7C78E-C92E-498B-9C6E-E24FDA540CB7}">
      <text>
        <r>
          <rPr>
            <b/>
            <sz val="9"/>
            <color indexed="81"/>
            <rFont val="Tahoma"/>
            <family val="2"/>
          </rPr>
          <t>Kaylil Baptiste:</t>
        </r>
        <r>
          <rPr>
            <sz val="9"/>
            <color indexed="81"/>
            <rFont val="Tahoma"/>
            <family val="2"/>
          </rPr>
          <t xml:space="preserve">
6mins stop to blow out flies inside EBI</t>
        </r>
      </text>
    </comment>
    <comment ref="AB37" authorId="0" shapeId="0" xr:uid="{BCA4E680-3264-4CDF-AEBB-B6523125577F}">
      <text>
        <r>
          <rPr>
            <b/>
            <sz val="9"/>
            <color indexed="81"/>
            <rFont val="Tahoma"/>
            <family val="2"/>
          </rPr>
          <t>Michael Julien:</t>
        </r>
        <r>
          <rPr>
            <sz val="9"/>
            <color indexed="81"/>
            <rFont val="Tahoma"/>
            <family val="2"/>
          </rPr>
          <t xml:space="preserve">
9mins waiting on crates, 7mins stop on line to pick up foreign bottles.</t>
        </r>
      </text>
    </comment>
    <comment ref="I38" authorId="1" shapeId="0" xr:uid="{4E5E130B-4CB2-43C9-93FE-A890C5E7BBDB}">
      <text>
        <r>
          <rPr>
            <b/>
            <sz val="9"/>
            <color indexed="81"/>
            <rFont val="Tahoma"/>
            <family val="2"/>
          </rPr>
          <t>Kaylil Baptiste:</t>
        </r>
        <r>
          <rPr>
            <sz val="9"/>
            <color indexed="81"/>
            <rFont val="Tahoma"/>
            <family val="2"/>
          </rPr>
          <t xml:space="preserve">
65mins product change over </t>
        </r>
      </text>
    </comment>
    <comment ref="J38" authorId="1" shapeId="0" xr:uid="{FF71B007-01F7-423F-91FD-EBD9E8A344C2}">
      <text>
        <r>
          <rPr>
            <b/>
            <sz val="9"/>
            <color indexed="81"/>
            <rFont val="Tahoma"/>
            <family val="2"/>
          </rPr>
          <t>Kaylil Baptiste:</t>
        </r>
        <r>
          <rPr>
            <sz val="9"/>
            <color indexed="81"/>
            <rFont val="Tahoma"/>
            <family val="2"/>
          </rPr>
          <t xml:space="preserve">
76mins wait on product from filtration, 6mins bowl level dropped </t>
        </r>
      </text>
    </comment>
    <comment ref="L38" authorId="1" shapeId="0" xr:uid="{8C40CFAC-0995-4797-8B3C-8E813FAEBECF}">
      <text>
        <r>
          <rPr>
            <b/>
            <sz val="9"/>
            <color indexed="81"/>
            <rFont val="Tahoma"/>
            <family val="2"/>
          </rPr>
          <t>Kaylil Baptiste:</t>
        </r>
        <r>
          <rPr>
            <sz val="9"/>
            <color indexed="81"/>
            <rFont val="Tahoma"/>
            <family val="2"/>
          </rPr>
          <t xml:space="preserve">
7mins low CO2 ( area not specified)</t>
        </r>
      </text>
    </comment>
    <comment ref="O38" authorId="1" shapeId="0" xr:uid="{0977E593-0E11-4725-92C5-8CDAED9D21DB}">
      <text>
        <r>
          <rPr>
            <b/>
            <sz val="9"/>
            <color indexed="81"/>
            <rFont val="Tahoma"/>
            <family val="2"/>
          </rPr>
          <t>Kaylil Baptiste:</t>
        </r>
        <r>
          <rPr>
            <sz val="9"/>
            <color indexed="81"/>
            <rFont val="Tahoma"/>
            <family val="2"/>
          </rPr>
          <t xml:space="preserve">
6mins uncaser head hitting crates</t>
        </r>
      </text>
    </comment>
    <comment ref="P38" authorId="1" shapeId="0" xr:uid="{00394F07-40E2-4F5E-B589-B2253F93186B}">
      <text>
        <r>
          <rPr>
            <b/>
            <sz val="9"/>
            <color indexed="81"/>
            <rFont val="Tahoma"/>
            <family val="2"/>
          </rPr>
          <t>Kaylil Baptiste:</t>
        </r>
        <r>
          <rPr>
            <sz val="9"/>
            <color indexed="81"/>
            <rFont val="Tahoma"/>
            <family val="2"/>
          </rPr>
          <t xml:space="preserve">
20mins broken bottles at washer discharge</t>
        </r>
      </text>
    </comment>
    <comment ref="R38" authorId="1" shapeId="0" xr:uid="{39F2E870-9B66-4811-9C63-ADBFE79FE79B}">
      <text>
        <r>
          <rPr>
            <b/>
            <sz val="9"/>
            <color indexed="81"/>
            <rFont val="Tahoma"/>
            <family val="2"/>
          </rPr>
          <t>Kaylil Baptiste:</t>
        </r>
        <r>
          <rPr>
            <sz val="9"/>
            <color indexed="81"/>
            <rFont val="Tahoma"/>
            <family val="2"/>
          </rPr>
          <t xml:space="preserve">
7mins crowns stuck in chute  </t>
        </r>
      </text>
    </comment>
    <comment ref="T38" authorId="1" shapeId="0" xr:uid="{757F002E-662A-4AD3-8B22-F6CB23A9543A}">
      <text>
        <r>
          <rPr>
            <b/>
            <sz val="9"/>
            <color indexed="81"/>
            <rFont val="Tahoma"/>
            <family val="2"/>
          </rPr>
          <t>Kaylil Baptiste:</t>
        </r>
        <r>
          <rPr>
            <sz val="9"/>
            <color indexed="81"/>
            <rFont val="Tahoma"/>
            <family val="2"/>
          </rPr>
          <t xml:space="preserve">
5mins missing labels </t>
        </r>
      </text>
    </comment>
    <comment ref="V38" authorId="1" shapeId="0" xr:uid="{0F6BCF0C-193F-4548-B1E7-19B3C1BA2C08}">
      <text>
        <r>
          <rPr>
            <b/>
            <sz val="9"/>
            <color indexed="81"/>
            <rFont val="Tahoma"/>
            <family val="2"/>
          </rPr>
          <t>Kaylil Baptiste:</t>
        </r>
        <r>
          <rPr>
            <sz val="9"/>
            <color indexed="81"/>
            <rFont val="Tahoma"/>
            <family val="2"/>
          </rPr>
          <t xml:space="preserve">
86mins making preparations to repair damages on conveyor, 24mins doing repairs to conveyor, 16mins problem with sprocket caused frequent bottle jam, 9mins fallen bottles on EBI shuffler, 8mins bottles stuck on pasteurizer infeed conveyor, 7mins fallen/ stuck bottles on pasteurizer discharge </t>
        </r>
      </text>
    </comment>
    <comment ref="W38" authorId="1" shapeId="0" xr:uid="{60B62CA5-39EC-44CA-9CAF-5724849E0F4D}">
      <text>
        <r>
          <rPr>
            <b/>
            <sz val="9"/>
            <color indexed="81"/>
            <rFont val="Tahoma"/>
            <family val="2"/>
          </rPr>
          <t>Kaylil Baptiste:</t>
        </r>
        <r>
          <rPr>
            <sz val="9"/>
            <color indexed="81"/>
            <rFont val="Tahoma"/>
            <family val="2"/>
          </rPr>
          <t xml:space="preserve">
14mins changing fingers on packer</t>
        </r>
      </text>
    </comment>
    <comment ref="Z38" authorId="3" shapeId="0" xr:uid="{DC48609C-A402-4B4C-A785-91C83A2493B3}">
      <text>
        <r>
          <rPr>
            <b/>
            <sz val="9"/>
            <color indexed="81"/>
            <rFont val="Tahoma"/>
            <family val="2"/>
          </rPr>
          <t>Micah Noel:</t>
        </r>
        <r>
          <rPr>
            <sz val="9"/>
            <color indexed="81"/>
            <rFont val="Tahoma"/>
            <family val="2"/>
          </rPr>
          <t xml:space="preserve">
9 mins ending up break (staff were sent on lunch break while work was done on pasteurizer conveyor #3 ) </t>
        </r>
      </text>
    </comment>
    <comment ref="AB38" authorId="3" shapeId="0" xr:uid="{D5874AD7-2AD3-4E40-BDC2-64DD6BA1FB91}">
      <text>
        <r>
          <rPr>
            <b/>
            <sz val="9"/>
            <color indexed="81"/>
            <rFont val="Tahoma"/>
            <family val="2"/>
          </rPr>
          <t>Micah Noel:</t>
        </r>
        <r>
          <rPr>
            <sz val="9"/>
            <color indexed="81"/>
            <rFont val="Tahoma"/>
            <family val="2"/>
          </rPr>
          <t xml:space="preserve">
heavy EBI rejections caused by EBI pre- rejected bottles</t>
        </r>
      </text>
    </comment>
    <comment ref="H39" authorId="1" shapeId="0" xr:uid="{6123DDC5-C88C-485A-A432-9B13FC8C2489}">
      <text>
        <r>
          <rPr>
            <b/>
            <sz val="9"/>
            <color indexed="81"/>
            <rFont val="Tahoma"/>
            <family val="2"/>
          </rPr>
          <t>Kaylil Baptiste:</t>
        </r>
        <r>
          <rPr>
            <sz val="9"/>
            <color indexed="81"/>
            <rFont val="Tahoma"/>
            <family val="2"/>
          </rPr>
          <t xml:space="preserve">
11mins loading flats unto carton erector (waiting for forklift operator to bring flats)</t>
        </r>
      </text>
    </comment>
    <comment ref="I39" authorId="3" shapeId="0" xr:uid="{076B297E-AF79-4C4F-9156-E127C0E87F37}">
      <text>
        <r>
          <rPr>
            <b/>
            <sz val="9"/>
            <color indexed="81"/>
            <rFont val="Tahoma"/>
            <family val="2"/>
          </rPr>
          <t>Micah Noel:</t>
        </r>
        <r>
          <rPr>
            <sz val="9"/>
            <color indexed="81"/>
            <rFont val="Tahoma"/>
            <family val="2"/>
          </rPr>
          <t xml:space="preserve">
Filler change over from Guinness to Carib</t>
        </r>
      </text>
    </comment>
    <comment ref="J39" authorId="3" shapeId="0" xr:uid="{3C2BE5A9-B9D2-4AD7-8691-7AD9967C698B}">
      <text>
        <r>
          <rPr>
            <b/>
            <sz val="9"/>
            <color indexed="81"/>
            <rFont val="Tahoma"/>
            <family val="2"/>
          </rPr>
          <t>Micah Noel:</t>
        </r>
        <r>
          <rPr>
            <sz val="9"/>
            <color indexed="81"/>
            <rFont val="Tahoma"/>
            <family val="2"/>
          </rPr>
          <t xml:space="preserve">
35mins filling on pause CO2 regulator in filtration not working -Maintenance team called in to resolve</t>
        </r>
      </text>
    </comment>
    <comment ref="P39" authorId="1" shapeId="0" xr:uid="{A74900F8-0E95-4E0B-9B7E-1C7E34A956E7}">
      <text>
        <r>
          <rPr>
            <b/>
            <sz val="9"/>
            <color indexed="81"/>
            <rFont val="Tahoma"/>
            <family val="2"/>
          </rPr>
          <t>Kaylil Baptiste:</t>
        </r>
        <r>
          <rPr>
            <sz val="9"/>
            <color indexed="81"/>
            <rFont val="Tahoma"/>
            <family val="2"/>
          </rPr>
          <t xml:space="preserve">
245mins electrical problem on Washer, 40mins timing and electrical problem</t>
        </r>
      </text>
    </comment>
    <comment ref="T39" authorId="1" shapeId="0" xr:uid="{8F32881D-60E3-440D-99E8-9FF343996BBC}">
      <text>
        <r>
          <rPr>
            <b/>
            <sz val="9"/>
            <color indexed="81"/>
            <rFont val="Tahoma"/>
            <family val="2"/>
          </rPr>
          <t>Kaylil Baptiste:</t>
        </r>
        <r>
          <rPr>
            <sz val="9"/>
            <color indexed="81"/>
            <rFont val="Tahoma"/>
            <family val="2"/>
          </rPr>
          <t xml:space="preserve">
12mins cleaning labeler</t>
        </r>
      </text>
    </comment>
    <comment ref="V39" authorId="1" shapeId="0" xr:uid="{F21BDECF-454F-4B70-93F7-C533D3C62FF0}">
      <text>
        <r>
          <rPr>
            <b/>
            <sz val="9"/>
            <color indexed="81"/>
            <rFont val="Tahoma"/>
            <family val="2"/>
          </rPr>
          <t>Kaylil Baptiste:</t>
        </r>
        <r>
          <rPr>
            <sz val="9"/>
            <color indexed="81"/>
            <rFont val="Tahoma"/>
            <family val="2"/>
          </rPr>
          <t xml:space="preserve">
6mins fallen bottles inside shuffler </t>
        </r>
      </text>
    </comment>
    <comment ref="W39" authorId="1" shapeId="0" xr:uid="{645E0BD8-22E7-4D02-B90C-01E7DBD664E1}">
      <text>
        <r>
          <rPr>
            <b/>
            <sz val="9"/>
            <color indexed="81"/>
            <rFont val="Tahoma"/>
            <family val="2"/>
          </rPr>
          <t>Kaylil Baptiste:</t>
        </r>
        <r>
          <rPr>
            <sz val="9"/>
            <color indexed="81"/>
            <rFont val="Tahoma"/>
            <family val="2"/>
          </rPr>
          <t xml:space="preserve">
32mins stop to change packer head</t>
        </r>
      </text>
    </comment>
    <comment ref="X39" authorId="1" shapeId="0" xr:uid="{D93F76C0-2F5C-4D41-A18F-6EC033AD6285}">
      <text>
        <r>
          <rPr>
            <b/>
            <sz val="9"/>
            <color indexed="81"/>
            <rFont val="Tahoma"/>
            <family val="2"/>
          </rPr>
          <t>Kaylil Baptiste:</t>
        </r>
        <r>
          <rPr>
            <sz val="9"/>
            <color indexed="81"/>
            <rFont val="Tahoma"/>
            <family val="2"/>
          </rPr>
          <t xml:space="preserve">
25mins carton coder not printing properly, 16mins carton erector malfunction</t>
        </r>
      </text>
    </comment>
    <comment ref="H40" authorId="1" shapeId="0" xr:uid="{AC2E5C40-AF37-44DD-A0FE-5A72559DD33D}">
      <text>
        <r>
          <rPr>
            <b/>
            <sz val="9"/>
            <color indexed="81"/>
            <rFont val="Tahoma"/>
            <family val="2"/>
          </rPr>
          <t>Kaylil Baptiste:</t>
        </r>
        <r>
          <rPr>
            <sz val="9"/>
            <color indexed="81"/>
            <rFont val="Tahoma"/>
            <family val="2"/>
          </rPr>
          <t xml:space="preserve">
11mins packer operator waiting for flats</t>
        </r>
      </text>
    </comment>
    <comment ref="I40" authorId="3" shapeId="0" xr:uid="{8297500B-0046-41CA-A180-5F977235B8BB}">
      <text>
        <r>
          <rPr>
            <b/>
            <sz val="9"/>
            <color indexed="81"/>
            <rFont val="Tahoma"/>
            <family val="2"/>
          </rPr>
          <t>Micah Noel:</t>
        </r>
        <r>
          <rPr>
            <sz val="9"/>
            <color indexed="81"/>
            <rFont val="Tahoma"/>
            <family val="2"/>
          </rPr>
          <t xml:space="preserve">
17mins filler and EBI change over from explorer to short amber, 27 mins for packer changer</t>
        </r>
      </text>
    </comment>
    <comment ref="P40" authorId="1" shapeId="0" xr:uid="{9AE9E751-853E-42C6-B333-665101EC89DE}">
      <text>
        <r>
          <rPr>
            <b/>
            <sz val="9"/>
            <color indexed="81"/>
            <rFont val="Tahoma"/>
            <family val="2"/>
          </rPr>
          <t>Kaylil Baptiste:</t>
        </r>
        <r>
          <rPr>
            <sz val="9"/>
            <color indexed="81"/>
            <rFont val="Tahoma"/>
            <family val="2"/>
          </rPr>
          <t xml:space="preserve">
8mins broken bottles stuck at washer discharge</t>
        </r>
      </text>
    </comment>
    <comment ref="Q40" authorId="1" shapeId="0" xr:uid="{E0DC93BA-FD43-4DD8-8B88-DF6E275E4842}">
      <text>
        <r>
          <rPr>
            <b/>
            <sz val="9"/>
            <color indexed="81"/>
            <rFont val="Tahoma"/>
            <family val="2"/>
          </rPr>
          <t>Kaylil Baptiste:</t>
        </r>
        <r>
          <rPr>
            <sz val="9"/>
            <color indexed="81"/>
            <rFont val="Tahoma"/>
            <family val="2"/>
          </rPr>
          <t xml:space="preserve">
13mins EBI rejecting all bottles Technician called to make adjustment</t>
        </r>
      </text>
    </comment>
    <comment ref="R40" authorId="1" shapeId="0" xr:uid="{D860B0E3-E6C9-4538-9978-9BF891E22F0F}">
      <text>
        <r>
          <rPr>
            <b/>
            <sz val="9"/>
            <color indexed="81"/>
            <rFont val="Tahoma"/>
            <family val="2"/>
          </rPr>
          <t>Kaylil Baptiste:</t>
        </r>
        <r>
          <rPr>
            <sz val="9"/>
            <color indexed="81"/>
            <rFont val="Tahoma"/>
            <family val="2"/>
          </rPr>
          <t xml:space="preserve">
13mins crowner dead plate stuck</t>
        </r>
      </text>
    </comment>
    <comment ref="T40" authorId="1" shapeId="0" xr:uid="{99B093E7-BE93-4434-B0F9-CDFC1B852086}">
      <text>
        <r>
          <rPr>
            <b/>
            <sz val="9"/>
            <color indexed="81"/>
            <rFont val="Tahoma"/>
            <family val="2"/>
          </rPr>
          <t>Kaylil Baptiste:</t>
        </r>
        <r>
          <rPr>
            <sz val="9"/>
            <color indexed="81"/>
            <rFont val="Tahoma"/>
            <family val="2"/>
          </rPr>
          <t xml:space="preserve">
5mins labeler startup adjustments </t>
        </r>
      </text>
    </comment>
    <comment ref="V40" authorId="1" shapeId="0" xr:uid="{BFB19E5B-39B3-4F91-ACB7-C8E00BD01117}">
      <text>
        <r>
          <rPr>
            <b/>
            <sz val="9"/>
            <color indexed="81"/>
            <rFont val="Tahoma"/>
            <family val="2"/>
          </rPr>
          <t>Kaylil Baptiste:</t>
        </r>
        <r>
          <rPr>
            <sz val="9"/>
            <color indexed="81"/>
            <rFont val="Tahoma"/>
            <family val="2"/>
          </rPr>
          <t xml:space="preserve">
194mins filler infeed conveyor sticking, 61mins pasteurizer infeed damage key way on gearbox</t>
        </r>
      </text>
    </comment>
    <comment ref="J41" authorId="1" shapeId="0" xr:uid="{51B19929-D44D-46FA-AA9F-DB86E7A865F9}">
      <text>
        <r>
          <rPr>
            <b/>
            <sz val="9"/>
            <color indexed="81"/>
            <rFont val="Tahoma"/>
            <family val="2"/>
          </rPr>
          <t>Kaylil Baptiste:</t>
        </r>
        <r>
          <rPr>
            <sz val="9"/>
            <color indexed="81"/>
            <rFont val="Tahoma"/>
            <family val="2"/>
          </rPr>
          <t xml:space="preserve">
3 min low filler bowl level </t>
        </r>
      </text>
    </comment>
    <comment ref="P41" authorId="1" shapeId="0" xr:uid="{D3AC2182-0FD1-408B-B6FC-9DE10F60A72F}">
      <text>
        <r>
          <rPr>
            <b/>
            <sz val="9"/>
            <color indexed="81"/>
            <rFont val="Tahoma"/>
            <family val="2"/>
          </rPr>
          <t>Kaylil Baptiste:</t>
        </r>
        <r>
          <rPr>
            <sz val="9"/>
            <color indexed="81"/>
            <rFont val="Tahoma"/>
            <family val="2"/>
          </rPr>
          <t xml:space="preserve">
5mins bottles jam at washer discharge </t>
        </r>
      </text>
    </comment>
    <comment ref="V41" authorId="1" shapeId="0" xr:uid="{1FFEBCBC-0BE5-4DA1-AEE4-8069D600B9DE}">
      <text>
        <r>
          <rPr>
            <b/>
            <sz val="9"/>
            <color indexed="81"/>
            <rFont val="Tahoma"/>
            <family val="2"/>
          </rPr>
          <t>Kaylil Baptiste:</t>
        </r>
        <r>
          <rPr>
            <sz val="9"/>
            <color indexed="81"/>
            <rFont val="Tahoma"/>
            <family val="2"/>
          </rPr>
          <t xml:space="preserve">
50mins pasteurizer infeed conveyor down, 6mins fallen bottles inside shuffler, 5mins to pick up fallen bottles at pasteurizer discharge 2</t>
        </r>
      </text>
    </comment>
    <comment ref="Z41" authorId="0" shapeId="0" xr:uid="{748920B6-27F7-4162-9974-9DCB7CE80560}">
      <text>
        <r>
          <rPr>
            <b/>
            <sz val="9"/>
            <color indexed="81"/>
            <rFont val="Tahoma"/>
            <family val="2"/>
          </rPr>
          <t>Michael Julien:</t>
        </r>
        <r>
          <rPr>
            <sz val="9"/>
            <color indexed="81"/>
            <rFont val="Tahoma"/>
            <family val="2"/>
          </rPr>
          <t xml:space="preserve">
6 min picking up half fill at pasteurizer discharge</t>
        </r>
      </text>
    </comment>
    <comment ref="G42" authorId="1" shapeId="0" xr:uid="{6AF6A58A-FDCF-48CA-A57D-DBEDF7B0F6DB}">
      <text>
        <r>
          <rPr>
            <b/>
            <sz val="9"/>
            <color indexed="81"/>
            <rFont val="Tahoma"/>
            <family val="2"/>
          </rPr>
          <t>Kaylil Baptiste:</t>
        </r>
        <r>
          <rPr>
            <sz val="9"/>
            <color indexed="81"/>
            <rFont val="Tahoma"/>
            <family val="2"/>
          </rPr>
          <t xml:space="preserve">
14:10</t>
        </r>
      </text>
    </comment>
    <comment ref="I42" authorId="1" shapeId="0" xr:uid="{C41AB00D-8F16-47C6-A30D-D6B7FBD5EC5D}">
      <text>
        <r>
          <rPr>
            <b/>
            <sz val="9"/>
            <color indexed="81"/>
            <rFont val="Tahoma"/>
            <family val="2"/>
          </rPr>
          <t>Kaylil Baptiste:</t>
        </r>
        <r>
          <rPr>
            <sz val="9"/>
            <color indexed="81"/>
            <rFont val="Tahoma"/>
            <family val="2"/>
          </rPr>
          <t xml:space="preserve">
12mins change over from short amber to medium weight, 7mins changing labeler</t>
        </r>
      </text>
    </comment>
    <comment ref="J42" authorId="1" shapeId="0" xr:uid="{67775136-B1A6-466D-B564-1793225D7930}">
      <text>
        <r>
          <rPr>
            <b/>
            <sz val="9"/>
            <color indexed="81"/>
            <rFont val="Tahoma"/>
            <family val="2"/>
          </rPr>
          <t>Kaylil Baptiste:</t>
        </r>
        <r>
          <rPr>
            <sz val="9"/>
            <color indexed="81"/>
            <rFont val="Tahoma"/>
            <family val="2"/>
          </rPr>
          <t xml:space="preserve">
 8mins removing low filled bottles from pasteurizer discharge (drop in bowl pressure on filler)</t>
        </r>
      </text>
    </comment>
    <comment ref="P42" authorId="1" shapeId="0" xr:uid="{59CA2742-2747-4DF9-8D06-B819A8994B97}">
      <text>
        <r>
          <rPr>
            <b/>
            <sz val="9"/>
            <color indexed="81"/>
            <rFont val="Tahoma"/>
            <family val="2"/>
          </rPr>
          <t>Kaylil Baptiste:</t>
        </r>
        <r>
          <rPr>
            <sz val="9"/>
            <color indexed="81"/>
            <rFont val="Tahoma"/>
            <family val="2"/>
          </rPr>
          <t xml:space="preserve">
642mins major steam leak on washer bellowing on employee stationed between the lines and unto washed bottles, 40mins low temperature on washer, 6mins bottles jam at washer discharge </t>
        </r>
      </text>
    </comment>
    <comment ref="Q42" authorId="1" shapeId="0" xr:uid="{A15E2FA2-729F-47A1-832F-3DDCE415F5B9}">
      <text>
        <r>
          <rPr>
            <b/>
            <sz val="9"/>
            <color indexed="81"/>
            <rFont val="Tahoma"/>
            <family val="2"/>
          </rPr>
          <t>Kaylil Baptiste:</t>
        </r>
        <r>
          <rPr>
            <sz val="9"/>
            <color indexed="81"/>
            <rFont val="Tahoma"/>
            <family val="2"/>
          </rPr>
          <t xml:space="preserve">
14mins high EBI rejection</t>
        </r>
      </text>
    </comment>
    <comment ref="T42" authorId="1" shapeId="0" xr:uid="{EDDCBAF2-DF11-4096-8976-389787C1F8D1}">
      <text>
        <r>
          <rPr>
            <b/>
            <sz val="9"/>
            <color indexed="81"/>
            <rFont val="Tahoma"/>
            <family val="2"/>
          </rPr>
          <t>Kaylil Baptiste:</t>
        </r>
        <r>
          <rPr>
            <sz val="9"/>
            <color indexed="81"/>
            <rFont val="Tahoma"/>
            <family val="2"/>
          </rPr>
          <t xml:space="preserve">
12mins cleaning labeler</t>
        </r>
      </text>
    </comment>
    <comment ref="V42" authorId="1" shapeId="0" xr:uid="{15D5FFBB-13EA-44BC-A4CD-2D3FAF597079}">
      <text>
        <r>
          <rPr>
            <b/>
            <sz val="9"/>
            <color indexed="81"/>
            <rFont val="Tahoma"/>
            <family val="2"/>
          </rPr>
          <t>Kaylil Baptiste:</t>
        </r>
        <r>
          <rPr>
            <sz val="9"/>
            <color indexed="81"/>
            <rFont val="Tahoma"/>
            <family val="2"/>
          </rPr>
          <t xml:space="preserve">
8mins fallen bottles inside shuffler, 6mins to pick up fallen bottles at pasteurizer discharge 2</t>
        </r>
      </text>
    </comment>
    <comment ref="W42" authorId="1" shapeId="0" xr:uid="{F4C4C969-B472-4D12-9CE4-D4C2CCC0F4D9}">
      <text>
        <r>
          <rPr>
            <b/>
            <sz val="9"/>
            <color indexed="81"/>
            <rFont val="Tahoma"/>
            <family val="2"/>
          </rPr>
          <t>Kaylil Baptiste:</t>
        </r>
        <r>
          <rPr>
            <sz val="9"/>
            <color indexed="81"/>
            <rFont val="Tahoma"/>
            <family val="2"/>
          </rPr>
          <t xml:space="preserve">
5mins fingers hitting crate head</t>
        </r>
      </text>
    </comment>
    <comment ref="Z42" authorId="1" shapeId="0" xr:uid="{A4CA2B9F-DCA6-4B57-831C-092FBD34F506}">
      <text>
        <r>
          <rPr>
            <b/>
            <sz val="9"/>
            <color indexed="81"/>
            <rFont val="Tahoma"/>
            <family val="2"/>
          </rPr>
          <t>Kaylil Baptiste:</t>
        </r>
        <r>
          <rPr>
            <sz val="9"/>
            <color indexed="81"/>
            <rFont val="Tahoma"/>
            <family val="2"/>
          </rPr>
          <t xml:space="preserve">
8 mins gap in washer to seperate  new from used bottles, 2 mins switching palletizer </t>
        </r>
      </text>
    </comment>
    <comment ref="D43" authorId="1" shapeId="0" xr:uid="{ED6B19CA-0D9E-4CD8-A7CF-DC56CC79E43A}">
      <text>
        <r>
          <rPr>
            <b/>
            <sz val="9"/>
            <color indexed="81"/>
            <rFont val="Tahoma"/>
            <family val="2"/>
          </rPr>
          <t>Kaylil Baptiste:</t>
        </r>
        <r>
          <rPr>
            <sz val="9"/>
            <color indexed="81"/>
            <rFont val="Tahoma"/>
            <family val="2"/>
          </rPr>
          <t xml:space="preserve">
3:00am</t>
        </r>
      </text>
    </comment>
    <comment ref="K43" authorId="1" shapeId="0" xr:uid="{289F93F3-53C0-4A94-B013-07662CB4820A}">
      <text>
        <r>
          <rPr>
            <b/>
            <sz val="9"/>
            <color indexed="81"/>
            <rFont val="Tahoma"/>
            <family val="2"/>
          </rPr>
          <t>Kaylil Baptiste:</t>
        </r>
        <r>
          <rPr>
            <sz val="9"/>
            <color indexed="81"/>
            <rFont val="Tahoma"/>
            <family val="2"/>
          </rPr>
          <t xml:space="preserve">
13mins low air pressure on packer</t>
        </r>
      </text>
    </comment>
    <comment ref="L43" authorId="1" shapeId="0" xr:uid="{AA499467-579C-46BC-8150-DF606E95524B}">
      <text>
        <r>
          <rPr>
            <b/>
            <sz val="9"/>
            <color indexed="81"/>
            <rFont val="Tahoma"/>
            <family val="2"/>
          </rPr>
          <t>Kaylil Baptiste:</t>
        </r>
        <r>
          <rPr>
            <sz val="9"/>
            <color indexed="81"/>
            <rFont val="Tahoma"/>
            <family val="2"/>
          </rPr>
          <t xml:space="preserve">
22mins low CO2 on filler</t>
        </r>
      </text>
    </comment>
    <comment ref="N43" authorId="2" shapeId="0" xr:uid="{9A587147-FFAC-405E-B64B-EB9F05B0A018}">
      <text>
        <r>
          <rPr>
            <b/>
            <sz val="9"/>
            <color indexed="81"/>
            <rFont val="Tahoma"/>
            <family val="2"/>
          </rPr>
          <t>Dorien Andrew:</t>
        </r>
        <r>
          <rPr>
            <sz val="9"/>
            <color indexed="81"/>
            <rFont val="Tahoma"/>
            <family val="2"/>
          </rPr>
          <t xml:space="preserve">
175mins valve left closed on washer delayed start up</t>
        </r>
      </text>
    </comment>
    <comment ref="O43" authorId="1" shapeId="0" xr:uid="{36DB1708-FFE2-4DD2-B4E5-B85CB8591691}">
      <text>
        <r>
          <rPr>
            <b/>
            <sz val="9"/>
            <color indexed="81"/>
            <rFont val="Tahoma"/>
            <family val="2"/>
          </rPr>
          <t>Kaylil Baptiste:</t>
        </r>
        <r>
          <rPr>
            <sz val="9"/>
            <color indexed="81"/>
            <rFont val="Tahoma"/>
            <family val="2"/>
          </rPr>
          <t xml:space="preserve">
12mins broken air hose on uncaser, 9mins uncaser head malfunction, 5mins uncaser head hitting crates </t>
        </r>
      </text>
    </comment>
    <comment ref="P43" authorId="1" shapeId="0" xr:uid="{B8C6DA4B-6005-4C5D-91CC-53C753A8055D}">
      <text>
        <r>
          <rPr>
            <b/>
            <sz val="9"/>
            <color indexed="81"/>
            <rFont val="Tahoma"/>
            <family val="2"/>
          </rPr>
          <t>Kaylil Baptiste:</t>
        </r>
        <r>
          <rPr>
            <sz val="9"/>
            <color indexed="81"/>
            <rFont val="Tahoma"/>
            <family val="2"/>
          </rPr>
          <t xml:space="preserve">
18mins broken bottles jam at washer discharge </t>
        </r>
      </text>
    </comment>
    <comment ref="Q43" authorId="1" shapeId="0" xr:uid="{6DBA12A3-AE7C-4C91-8313-37930849F40D}">
      <text>
        <r>
          <rPr>
            <b/>
            <sz val="9"/>
            <color indexed="81"/>
            <rFont val="Tahoma"/>
            <family val="2"/>
          </rPr>
          <t>Kaylil Baptiste:</t>
        </r>
        <r>
          <rPr>
            <sz val="9"/>
            <color indexed="81"/>
            <rFont val="Tahoma"/>
            <family val="2"/>
          </rPr>
          <t xml:space="preserve">
19mins high EBI rejection, 7mins fallen bottles on EBI starwheel </t>
        </r>
      </text>
    </comment>
    <comment ref="R43" authorId="1" shapeId="0" xr:uid="{58581F49-F924-4489-8CA1-E5B9E3A91A29}">
      <text>
        <r>
          <rPr>
            <b/>
            <sz val="9"/>
            <color indexed="81"/>
            <rFont val="Tahoma"/>
            <family val="2"/>
          </rPr>
          <t>Kaylil Baptiste:</t>
        </r>
        <r>
          <rPr>
            <sz val="9"/>
            <color indexed="81"/>
            <rFont val="Tahoma"/>
            <family val="2"/>
          </rPr>
          <t xml:space="preserve">
63mins filler transport belt problem (sensor), 15mins filler communication malfunction, 14mins system reboot following a electrical power surge, 5mins crowns stuck in chute </t>
        </r>
      </text>
    </comment>
    <comment ref="T43" authorId="1" shapeId="0" xr:uid="{DCFBCE86-99AF-4A9B-ABE0-A7F1860C2144}">
      <text>
        <r>
          <rPr>
            <b/>
            <sz val="9"/>
            <color indexed="81"/>
            <rFont val="Tahoma"/>
            <family val="2"/>
          </rPr>
          <t>Kaylil Baptiste:</t>
        </r>
        <r>
          <rPr>
            <sz val="9"/>
            <color indexed="81"/>
            <rFont val="Tahoma"/>
            <family val="2"/>
          </rPr>
          <t xml:space="preserve">
10mins cleaning labeler </t>
        </r>
      </text>
    </comment>
    <comment ref="V43" authorId="1" shapeId="0" xr:uid="{8914F985-A402-4021-A477-EC520131E22C}">
      <text>
        <r>
          <rPr>
            <b/>
            <sz val="9"/>
            <color indexed="81"/>
            <rFont val="Tahoma"/>
            <family val="2"/>
          </rPr>
          <t>Kaylil Baptiste:</t>
        </r>
        <r>
          <rPr>
            <sz val="9"/>
            <color indexed="81"/>
            <rFont val="Tahoma"/>
            <family val="2"/>
          </rPr>
          <t xml:space="preserve">
44mins maintenance working on pasteurizer infeed conveyor, 17mins fallen bottles inside shuffler, 7mins fallen bottle jam pasteurizer discharge,  5mins EBI infeed conveyor was off</t>
        </r>
      </text>
    </comment>
    <comment ref="W43" authorId="1" shapeId="0" xr:uid="{2A9951C6-9123-4980-8EB5-1B3804E85B7A}">
      <text>
        <r>
          <rPr>
            <b/>
            <sz val="9"/>
            <color indexed="81"/>
            <rFont val="Tahoma"/>
            <family val="2"/>
          </rPr>
          <t>Kaylil Baptiste:</t>
        </r>
        <r>
          <rPr>
            <sz val="9"/>
            <color indexed="81"/>
            <rFont val="Tahoma"/>
            <family val="2"/>
          </rPr>
          <t xml:space="preserve">
38mins packer fingers hiting crates, 15mins changing bent fingers on packer </t>
        </r>
      </text>
    </comment>
    <comment ref="Z43" authorId="1" shapeId="0" xr:uid="{364AE21A-D066-4765-968B-97DC2EA26C5B}">
      <text>
        <r>
          <rPr>
            <b/>
            <sz val="9"/>
            <color indexed="81"/>
            <rFont val="Tahoma"/>
            <family val="2"/>
          </rPr>
          <t>Kaylil Baptiste:</t>
        </r>
        <r>
          <rPr>
            <sz val="9"/>
            <color indexed="81"/>
            <rFont val="Tahoma"/>
            <family val="2"/>
          </rPr>
          <t xml:space="preserve">
5mins space in washer </t>
        </r>
      </text>
    </comment>
    <comment ref="AB43" authorId="3" shapeId="0" xr:uid="{8E074645-6298-48AA-B553-A1D518DA240B}">
      <text>
        <r>
          <rPr>
            <b/>
            <sz val="9"/>
            <color indexed="81"/>
            <rFont val="Tahoma"/>
            <family val="2"/>
          </rPr>
          <t>Micah Noel:</t>
        </r>
        <r>
          <rPr>
            <sz val="9"/>
            <color indexed="81"/>
            <rFont val="Tahoma"/>
            <family val="2"/>
          </rPr>
          <t xml:space="preserve">
8mins heavy EBI rejections caused by EBI Pre-rejected bottles, 6mins waiting on bottles </t>
        </r>
      </text>
    </comment>
    <comment ref="I44" authorId="1" shapeId="0" xr:uid="{D5917445-19DF-4DF6-9E03-AFAF3E0A94CA}">
      <text>
        <r>
          <rPr>
            <b/>
            <sz val="9"/>
            <color indexed="81"/>
            <rFont val="Tahoma"/>
            <family val="2"/>
          </rPr>
          <t>Kaylil Baptiste:</t>
        </r>
        <r>
          <rPr>
            <sz val="9"/>
            <color indexed="81"/>
            <rFont val="Tahoma"/>
            <family val="2"/>
          </rPr>
          <t xml:space="preserve">
64mins product change over </t>
        </r>
      </text>
    </comment>
    <comment ref="L44" authorId="1" shapeId="0" xr:uid="{100A6345-5F31-4577-8B2C-138604E130B2}">
      <text>
        <r>
          <rPr>
            <b/>
            <sz val="9"/>
            <color indexed="81"/>
            <rFont val="Tahoma"/>
            <family val="2"/>
          </rPr>
          <t>Kaylil Baptiste:</t>
        </r>
        <r>
          <rPr>
            <sz val="9"/>
            <color indexed="81"/>
            <rFont val="Tahoma"/>
            <family val="2"/>
          </rPr>
          <t xml:space="preserve">
12mins low CO2 on filler </t>
        </r>
      </text>
    </comment>
    <comment ref="P44" authorId="1" shapeId="0" xr:uid="{6B8A7265-FFCF-4487-9A72-E122AA5A938D}">
      <text>
        <r>
          <rPr>
            <b/>
            <sz val="9"/>
            <color indexed="81"/>
            <rFont val="Tahoma"/>
            <family val="2"/>
          </rPr>
          <t>Kaylil Baptiste:</t>
        </r>
        <r>
          <rPr>
            <sz val="9"/>
            <color indexed="81"/>
            <rFont val="Tahoma"/>
            <family val="2"/>
          </rPr>
          <t xml:space="preserve">
10mins bottles jam at washer infeed </t>
        </r>
      </text>
    </comment>
    <comment ref="Q44" authorId="1" shapeId="0" xr:uid="{94D480AC-48BF-4C49-9D70-C8695B4D46F7}">
      <text>
        <r>
          <rPr>
            <b/>
            <sz val="9"/>
            <color indexed="81"/>
            <rFont val="Tahoma"/>
            <family val="2"/>
          </rPr>
          <t>Kaylil Baptiste:</t>
        </r>
        <r>
          <rPr>
            <sz val="9"/>
            <color indexed="81"/>
            <rFont val="Tahoma"/>
            <family val="2"/>
          </rPr>
          <t xml:space="preserve">
 5mins fallen bottles on OSW </t>
        </r>
      </text>
    </comment>
    <comment ref="R44" authorId="1" shapeId="0" xr:uid="{98DCCF0C-03CC-46E1-B0CC-EC33940CADBE}">
      <text>
        <r>
          <rPr>
            <b/>
            <sz val="9"/>
            <color indexed="81"/>
            <rFont val="Tahoma"/>
            <family val="2"/>
          </rPr>
          <t>Kaylil Baptiste:</t>
        </r>
        <r>
          <rPr>
            <sz val="9"/>
            <color indexed="81"/>
            <rFont val="Tahoma"/>
            <family val="2"/>
          </rPr>
          <t xml:space="preserve">
35mins crowns stick in chute</t>
        </r>
      </text>
    </comment>
    <comment ref="T44" authorId="1" shapeId="0" xr:uid="{E4AB7523-0E8D-4F2E-8928-9C97D43BAD9B}">
      <text>
        <r>
          <rPr>
            <b/>
            <sz val="9"/>
            <color indexed="81"/>
            <rFont val="Tahoma"/>
            <family val="2"/>
          </rPr>
          <t>Kaylil Baptiste:</t>
        </r>
        <r>
          <rPr>
            <sz val="9"/>
            <color indexed="81"/>
            <rFont val="Tahoma"/>
            <family val="2"/>
          </rPr>
          <t xml:space="preserve">
8mins cleaning labeler</t>
        </r>
      </text>
    </comment>
    <comment ref="V44" authorId="1" shapeId="0" xr:uid="{DFF5CA05-9A22-4401-9FA0-C4692CD67D84}">
      <text>
        <r>
          <rPr>
            <b/>
            <sz val="9"/>
            <color indexed="81"/>
            <rFont val="Tahoma"/>
            <family val="2"/>
          </rPr>
          <t>Kaylil Baptiste:</t>
        </r>
        <r>
          <rPr>
            <sz val="9"/>
            <color indexed="81"/>
            <rFont val="Tahoma"/>
            <family val="2"/>
          </rPr>
          <t xml:space="preserve">
438mins gearbox for pasteurizer infeed damaged, 23mins bottles sticking inside shuffler</t>
        </r>
      </text>
    </comment>
    <comment ref="W44" authorId="1" shapeId="0" xr:uid="{2933035B-7876-4FA1-A5CE-305FA497323B}">
      <text>
        <r>
          <rPr>
            <b/>
            <sz val="9"/>
            <color indexed="81"/>
            <rFont val="Tahoma"/>
            <family val="2"/>
          </rPr>
          <t>Kaylil Baptiste:</t>
        </r>
        <r>
          <rPr>
            <sz val="9"/>
            <color indexed="81"/>
            <rFont val="Tahoma"/>
            <family val="2"/>
          </rPr>
          <t xml:space="preserve">
17mins bent fingers on packer</t>
        </r>
      </text>
    </comment>
    <comment ref="Z44" authorId="0" shapeId="0" xr:uid="{A6D540C2-F723-49E0-8E0E-1D6F9E789B41}">
      <text>
        <r>
          <rPr>
            <b/>
            <sz val="9"/>
            <color indexed="81"/>
            <rFont val="Tahoma"/>
            <family val="2"/>
          </rPr>
          <t>Michael Julien:</t>
        </r>
        <r>
          <rPr>
            <sz val="9"/>
            <color indexed="81"/>
            <rFont val="Tahoma"/>
            <family val="2"/>
          </rPr>
          <t xml:space="preserve">
4 mins to pick up fallen bottles</t>
        </r>
      </text>
    </comment>
    <comment ref="O45" authorId="1" shapeId="0" xr:uid="{9E7BDABF-FD10-49AA-B079-66190AD61F0D}">
      <text>
        <r>
          <rPr>
            <b/>
            <sz val="9"/>
            <color indexed="81"/>
            <rFont val="Tahoma"/>
            <family val="2"/>
          </rPr>
          <t>Kaylil Baptiste:</t>
        </r>
        <r>
          <rPr>
            <sz val="9"/>
            <color indexed="81"/>
            <rFont val="Tahoma"/>
            <family val="2"/>
          </rPr>
          <t xml:space="preserve">
13mins uncaser head malfuction</t>
        </r>
      </text>
    </comment>
    <comment ref="R45" authorId="1" shapeId="0" xr:uid="{191A6B88-8384-4AE7-AAEB-8CF243727908}">
      <text>
        <r>
          <rPr>
            <b/>
            <sz val="9"/>
            <color indexed="81"/>
            <rFont val="Tahoma"/>
            <family val="2"/>
          </rPr>
          <t>Kaylil Baptiste:</t>
        </r>
        <r>
          <rPr>
            <sz val="9"/>
            <color indexed="81"/>
            <rFont val="Tahoma"/>
            <family val="2"/>
          </rPr>
          <t xml:space="preserve">
23mins filler lost communication, 21mins sensor malfunction, 5mins crowns stuck on chute</t>
        </r>
      </text>
    </comment>
    <comment ref="T45" authorId="1" shapeId="0" xr:uid="{3A37DDB0-3CB5-46AF-BC94-4225C4620BCD}">
      <text>
        <r>
          <rPr>
            <b/>
            <sz val="9"/>
            <color indexed="81"/>
            <rFont val="Tahoma"/>
            <family val="2"/>
          </rPr>
          <t>Kaylil Baptiste:</t>
        </r>
        <r>
          <rPr>
            <sz val="9"/>
            <color indexed="81"/>
            <rFont val="Tahoma"/>
            <family val="2"/>
          </rPr>
          <t xml:space="preserve">
7mins misaligned label adjustment, 6mins cleaning labeler </t>
        </r>
      </text>
    </comment>
    <comment ref="V45" authorId="1" shapeId="0" xr:uid="{E9E1F879-EF50-428B-814F-3CC1FF2E9F8B}">
      <text>
        <r>
          <rPr>
            <b/>
            <sz val="9"/>
            <color indexed="81"/>
            <rFont val="Tahoma"/>
            <family val="2"/>
          </rPr>
          <t>Kaylil Baptiste:</t>
        </r>
        <r>
          <rPr>
            <sz val="9"/>
            <color indexed="81"/>
            <rFont val="Tahoma"/>
            <family val="2"/>
          </rPr>
          <t xml:space="preserve">
54mins pasteurizer discharge 3 chain jump out, 15mins fallen bottles on pasteurizer discharge, 12mins fallen bottles stick on EBI shuffler</t>
        </r>
      </text>
    </comment>
    <comment ref="I46" authorId="3" shapeId="0" xr:uid="{97DE3D8C-A010-4117-8189-255FB9F6B7E3}">
      <text>
        <r>
          <rPr>
            <b/>
            <sz val="9"/>
            <color indexed="81"/>
            <rFont val="Tahoma"/>
            <family val="2"/>
          </rPr>
          <t>Micah Noel:</t>
        </r>
        <r>
          <rPr>
            <sz val="9"/>
            <color indexed="81"/>
            <rFont val="Tahoma"/>
            <family val="2"/>
          </rPr>
          <t xml:space="preserve">
Filler change over from Carib to Stag</t>
        </r>
      </text>
    </comment>
    <comment ref="P46" authorId="1" shapeId="0" xr:uid="{EA82171E-E480-47BD-8272-841F7DB19DB0}">
      <text>
        <r>
          <rPr>
            <b/>
            <sz val="9"/>
            <color indexed="81"/>
            <rFont val="Tahoma"/>
            <family val="2"/>
          </rPr>
          <t>Kaylil Baptiste:</t>
        </r>
        <r>
          <rPr>
            <sz val="9"/>
            <color indexed="81"/>
            <rFont val="Tahoma"/>
            <family val="2"/>
          </rPr>
          <t xml:space="preserve">
16mins bottles jam at washer discharge, 8mins bottles jam at washer infeed</t>
        </r>
      </text>
    </comment>
    <comment ref="Q46" authorId="1" shapeId="0" xr:uid="{52B05CDF-DCBA-4AAA-8B0E-04563D73DF5D}">
      <text>
        <r>
          <rPr>
            <b/>
            <sz val="9"/>
            <color indexed="81"/>
            <rFont val="Tahoma"/>
            <family val="2"/>
          </rPr>
          <t>Kaylil Baptiste:</t>
        </r>
        <r>
          <rPr>
            <sz val="9"/>
            <color indexed="81"/>
            <rFont val="Tahoma"/>
            <family val="2"/>
          </rPr>
          <t xml:space="preserve">
5mins label stuck on sensor (heavy inner side wall rejections)</t>
        </r>
      </text>
    </comment>
    <comment ref="U46" authorId="1" shapeId="0" xr:uid="{23A1F45A-98E5-4D39-A0B5-84624D48FFFF}">
      <text>
        <r>
          <rPr>
            <b/>
            <sz val="9"/>
            <color indexed="81"/>
            <rFont val="Tahoma"/>
            <family val="2"/>
          </rPr>
          <t>Kaylil Baptiste:</t>
        </r>
        <r>
          <rPr>
            <sz val="9"/>
            <color indexed="81"/>
            <rFont val="Tahoma"/>
            <family val="2"/>
          </rPr>
          <t xml:space="preserve">
12mins videojet not printing properly </t>
        </r>
      </text>
    </comment>
    <comment ref="V46" authorId="1" shapeId="0" xr:uid="{77D7C177-00F9-492A-929F-576F64A8352A}">
      <text>
        <r>
          <rPr>
            <b/>
            <sz val="9"/>
            <color indexed="81"/>
            <rFont val="Tahoma"/>
            <family val="2"/>
          </rPr>
          <t>Kaylil Baptiste:</t>
        </r>
        <r>
          <rPr>
            <sz val="9"/>
            <color indexed="81"/>
            <rFont val="Tahoma"/>
            <family val="2"/>
          </rPr>
          <t xml:space="preserve">
18mins packer accumulation conveyor chain derailed, 15mins fallen bottles stick on EBI shuffler</t>
        </r>
      </text>
    </comment>
    <comment ref="Z46" authorId="3" shapeId="0" xr:uid="{194CDF69-C928-4C65-BC02-913413B7188A}">
      <text>
        <r>
          <rPr>
            <b/>
            <sz val="9"/>
            <color indexed="81"/>
            <rFont val="Tahoma"/>
            <family val="2"/>
          </rPr>
          <t>Micah Noel:</t>
        </r>
        <r>
          <rPr>
            <sz val="9"/>
            <color indexed="81"/>
            <rFont val="Tahoma"/>
            <family val="2"/>
          </rPr>
          <t xml:space="preserve">
15 mins picking up excess carib bottles from washer (changing from carib to stag) 29 mins break 3 mins switching palletizer</t>
        </r>
      </text>
    </comment>
    <comment ref="AB46" authorId="1" shapeId="0" xr:uid="{0BE28596-DFF4-401B-A824-DFAE79F0FACE}">
      <text>
        <r>
          <rPr>
            <b/>
            <sz val="9"/>
            <color indexed="81"/>
            <rFont val="Tahoma"/>
            <family val="2"/>
          </rPr>
          <t xml:space="preserve">Kaylil Baptiste:
</t>
        </r>
        <r>
          <rPr>
            <sz val="9"/>
            <color indexed="81"/>
            <rFont val="Tahoma"/>
            <family val="2"/>
          </rPr>
          <t>5mins waiting on bottles</t>
        </r>
      </text>
    </comment>
    <comment ref="T47" authorId="1" shapeId="0" xr:uid="{FD9BB341-1752-4173-B8E1-5FA22B24EE05}">
      <text>
        <r>
          <rPr>
            <b/>
            <sz val="9"/>
            <color indexed="81"/>
            <rFont val="Tahoma"/>
            <family val="2"/>
          </rPr>
          <t>Kaylil Baptiste:</t>
        </r>
        <r>
          <rPr>
            <sz val="9"/>
            <color indexed="81"/>
            <rFont val="Tahoma"/>
            <family val="2"/>
          </rPr>
          <t xml:space="preserve">
13mins twisted labels</t>
        </r>
      </text>
    </comment>
    <comment ref="V47" authorId="1" shapeId="0" xr:uid="{6B36BCEC-63AD-4286-8051-339ADCFE47CD}">
      <text>
        <r>
          <rPr>
            <b/>
            <sz val="9"/>
            <color indexed="81"/>
            <rFont val="Tahoma"/>
            <family val="2"/>
          </rPr>
          <t>Kaylil Baptiste:</t>
        </r>
        <r>
          <rPr>
            <sz val="9"/>
            <color indexed="81"/>
            <rFont val="Tahoma"/>
            <family val="2"/>
          </rPr>
          <t xml:space="preserve">
29mins packer infeed conveyor conveyor trip off, 19mins fallen bottles inside shuffler, 19mins fallen bottles jam at pasteurizer discharge </t>
        </r>
      </text>
    </comment>
    <comment ref="W47" authorId="1" shapeId="0" xr:uid="{279F3563-3249-47A9-87D7-71C94567342E}">
      <text>
        <r>
          <rPr>
            <b/>
            <sz val="9"/>
            <color indexed="81"/>
            <rFont val="Tahoma"/>
            <family val="2"/>
          </rPr>
          <t>Kaylil Baptiste:</t>
        </r>
        <r>
          <rPr>
            <sz val="9"/>
            <color indexed="81"/>
            <rFont val="Tahoma"/>
            <family val="2"/>
          </rPr>
          <t xml:space="preserve">
6mins sensor malfunction on packer</t>
        </r>
      </text>
    </comment>
    <comment ref="Z47" authorId="1" shapeId="0" xr:uid="{5AA63757-6C45-488A-96C9-50A2DFA7E41D}">
      <text>
        <r>
          <rPr>
            <b/>
            <sz val="9"/>
            <color indexed="81"/>
            <rFont val="Tahoma"/>
            <family val="2"/>
          </rPr>
          <t>Kaylil Baptiste:</t>
        </r>
        <r>
          <rPr>
            <sz val="9"/>
            <color indexed="81"/>
            <rFont val="Tahoma"/>
            <family val="2"/>
          </rPr>
          <t xml:space="preserve">
10mins stop to take midnight reading </t>
        </r>
      </text>
    </comment>
    <comment ref="I48" authorId="0" shapeId="0" xr:uid="{99A1CAEB-CC07-4179-9FAD-91687C9E962D}">
      <text>
        <r>
          <rPr>
            <b/>
            <sz val="9"/>
            <color indexed="81"/>
            <rFont val="Tahoma"/>
            <family val="2"/>
          </rPr>
          <t>Michael Julien:</t>
        </r>
        <r>
          <rPr>
            <sz val="9"/>
            <color indexed="81"/>
            <rFont val="Tahoma"/>
            <family val="2"/>
          </rPr>
          <t xml:space="preserve">
51mins change over from stag to ginseng 20 mins labeler change over from old ginseng labels to new</t>
        </r>
      </text>
    </comment>
    <comment ref="J48" authorId="1" shapeId="0" xr:uid="{1AEA28B5-C1F3-434A-909D-23F670782721}">
      <text>
        <r>
          <rPr>
            <b/>
            <sz val="9"/>
            <color indexed="81"/>
            <rFont val="Tahoma"/>
            <family val="2"/>
          </rPr>
          <t>Kaylil Baptiste:</t>
        </r>
        <r>
          <rPr>
            <sz val="9"/>
            <color indexed="81"/>
            <rFont val="Tahoma"/>
            <family val="2"/>
          </rPr>
          <t xml:space="preserve">
bowl level drop </t>
        </r>
      </text>
    </comment>
    <comment ref="P48" authorId="1" shapeId="0" xr:uid="{1B5BEC1B-22FF-4B37-BF45-4A417FE18678}">
      <text>
        <r>
          <rPr>
            <b/>
            <sz val="9"/>
            <color indexed="81"/>
            <rFont val="Tahoma"/>
            <family val="2"/>
          </rPr>
          <t>Kaylil Baptiste:</t>
        </r>
        <r>
          <rPr>
            <sz val="9"/>
            <color indexed="81"/>
            <rFont val="Tahoma"/>
            <family val="2"/>
          </rPr>
          <t xml:space="preserve">
37mins bottles jam at washer discharge</t>
        </r>
      </text>
    </comment>
    <comment ref="Q48" authorId="1" shapeId="0" xr:uid="{9A484451-1758-45B2-B045-6E8AF743CC40}">
      <text>
        <r>
          <rPr>
            <b/>
            <sz val="9"/>
            <color indexed="81"/>
            <rFont val="Tahoma"/>
            <family val="2"/>
          </rPr>
          <t>Kaylil Baptiste:</t>
        </r>
        <r>
          <rPr>
            <sz val="9"/>
            <color indexed="81"/>
            <rFont val="Tahoma"/>
            <family val="2"/>
          </rPr>
          <t xml:space="preserve">
22mins EBI system shut down and reboot, 21mins broken bottles below starwheel, 14mins high EBI rejection</t>
        </r>
      </text>
    </comment>
    <comment ref="S48" authorId="1" shapeId="0" xr:uid="{64839FEF-627A-4568-BCDF-F953261997FE}">
      <text>
        <r>
          <rPr>
            <b/>
            <sz val="9"/>
            <color indexed="81"/>
            <rFont val="Tahoma"/>
            <family val="2"/>
          </rPr>
          <t>Kaylil Baptiste:</t>
        </r>
        <r>
          <rPr>
            <sz val="9"/>
            <color indexed="81"/>
            <rFont val="Tahoma"/>
            <family val="2"/>
          </rPr>
          <t xml:space="preserve">
29mins waiting on dry run</t>
        </r>
      </text>
    </comment>
    <comment ref="V48" authorId="1" shapeId="0" xr:uid="{00F1D20B-9DB4-4724-BC93-3C55274ABCDE}">
      <text>
        <r>
          <rPr>
            <b/>
            <sz val="9"/>
            <color indexed="81"/>
            <rFont val="Tahoma"/>
            <family val="2"/>
          </rPr>
          <t>Kaylil Baptiste:</t>
        </r>
        <r>
          <rPr>
            <sz val="9"/>
            <color indexed="81"/>
            <rFont val="Tahoma"/>
            <family val="2"/>
          </rPr>
          <t xml:space="preserve">
49mins fallen bottles on pasteurizer discharge, 19mins fallen bottles inside shuffler, 9mins crate rinser sensor malfunction</t>
        </r>
      </text>
    </comment>
    <comment ref="W48" authorId="1" shapeId="0" xr:uid="{80D0884B-FB26-4210-9026-8D4DFBB529A4}">
      <text>
        <r>
          <rPr>
            <b/>
            <sz val="9"/>
            <color indexed="81"/>
            <rFont val="Tahoma"/>
            <family val="2"/>
          </rPr>
          <t>Kaylil Baptiste:</t>
        </r>
        <r>
          <rPr>
            <sz val="9"/>
            <color indexed="81"/>
            <rFont val="Tahoma"/>
            <family val="2"/>
          </rPr>
          <t xml:space="preserve">
21mins fingers jamming on damaged crates on packer, 11mins leaking cups on packer had to be changed</t>
        </r>
      </text>
    </comment>
    <comment ref="Z48" authorId="0" shapeId="0" xr:uid="{A0F536B7-D6BC-4C88-9DA2-61F2FB01BCEA}">
      <text>
        <r>
          <rPr>
            <b/>
            <sz val="9"/>
            <color indexed="81"/>
            <rFont val="Tahoma"/>
            <family val="2"/>
          </rPr>
          <t>Michael Julien:</t>
        </r>
        <r>
          <rPr>
            <sz val="9"/>
            <color indexed="81"/>
            <rFont val="Tahoma"/>
            <family val="2"/>
          </rPr>
          <t xml:space="preserve">
7 mins waiting on depalletizer (change of shift)</t>
        </r>
      </text>
    </comment>
    <comment ref="AB48" authorId="3" shapeId="0" xr:uid="{2D6C05AB-6416-486E-A825-61BCD361F536}">
      <text>
        <r>
          <rPr>
            <b/>
            <sz val="9"/>
            <color indexed="81"/>
            <rFont val="Tahoma"/>
            <family val="2"/>
          </rPr>
          <t>Micah Noel:</t>
        </r>
        <r>
          <rPr>
            <sz val="9"/>
            <color indexed="81"/>
            <rFont val="Tahoma"/>
            <family val="2"/>
          </rPr>
          <t xml:space="preserve">
packer stopped (lack of good crates)</t>
        </r>
      </text>
    </comment>
    <comment ref="P61" authorId="4" shapeId="0" xr:uid="{00000000-0006-0000-1600-00000F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V61" authorId="4" shapeId="0" xr:uid="{00000000-0006-0000-1600-00001001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Kaylil Baptiste</author>
    <author>Michael Julien</author>
    <author>Dorien Andrew</author>
    <author>Micah Noel</author>
    <author>Tyrell Bartholomew</author>
    <author>Royd</author>
  </authors>
  <commentList>
    <comment ref="O8" authorId="0" shapeId="0" xr:uid="{756852EF-B992-414C-816C-B538EDAA7016}">
      <text>
        <r>
          <rPr>
            <b/>
            <sz val="9"/>
            <color indexed="81"/>
            <rFont val="Tahoma"/>
            <family val="2"/>
          </rPr>
          <t>Kaylil Baptiste:</t>
        </r>
        <r>
          <rPr>
            <sz val="9"/>
            <color indexed="81"/>
            <rFont val="Tahoma"/>
            <family val="2"/>
          </rPr>
          <t xml:space="preserve">
5mins uncaser head hitting crates</t>
        </r>
      </text>
    </comment>
    <comment ref="Q8" authorId="0" shapeId="0" xr:uid="{F8EE828A-C109-4337-8851-DE37FB5B528B}">
      <text>
        <r>
          <rPr>
            <b/>
            <sz val="9"/>
            <color indexed="81"/>
            <rFont val="Tahoma"/>
            <family val="2"/>
          </rPr>
          <t>Kaylil Baptiste:</t>
        </r>
        <r>
          <rPr>
            <sz val="9"/>
            <color indexed="81"/>
            <rFont val="Tahoma"/>
            <family val="2"/>
          </rPr>
          <t xml:space="preserve">
135mins vaccuum pressure failure on EBI, 39mins test bottles failure</t>
        </r>
      </text>
    </comment>
    <comment ref="R8" authorId="0" shapeId="0" xr:uid="{BC572DE8-2371-4931-9B6E-BC94F683FF3E}">
      <text>
        <r>
          <rPr>
            <b/>
            <sz val="9"/>
            <color indexed="81"/>
            <rFont val="Tahoma"/>
            <family val="2"/>
          </rPr>
          <t>Kaylil Baptiste:</t>
        </r>
        <r>
          <rPr>
            <sz val="9"/>
            <color indexed="81"/>
            <rFont val="Tahoma"/>
            <family val="2"/>
          </rPr>
          <t xml:space="preserve">
30mins adjustment to bottle stop unit (sticking)</t>
        </r>
      </text>
    </comment>
    <comment ref="U8" authorId="0" shapeId="0" xr:uid="{CF03A706-F638-4122-B15C-4D220BD405F6}">
      <text>
        <r>
          <rPr>
            <b/>
            <sz val="9"/>
            <color indexed="81"/>
            <rFont val="Tahoma"/>
            <family val="2"/>
          </rPr>
          <t>Kaylil Baptiste:</t>
        </r>
        <r>
          <rPr>
            <sz val="9"/>
            <color indexed="81"/>
            <rFont val="Tahoma"/>
            <family val="2"/>
          </rPr>
          <t xml:space="preserve">
32mins videojet not printing properly</t>
        </r>
      </text>
    </comment>
    <comment ref="V8" authorId="0" shapeId="0" xr:uid="{C8C52878-4A5F-4081-B945-BBA35A475A8D}">
      <text>
        <r>
          <rPr>
            <b/>
            <sz val="9"/>
            <color indexed="81"/>
            <rFont val="Tahoma"/>
            <family val="2"/>
          </rPr>
          <t>Kaylil Baptiste:</t>
        </r>
        <r>
          <rPr>
            <sz val="9"/>
            <color indexed="81"/>
            <rFont val="Tahoma"/>
            <family val="2"/>
          </rPr>
          <t xml:space="preserve">
7mins fallen bottles inside </t>
        </r>
      </text>
    </comment>
    <comment ref="I9" authorId="0" shapeId="0" xr:uid="{50FB4F92-46F1-46A4-9C86-84A2658C901B}">
      <text>
        <r>
          <rPr>
            <b/>
            <sz val="9"/>
            <color indexed="81"/>
            <rFont val="Tahoma"/>
            <family val="2"/>
          </rPr>
          <t>Kaylil Baptiste:</t>
        </r>
        <r>
          <rPr>
            <sz val="9"/>
            <color indexed="81"/>
            <rFont val="Tahoma"/>
            <family val="2"/>
          </rPr>
          <t xml:space="preserve">
220mins product change over </t>
        </r>
      </text>
    </comment>
    <comment ref="Q9" authorId="0" shapeId="0" xr:uid="{3453006F-F561-4258-93FD-703E4E2D590D}">
      <text>
        <r>
          <rPr>
            <b/>
            <sz val="9"/>
            <color indexed="81"/>
            <rFont val="Tahoma"/>
            <family val="2"/>
          </rPr>
          <t>Kaylil Baptiste:</t>
        </r>
        <r>
          <rPr>
            <sz val="9"/>
            <color indexed="81"/>
            <rFont val="Tahoma"/>
            <family val="2"/>
          </rPr>
          <t xml:space="preserve">
40mins switching seal ring on starwheel on EBI, 23mins high EBI rejection, 8mins fallen bottles on EBI starwheel</t>
        </r>
      </text>
    </comment>
    <comment ref="R9" authorId="0" shapeId="0" xr:uid="{74B8BEB1-88D0-4231-BE04-AEB9042D64AD}">
      <text>
        <r>
          <rPr>
            <b/>
            <sz val="9"/>
            <color indexed="81"/>
            <rFont val="Tahoma"/>
            <family val="2"/>
          </rPr>
          <t>Kaylil Baptiste:</t>
        </r>
        <r>
          <rPr>
            <sz val="9"/>
            <color indexed="81"/>
            <rFont val="Tahoma"/>
            <family val="2"/>
          </rPr>
          <t xml:space="preserve">
10mins replacing tube on filler, 5mins filler infeed worm jammed</t>
        </r>
      </text>
    </comment>
    <comment ref="T9" authorId="0" shapeId="0" xr:uid="{1DE39D35-394B-4CB8-89D3-5BAE0CF25E7A}">
      <text>
        <r>
          <rPr>
            <b/>
            <sz val="9"/>
            <color indexed="81"/>
            <rFont val="Tahoma"/>
            <family val="2"/>
          </rPr>
          <t>Kaylil Baptiste:</t>
        </r>
        <r>
          <rPr>
            <sz val="9"/>
            <color indexed="81"/>
            <rFont val="Tahoma"/>
            <family val="2"/>
          </rPr>
          <t xml:space="preserve">
10mins magazine adjustment</t>
        </r>
      </text>
    </comment>
    <comment ref="V9" authorId="0" shapeId="0" xr:uid="{650852A7-5543-4D30-870B-2CFCFFF6A24B}">
      <text>
        <r>
          <rPr>
            <b/>
            <sz val="9"/>
            <color indexed="81"/>
            <rFont val="Tahoma"/>
            <family val="2"/>
          </rPr>
          <t>Kaylil Baptiste:</t>
        </r>
        <r>
          <rPr>
            <sz val="9"/>
            <color indexed="81"/>
            <rFont val="Tahoma"/>
            <family val="2"/>
          </rPr>
          <t xml:space="preserve">
10mins labeler infeed conveyor jumping, 9mins fallen bottles inside shuffler</t>
        </r>
      </text>
    </comment>
    <comment ref="Z9" authorId="1" shapeId="0" xr:uid="{AB2D4E11-6CC4-482F-9D33-F3577AE8B3A5}">
      <text>
        <r>
          <rPr>
            <b/>
            <sz val="9"/>
            <color indexed="81"/>
            <rFont val="Tahoma"/>
            <family val="2"/>
          </rPr>
          <t>Michael Julien:</t>
        </r>
        <r>
          <rPr>
            <sz val="9"/>
            <color indexed="81"/>
            <rFont val="Tahoma"/>
            <family val="2"/>
          </rPr>
          <t xml:space="preserve">
no one at pasteurizer discharge.</t>
        </r>
      </text>
    </comment>
    <comment ref="AB9" authorId="2" shapeId="0" xr:uid="{D4284EB5-7772-486E-9D62-111EAF613826}">
      <text>
        <r>
          <rPr>
            <b/>
            <sz val="9"/>
            <color indexed="81"/>
            <rFont val="Tahoma"/>
            <family val="2"/>
          </rPr>
          <t>Dorien Andrew:</t>
        </r>
        <r>
          <rPr>
            <sz val="9"/>
            <color indexed="81"/>
            <rFont val="Tahoma"/>
            <family val="2"/>
          </rPr>
          <t xml:space="preserve">
incorrect bottles jamming EBI</t>
        </r>
      </text>
    </comment>
    <comment ref="I10" authorId="3" shapeId="0" xr:uid="{2EAFC968-6ACF-4795-BA63-666E2F064A2D}">
      <text>
        <r>
          <rPr>
            <b/>
            <sz val="9"/>
            <color indexed="81"/>
            <rFont val="Tahoma"/>
            <family val="2"/>
          </rPr>
          <t>Micah Noel:</t>
        </r>
        <r>
          <rPr>
            <sz val="9"/>
            <color indexed="81"/>
            <rFont val="Tahoma"/>
            <family val="2"/>
          </rPr>
          <t xml:space="preserve">
Filler CIP and prep for Carib bottling</t>
        </r>
      </text>
    </comment>
    <comment ref="J10" authorId="0" shapeId="0" xr:uid="{20F486AC-B1F6-4D0C-8AAD-6E4502734DDE}">
      <text>
        <r>
          <rPr>
            <b/>
            <sz val="9"/>
            <color indexed="81"/>
            <rFont val="Tahoma"/>
            <family val="2"/>
          </rPr>
          <t>Kaylil Baptiste:</t>
        </r>
        <r>
          <rPr>
            <sz val="9"/>
            <color indexed="81"/>
            <rFont val="Tahoma"/>
            <family val="2"/>
          </rPr>
          <t xml:space="preserve">
low filler bowl level</t>
        </r>
      </text>
    </comment>
    <comment ref="L10" authorId="0" shapeId="0" xr:uid="{F1D92C9D-D0BA-41A6-AF61-2458A7482760}">
      <text>
        <r>
          <rPr>
            <b/>
            <sz val="9"/>
            <color indexed="81"/>
            <rFont val="Tahoma"/>
            <family val="2"/>
          </rPr>
          <t>Kaylil Baptiste:</t>
        </r>
        <r>
          <rPr>
            <sz val="9"/>
            <color indexed="81"/>
            <rFont val="Tahoma"/>
            <family val="2"/>
          </rPr>
          <t xml:space="preserve">
low CO2 on filler </t>
        </r>
      </text>
    </comment>
    <comment ref="P10" authorId="0" shapeId="0" xr:uid="{C935008E-2906-4C25-B9B8-F040230BC924}">
      <text>
        <r>
          <rPr>
            <b/>
            <sz val="9"/>
            <color indexed="81"/>
            <rFont val="Tahoma"/>
            <family val="2"/>
          </rPr>
          <t>Kaylil Baptiste:</t>
        </r>
        <r>
          <rPr>
            <sz val="9"/>
            <color indexed="81"/>
            <rFont val="Tahoma"/>
            <family val="2"/>
          </rPr>
          <t xml:space="preserve">
7mins bottles jam at washer discharge</t>
        </r>
      </text>
    </comment>
    <comment ref="Q10" authorId="0" shapeId="0" xr:uid="{E5436B4F-5B82-484C-B660-9B387E5AF5CB}">
      <text>
        <r>
          <rPr>
            <b/>
            <sz val="9"/>
            <color indexed="81"/>
            <rFont val="Tahoma"/>
            <family val="2"/>
          </rPr>
          <t>Kaylil Baptiste:</t>
        </r>
        <r>
          <rPr>
            <sz val="9"/>
            <color indexed="81"/>
            <rFont val="Tahoma"/>
            <family val="2"/>
          </rPr>
          <t xml:space="preserve">
463mins vaccum failure on EBI, 50mins bottles jamming at EBI starwheel, 19mins bent transfer plate on EBI, 10mins high EBI rejection </t>
        </r>
      </text>
    </comment>
    <comment ref="R10" authorId="0" shapeId="0" xr:uid="{A7D92BBF-A16B-4ACA-A8E9-CC045162BE5E}">
      <text>
        <r>
          <rPr>
            <b/>
            <sz val="9"/>
            <color indexed="81"/>
            <rFont val="Tahoma"/>
            <family val="2"/>
          </rPr>
          <t>Kaylil Baptiste:</t>
        </r>
        <r>
          <rPr>
            <sz val="9"/>
            <color indexed="81"/>
            <rFont val="Tahoma"/>
            <family val="2"/>
          </rPr>
          <t xml:space="preserve">
87mins infeed worm jam on filler, 7mins stop to service valve #44 on filler</t>
        </r>
      </text>
    </comment>
    <comment ref="U10" authorId="0" shapeId="0" xr:uid="{A01D4B89-0C9E-4517-996A-FC742AA4F56D}">
      <text>
        <r>
          <rPr>
            <b/>
            <sz val="9"/>
            <color indexed="81"/>
            <rFont val="Tahoma"/>
            <family val="2"/>
          </rPr>
          <t>Kaylil Baptiste:</t>
        </r>
        <r>
          <rPr>
            <sz val="9"/>
            <color indexed="81"/>
            <rFont val="Tahoma"/>
            <family val="2"/>
          </rPr>
          <t xml:space="preserve">
41mins videojet not printing properly </t>
        </r>
      </text>
    </comment>
    <comment ref="V10" authorId="0" shapeId="0" xr:uid="{B5F117A0-35F5-4D76-BCA3-9BC42B11C7B9}">
      <text>
        <r>
          <rPr>
            <b/>
            <sz val="9"/>
            <color indexed="81"/>
            <rFont val="Tahoma"/>
            <family val="2"/>
          </rPr>
          <t>Kaylil Baptiste:</t>
        </r>
        <r>
          <rPr>
            <sz val="9"/>
            <color indexed="81"/>
            <rFont val="Tahoma"/>
            <family val="2"/>
          </rPr>
          <t xml:space="preserve">
49mins EBI discharge conveyor dropped, 18mins filler discharge cut off, 18mins labeler infeed not coming on, 6mins pasteurizer discharge cut off</t>
        </r>
      </text>
    </comment>
    <comment ref="Z10" authorId="3" shapeId="0" xr:uid="{264648DE-4448-4D34-AE02-C93ECF8FEFA6}">
      <text>
        <r>
          <rPr>
            <b/>
            <sz val="9"/>
            <color indexed="81"/>
            <rFont val="Tahoma"/>
            <family val="2"/>
          </rPr>
          <t>Micah Noel:</t>
        </r>
        <r>
          <rPr>
            <sz val="9"/>
            <color indexed="81"/>
            <rFont val="Tahoma"/>
            <family val="2"/>
          </rPr>
          <t xml:space="preserve">
30 mins for lunch break</t>
        </r>
      </text>
    </comment>
    <comment ref="I11" authorId="0" shapeId="0" xr:uid="{37F8B7F5-1BA5-4A01-AC68-C7CB2BB8E6FF}">
      <text>
        <r>
          <rPr>
            <b/>
            <sz val="9"/>
            <color indexed="81"/>
            <rFont val="Tahoma"/>
            <family val="2"/>
          </rPr>
          <t>Kaylil Baptiste:</t>
        </r>
        <r>
          <rPr>
            <sz val="9"/>
            <color indexed="81"/>
            <rFont val="Tahoma"/>
            <family val="2"/>
          </rPr>
          <t xml:space="preserve">
6mins product change over</t>
        </r>
      </text>
    </comment>
    <comment ref="J11" authorId="0" shapeId="0" xr:uid="{87C41503-8075-4391-B965-D5E505317E09}">
      <text>
        <r>
          <rPr>
            <b/>
            <sz val="9"/>
            <color indexed="81"/>
            <rFont val="Tahoma"/>
            <family val="2"/>
          </rPr>
          <t>Kaylil Baptiste:</t>
        </r>
        <r>
          <rPr>
            <sz val="9"/>
            <color indexed="81"/>
            <rFont val="Tahoma"/>
            <family val="2"/>
          </rPr>
          <t xml:space="preserve">
6mins low filler bowl level</t>
        </r>
      </text>
    </comment>
    <comment ref="Q11" authorId="0" shapeId="0" xr:uid="{11ED98FD-70C8-402A-A017-849C1B69A845}">
      <text>
        <r>
          <rPr>
            <b/>
            <sz val="9"/>
            <color indexed="81"/>
            <rFont val="Tahoma"/>
            <family val="2"/>
          </rPr>
          <t>Kaylil Baptiste:</t>
        </r>
        <r>
          <rPr>
            <sz val="9"/>
            <color indexed="81"/>
            <rFont val="Tahoma"/>
            <family val="2"/>
          </rPr>
          <t xml:space="preserve">
7mins high EBI rejection </t>
        </r>
      </text>
    </comment>
    <comment ref="R11" authorId="0" shapeId="0" xr:uid="{CCA85A09-4EC7-4830-8263-34985B2C6FC3}">
      <text>
        <r>
          <rPr>
            <b/>
            <sz val="9"/>
            <color indexed="81"/>
            <rFont val="Tahoma"/>
            <family val="2"/>
          </rPr>
          <t>Kaylil Baptiste:</t>
        </r>
        <r>
          <rPr>
            <sz val="9"/>
            <color indexed="81"/>
            <rFont val="Tahoma"/>
            <family val="2"/>
          </rPr>
          <t xml:space="preserve">
11mins replacing bent tube on filler</t>
        </r>
      </text>
    </comment>
    <comment ref="V11" authorId="0" shapeId="0" xr:uid="{69DA726E-955A-43FD-A864-0B21054B04B2}">
      <text>
        <r>
          <rPr>
            <b/>
            <sz val="9"/>
            <color indexed="81"/>
            <rFont val="Tahoma"/>
            <family val="2"/>
          </rPr>
          <t>Kaylil Baptiste:</t>
        </r>
        <r>
          <rPr>
            <sz val="9"/>
            <color indexed="81"/>
            <rFont val="Tahoma"/>
            <family val="2"/>
          </rPr>
          <t xml:space="preserve">
8mins EBI infeed worm jam</t>
        </r>
      </text>
    </comment>
    <comment ref="P12" authorId="0" shapeId="0" xr:uid="{59CD6A8C-757C-46A7-AB0B-E067602B29DD}">
      <text>
        <r>
          <rPr>
            <b/>
            <sz val="9"/>
            <color indexed="81"/>
            <rFont val="Tahoma"/>
            <family val="2"/>
          </rPr>
          <t>Kaylil Baptiste:</t>
        </r>
        <r>
          <rPr>
            <sz val="9"/>
            <color indexed="81"/>
            <rFont val="Tahoma"/>
            <family val="2"/>
          </rPr>
          <t xml:space="preserve">
19mins bottles jam at washer discharge</t>
        </r>
      </text>
    </comment>
    <comment ref="Q12" authorId="0" shapeId="0" xr:uid="{082170D6-1A1A-4294-B682-4C7151EBD126}">
      <text>
        <r>
          <rPr>
            <b/>
            <sz val="9"/>
            <color indexed="81"/>
            <rFont val="Tahoma"/>
            <family val="2"/>
          </rPr>
          <t>Kaylil Baptiste:</t>
        </r>
        <r>
          <rPr>
            <sz val="9"/>
            <color indexed="81"/>
            <rFont val="Tahoma"/>
            <family val="2"/>
          </rPr>
          <t xml:space="preserve">
67mins broken test bottle #3 (a new one had to be made), 8mins EBI unit running slow, 5mins fallen bottles on EBI starwheel</t>
        </r>
      </text>
    </comment>
    <comment ref="R12" authorId="0" shapeId="0" xr:uid="{06DEE026-7131-461B-A012-59BB414BCF45}">
      <text>
        <r>
          <rPr>
            <b/>
            <sz val="9"/>
            <color indexed="81"/>
            <rFont val="Tahoma"/>
            <family val="2"/>
          </rPr>
          <t>Kaylil Baptiste:</t>
        </r>
        <r>
          <rPr>
            <sz val="9"/>
            <color indexed="81"/>
            <rFont val="Tahoma"/>
            <family val="2"/>
          </rPr>
          <t xml:space="preserve">
18mins stop to fix filler worm infeed, 7mins crowns stuck in chute, 7mins cleaning filler base </t>
        </r>
      </text>
    </comment>
    <comment ref="T12" authorId="0" shapeId="0" xr:uid="{EFC8F910-5F48-4D0A-9610-CD9E68C0DEDB}">
      <text>
        <r>
          <rPr>
            <b/>
            <sz val="9"/>
            <color indexed="81"/>
            <rFont val="Tahoma"/>
            <family val="2"/>
          </rPr>
          <t>Kaylil Baptiste:</t>
        </r>
        <r>
          <rPr>
            <sz val="9"/>
            <color indexed="81"/>
            <rFont val="Tahoma"/>
            <family val="2"/>
          </rPr>
          <t xml:space="preserve">
23mins adjustment on magazine on labeler </t>
        </r>
      </text>
    </comment>
    <comment ref="V12" authorId="0" shapeId="0" xr:uid="{1013070F-B7E7-4E57-A883-240554D5AF63}">
      <text>
        <r>
          <rPr>
            <b/>
            <sz val="9"/>
            <color indexed="81"/>
            <rFont val="Tahoma"/>
            <family val="2"/>
          </rPr>
          <t>Kaylil Baptiste:</t>
        </r>
        <r>
          <rPr>
            <sz val="9"/>
            <color indexed="81"/>
            <rFont val="Tahoma"/>
            <family val="2"/>
          </rPr>
          <t xml:space="preserve">
38mins bottles stuck in shuffler before EBI </t>
        </r>
      </text>
    </comment>
    <comment ref="W12" authorId="0" shapeId="0" xr:uid="{F416971F-FC67-4763-81D3-5FAB6B427B7B}">
      <text>
        <r>
          <rPr>
            <b/>
            <sz val="9"/>
            <color indexed="81"/>
            <rFont val="Tahoma"/>
            <family val="2"/>
          </rPr>
          <t>Kaylil Baptiste:</t>
        </r>
        <r>
          <rPr>
            <sz val="9"/>
            <color indexed="81"/>
            <rFont val="Tahoma"/>
            <family val="2"/>
          </rPr>
          <t xml:space="preserve">
15mins replacing fingers on packer </t>
        </r>
      </text>
    </comment>
    <comment ref="Z12" authorId="2" shapeId="0" xr:uid="{C86F4ABA-EDC2-448F-B185-58B82C857B96}">
      <text>
        <r>
          <rPr>
            <b/>
            <sz val="9"/>
            <color indexed="81"/>
            <rFont val="Tahoma"/>
            <family val="2"/>
          </rPr>
          <t>Dorien Andrew:</t>
        </r>
        <r>
          <rPr>
            <sz val="9"/>
            <color indexed="81"/>
            <rFont val="Tahoma"/>
            <family val="2"/>
          </rPr>
          <t xml:space="preserve">
filler operator taking midnight readings (change over to a new day)</t>
        </r>
      </text>
    </comment>
    <comment ref="P13" authorId="0" shapeId="0" xr:uid="{0E1E5ABA-D929-4C9B-8E63-AE9F1C3049C7}">
      <text>
        <r>
          <rPr>
            <b/>
            <sz val="9"/>
            <color indexed="81"/>
            <rFont val="Tahoma"/>
            <family val="2"/>
          </rPr>
          <t>Kaylil Baptiste:</t>
        </r>
        <r>
          <rPr>
            <sz val="9"/>
            <color indexed="81"/>
            <rFont val="Tahoma"/>
            <family val="2"/>
          </rPr>
          <t xml:space="preserve">
25mins fallen bottles on washer discharge</t>
        </r>
      </text>
    </comment>
    <comment ref="Q13" authorId="0" shapeId="0" xr:uid="{01F8C970-282B-4FCC-AE10-2BDBBBEF42F3}">
      <text>
        <r>
          <rPr>
            <b/>
            <sz val="9"/>
            <color indexed="81"/>
            <rFont val="Tahoma"/>
            <family val="2"/>
          </rPr>
          <t>Kaylil Baptiste:</t>
        </r>
        <r>
          <rPr>
            <sz val="9"/>
            <color indexed="81"/>
            <rFont val="Tahoma"/>
            <family val="2"/>
          </rPr>
          <t xml:space="preserve">
10mins frozen screen on EBI </t>
        </r>
      </text>
    </comment>
    <comment ref="V13" authorId="0" shapeId="0" xr:uid="{8482D41E-4C84-4627-A58E-948A33E41D98}">
      <text>
        <r>
          <rPr>
            <b/>
            <sz val="9"/>
            <color indexed="81"/>
            <rFont val="Tahoma"/>
            <family val="2"/>
          </rPr>
          <t>Kaylil Baptiste:</t>
        </r>
        <r>
          <rPr>
            <sz val="9"/>
            <color indexed="81"/>
            <rFont val="Tahoma"/>
            <family val="2"/>
          </rPr>
          <t xml:space="preserve">
21mins bottles stuck in shuffler before EBI</t>
        </r>
      </text>
    </comment>
    <comment ref="Z13" authorId="0" shapeId="0" xr:uid="{04FE5538-9CBA-43F0-A7FD-5CC5D73FB5EE}">
      <text>
        <r>
          <rPr>
            <b/>
            <sz val="9"/>
            <color indexed="81"/>
            <rFont val="Tahoma"/>
            <family val="2"/>
          </rPr>
          <t>Kaylil Baptiste:</t>
        </r>
        <r>
          <rPr>
            <sz val="9"/>
            <color indexed="81"/>
            <rFont val="Tahoma"/>
            <family val="2"/>
          </rPr>
          <t xml:space="preserve">
Filler operator taking midnight readings (change over to a new day)</t>
        </r>
      </text>
    </comment>
    <comment ref="I14" authorId="2" shapeId="0" xr:uid="{E0A51D3C-D353-4614-9B31-20FC36DB9247}">
      <text>
        <r>
          <rPr>
            <b/>
            <sz val="9"/>
            <color indexed="81"/>
            <rFont val="Tahoma"/>
            <family val="2"/>
          </rPr>
          <t>Dorien Andrew:</t>
        </r>
        <r>
          <rPr>
            <sz val="9"/>
            <color indexed="81"/>
            <rFont val="Tahoma"/>
            <family val="2"/>
          </rPr>
          <t xml:space="preserve">
60 mins for change over</t>
        </r>
      </text>
    </comment>
    <comment ref="J14" authorId="2" shapeId="0" xr:uid="{C8FAD94B-A23A-496B-9984-C6740AC86319}">
      <text>
        <r>
          <rPr>
            <b/>
            <sz val="9"/>
            <color indexed="81"/>
            <rFont val="Tahoma"/>
            <family val="2"/>
          </rPr>
          <t>Dorien Andrew:</t>
        </r>
        <r>
          <rPr>
            <sz val="9"/>
            <color indexed="81"/>
            <rFont val="Tahoma"/>
            <family val="2"/>
          </rPr>
          <t xml:space="preserve">
89MINS Ting had to be adjusted for high TA</t>
        </r>
      </text>
    </comment>
    <comment ref="L14" authorId="2" shapeId="0" xr:uid="{4D94B596-0D9A-458B-B390-F0C12582D011}">
      <text>
        <r>
          <rPr>
            <b/>
            <sz val="9"/>
            <color indexed="81"/>
            <rFont val="Tahoma"/>
            <family val="2"/>
          </rPr>
          <t>Dorien Andrew:</t>
        </r>
        <r>
          <rPr>
            <sz val="9"/>
            <color indexed="81"/>
            <rFont val="Tahoma"/>
            <family val="2"/>
          </rPr>
          <t xml:space="preserve">
41mins low CO2 in soft drink plant</t>
        </r>
      </text>
    </comment>
    <comment ref="R14" authorId="0" shapeId="0" xr:uid="{0D276222-0D88-4B7D-A896-75E6D31C4058}">
      <text>
        <r>
          <rPr>
            <b/>
            <sz val="9"/>
            <color indexed="81"/>
            <rFont val="Tahoma"/>
            <family val="2"/>
          </rPr>
          <t>Kaylil Baptiste:</t>
        </r>
        <r>
          <rPr>
            <sz val="9"/>
            <color indexed="81"/>
            <rFont val="Tahoma"/>
            <family val="2"/>
          </rPr>
          <t xml:space="preserve">
17mins checking diaphram on filler, 6mins cleaning filler base</t>
        </r>
      </text>
    </comment>
    <comment ref="Z14" authorId="0" shapeId="0" xr:uid="{2AC30BF2-F26C-4EB1-B8EE-6927E2D9730B}">
      <text>
        <r>
          <rPr>
            <b/>
            <sz val="9"/>
            <color indexed="81"/>
            <rFont val="Tahoma"/>
            <family val="2"/>
          </rPr>
          <t>Kaylil Baptiste:</t>
        </r>
        <r>
          <rPr>
            <sz val="9"/>
            <color indexed="81"/>
            <rFont val="Tahoma"/>
            <family val="2"/>
          </rPr>
          <t xml:space="preserve"> 
60mins for midweek cleaning</t>
        </r>
      </text>
    </comment>
    <comment ref="I15" authorId="1" shapeId="0" xr:uid="{CBBE610E-12B0-4324-A129-763CA0FF21AA}">
      <text>
        <r>
          <rPr>
            <b/>
            <sz val="9"/>
            <color indexed="81"/>
            <rFont val="Tahoma"/>
            <family val="2"/>
          </rPr>
          <t>Michael Julien:</t>
        </r>
        <r>
          <rPr>
            <sz val="9"/>
            <color indexed="81"/>
            <rFont val="Tahoma"/>
            <family val="2"/>
          </rPr>
          <t xml:space="preserve">
Change over from ting to stag.</t>
        </r>
      </text>
    </comment>
    <comment ref="P15" authorId="0" shapeId="0" xr:uid="{50A4F11F-A8D8-463A-9112-85C47790F35B}">
      <text>
        <r>
          <rPr>
            <b/>
            <sz val="9"/>
            <color indexed="81"/>
            <rFont val="Tahoma"/>
            <family val="2"/>
          </rPr>
          <t>Kaylil Baptiste:</t>
        </r>
        <r>
          <rPr>
            <sz val="9"/>
            <color indexed="81"/>
            <rFont val="Tahoma"/>
            <family val="2"/>
          </rPr>
          <t xml:space="preserve">
6mins stop to clean tank on washer, 5mins fallen bottles on washer discharge</t>
        </r>
      </text>
    </comment>
    <comment ref="R15" authorId="0" shapeId="0" xr:uid="{90E3BBFC-2984-46C3-BE09-19460AA6920C}">
      <text>
        <r>
          <rPr>
            <b/>
            <sz val="9"/>
            <color indexed="81"/>
            <rFont val="Tahoma"/>
            <family val="2"/>
          </rPr>
          <t>Kaylil Baptiste:</t>
        </r>
        <r>
          <rPr>
            <sz val="9"/>
            <color indexed="81"/>
            <rFont val="Tahoma"/>
            <family val="2"/>
          </rPr>
          <t xml:space="preserve">
10mins filler communication malfunction</t>
        </r>
      </text>
    </comment>
    <comment ref="T15" authorId="0" shapeId="0" xr:uid="{1B709109-EECA-4F0A-AF64-B4393B496E90}">
      <text>
        <r>
          <rPr>
            <b/>
            <sz val="9"/>
            <color indexed="81"/>
            <rFont val="Tahoma"/>
            <family val="2"/>
          </rPr>
          <t>Kaylil Baptiste:</t>
        </r>
        <r>
          <rPr>
            <sz val="9"/>
            <color indexed="81"/>
            <rFont val="Tahoma"/>
            <family val="2"/>
          </rPr>
          <t xml:space="preserve">
6mins missing labels, 5mins startup adjustments on labeler </t>
        </r>
      </text>
    </comment>
    <comment ref="AB15" authorId="1" shapeId="0" xr:uid="{CFAB4EC0-F102-460D-8949-6E8618F59D31}">
      <text>
        <r>
          <rPr>
            <b/>
            <sz val="9"/>
            <color indexed="81"/>
            <rFont val="Tahoma"/>
            <family val="2"/>
          </rPr>
          <t>Michael Julien:</t>
        </r>
        <r>
          <rPr>
            <sz val="9"/>
            <color indexed="81"/>
            <rFont val="Tahoma"/>
            <family val="2"/>
          </rPr>
          <t xml:space="preserve">
waiting on the forklift</t>
        </r>
      </text>
    </comment>
    <comment ref="J16" authorId="3" shapeId="0" xr:uid="{A4BA8D6F-96A1-447D-9174-ED2509172F1A}">
      <text>
        <r>
          <rPr>
            <b/>
            <sz val="9"/>
            <color indexed="81"/>
            <rFont val="Tahoma"/>
            <family val="2"/>
          </rPr>
          <t>Micah Noel:</t>
        </r>
        <r>
          <rPr>
            <sz val="9"/>
            <color indexed="81"/>
            <rFont val="Tahoma"/>
            <family val="2"/>
          </rPr>
          <t xml:space="preserve">
10mins empty BBT caused low filler bowl level</t>
        </r>
      </text>
    </comment>
    <comment ref="O16" authorId="0" shapeId="0" xr:uid="{8E872D32-224C-4781-B272-B8AE718CE955}">
      <text>
        <r>
          <rPr>
            <b/>
            <sz val="9"/>
            <color indexed="81"/>
            <rFont val="Tahoma"/>
            <family val="2"/>
          </rPr>
          <t>Kaylil Baptiste:</t>
        </r>
        <r>
          <rPr>
            <sz val="9"/>
            <color indexed="81"/>
            <rFont val="Tahoma"/>
            <family val="2"/>
          </rPr>
          <t xml:space="preserve">
5mins uncaser head hitting crates</t>
        </r>
      </text>
    </comment>
    <comment ref="P16" authorId="0" shapeId="0" xr:uid="{D093E22F-3A6F-420B-8E5C-3297993D1BA6}">
      <text>
        <r>
          <rPr>
            <b/>
            <sz val="9"/>
            <color indexed="81"/>
            <rFont val="Tahoma"/>
            <family val="2"/>
          </rPr>
          <t>Kaylil Baptiste:</t>
        </r>
        <r>
          <rPr>
            <sz val="9"/>
            <color indexed="81"/>
            <rFont val="Tahoma"/>
            <family val="2"/>
          </rPr>
          <t xml:space="preserve">
13mins fallen bottles jam at washer discharge flap, 
12mins fallen bottles jam at washer infeed flap </t>
        </r>
      </text>
    </comment>
    <comment ref="R16" authorId="0" shapeId="0" xr:uid="{B6270BF7-2CE4-4D0D-AFBB-5006C1BF5AF8}">
      <text>
        <r>
          <rPr>
            <b/>
            <sz val="9"/>
            <color indexed="81"/>
            <rFont val="Tahoma"/>
            <family val="2"/>
          </rPr>
          <t>Kaylil Baptiste:</t>
        </r>
        <r>
          <rPr>
            <sz val="9"/>
            <color indexed="81"/>
            <rFont val="Tahoma"/>
            <family val="2"/>
          </rPr>
          <t xml:space="preserve">
35mins communication fault on filler </t>
        </r>
      </text>
    </comment>
    <comment ref="V16" authorId="0" shapeId="0" xr:uid="{8A83DB09-AEDB-4FEF-9258-2F0D922F80E9}">
      <text>
        <r>
          <rPr>
            <b/>
            <sz val="9"/>
            <color indexed="81"/>
            <rFont val="Tahoma"/>
            <family val="2"/>
          </rPr>
          <t>Kaylil Baptiste:</t>
        </r>
        <r>
          <rPr>
            <sz val="9"/>
            <color indexed="81"/>
            <rFont val="Tahoma"/>
            <family val="2"/>
          </rPr>
          <t xml:space="preserve">
19mins fallen bottles on EBI shuffler </t>
        </r>
      </text>
    </comment>
    <comment ref="W16" authorId="0" shapeId="0" xr:uid="{FA9451B1-EDD8-4919-AC11-F916E56BBDB5}">
      <text>
        <r>
          <rPr>
            <b/>
            <sz val="9"/>
            <color indexed="81"/>
            <rFont val="Tahoma"/>
            <family val="2"/>
          </rPr>
          <t>Kaylil Baptiste:</t>
        </r>
        <r>
          <rPr>
            <sz val="9"/>
            <color indexed="81"/>
            <rFont val="Tahoma"/>
            <family val="2"/>
          </rPr>
          <t xml:space="preserve">
8mins replacing air hose on packer </t>
        </r>
      </text>
    </comment>
    <comment ref="Z16" authorId="0" shapeId="0" xr:uid="{A0602EEC-5B6C-4630-B2A3-2740753978F0}">
      <text>
        <r>
          <rPr>
            <b/>
            <sz val="9"/>
            <color indexed="81"/>
            <rFont val="Tahoma"/>
            <family val="2"/>
          </rPr>
          <t>Kaylil Baptiste:</t>
        </r>
        <r>
          <rPr>
            <sz val="9"/>
            <color indexed="81"/>
            <rFont val="Tahoma"/>
            <family val="2"/>
          </rPr>
          <t xml:space="preserve">
10mins Filler operator taking midnight readings (changing over to a new day)</t>
        </r>
      </text>
    </comment>
    <comment ref="AB16" authorId="3" shapeId="0" xr:uid="{EAE0D5CF-5B06-454C-AC16-2E148A71772D}">
      <text>
        <r>
          <rPr>
            <b/>
            <sz val="9"/>
            <color indexed="81"/>
            <rFont val="Tahoma"/>
            <family val="2"/>
          </rPr>
          <t>Micah Noel:</t>
        </r>
        <r>
          <rPr>
            <sz val="9"/>
            <color indexed="81"/>
            <rFont val="Tahoma"/>
            <family val="2"/>
          </rPr>
          <t xml:space="preserve">
9mins incorrect bottle type brought in and loaded on line, 5mins high rejection due to rewashed</t>
        </r>
      </text>
    </comment>
    <comment ref="I17" authorId="0" shapeId="0" xr:uid="{F47D7DF7-E4EE-4466-8118-D00F05F48C8F}">
      <text>
        <r>
          <rPr>
            <b/>
            <sz val="9"/>
            <color indexed="81"/>
            <rFont val="Tahoma"/>
            <family val="2"/>
          </rPr>
          <t xml:space="preserve">Kaylil Baptiste:
</t>
        </r>
        <r>
          <rPr>
            <sz val="9"/>
            <color indexed="81"/>
            <rFont val="Tahoma"/>
            <family val="2"/>
          </rPr>
          <t xml:space="preserve">11mins product change over </t>
        </r>
      </text>
    </comment>
    <comment ref="J17" authorId="2" shapeId="0" xr:uid="{FADCFD19-D332-48DA-8F8E-21D28A8CCABF}">
      <text>
        <r>
          <rPr>
            <b/>
            <sz val="9"/>
            <color indexed="81"/>
            <rFont val="Tahoma"/>
            <family val="2"/>
          </rPr>
          <t>Dorien Andrew:</t>
        </r>
        <r>
          <rPr>
            <sz val="9"/>
            <color indexed="81"/>
            <rFont val="Tahoma"/>
            <family val="2"/>
          </rPr>
          <t xml:space="preserve">
130mins waiting on product
120mins shift ended earlier because product wasn't ready</t>
        </r>
      </text>
    </comment>
    <comment ref="Q17" authorId="0" shapeId="0" xr:uid="{444C84AB-DB8E-4AF7-91F4-12D3F0E49046}">
      <text>
        <r>
          <rPr>
            <b/>
            <sz val="9"/>
            <color indexed="81"/>
            <rFont val="Tahoma"/>
            <family val="2"/>
          </rPr>
          <t>Kaylil Baptiste:</t>
        </r>
        <r>
          <rPr>
            <sz val="9"/>
            <color indexed="81"/>
            <rFont val="Tahoma"/>
            <family val="2"/>
          </rPr>
          <t xml:space="preserve">
8mins adjustment to starwheel</t>
        </r>
      </text>
    </comment>
    <comment ref="V17" authorId="0" shapeId="0" xr:uid="{8E6E6101-0F38-4CBB-BE2D-1D4E67C7A147}">
      <text>
        <r>
          <rPr>
            <b/>
            <sz val="9"/>
            <color indexed="81"/>
            <rFont val="Tahoma"/>
            <family val="2"/>
          </rPr>
          <t>Kaylil Baptiste:</t>
        </r>
        <r>
          <rPr>
            <sz val="9"/>
            <color indexed="81"/>
            <rFont val="Tahoma"/>
            <family val="2"/>
          </rPr>
          <t xml:space="preserve">
7mins fallen bottles on EBI discharge, 6mins mins fallen bottles on EBI shuffler </t>
        </r>
      </text>
    </comment>
    <comment ref="J18" authorId="2" shapeId="0" xr:uid="{681823F2-730A-47FE-A270-E72DA2BF2C52}">
      <text>
        <r>
          <rPr>
            <b/>
            <sz val="9"/>
            <color indexed="81"/>
            <rFont val="Tahoma"/>
            <family val="2"/>
          </rPr>
          <t>Dorien Andrew:</t>
        </r>
        <r>
          <rPr>
            <sz val="9"/>
            <color indexed="81"/>
            <rFont val="Tahoma"/>
            <family val="2"/>
          </rPr>
          <t xml:space="preserve">
adjustements being made to product </t>
        </r>
      </text>
    </comment>
    <comment ref="O18" authorId="0" shapeId="0" xr:uid="{A1D0B4C8-7895-4AF2-8B83-656A0F0AAAD3}">
      <text>
        <r>
          <rPr>
            <b/>
            <sz val="9"/>
            <color indexed="81"/>
            <rFont val="Tahoma"/>
            <family val="2"/>
          </rPr>
          <t>Kaylil Baptiste:</t>
        </r>
        <r>
          <rPr>
            <sz val="9"/>
            <color indexed="81"/>
            <rFont val="Tahoma"/>
            <family val="2"/>
          </rPr>
          <t xml:space="preserve">
37mins uncaser heat hitting crates, 21mins uncaser head malfunction</t>
        </r>
      </text>
    </comment>
    <comment ref="P18" authorId="0" shapeId="0" xr:uid="{E33A9F11-9707-4662-A2C1-8AF6B3A25FAA}">
      <text>
        <r>
          <rPr>
            <b/>
            <sz val="9"/>
            <color indexed="81"/>
            <rFont val="Tahoma"/>
            <family val="2"/>
          </rPr>
          <t>Kaylil Baptiste:</t>
        </r>
        <r>
          <rPr>
            <sz val="9"/>
            <color indexed="81"/>
            <rFont val="Tahoma"/>
            <family val="2"/>
          </rPr>
          <t xml:space="preserve">
26mins bottles jam at washer discharge</t>
        </r>
      </text>
    </comment>
    <comment ref="R18" authorId="0" shapeId="0" xr:uid="{97CEF493-012B-417B-8018-94065FF2E077}">
      <text>
        <r>
          <rPr>
            <b/>
            <sz val="9"/>
            <color indexed="81"/>
            <rFont val="Tahoma"/>
            <family val="2"/>
          </rPr>
          <t>Kaylil Baptiste:</t>
        </r>
        <r>
          <rPr>
            <sz val="9"/>
            <color indexed="81"/>
            <rFont val="Tahoma"/>
            <family val="2"/>
          </rPr>
          <t xml:space="preserve">
21mins communication issue on filler </t>
        </r>
      </text>
    </comment>
    <comment ref="V18" authorId="0" shapeId="0" xr:uid="{A9DD3FD8-24B6-464C-92B0-7C558B5296BA}">
      <text>
        <r>
          <rPr>
            <b/>
            <sz val="9"/>
            <color indexed="81"/>
            <rFont val="Tahoma"/>
            <family val="2"/>
          </rPr>
          <t>Kaylil Baptiste:</t>
        </r>
        <r>
          <rPr>
            <sz val="9"/>
            <color indexed="81"/>
            <rFont val="Tahoma"/>
            <family val="2"/>
          </rPr>
          <t xml:space="preserve">
5mins fallen bottles inside shuffler </t>
        </r>
      </text>
    </comment>
    <comment ref="W18" authorId="0" shapeId="0" xr:uid="{EBC1CEC0-2ECE-42AB-A39B-14907EF337A3}">
      <text>
        <r>
          <rPr>
            <b/>
            <sz val="9"/>
            <color indexed="81"/>
            <rFont val="Tahoma"/>
            <family val="2"/>
          </rPr>
          <t>Kaylil Baptiste:</t>
        </r>
        <r>
          <rPr>
            <sz val="9"/>
            <color indexed="81"/>
            <rFont val="Tahoma"/>
            <family val="2"/>
          </rPr>
          <t xml:space="preserve">
46mins bent fingers on packer, 10mins packer sensor malfunction </t>
        </r>
      </text>
    </comment>
    <comment ref="Z18" authorId="0" shapeId="0" xr:uid="{F87D33B2-226E-48CA-A60A-37E63A1E1DE9}">
      <text>
        <r>
          <rPr>
            <b/>
            <sz val="9"/>
            <color indexed="81"/>
            <rFont val="Tahoma"/>
            <family val="2"/>
          </rPr>
          <t>Kaylil Baptiste:</t>
        </r>
        <r>
          <rPr>
            <sz val="9"/>
            <color indexed="81"/>
            <rFont val="Tahoma"/>
            <family val="2"/>
          </rPr>
          <t xml:space="preserve">
15mins product preparation </t>
        </r>
      </text>
    </comment>
    <comment ref="J19" authorId="1" shapeId="0" xr:uid="{DE89C807-CC94-441F-AEF4-3FC90DE2E0D7}">
      <text>
        <r>
          <rPr>
            <b/>
            <sz val="9"/>
            <color indexed="81"/>
            <rFont val="Tahoma"/>
            <family val="2"/>
          </rPr>
          <t>Michael Julien:</t>
        </r>
        <r>
          <rPr>
            <sz val="9"/>
            <color indexed="81"/>
            <rFont val="Tahoma"/>
            <family val="2"/>
          </rPr>
          <t xml:space="preserve">
32mins waiting for product to be analyzed</t>
        </r>
      </text>
    </comment>
    <comment ref="L19" authorId="0" shapeId="0" xr:uid="{46511EE8-169C-4829-8262-0B30DF135AF7}">
      <text>
        <r>
          <rPr>
            <b/>
            <sz val="9"/>
            <color indexed="81"/>
            <rFont val="Tahoma"/>
            <family val="2"/>
          </rPr>
          <t>Kaylil Baptiste:</t>
        </r>
        <r>
          <rPr>
            <sz val="9"/>
            <color indexed="81"/>
            <rFont val="Tahoma"/>
            <family val="2"/>
          </rPr>
          <t xml:space="preserve">
8mins CO2 low on filler </t>
        </r>
      </text>
    </comment>
    <comment ref="P19" authorId="0" shapeId="0" xr:uid="{D16B2FE2-D62B-4D8E-8E9B-6DD5E6B8358D}">
      <text>
        <r>
          <rPr>
            <b/>
            <sz val="9"/>
            <color indexed="81"/>
            <rFont val="Tahoma"/>
            <family val="2"/>
          </rPr>
          <t>Kaylil Baptiste:</t>
        </r>
        <r>
          <rPr>
            <sz val="9"/>
            <color indexed="81"/>
            <rFont val="Tahoma"/>
            <family val="2"/>
          </rPr>
          <t xml:space="preserve">
8mins fallen bottles at washer discharge flap </t>
        </r>
      </text>
    </comment>
    <comment ref="R19" authorId="0" shapeId="0" xr:uid="{530524F7-0384-469E-A4E4-AB3BC7D4C29D}">
      <text>
        <r>
          <rPr>
            <b/>
            <sz val="9"/>
            <color indexed="81"/>
            <rFont val="Tahoma"/>
            <family val="2"/>
          </rPr>
          <t>Kaylil Baptiste:</t>
        </r>
        <r>
          <rPr>
            <sz val="9"/>
            <color indexed="81"/>
            <rFont val="Tahoma"/>
            <family val="2"/>
          </rPr>
          <t xml:space="preserve">
28mins making adjustment to worm infeed on filler, 6mins crowner stuck in chute </t>
        </r>
      </text>
    </comment>
    <comment ref="T19" authorId="0" shapeId="0" xr:uid="{F529952B-B763-410C-8350-92489C7252FD}">
      <text>
        <r>
          <rPr>
            <b/>
            <sz val="9"/>
            <color indexed="81"/>
            <rFont val="Tahoma"/>
            <family val="2"/>
          </rPr>
          <t>Kaylil Baptiste:</t>
        </r>
        <r>
          <rPr>
            <sz val="9"/>
            <color indexed="81"/>
            <rFont val="Tahoma"/>
            <family val="2"/>
          </rPr>
          <t xml:space="preserve">
25mins adjustment to stop flagging and twisted labels, 6mins twisted labels</t>
        </r>
      </text>
    </comment>
    <comment ref="V19" authorId="0" shapeId="0" xr:uid="{A1A76F90-1418-45A0-A408-5013158573C9}">
      <text>
        <r>
          <rPr>
            <b/>
            <sz val="9"/>
            <color indexed="81"/>
            <rFont val="Tahoma"/>
            <family val="2"/>
          </rPr>
          <t>Kaylil Baptiste:</t>
        </r>
        <r>
          <rPr>
            <sz val="9"/>
            <color indexed="81"/>
            <rFont val="Tahoma"/>
            <family val="2"/>
          </rPr>
          <t xml:space="preserve">
19mins fallen bottles inside shuffler</t>
        </r>
      </text>
    </comment>
    <comment ref="W19" authorId="0" shapeId="0" xr:uid="{8FF93DFB-0A4E-4872-921B-A3799003DDBF}">
      <text>
        <r>
          <rPr>
            <b/>
            <sz val="9"/>
            <color indexed="81"/>
            <rFont val="Tahoma"/>
            <family val="2"/>
          </rPr>
          <t>Kaylil Baptiste:</t>
        </r>
        <r>
          <rPr>
            <sz val="9"/>
            <color indexed="81"/>
            <rFont val="Tahoma"/>
            <family val="2"/>
          </rPr>
          <t xml:space="preserve">
15mins packer sensor malfunction</t>
        </r>
      </text>
    </comment>
    <comment ref="Z19" authorId="1" shapeId="0" xr:uid="{1408981E-D53F-43DD-AC62-299D8603F73C}">
      <text>
        <r>
          <rPr>
            <b/>
            <sz val="9"/>
            <color indexed="81"/>
            <rFont val="Tahoma"/>
            <family val="2"/>
          </rPr>
          <t>Michael Julien:</t>
        </r>
        <r>
          <rPr>
            <sz val="9"/>
            <color indexed="81"/>
            <rFont val="Tahoma"/>
            <family val="2"/>
          </rPr>
          <t xml:space="preserve">
417mins no lab tech on plant to do checks for PU and methylene blue, 9mins waiting on palletizer </t>
        </r>
      </text>
    </comment>
    <comment ref="AB19" authorId="0" shapeId="0" xr:uid="{E0612B4C-6864-4A9F-90B8-000D0911486E}">
      <text>
        <r>
          <rPr>
            <b/>
            <sz val="9"/>
            <color indexed="81"/>
            <rFont val="Tahoma"/>
            <family val="2"/>
          </rPr>
          <t>Kaylil Baptiste:</t>
        </r>
        <r>
          <rPr>
            <sz val="9"/>
            <color indexed="81"/>
            <rFont val="Tahoma"/>
            <family val="2"/>
          </rPr>
          <t xml:space="preserve">
rewashed rejections </t>
        </r>
      </text>
    </comment>
    <comment ref="Q20" authorId="0" shapeId="0" xr:uid="{929BED8D-CCE4-46FF-938D-907EDC372DE1}">
      <text>
        <r>
          <rPr>
            <b/>
            <sz val="9"/>
            <color indexed="81"/>
            <rFont val="Tahoma"/>
            <family val="2"/>
          </rPr>
          <t>Kaylil Baptiste:</t>
        </r>
        <r>
          <rPr>
            <sz val="9"/>
            <color indexed="81"/>
            <rFont val="Tahoma"/>
            <family val="2"/>
          </rPr>
          <t xml:space="preserve">
13mins adjusting EBI speed, 10mins fallen bottles on EBI starwheel</t>
        </r>
      </text>
    </comment>
    <comment ref="R20" authorId="0" shapeId="0" xr:uid="{D75F1B23-7939-437A-94DA-68C358ADFA58}">
      <text>
        <r>
          <rPr>
            <b/>
            <sz val="9"/>
            <color indexed="81"/>
            <rFont val="Tahoma"/>
            <family val="2"/>
          </rPr>
          <t>Kaylil Baptiste:</t>
        </r>
        <r>
          <rPr>
            <sz val="9"/>
            <color indexed="81"/>
            <rFont val="Tahoma"/>
            <family val="2"/>
          </rPr>
          <t xml:space="preserve">
7mins crowner stuck in chute</t>
        </r>
      </text>
    </comment>
    <comment ref="Z20" authorId="1" shapeId="0" xr:uid="{F9473223-8A78-430A-97C7-BF7DBC97DC44}">
      <text>
        <r>
          <rPr>
            <b/>
            <sz val="9"/>
            <color indexed="81"/>
            <rFont val="Tahoma"/>
            <family val="2"/>
          </rPr>
          <t>Michael Julien:</t>
        </r>
        <r>
          <rPr>
            <sz val="9"/>
            <color indexed="81"/>
            <rFont val="Tahoma"/>
            <family val="2"/>
          </rPr>
          <t xml:space="preserve">
empting pasteurizer for midnight, 5mins midnight change over </t>
        </r>
      </text>
    </comment>
    <comment ref="I21" authorId="0" shapeId="0" xr:uid="{D9DE8FEC-69AE-4D04-A611-472F473ABDC9}">
      <text>
        <r>
          <rPr>
            <b/>
            <sz val="9"/>
            <color indexed="81"/>
            <rFont val="Tahoma"/>
            <family val="2"/>
          </rPr>
          <t>Kaylil Baptiste:</t>
        </r>
        <r>
          <rPr>
            <sz val="9"/>
            <color indexed="81"/>
            <rFont val="Tahoma"/>
            <family val="2"/>
          </rPr>
          <t xml:space="preserve">
20mins product change over from Carib to Stag</t>
        </r>
      </text>
    </comment>
    <comment ref="J21" authorId="3" shapeId="0" xr:uid="{BE322B0C-824F-415D-9395-69EF3B52435F}">
      <text>
        <r>
          <rPr>
            <b/>
            <sz val="9"/>
            <color indexed="81"/>
            <rFont val="Tahoma"/>
            <family val="2"/>
          </rPr>
          <t>Micah Noel:</t>
        </r>
        <r>
          <rPr>
            <sz val="9"/>
            <color indexed="81"/>
            <rFont val="Tahoma"/>
            <family val="2"/>
          </rPr>
          <t xml:space="preserve">
low filler bowl level caused by empy BBT</t>
        </r>
      </text>
    </comment>
    <comment ref="O21" authorId="0" shapeId="0" xr:uid="{C88C367A-7DA5-4F32-9F40-811FEF9387FB}">
      <text>
        <r>
          <rPr>
            <b/>
            <sz val="9"/>
            <color indexed="81"/>
            <rFont val="Tahoma"/>
            <family val="2"/>
          </rPr>
          <t>Kaylil Baptiste:</t>
        </r>
        <r>
          <rPr>
            <sz val="9"/>
            <color indexed="81"/>
            <rFont val="Tahoma"/>
            <family val="2"/>
          </rPr>
          <t xml:space="preserve">
14mins uncaser head hitting crates</t>
        </r>
      </text>
    </comment>
    <comment ref="P21" authorId="0" shapeId="0" xr:uid="{C960B364-4732-48C5-86AC-496C3897EE59}">
      <text>
        <r>
          <rPr>
            <b/>
            <sz val="9"/>
            <color indexed="81"/>
            <rFont val="Tahoma"/>
            <family val="2"/>
          </rPr>
          <t>Kaylil Baptiste:</t>
        </r>
        <r>
          <rPr>
            <sz val="9"/>
            <color indexed="81"/>
            <rFont val="Tahoma"/>
            <family val="2"/>
          </rPr>
          <t xml:space="preserve">
60mins cleaning washer rinse tanks</t>
        </r>
      </text>
    </comment>
    <comment ref="Q21" authorId="0" shapeId="0" xr:uid="{9A4DBE5F-422A-4A05-BC05-A0D14E332294}">
      <text>
        <r>
          <rPr>
            <b/>
            <sz val="9"/>
            <color indexed="81"/>
            <rFont val="Tahoma"/>
            <family val="2"/>
          </rPr>
          <t>Kaylil Baptiste:</t>
        </r>
        <r>
          <rPr>
            <sz val="9"/>
            <color indexed="81"/>
            <rFont val="Tahoma"/>
            <family val="2"/>
          </rPr>
          <t xml:space="preserve">
 7mins high EBI rejection</t>
        </r>
      </text>
    </comment>
    <comment ref="T21" authorId="0" shapeId="0" xr:uid="{F7B52B5C-1632-4435-8841-8C241E0C5B54}">
      <text>
        <r>
          <rPr>
            <b/>
            <sz val="9"/>
            <color indexed="81"/>
            <rFont val="Tahoma"/>
            <family val="2"/>
          </rPr>
          <t>Kaylil Baptiste:</t>
        </r>
        <r>
          <rPr>
            <sz val="9"/>
            <color indexed="81"/>
            <rFont val="Tahoma"/>
            <family val="2"/>
          </rPr>
          <t xml:space="preserve">
78mins labeler start up adjustments</t>
        </r>
      </text>
    </comment>
    <comment ref="V21" authorId="0" shapeId="0" xr:uid="{0D01410D-41C8-44F6-AF23-ED746F0F6E79}">
      <text>
        <r>
          <rPr>
            <b/>
            <sz val="9"/>
            <color indexed="81"/>
            <rFont val="Tahoma"/>
            <family val="2"/>
          </rPr>
          <t>Kaylil Baptiste:</t>
        </r>
        <r>
          <rPr>
            <sz val="9"/>
            <color indexed="81"/>
            <rFont val="Tahoma"/>
            <family val="2"/>
          </rPr>
          <t xml:space="preserve">
21mins fallen bottles inside shuffler,16mins sensor issues on crate rinser conveyor,</t>
        </r>
      </text>
    </comment>
    <comment ref="Z21" authorId="3" shapeId="0" xr:uid="{E20BBABF-C787-4003-9762-B08E7DAE9A15}">
      <text>
        <r>
          <rPr>
            <b/>
            <sz val="9"/>
            <color indexed="81"/>
            <rFont val="Tahoma"/>
            <family val="2"/>
          </rPr>
          <t>Micah Noel:</t>
        </r>
        <r>
          <rPr>
            <sz val="9"/>
            <color indexed="81"/>
            <rFont val="Tahoma"/>
            <family val="2"/>
          </rPr>
          <t xml:space="preserve">
15mins waiting on palletiser, 3mins waiting for expasteurizer personnel, 7mins switching palletizer</t>
        </r>
      </text>
    </comment>
    <comment ref="AB21" authorId="2" shapeId="0" xr:uid="{093DB7EF-D268-4553-9856-41D64891122A}">
      <text>
        <r>
          <rPr>
            <b/>
            <sz val="9"/>
            <color indexed="81"/>
            <rFont val="Tahoma"/>
            <family val="2"/>
          </rPr>
          <t>Dorien Andrew:</t>
        </r>
        <r>
          <rPr>
            <sz val="9"/>
            <color indexed="81"/>
            <rFont val="Tahoma"/>
            <family val="2"/>
          </rPr>
          <t xml:space="preserve">
waiting on bottles to load </t>
        </r>
      </text>
    </comment>
    <comment ref="V22" authorId="0" shapeId="0" xr:uid="{D6005D91-3084-4828-9C08-A908AAB1D5B1}">
      <text>
        <r>
          <rPr>
            <b/>
            <sz val="9"/>
            <color indexed="81"/>
            <rFont val="Tahoma"/>
            <family val="2"/>
          </rPr>
          <t>Kaylil Baptiste:</t>
        </r>
        <r>
          <rPr>
            <sz val="9"/>
            <color indexed="81"/>
            <rFont val="Tahoma"/>
            <family val="2"/>
          </rPr>
          <t xml:space="preserve">
14mins malfunction on crate stopper conveyor</t>
        </r>
      </text>
    </comment>
    <comment ref="W22" authorId="0" shapeId="0" xr:uid="{7B9A8B7D-77FD-4AFF-A2DD-C55D99FECE06}">
      <text>
        <r>
          <rPr>
            <b/>
            <sz val="9"/>
            <color indexed="81"/>
            <rFont val="Tahoma"/>
            <family val="2"/>
          </rPr>
          <t>Kaylil Baptiste:</t>
        </r>
        <r>
          <rPr>
            <sz val="9"/>
            <color indexed="81"/>
            <rFont val="Tahoma"/>
            <family val="2"/>
          </rPr>
          <t xml:space="preserve">
19mins old crates jamming on packer</t>
        </r>
      </text>
    </comment>
    <comment ref="Z22" authorId="0" shapeId="0" xr:uid="{83C21045-455A-41BF-BC7E-A154FC1CDEE5}">
      <text>
        <r>
          <rPr>
            <b/>
            <sz val="9"/>
            <color indexed="81"/>
            <rFont val="Tahoma"/>
            <family val="2"/>
          </rPr>
          <t>Kaylil Baptiste:</t>
        </r>
        <r>
          <rPr>
            <sz val="9"/>
            <color indexed="81"/>
            <rFont val="Tahoma"/>
            <family val="2"/>
          </rPr>
          <t xml:space="preserve">
15mins stop to take midnight reading, </t>
        </r>
      </text>
    </comment>
    <comment ref="I23" authorId="0" shapeId="0" xr:uid="{C83DC156-DB71-4273-8302-729593E270F2}">
      <text>
        <r>
          <rPr>
            <b/>
            <sz val="9"/>
            <color indexed="81"/>
            <rFont val="Tahoma"/>
            <family val="2"/>
          </rPr>
          <t>Kaylil Baptiste:</t>
        </r>
        <r>
          <rPr>
            <sz val="9"/>
            <color indexed="81"/>
            <rFont val="Tahoma"/>
            <family val="2"/>
          </rPr>
          <t xml:space="preserve">
50mins labeler adjustment change over, 24mins product change over </t>
        </r>
      </text>
    </comment>
    <comment ref="Q23" authorId="0" shapeId="0" xr:uid="{76685A17-1A35-4CA7-AAE0-7D10957CBC0D}">
      <text>
        <r>
          <rPr>
            <b/>
            <sz val="9"/>
            <color indexed="81"/>
            <rFont val="Tahoma"/>
            <family val="2"/>
          </rPr>
          <t>Kaylil Baptiste:</t>
        </r>
        <r>
          <rPr>
            <sz val="9"/>
            <color indexed="81"/>
            <rFont val="Tahoma"/>
            <family val="2"/>
          </rPr>
          <t xml:space="preserve">
7mins high EBI rejection</t>
        </r>
      </text>
    </comment>
    <comment ref="R23" authorId="0" shapeId="0" xr:uid="{62617D5F-AA0B-444A-920B-2595BE3E7082}">
      <text>
        <r>
          <rPr>
            <b/>
            <sz val="9"/>
            <color indexed="81"/>
            <rFont val="Tahoma"/>
            <family val="2"/>
          </rPr>
          <t>Kaylil Baptiste:</t>
        </r>
        <r>
          <rPr>
            <sz val="9"/>
            <color indexed="81"/>
            <rFont val="Tahoma"/>
            <family val="2"/>
          </rPr>
          <t xml:space="preserve">
88mins infeed worm out of timing </t>
        </r>
      </text>
    </comment>
    <comment ref="V23" authorId="0" shapeId="0" xr:uid="{63A51C8D-FE77-48FC-9BB1-9B7A7E8FB03A}">
      <text>
        <r>
          <rPr>
            <b/>
            <sz val="9"/>
            <color indexed="81"/>
            <rFont val="Tahoma"/>
            <family val="2"/>
          </rPr>
          <t>Kaylil Baptiste:</t>
        </r>
        <r>
          <rPr>
            <sz val="9"/>
            <color indexed="81"/>
            <rFont val="Tahoma"/>
            <family val="2"/>
          </rPr>
          <t xml:space="preserve">
16mins EBI infeed conveyor slow down, 16mins fallen bottles stuck inside shuffler, 6mins fallen bottles stick at pasteurizer discharge</t>
        </r>
      </text>
    </comment>
    <comment ref="W23" authorId="0" shapeId="0" xr:uid="{43840ADD-94B4-4733-B130-FA1E682F5251}">
      <text>
        <r>
          <rPr>
            <b/>
            <sz val="9"/>
            <color indexed="81"/>
            <rFont val="Tahoma"/>
            <family val="2"/>
          </rPr>
          <t>Kaylil Baptiste:</t>
        </r>
        <r>
          <rPr>
            <sz val="9"/>
            <color indexed="81"/>
            <rFont val="Tahoma"/>
            <family val="2"/>
          </rPr>
          <t xml:space="preserve">
7mins mins old crates jamming on packer</t>
        </r>
      </text>
    </comment>
    <comment ref="Z23" authorId="0" shapeId="0" xr:uid="{532022D7-89D0-4E69-9935-E815B63CAF21}">
      <text>
        <r>
          <rPr>
            <b/>
            <sz val="9"/>
            <color indexed="81"/>
            <rFont val="Tahoma"/>
            <family val="2"/>
          </rPr>
          <t>Kaylil Baptiste:</t>
        </r>
        <r>
          <rPr>
            <sz val="9"/>
            <color indexed="81"/>
            <rFont val="Tahoma"/>
            <family val="2"/>
          </rPr>
          <t xml:space="preserve">
9mins waiting on palletizer </t>
        </r>
      </text>
    </comment>
    <comment ref="AB23" authorId="0" shapeId="0" xr:uid="{D3C2FBCE-46F4-4118-A5BE-1CFE5FADE32D}">
      <text>
        <r>
          <rPr>
            <b/>
            <sz val="9"/>
            <color indexed="81"/>
            <rFont val="Tahoma"/>
            <family val="2"/>
          </rPr>
          <t>Kaylil Baptiste:</t>
        </r>
        <r>
          <rPr>
            <sz val="9"/>
            <color indexed="81"/>
            <rFont val="Tahoma"/>
            <family val="2"/>
          </rPr>
          <t xml:space="preserve">
47mins high rejection due to old bottles, 18mins waiting on crates, 10mins waiting on bottles  </t>
        </r>
      </text>
    </comment>
    <comment ref="Z24" authorId="0" shapeId="0" xr:uid="{F2D0AA8B-8B4D-4E31-94FA-A31274483321}">
      <text>
        <r>
          <rPr>
            <b/>
            <sz val="9"/>
            <color indexed="81"/>
            <rFont val="Tahoma"/>
            <family val="2"/>
          </rPr>
          <t>Kaylil Baptiste:</t>
        </r>
        <r>
          <rPr>
            <sz val="9"/>
            <color indexed="81"/>
            <rFont val="Tahoma"/>
            <family val="2"/>
          </rPr>
          <t xml:space="preserve">
6mins miidnight change over </t>
        </r>
      </text>
    </comment>
    <comment ref="I25" authorId="0" shapeId="0" xr:uid="{2180A035-8E14-410E-8396-4231BBC3B771}">
      <text>
        <r>
          <rPr>
            <b/>
            <sz val="9"/>
            <color indexed="81"/>
            <rFont val="Tahoma"/>
            <family val="2"/>
          </rPr>
          <t>Kaylil Baptiste:</t>
        </r>
        <r>
          <rPr>
            <sz val="9"/>
            <color indexed="81"/>
            <rFont val="Tahoma"/>
            <family val="2"/>
          </rPr>
          <t xml:space="preserve">
17mins change over from Carib to Stag
</t>
        </r>
      </text>
    </comment>
    <comment ref="P25" authorId="0" shapeId="0" xr:uid="{D07FB670-CD89-4F7F-AC8B-FB454EDF0830}">
      <text>
        <r>
          <rPr>
            <b/>
            <sz val="9"/>
            <color indexed="81"/>
            <rFont val="Tahoma"/>
            <family val="2"/>
          </rPr>
          <t>Kaylil Baptiste:</t>
        </r>
        <r>
          <rPr>
            <sz val="9"/>
            <color indexed="81"/>
            <rFont val="Tahoma"/>
            <family val="2"/>
          </rPr>
          <t xml:space="preserve">
28mins stop to clean rinse tanks, 9mins high rejection due to labels/ glue on bottles</t>
        </r>
      </text>
    </comment>
    <comment ref="R25" authorId="0" shapeId="0" xr:uid="{CC777B2A-112C-41E7-ABF0-CDA1F62AF1C3}">
      <text>
        <r>
          <rPr>
            <b/>
            <sz val="9"/>
            <color indexed="81"/>
            <rFont val="Tahoma"/>
            <family val="2"/>
          </rPr>
          <t>Kaylil Baptiste:</t>
        </r>
        <r>
          <rPr>
            <sz val="9"/>
            <color indexed="81"/>
            <rFont val="Tahoma"/>
            <family val="2"/>
          </rPr>
          <t xml:space="preserve">
8mins low fills, 7mins cleaning filler base</t>
        </r>
      </text>
    </comment>
    <comment ref="V25" authorId="0" shapeId="0" xr:uid="{FB1BCEDF-91FF-4FEF-8E13-7AB55A02AD85}">
      <text>
        <r>
          <rPr>
            <b/>
            <sz val="9"/>
            <color indexed="81"/>
            <rFont val="Tahoma"/>
            <family val="2"/>
          </rPr>
          <t>Kaylil Baptiste:</t>
        </r>
        <r>
          <rPr>
            <sz val="9"/>
            <color indexed="81"/>
            <rFont val="Tahoma"/>
            <family val="2"/>
          </rPr>
          <t xml:space="preserve">
7mins fallen bottle stuck on pasteurizer discharge conveyor</t>
        </r>
      </text>
    </comment>
    <comment ref="W25" authorId="0" shapeId="0" xr:uid="{99A6D55F-F80B-463B-A8FF-598BF169A278}">
      <text>
        <r>
          <rPr>
            <b/>
            <sz val="9"/>
            <color indexed="81"/>
            <rFont val="Tahoma"/>
            <family val="2"/>
          </rPr>
          <t>Kaylil Baptiste:</t>
        </r>
        <r>
          <rPr>
            <sz val="9"/>
            <color indexed="81"/>
            <rFont val="Tahoma"/>
            <family val="2"/>
          </rPr>
          <t xml:space="preserve">
11mins old crates sticking on packer </t>
        </r>
      </text>
    </comment>
    <comment ref="AB25" authorId="0" shapeId="0" xr:uid="{41D5654F-79C4-4DD3-8143-8F398F014327}">
      <text>
        <r>
          <rPr>
            <b/>
            <sz val="9"/>
            <color indexed="81"/>
            <rFont val="Tahoma"/>
            <family val="2"/>
          </rPr>
          <t>Kaylil Baptiste:</t>
        </r>
        <r>
          <rPr>
            <sz val="9"/>
            <color indexed="81"/>
            <rFont val="Tahoma"/>
            <family val="2"/>
          </rPr>
          <t xml:space="preserve">
5mins high rejection due to old bottles </t>
        </r>
      </text>
    </comment>
    <comment ref="I26" authorId="3" shapeId="0" xr:uid="{DD9A9145-6CC9-4CC6-B6C4-4CBF1BCFAD02}">
      <text>
        <r>
          <rPr>
            <b/>
            <sz val="9"/>
            <color indexed="81"/>
            <rFont val="Tahoma"/>
            <family val="2"/>
          </rPr>
          <t>Micah Noel:</t>
        </r>
        <r>
          <rPr>
            <sz val="9"/>
            <color indexed="81"/>
            <rFont val="Tahoma"/>
            <family val="2"/>
          </rPr>
          <t xml:space="preserve">
45 mins CIP</t>
        </r>
      </text>
    </comment>
    <comment ref="J26" authorId="3" shapeId="0" xr:uid="{9C0F2401-25E0-4C09-8248-D22E2E3DF2F7}">
      <text>
        <r>
          <rPr>
            <b/>
            <sz val="9"/>
            <color indexed="81"/>
            <rFont val="Tahoma"/>
            <family val="2"/>
          </rPr>
          <t>Micah Noel:</t>
        </r>
        <r>
          <rPr>
            <sz val="9"/>
            <color indexed="81"/>
            <rFont val="Tahoma"/>
            <family val="2"/>
          </rPr>
          <t xml:space="preserve">
7 mins filler taking up product from filtration</t>
        </r>
      </text>
    </comment>
    <comment ref="P26" authorId="0" shapeId="0" xr:uid="{D9ABBFF2-72F7-4F96-82DC-AA7D4DA9FFA4}">
      <text>
        <r>
          <rPr>
            <b/>
            <sz val="9"/>
            <color indexed="81"/>
            <rFont val="Tahoma"/>
            <family val="2"/>
          </rPr>
          <t>Kaylil Baptiste:</t>
        </r>
        <r>
          <rPr>
            <sz val="9"/>
            <color indexed="81"/>
            <rFont val="Tahoma"/>
            <family val="2"/>
          </rPr>
          <t xml:space="preserve">
16mins high rejection due to labels/ glue on bottles, 13mins fallen bottles on washer infeed flap </t>
        </r>
      </text>
    </comment>
    <comment ref="Q26" authorId="0" shapeId="0" xr:uid="{52301EFC-C2CD-4AC2-92CD-413331EDB5A8}">
      <text>
        <r>
          <rPr>
            <b/>
            <sz val="9"/>
            <color indexed="81"/>
            <rFont val="Tahoma"/>
            <family val="2"/>
          </rPr>
          <t>Kaylil Baptiste:</t>
        </r>
        <r>
          <rPr>
            <sz val="9"/>
            <color indexed="81"/>
            <rFont val="Tahoma"/>
            <family val="2"/>
          </rPr>
          <t xml:space="preserve">
28mins all bottles rejecting, 9mins high EBI rejection </t>
        </r>
      </text>
    </comment>
    <comment ref="R26" authorId="0" shapeId="0" xr:uid="{AEB3C5A6-E51C-4E12-B0AD-74A5C52C9DD1}">
      <text>
        <r>
          <rPr>
            <b/>
            <sz val="9"/>
            <color indexed="81"/>
            <rFont val="Tahoma"/>
            <family val="2"/>
          </rPr>
          <t>Kaylil Baptiste:</t>
        </r>
        <r>
          <rPr>
            <sz val="9"/>
            <color indexed="81"/>
            <rFont val="Tahoma"/>
            <family val="2"/>
          </rPr>
          <t xml:space="preserve">
34mins working on two  filling valves.</t>
        </r>
      </text>
    </comment>
    <comment ref="V26" authorId="0" shapeId="0" xr:uid="{DAFBED06-FAE8-43CA-A7FB-D0EC16C052B9}">
      <text>
        <r>
          <rPr>
            <b/>
            <sz val="9"/>
            <color indexed="81"/>
            <rFont val="Tahoma"/>
            <family val="2"/>
          </rPr>
          <t>Kaylil Baptiste:</t>
        </r>
        <r>
          <rPr>
            <sz val="9"/>
            <color indexed="81"/>
            <rFont val="Tahoma"/>
            <family val="2"/>
          </rPr>
          <t xml:space="preserve">
8mins fallen bottles stuck inside shuffler</t>
        </r>
      </text>
    </comment>
    <comment ref="Z26" authorId="3" shapeId="0" xr:uid="{DD5378FC-5FB5-4C0C-87E9-188C54D252DE}">
      <text>
        <r>
          <rPr>
            <b/>
            <sz val="9"/>
            <color indexed="81"/>
            <rFont val="Tahoma"/>
            <family val="2"/>
          </rPr>
          <t>Micah Noel:</t>
        </r>
        <r>
          <rPr>
            <sz val="9"/>
            <color indexed="81"/>
            <rFont val="Tahoma"/>
            <family val="2"/>
          </rPr>
          <t xml:space="preserve">
15 Mins awaiting lab tech to do swab after mid-week clean on filler, 15 mins mid week clean</t>
        </r>
      </text>
    </comment>
    <comment ref="I27" authorId="0" shapeId="0" xr:uid="{363282E3-D136-4CCC-A44B-49F3CC1FF3AD}">
      <text>
        <r>
          <rPr>
            <b/>
            <sz val="9"/>
            <color indexed="81"/>
            <rFont val="Tahoma"/>
            <family val="2"/>
          </rPr>
          <t>Kaylil Baptiste:</t>
        </r>
        <r>
          <rPr>
            <sz val="9"/>
            <color indexed="81"/>
            <rFont val="Tahoma"/>
            <family val="2"/>
          </rPr>
          <t xml:space="preserve">
product change over</t>
        </r>
      </text>
    </comment>
    <comment ref="Q27" authorId="0" shapeId="0" xr:uid="{84874D16-64B2-4B01-A941-2216BF6141BF}">
      <text>
        <r>
          <rPr>
            <b/>
            <sz val="9"/>
            <color indexed="81"/>
            <rFont val="Tahoma"/>
            <family val="2"/>
          </rPr>
          <t>Kaylil Baptiste:</t>
        </r>
        <r>
          <rPr>
            <sz val="9"/>
            <color indexed="81"/>
            <rFont val="Tahoma"/>
            <family val="2"/>
          </rPr>
          <t xml:space="preserve">
9mins restarting EBI</t>
        </r>
      </text>
    </comment>
    <comment ref="S27" authorId="0" shapeId="0" xr:uid="{13B09195-EC6A-4E31-B28C-3B7532CE9E02}">
      <text>
        <r>
          <rPr>
            <b/>
            <sz val="9"/>
            <color indexed="81"/>
            <rFont val="Tahoma"/>
            <family val="2"/>
          </rPr>
          <t>Kaylil Baptiste:</t>
        </r>
        <r>
          <rPr>
            <sz val="9"/>
            <color indexed="81"/>
            <rFont val="Tahoma"/>
            <family val="2"/>
          </rPr>
          <t xml:space="preserve">
31mins waiting on dry run</t>
        </r>
      </text>
    </comment>
    <comment ref="AB27" authorId="0" shapeId="0" xr:uid="{4E84C759-45B3-4D94-B0C5-12D93CAD0BC2}">
      <text>
        <r>
          <rPr>
            <b/>
            <sz val="9"/>
            <color indexed="81"/>
            <rFont val="Tahoma"/>
            <family val="2"/>
          </rPr>
          <t>Kaylil Baptiste:</t>
        </r>
        <r>
          <rPr>
            <sz val="9"/>
            <color indexed="81"/>
            <rFont val="Tahoma"/>
            <family val="2"/>
          </rPr>
          <t xml:space="preserve">
7mins waiting on bottles</t>
        </r>
      </text>
    </comment>
    <comment ref="I28" authorId="0" shapeId="0" xr:uid="{1A988F7D-915F-4E54-9215-7E0D8CCBABE7}">
      <text>
        <r>
          <rPr>
            <b/>
            <sz val="9"/>
            <color indexed="81"/>
            <rFont val="Tahoma"/>
            <family val="2"/>
          </rPr>
          <t>Kaylil Baptiste:</t>
        </r>
        <r>
          <rPr>
            <sz val="9"/>
            <color indexed="81"/>
            <rFont val="Tahoma"/>
            <family val="2"/>
          </rPr>
          <t xml:space="preserve">
143mins product change over</t>
        </r>
      </text>
    </comment>
    <comment ref="J28" authorId="0" shapeId="0" xr:uid="{A4DB5257-495D-48EC-BC28-6E67F88F9F21}">
      <text>
        <r>
          <rPr>
            <b/>
            <sz val="9"/>
            <color indexed="81"/>
            <rFont val="Tahoma"/>
            <family val="2"/>
          </rPr>
          <t>Kaylil Baptiste:</t>
        </r>
        <r>
          <rPr>
            <sz val="9"/>
            <color indexed="81"/>
            <rFont val="Tahoma"/>
            <family val="2"/>
          </rPr>
          <t xml:space="preserve">
120mins waiting on product from filtration, 7mins bowl level dropped </t>
        </r>
      </text>
    </comment>
    <comment ref="P28" authorId="0" shapeId="0" xr:uid="{624EBE97-E9E3-4EA6-8F91-81038D72CB14}">
      <text>
        <r>
          <rPr>
            <b/>
            <sz val="9"/>
            <color indexed="81"/>
            <rFont val="Tahoma"/>
            <family val="2"/>
          </rPr>
          <t>Kaylil Baptiste:</t>
        </r>
        <r>
          <rPr>
            <sz val="9"/>
            <color indexed="81"/>
            <rFont val="Tahoma"/>
            <family val="2"/>
          </rPr>
          <t xml:space="preserve">
17mins fallen bottles at washer discharge flap </t>
        </r>
      </text>
    </comment>
    <comment ref="Q28" authorId="0" shapeId="0" xr:uid="{65A76F5A-4D92-4B24-B4F2-17946649B864}">
      <text>
        <r>
          <rPr>
            <b/>
            <sz val="9"/>
            <color indexed="81"/>
            <rFont val="Tahoma"/>
            <family val="2"/>
          </rPr>
          <t>Kaylil Baptiste:</t>
        </r>
        <r>
          <rPr>
            <sz val="9"/>
            <color indexed="81"/>
            <rFont val="Tahoma"/>
            <family val="2"/>
          </rPr>
          <t xml:space="preserve">
24mins parameter adjustment on EBI</t>
        </r>
      </text>
    </comment>
    <comment ref="V28" authorId="0" shapeId="0" xr:uid="{CF24657B-3845-44EB-B2A5-7B065B7C2B01}">
      <text>
        <r>
          <rPr>
            <b/>
            <sz val="9"/>
            <color indexed="81"/>
            <rFont val="Tahoma"/>
            <family val="2"/>
          </rPr>
          <t>Kaylil Baptiste:</t>
        </r>
        <r>
          <rPr>
            <sz val="9"/>
            <color indexed="81"/>
            <rFont val="Tahoma"/>
            <family val="2"/>
          </rPr>
          <t xml:space="preserve">
17mins pasteurizer infeed conveyor jammed, 5mins 330ml vita malt bottles stuck at shuffler</t>
        </r>
      </text>
    </comment>
    <comment ref="W28" authorId="0" shapeId="0" xr:uid="{42056AD4-7182-417F-A3A6-F112C6C9A826}">
      <text>
        <r>
          <rPr>
            <b/>
            <sz val="9"/>
            <color indexed="81"/>
            <rFont val="Tahoma"/>
            <family val="2"/>
          </rPr>
          <t>Kaylil Baptiste:</t>
        </r>
        <r>
          <rPr>
            <sz val="9"/>
            <color indexed="81"/>
            <rFont val="Tahoma"/>
            <family val="2"/>
          </rPr>
          <t xml:space="preserve">
7mins sensor issue on head on packer </t>
        </r>
      </text>
    </comment>
    <comment ref="Z28" authorId="3" shapeId="0" xr:uid="{33D403E0-A1C6-481A-BDA4-EEAC63CB3042}">
      <text>
        <r>
          <rPr>
            <b/>
            <sz val="9"/>
            <color indexed="81"/>
            <rFont val="Tahoma"/>
            <family val="2"/>
          </rPr>
          <t>Micah Noel:</t>
        </r>
        <r>
          <rPr>
            <sz val="9"/>
            <color indexed="81"/>
            <rFont val="Tahoma"/>
            <family val="2"/>
          </rPr>
          <t xml:space="preserve">
 4 mins switching palletizer, 12 mins tool box meeting</t>
        </r>
      </text>
    </comment>
    <comment ref="AB28" authorId="3" shapeId="0" xr:uid="{B4D9DAF9-3B84-45FC-984E-B0F0B911A768}">
      <text>
        <r>
          <rPr>
            <b/>
            <sz val="9"/>
            <color indexed="81"/>
            <rFont val="Tahoma"/>
            <family val="2"/>
          </rPr>
          <t>Micah Noel:</t>
        </r>
        <r>
          <rPr>
            <sz val="9"/>
            <color indexed="81"/>
            <rFont val="Tahoma"/>
            <family val="2"/>
          </rPr>
          <t xml:space="preserve">
high EBI rejection caused by pre-rejected bottles</t>
        </r>
      </text>
    </comment>
    <comment ref="I29" authorId="0" shapeId="0" xr:uid="{1A079D3D-1BDE-407D-BEBE-1B650D745B70}">
      <text>
        <r>
          <rPr>
            <b/>
            <sz val="9"/>
            <color indexed="81"/>
            <rFont val="Tahoma"/>
            <family val="2"/>
          </rPr>
          <t>Kaylil Baptiste:</t>
        </r>
        <r>
          <rPr>
            <sz val="9"/>
            <color indexed="81"/>
            <rFont val="Tahoma"/>
            <family val="2"/>
          </rPr>
          <t xml:space="preserve">
5mins change over from Classic to Ginger</t>
        </r>
      </text>
    </comment>
    <comment ref="AB29" authorId="2" shapeId="0" xr:uid="{66B87CD2-F772-41BE-9D19-809635496E54}">
      <text>
        <r>
          <rPr>
            <b/>
            <sz val="9"/>
            <color indexed="81"/>
            <rFont val="Tahoma"/>
            <family val="2"/>
          </rPr>
          <t>Dorien Andrew:</t>
        </r>
        <r>
          <rPr>
            <sz val="9"/>
            <color indexed="81"/>
            <rFont val="Tahoma"/>
            <family val="2"/>
          </rPr>
          <t xml:space="preserve">
9mins waiting on bottles from logistc </t>
        </r>
      </text>
    </comment>
    <comment ref="J30" authorId="3" shapeId="0" xr:uid="{72D64EAC-F7AB-4945-A024-EA4A53328F98}">
      <text>
        <r>
          <rPr>
            <b/>
            <sz val="9"/>
            <color indexed="81"/>
            <rFont val="Tahoma"/>
            <family val="2"/>
          </rPr>
          <t>Micah Noel:</t>
        </r>
        <r>
          <rPr>
            <sz val="9"/>
            <color indexed="81"/>
            <rFont val="Tahoma"/>
            <family val="2"/>
          </rPr>
          <t xml:space="preserve">
12mins high haze in product (line stopped by QA)</t>
        </r>
      </text>
    </comment>
    <comment ref="P30" authorId="0" shapeId="0" xr:uid="{8312F04C-598E-4A0B-BF55-DE3A6807A37A}">
      <text>
        <r>
          <rPr>
            <b/>
            <sz val="9"/>
            <color indexed="81"/>
            <rFont val="Tahoma"/>
            <family val="2"/>
          </rPr>
          <t>Kaylil Baptiste:</t>
        </r>
        <r>
          <rPr>
            <sz val="9"/>
            <color indexed="81"/>
            <rFont val="Tahoma"/>
            <family val="2"/>
          </rPr>
          <t xml:space="preserve">
14mins fallen bottles at washer discharge flap, 8mins fallen bottles at washer infeed flap </t>
        </r>
      </text>
    </comment>
    <comment ref="V30" authorId="0" shapeId="0" xr:uid="{EDD031D9-9106-4743-8968-0E886641BAA1}">
      <text>
        <r>
          <rPr>
            <b/>
            <sz val="9"/>
            <color indexed="81"/>
            <rFont val="Tahoma"/>
            <family val="2"/>
          </rPr>
          <t>Kaylil Baptiste:</t>
        </r>
        <r>
          <rPr>
            <sz val="9"/>
            <color indexed="81"/>
            <rFont val="Tahoma"/>
            <family val="2"/>
          </rPr>
          <t xml:space="preserve">
20mins EBI infeed conveyor running slow, 9mins crate washer </t>
        </r>
        <r>
          <rPr>
            <sz val="9"/>
            <color indexed="81"/>
            <rFont val="Tahoma"/>
            <family val="2"/>
          </rPr>
          <t xml:space="preserve">infeed sensor malfunction </t>
        </r>
      </text>
    </comment>
    <comment ref="Z30" authorId="3" shapeId="0" xr:uid="{8885987C-760E-4970-AFB0-2890A5EBCFB0}">
      <text>
        <r>
          <rPr>
            <b/>
            <sz val="9"/>
            <color indexed="81"/>
            <rFont val="Tahoma"/>
            <family val="2"/>
          </rPr>
          <t>Micah Noel:</t>
        </r>
        <r>
          <rPr>
            <sz val="9"/>
            <color indexed="81"/>
            <rFont val="Tahoma"/>
            <family val="2"/>
          </rPr>
          <t xml:space="preserve">
18mins Lab tech doing routine checks on bottles exiting washer before green light is given for filling, 8mins instructions given to change filler gaff bage due to high haze in beer ex filler</t>
        </r>
      </text>
    </comment>
    <comment ref="AB30" authorId="0" shapeId="0" xr:uid="{573AFC09-721B-4B32-9DBC-CDC016259EB4}">
      <text>
        <r>
          <rPr>
            <b/>
            <sz val="9"/>
            <color indexed="81"/>
            <rFont val="Tahoma"/>
            <family val="2"/>
          </rPr>
          <t>Kaylil Baptiste:</t>
        </r>
        <r>
          <rPr>
            <sz val="9"/>
            <color indexed="81"/>
            <rFont val="Tahoma"/>
            <family val="2"/>
          </rPr>
          <t xml:space="preserve">
10mins waiting on bottles </t>
        </r>
      </text>
    </comment>
    <comment ref="J31" authorId="2" shapeId="0" xr:uid="{4EA18999-6E1C-4493-979D-ADF4D0583AFD}">
      <text>
        <r>
          <rPr>
            <b/>
            <sz val="9"/>
            <color indexed="81"/>
            <rFont val="Tahoma"/>
            <family val="2"/>
          </rPr>
          <t>Dorien Andrew:</t>
        </r>
        <r>
          <rPr>
            <sz val="9"/>
            <color indexed="81"/>
            <rFont val="Tahoma"/>
            <family val="2"/>
          </rPr>
          <t xml:space="preserve">
20 mins wait for product from filtration</t>
        </r>
      </text>
    </comment>
    <comment ref="P31" authorId="0" shapeId="0" xr:uid="{1504640E-4C2A-4DFE-8881-B31691DE66F0}">
      <text>
        <r>
          <rPr>
            <b/>
            <sz val="9"/>
            <color indexed="81"/>
            <rFont val="Tahoma"/>
            <family val="2"/>
          </rPr>
          <t>Kaylil Baptiste:</t>
        </r>
        <r>
          <rPr>
            <sz val="9"/>
            <color indexed="81"/>
            <rFont val="Tahoma"/>
            <family val="2"/>
          </rPr>
          <t xml:space="preserve">
8mins fallen bottles at washer discharge flap </t>
        </r>
      </text>
    </comment>
    <comment ref="R31" authorId="0" shapeId="0" xr:uid="{FBC0D278-C10A-42E1-A0B8-623903B68AA7}">
      <text>
        <r>
          <rPr>
            <b/>
            <sz val="9"/>
            <color indexed="81"/>
            <rFont val="Tahoma"/>
            <family val="2"/>
          </rPr>
          <t>Kaylil Baptiste:</t>
        </r>
        <r>
          <rPr>
            <sz val="9"/>
            <color indexed="81"/>
            <rFont val="Tahoma"/>
            <family val="2"/>
          </rPr>
          <t xml:space="preserve">
5mins cleaning fille base, 5mins crowner stuck in chute </t>
        </r>
      </text>
    </comment>
    <comment ref="T31" authorId="0" shapeId="0" xr:uid="{CA519A97-528D-4BBE-95AE-1BBCA23AB169}">
      <text>
        <r>
          <rPr>
            <b/>
            <sz val="9"/>
            <color indexed="81"/>
            <rFont val="Tahoma"/>
            <family val="2"/>
          </rPr>
          <t>Kaylil Baptiste:</t>
        </r>
        <r>
          <rPr>
            <sz val="9"/>
            <color indexed="81"/>
            <rFont val="Tahoma"/>
            <family val="2"/>
          </rPr>
          <t xml:space="preserve">
5mins missing labels</t>
        </r>
      </text>
    </comment>
    <comment ref="V31" authorId="0" shapeId="0" xr:uid="{A89E6714-DF38-4680-B9B8-7759E915A4D1}">
      <text>
        <r>
          <rPr>
            <b/>
            <sz val="9"/>
            <color indexed="81"/>
            <rFont val="Tahoma"/>
            <family val="2"/>
          </rPr>
          <t>Kaylil Baptiste:</t>
        </r>
        <r>
          <rPr>
            <sz val="9"/>
            <color indexed="81"/>
            <rFont val="Tahoma"/>
            <family val="2"/>
          </rPr>
          <t xml:space="preserve">
30 mins lost for EBI infeed conveyor not coming on,  16mins EBI conveyor running slow, 13mins fallen bottles inside shuffler</t>
        </r>
      </text>
    </comment>
    <comment ref="Z31" authorId="2" shapeId="0" xr:uid="{A2E29004-685E-4738-B5B6-CF56684F5DC4}">
      <text>
        <r>
          <rPr>
            <b/>
            <sz val="9"/>
            <color indexed="81"/>
            <rFont val="Tahoma"/>
            <family val="2"/>
          </rPr>
          <t>Dorien Andrew:</t>
        </r>
        <r>
          <rPr>
            <sz val="9"/>
            <color indexed="81"/>
            <rFont val="Tahoma"/>
            <family val="2"/>
          </rPr>
          <t xml:space="preserve">
40mins product preparation, 8mins power outage on plant</t>
        </r>
      </text>
    </comment>
    <comment ref="AB31" authorId="0" shapeId="0" xr:uid="{CD2D9F53-DA65-4C5D-AEAB-28CD1430C02F}">
      <text>
        <r>
          <rPr>
            <b/>
            <sz val="9"/>
            <color indexed="81"/>
            <rFont val="Tahoma"/>
            <family val="2"/>
          </rPr>
          <t>Kaylil Baptiste:</t>
        </r>
        <r>
          <rPr>
            <sz val="9"/>
            <color indexed="81"/>
            <rFont val="Tahoma"/>
            <family val="2"/>
          </rPr>
          <t xml:space="preserve">
15mins high rejection due to rewashed bottles</t>
        </r>
      </text>
    </comment>
    <comment ref="I32" authorId="3" shapeId="0" xr:uid="{9050346B-728A-4D7A-AF79-E72907E9EB10}">
      <text>
        <r>
          <rPr>
            <b/>
            <sz val="9"/>
            <color indexed="81"/>
            <rFont val="Tahoma"/>
            <family val="2"/>
          </rPr>
          <t>Micah Noel:</t>
        </r>
        <r>
          <rPr>
            <sz val="9"/>
            <color indexed="81"/>
            <rFont val="Tahoma"/>
            <family val="2"/>
          </rPr>
          <t xml:space="preserve">
58 Mins filler change over from Star Malt to Carib</t>
        </r>
      </text>
    </comment>
    <comment ref="J32" authorId="3" shapeId="0" xr:uid="{921C361A-C851-47C8-8BED-AA2B04A96414}">
      <text>
        <r>
          <rPr>
            <b/>
            <sz val="9"/>
            <color indexed="81"/>
            <rFont val="Tahoma"/>
            <family val="2"/>
          </rPr>
          <t>Micah Noel:</t>
        </r>
        <r>
          <rPr>
            <sz val="9"/>
            <color indexed="81"/>
            <rFont val="Tahoma"/>
            <family val="2"/>
          </rPr>
          <t xml:space="preserve">
5 mins Empty BBT caused low filler bowl level, 64mins doing quality check on liquid in BBT</t>
        </r>
      </text>
    </comment>
    <comment ref="O32" authorId="0" shapeId="0" xr:uid="{F0D9D8DE-119D-4CB4-906D-44144A83A2CC}">
      <text>
        <r>
          <rPr>
            <b/>
            <sz val="9"/>
            <color indexed="81"/>
            <rFont val="Tahoma"/>
            <family val="2"/>
          </rPr>
          <t>Kaylil Baptiste:</t>
        </r>
        <r>
          <rPr>
            <sz val="9"/>
            <color indexed="81"/>
            <rFont val="Tahoma"/>
            <family val="2"/>
          </rPr>
          <t xml:space="preserve">
6mins uncaser head hitting crates</t>
        </r>
      </text>
    </comment>
    <comment ref="P32" authorId="0" shapeId="0" xr:uid="{5235FD6A-B293-47DF-98BB-2E5E4F827A13}">
      <text>
        <r>
          <rPr>
            <b/>
            <sz val="9"/>
            <color indexed="81"/>
            <rFont val="Tahoma"/>
            <family val="2"/>
          </rPr>
          <t>Kaylil Baptiste:</t>
        </r>
        <r>
          <rPr>
            <sz val="9"/>
            <color indexed="81"/>
            <rFont val="Tahoma"/>
            <family val="2"/>
          </rPr>
          <t xml:space="preserve">
16mins fallen bottles at washer discharge flap</t>
        </r>
      </text>
    </comment>
    <comment ref="R32" authorId="0" shapeId="0" xr:uid="{3CC0B243-DA58-43B2-A88C-4512191E6E72}">
      <text>
        <r>
          <rPr>
            <b/>
            <sz val="9"/>
            <color indexed="81"/>
            <rFont val="Tahoma"/>
            <family val="2"/>
          </rPr>
          <t>Kaylil Baptiste:</t>
        </r>
        <r>
          <rPr>
            <sz val="9"/>
            <color indexed="81"/>
            <rFont val="Tahoma"/>
            <family val="2"/>
          </rPr>
          <t xml:space="preserve">
5mins filler infeed worm jammed</t>
        </r>
      </text>
    </comment>
    <comment ref="T32" authorId="0" shapeId="0" xr:uid="{6E260929-EC0F-4D34-B7C4-9D1C9CEE6A6F}">
      <text>
        <r>
          <rPr>
            <b/>
            <sz val="9"/>
            <color indexed="81"/>
            <rFont val="Tahoma"/>
            <family val="2"/>
          </rPr>
          <t>Kaylil Baptiste:</t>
        </r>
        <r>
          <rPr>
            <sz val="9"/>
            <color indexed="81"/>
            <rFont val="Tahoma"/>
            <family val="2"/>
          </rPr>
          <t xml:space="preserve">
9mins labeler adjustments on magazine</t>
        </r>
      </text>
    </comment>
    <comment ref="AB32" authorId="3" shapeId="0" xr:uid="{6CA449DD-AEB9-4401-B1C7-27DC470456DD}">
      <text>
        <r>
          <rPr>
            <b/>
            <sz val="9"/>
            <color indexed="81"/>
            <rFont val="Tahoma"/>
            <family val="2"/>
          </rPr>
          <t>Micah Noel:</t>
        </r>
        <r>
          <rPr>
            <sz val="9"/>
            <color indexed="81"/>
            <rFont val="Tahoma"/>
            <family val="2"/>
          </rPr>
          <t xml:space="preserve">
21 mins heavy EBI rejections caused by pre-rejected bottles 7 mins waiting for pallets </t>
        </r>
      </text>
    </comment>
    <comment ref="I33" authorId="2" shapeId="0" xr:uid="{ADAC4E57-61E6-40CB-8AD1-7F4B329EE869}">
      <text>
        <r>
          <rPr>
            <b/>
            <sz val="9"/>
            <color indexed="81"/>
            <rFont val="Tahoma"/>
            <family val="2"/>
          </rPr>
          <t>Dorien Andrew:</t>
        </r>
        <r>
          <rPr>
            <sz val="9"/>
            <color indexed="81"/>
            <rFont val="Tahoma"/>
            <family val="2"/>
          </rPr>
          <t xml:space="preserve">
changing from CDC amber to short amber </t>
        </r>
      </text>
    </comment>
    <comment ref="O33" authorId="0" shapeId="0" xr:uid="{B6A107B6-5B1C-4D1F-A712-2225FDE8D39D}">
      <text>
        <r>
          <rPr>
            <b/>
            <sz val="9"/>
            <color indexed="81"/>
            <rFont val="Tahoma"/>
            <family val="2"/>
          </rPr>
          <t>Kaylil Baptiste:</t>
        </r>
        <r>
          <rPr>
            <sz val="9"/>
            <color indexed="81"/>
            <rFont val="Tahoma"/>
            <family val="2"/>
          </rPr>
          <t xml:space="preserve">
25mins uncaser head hitting crates, 13mins uncaser head malfunction </t>
        </r>
      </text>
    </comment>
    <comment ref="P33" authorId="0" shapeId="0" xr:uid="{6C53255D-C4CD-42DA-985B-284AA11C01FF}">
      <text>
        <r>
          <rPr>
            <b/>
            <sz val="9"/>
            <color indexed="81"/>
            <rFont val="Tahoma"/>
            <family val="2"/>
          </rPr>
          <t>Kaylil Baptiste:</t>
        </r>
        <r>
          <rPr>
            <sz val="9"/>
            <color indexed="81"/>
            <rFont val="Tahoma"/>
            <family val="2"/>
          </rPr>
          <t xml:space="preserve">
57mins high rejection due to labels, 16mins fallen bottles at washer discharge flap</t>
        </r>
      </text>
    </comment>
    <comment ref="Q33" authorId="0" shapeId="0" xr:uid="{B04D2006-7BB8-43BC-8EC5-0754E2353765}">
      <text>
        <r>
          <rPr>
            <b/>
            <sz val="9"/>
            <color indexed="81"/>
            <rFont val="Tahoma"/>
            <family val="2"/>
          </rPr>
          <t>Kaylil Baptiste:</t>
        </r>
        <r>
          <rPr>
            <sz val="9"/>
            <color indexed="81"/>
            <rFont val="Tahoma"/>
            <family val="2"/>
          </rPr>
          <t xml:space="preserve">
5mins rebooting system </t>
        </r>
      </text>
    </comment>
    <comment ref="T33" authorId="0" shapeId="0" xr:uid="{5B5221B2-3EC4-4FED-8CD2-0001C57665F3}">
      <text>
        <r>
          <rPr>
            <b/>
            <sz val="9"/>
            <color indexed="81"/>
            <rFont val="Tahoma"/>
            <family val="2"/>
          </rPr>
          <t>Kaylil Baptiste:</t>
        </r>
        <r>
          <rPr>
            <sz val="9"/>
            <color indexed="81"/>
            <rFont val="Tahoma"/>
            <family val="2"/>
          </rPr>
          <t xml:space="preserve">
5mins flagging labels</t>
        </r>
      </text>
    </comment>
    <comment ref="V33" authorId="0" shapeId="0" xr:uid="{EC28AF5E-24BD-488A-BD1A-253F57306794}">
      <text>
        <r>
          <rPr>
            <b/>
            <sz val="9"/>
            <color indexed="81"/>
            <rFont val="Tahoma"/>
            <family val="2"/>
          </rPr>
          <t>Kaylil Baptiste:</t>
        </r>
        <r>
          <rPr>
            <sz val="9"/>
            <color indexed="81"/>
            <rFont val="Tahoma"/>
            <family val="2"/>
          </rPr>
          <t xml:space="preserve">
26mins pasteurizer discharge conveyor malfunction, 8mins fallen bottles inside shuffler </t>
        </r>
      </text>
    </comment>
    <comment ref="Y33" authorId="0" shapeId="0" xr:uid="{D1B7BE1C-AE8F-4B7A-A287-4A5BA45DF99E}">
      <text>
        <r>
          <rPr>
            <b/>
            <sz val="9"/>
            <color indexed="81"/>
            <rFont val="Tahoma"/>
            <family val="2"/>
          </rPr>
          <t>Kaylil Baptiste:</t>
        </r>
        <r>
          <rPr>
            <sz val="9"/>
            <color indexed="81"/>
            <rFont val="Tahoma"/>
            <family val="2"/>
          </rPr>
          <t xml:space="preserve">
crate washer malfunction </t>
        </r>
      </text>
    </comment>
    <comment ref="AB33" authorId="0" shapeId="0" xr:uid="{93FA2025-020E-42FE-8659-791E84F349B0}">
      <text>
        <r>
          <rPr>
            <b/>
            <sz val="9"/>
            <color indexed="81"/>
            <rFont val="Tahoma"/>
            <family val="2"/>
          </rPr>
          <t>Kaylil Baptiste:</t>
        </r>
        <r>
          <rPr>
            <sz val="9"/>
            <color indexed="81"/>
            <rFont val="Tahoma"/>
            <family val="2"/>
          </rPr>
          <t xml:space="preserve">
8mins waiting on crates
9mins rewashed bottles
5mins waiting on bottles </t>
        </r>
      </text>
    </comment>
    <comment ref="I34" authorId="0" shapeId="0" xr:uid="{773F1A0B-4B90-43A4-B331-A31C7E069EDA}">
      <text>
        <r>
          <rPr>
            <b/>
            <sz val="9"/>
            <color indexed="81"/>
            <rFont val="Tahoma"/>
            <family val="2"/>
          </rPr>
          <t>Kaylil Baptiste:</t>
        </r>
        <r>
          <rPr>
            <sz val="9"/>
            <color indexed="81"/>
            <rFont val="Tahoma"/>
            <family val="2"/>
          </rPr>
          <t xml:space="preserve">
5mins bottle type change over </t>
        </r>
      </text>
    </comment>
    <comment ref="M34" authorId="0" shapeId="0" xr:uid="{4E27C2B4-C248-4D33-850A-92C18E402683}">
      <text>
        <r>
          <rPr>
            <b/>
            <sz val="9"/>
            <color indexed="81"/>
            <rFont val="Tahoma"/>
            <family val="2"/>
          </rPr>
          <t>Kaylil Baptiste:</t>
        </r>
        <r>
          <rPr>
            <sz val="9"/>
            <color indexed="81"/>
            <rFont val="Tahoma"/>
            <family val="2"/>
          </rPr>
          <t xml:space="preserve">
6mins low water pressure on filler </t>
        </r>
      </text>
    </comment>
    <comment ref="P34" authorId="0" shapeId="0" xr:uid="{8C778F20-9628-4796-A388-2039B6F280EC}">
      <text>
        <r>
          <rPr>
            <b/>
            <sz val="9"/>
            <color indexed="81"/>
            <rFont val="Tahoma"/>
            <family val="2"/>
          </rPr>
          <t>Kaylil Baptiste:</t>
        </r>
        <r>
          <rPr>
            <sz val="9"/>
            <color indexed="81"/>
            <rFont val="Tahoma"/>
            <family val="2"/>
          </rPr>
          <t xml:space="preserve">
26mins fallen bottles at washer discharge flap, 15mins fallen bottles at washer infeed flap</t>
        </r>
      </text>
    </comment>
    <comment ref="Q34" authorId="0" shapeId="0" xr:uid="{10835CE6-32FE-468C-9A76-C8D2EDD76B19}">
      <text>
        <r>
          <rPr>
            <b/>
            <sz val="9"/>
            <color indexed="81"/>
            <rFont val="Tahoma"/>
            <family val="2"/>
          </rPr>
          <t>Kaylil Baptiste:</t>
        </r>
        <r>
          <rPr>
            <sz val="9"/>
            <color indexed="81"/>
            <rFont val="Tahoma"/>
            <family val="2"/>
          </rPr>
          <t xml:space="preserve">
20mins high EBI rejection</t>
        </r>
      </text>
    </comment>
    <comment ref="V34" authorId="0" shapeId="0" xr:uid="{EBEC3C95-8358-48C4-A556-F3C9FAD103F2}">
      <text>
        <r>
          <rPr>
            <b/>
            <sz val="9"/>
            <color indexed="81"/>
            <rFont val="Tahoma"/>
            <family val="2"/>
          </rPr>
          <t>Kaylil Baptiste:</t>
        </r>
        <r>
          <rPr>
            <sz val="9"/>
            <color indexed="81"/>
            <rFont val="Tahoma"/>
            <family val="2"/>
          </rPr>
          <t xml:space="preserve">
16mins EBI discharge malfunction </t>
        </r>
      </text>
    </comment>
    <comment ref="X34" authorId="0" shapeId="0" xr:uid="{587294F4-F568-4132-B1AF-B218F5B725C6}">
      <text>
        <r>
          <rPr>
            <b/>
            <sz val="9"/>
            <color indexed="81"/>
            <rFont val="Tahoma"/>
            <family val="2"/>
          </rPr>
          <t>Kaylil Baptiste:</t>
        </r>
        <r>
          <rPr>
            <sz val="9"/>
            <color indexed="81"/>
            <rFont val="Tahoma"/>
            <family val="2"/>
          </rPr>
          <t xml:space="preserve">
42min carton errector not taping properly </t>
        </r>
      </text>
    </comment>
    <comment ref="AB34" authorId="3" shapeId="0" xr:uid="{52087893-F24A-424D-9D44-954842527B7A}">
      <text>
        <r>
          <rPr>
            <b/>
            <sz val="9"/>
            <color indexed="81"/>
            <rFont val="Tahoma"/>
            <family val="2"/>
          </rPr>
          <t>Micah Noel:</t>
        </r>
        <r>
          <rPr>
            <sz val="9"/>
            <color indexed="81"/>
            <rFont val="Tahoma"/>
            <family val="2"/>
          </rPr>
          <t xml:space="preserve">
Incorrect bottle stuck at EBI starwheel</t>
        </r>
      </text>
    </comment>
    <comment ref="I35" authorId="3" shapeId="0" xr:uid="{5078017B-D474-41F3-B4E7-B2EB6C5C66CC}">
      <text>
        <r>
          <rPr>
            <b/>
            <sz val="9"/>
            <color indexed="81"/>
            <rFont val="Tahoma"/>
            <family val="2"/>
          </rPr>
          <t>Micah Noel:</t>
        </r>
        <r>
          <rPr>
            <sz val="9"/>
            <color indexed="81"/>
            <rFont val="Tahoma"/>
            <family val="2"/>
          </rPr>
          <t xml:space="preserve">
15 MINS filler change over from carib (short flint ) to Stag ( short green) 28 mins labeler change over from carib to Stag both in short bottles</t>
        </r>
      </text>
    </comment>
    <comment ref="P35" authorId="0" shapeId="0" xr:uid="{C4FB8D39-A1F2-49F1-9957-43A5D7699817}">
      <text>
        <r>
          <rPr>
            <b/>
            <sz val="9"/>
            <color indexed="81"/>
            <rFont val="Tahoma"/>
            <family val="2"/>
          </rPr>
          <t>Kaylil Baptiste:</t>
        </r>
        <r>
          <rPr>
            <sz val="9"/>
            <color indexed="81"/>
            <rFont val="Tahoma"/>
            <family val="2"/>
          </rPr>
          <t xml:space="preserve">
13mins high rejection due to labels</t>
        </r>
      </text>
    </comment>
    <comment ref="Q35" authorId="0" shapeId="0" xr:uid="{1BE65422-8F3B-4B47-8540-D185644FB31F}">
      <text>
        <r>
          <rPr>
            <b/>
            <sz val="9"/>
            <color indexed="81"/>
            <rFont val="Tahoma"/>
            <family val="2"/>
          </rPr>
          <t>Kaylil Baptiste:</t>
        </r>
        <r>
          <rPr>
            <sz val="9"/>
            <color indexed="81"/>
            <rFont val="Tahoma"/>
            <family val="2"/>
          </rPr>
          <t xml:space="preserve">
21mins high EBI rejection, 9mins adjustments on EBI  </t>
        </r>
      </text>
    </comment>
    <comment ref="V35" authorId="0" shapeId="0" xr:uid="{83EDF31D-6053-4B19-863A-D98B3F19A198}">
      <text>
        <r>
          <rPr>
            <b/>
            <sz val="9"/>
            <color indexed="81"/>
            <rFont val="Tahoma"/>
            <family val="2"/>
          </rPr>
          <t>Kaylil Baptiste:</t>
        </r>
        <r>
          <rPr>
            <sz val="9"/>
            <color indexed="81"/>
            <rFont val="Tahoma"/>
            <family val="2"/>
          </rPr>
          <t xml:space="preserve">
7mins EBI conveyor running slow </t>
        </r>
      </text>
    </comment>
    <comment ref="Z35" authorId="3" shapeId="0" xr:uid="{13A50657-27A8-481C-802A-2F396F5F5E9B}">
      <text>
        <r>
          <rPr>
            <b/>
            <sz val="9"/>
            <color indexed="81"/>
            <rFont val="Tahoma"/>
            <family val="2"/>
          </rPr>
          <t>Micah Noel:</t>
        </r>
        <r>
          <rPr>
            <sz val="9"/>
            <color indexed="81"/>
            <rFont val="Tahoma"/>
            <family val="2"/>
          </rPr>
          <t xml:space="preserve">
13mins removing excess short flint bottles from washer before starting stag filling</t>
        </r>
      </text>
    </comment>
    <comment ref="I36" authorId="0" shapeId="0" xr:uid="{38DEFA39-35D8-4AB6-AC9F-575AF39FC5EF}">
      <text>
        <r>
          <rPr>
            <b/>
            <sz val="9"/>
            <color indexed="81"/>
            <rFont val="Tahoma"/>
            <family val="2"/>
          </rPr>
          <t xml:space="preserve">Dorien Andrew:
</t>
        </r>
        <r>
          <rPr>
            <sz val="9"/>
            <color indexed="81"/>
            <rFont val="Tahoma"/>
            <family val="2"/>
          </rPr>
          <t>filler change over (275ml bottle)</t>
        </r>
      </text>
    </comment>
    <comment ref="O36" authorId="0" shapeId="0" xr:uid="{D134EC93-CB69-499D-AACC-79B3CB5CB0B8}">
      <text>
        <r>
          <rPr>
            <b/>
            <sz val="9"/>
            <color indexed="81"/>
            <rFont val="Tahoma"/>
            <family val="2"/>
          </rPr>
          <t>Kaylil Baptiste:</t>
        </r>
        <r>
          <rPr>
            <sz val="9"/>
            <color indexed="81"/>
            <rFont val="Tahoma"/>
            <family val="2"/>
          </rPr>
          <t xml:space="preserve">
5mins uncaser head hitting crates</t>
        </r>
      </text>
    </comment>
    <comment ref="P36" authorId="0" shapeId="0" xr:uid="{012B3B06-0C18-4FE0-B5C2-34525C7DED21}">
      <text>
        <r>
          <rPr>
            <b/>
            <sz val="9"/>
            <color indexed="81"/>
            <rFont val="Tahoma"/>
            <family val="2"/>
          </rPr>
          <t>Kaylil Baptiste:</t>
        </r>
        <r>
          <rPr>
            <sz val="9"/>
            <color indexed="81"/>
            <rFont val="Tahoma"/>
            <family val="2"/>
          </rPr>
          <t xml:space="preserve">
7mins fallen bottles at washer discharge flap</t>
        </r>
      </text>
    </comment>
    <comment ref="Q36" authorId="0" shapeId="0" xr:uid="{58E613A9-3DF6-43C6-8B0B-ED65E327896C}">
      <text>
        <r>
          <rPr>
            <b/>
            <sz val="9"/>
            <color indexed="81"/>
            <rFont val="Tahoma"/>
            <family val="2"/>
          </rPr>
          <t>Kaylil Baptiste:</t>
        </r>
        <r>
          <rPr>
            <sz val="9"/>
            <color indexed="81"/>
            <rFont val="Tahoma"/>
            <family val="2"/>
          </rPr>
          <t xml:space="preserve">
10mins maintenance adjustment on EBI </t>
        </r>
      </text>
    </comment>
    <comment ref="T36" authorId="0" shapeId="0" xr:uid="{A8930FEA-64BA-48AC-8B2A-98611B9CDE81}">
      <text>
        <r>
          <rPr>
            <b/>
            <sz val="9"/>
            <color indexed="81"/>
            <rFont val="Tahoma"/>
            <family val="2"/>
          </rPr>
          <t>Kaylil Baptiste:</t>
        </r>
        <r>
          <rPr>
            <sz val="9"/>
            <color indexed="81"/>
            <rFont val="Tahoma"/>
            <family val="2"/>
          </rPr>
          <t xml:space="preserve">
33mins adjustment to stop flagging / missing labels, 5mins misaligned labels </t>
        </r>
      </text>
    </comment>
    <comment ref="V36" authorId="0" shapeId="0" xr:uid="{1ACDF8C4-ADFB-45E8-9950-AFAF2F426874}">
      <text>
        <r>
          <rPr>
            <b/>
            <sz val="9"/>
            <color indexed="81"/>
            <rFont val="Tahoma"/>
            <family val="2"/>
          </rPr>
          <t>Kaylil Baptiste:</t>
        </r>
        <r>
          <rPr>
            <sz val="9"/>
            <color indexed="81"/>
            <rFont val="Tahoma"/>
            <family val="2"/>
          </rPr>
          <t xml:space="preserve">
11mins fallen bottles inside shuffler </t>
        </r>
      </text>
    </comment>
    <comment ref="AB36" authorId="3" shapeId="0" xr:uid="{7909441F-7270-4F48-BA2D-91A477DE32C7}">
      <text>
        <r>
          <rPr>
            <b/>
            <sz val="9"/>
            <color indexed="81"/>
            <rFont val="Tahoma"/>
            <family val="2"/>
          </rPr>
          <t>Micah Noel:</t>
        </r>
        <r>
          <rPr>
            <sz val="9"/>
            <color indexed="81"/>
            <rFont val="Tahoma"/>
            <family val="2"/>
          </rPr>
          <t xml:space="preserve">
21mins old bottles on line</t>
        </r>
      </text>
    </comment>
    <comment ref="I37" authorId="3" shapeId="0" xr:uid="{BBD19801-7DB8-4622-81E9-B5AE86AEFF27}">
      <text>
        <r>
          <rPr>
            <b/>
            <sz val="9"/>
            <color indexed="81"/>
            <rFont val="Tahoma"/>
            <family val="2"/>
          </rPr>
          <t>Micah Noel:</t>
        </r>
        <r>
          <rPr>
            <sz val="9"/>
            <color indexed="81"/>
            <rFont val="Tahoma"/>
            <family val="2"/>
          </rPr>
          <t xml:space="preserve">
15 mins filler change over from stag to carib 8 mins  filler taking up product</t>
        </r>
      </text>
    </comment>
    <comment ref="J37" authorId="4" shapeId="0" xr:uid="{C451F033-A9ED-46AA-80A0-38FFC00FC327}">
      <text>
        <r>
          <rPr>
            <b/>
            <sz val="9"/>
            <color indexed="81"/>
            <rFont val="Tahoma"/>
            <family val="2"/>
          </rPr>
          <t>Tyrell Bartholomew:</t>
        </r>
        <r>
          <rPr>
            <sz val="9"/>
            <color indexed="81"/>
            <rFont val="Tahoma"/>
            <family val="2"/>
          </rPr>
          <t xml:space="preserve">
3mins filler bowl level down.</t>
        </r>
      </text>
    </comment>
    <comment ref="P37" authorId="0" shapeId="0" xr:uid="{4A11BC00-9647-4CE4-8494-66F78840035A}">
      <text>
        <r>
          <rPr>
            <b/>
            <sz val="9"/>
            <color indexed="81"/>
            <rFont val="Tahoma"/>
            <family val="2"/>
          </rPr>
          <t>Kaylil Baptiste:</t>
        </r>
        <r>
          <rPr>
            <sz val="9"/>
            <color indexed="81"/>
            <rFont val="Tahoma"/>
            <family val="2"/>
          </rPr>
          <t xml:space="preserve">
5mins fallen bottles at washer discharge flap, 5mins fallen bottles at washer infeed flap</t>
        </r>
      </text>
    </comment>
    <comment ref="R37" authorId="0" shapeId="0" xr:uid="{2DB5AA81-FE73-47F8-B5B6-5A5C5EFA6A11}">
      <text>
        <r>
          <rPr>
            <b/>
            <sz val="9"/>
            <color indexed="81"/>
            <rFont val="Tahoma"/>
            <family val="2"/>
          </rPr>
          <t>Kaylil Baptiste:</t>
        </r>
        <r>
          <rPr>
            <sz val="9"/>
            <color indexed="81"/>
            <rFont val="Tahoma"/>
            <family val="2"/>
          </rPr>
          <t xml:space="preserve">
6mins crowner stuck in chute </t>
        </r>
      </text>
    </comment>
    <comment ref="T37" authorId="0" shapeId="0" xr:uid="{2CAFCDC7-2893-4AF7-B767-0E0B56F1273D}">
      <text>
        <r>
          <rPr>
            <b/>
            <sz val="9"/>
            <color indexed="81"/>
            <rFont val="Tahoma"/>
            <family val="2"/>
          </rPr>
          <t>Kaylil Baptiste:</t>
        </r>
        <r>
          <rPr>
            <sz val="9"/>
            <color indexed="81"/>
            <rFont val="Tahoma"/>
            <family val="2"/>
          </rPr>
          <t xml:space="preserve">
11mins making adjustment to neck label magazine</t>
        </r>
      </text>
    </comment>
    <comment ref="Z37" authorId="3" shapeId="0" xr:uid="{A786C782-72B4-4B21-A69F-E3FDE6E8CE50}">
      <text>
        <r>
          <rPr>
            <b/>
            <sz val="9"/>
            <color indexed="81"/>
            <rFont val="Tahoma"/>
            <family val="2"/>
          </rPr>
          <t>Micah Noel:</t>
        </r>
        <r>
          <rPr>
            <sz val="9"/>
            <color indexed="81"/>
            <rFont val="Tahoma"/>
            <family val="2"/>
          </rPr>
          <t xml:space="preserve">
60 mins filler midweek clean 08 mins awaiting lab tech to conduct swab on filler 25 mins conducting swab on filler. 6mins toolbox meeting. 2mins gap in washer (new Bottles)</t>
        </r>
      </text>
    </comment>
    <comment ref="AB37" authorId="4" shapeId="0" xr:uid="{6C56E05B-CB44-46F7-AD90-008771C378D4}">
      <text>
        <r>
          <rPr>
            <b/>
            <sz val="9"/>
            <color indexed="81"/>
            <rFont val="Tahoma"/>
            <family val="2"/>
          </rPr>
          <t>Tyrell Bartholomew:</t>
        </r>
        <r>
          <rPr>
            <sz val="9"/>
            <color indexed="81"/>
            <rFont val="Tahoma"/>
            <family val="2"/>
          </rPr>
          <t xml:space="preserve">
. 11mins waiting on crates</t>
        </r>
      </text>
    </comment>
    <comment ref="Z38" authorId="2" shapeId="0" xr:uid="{B93FCDE5-8C0C-45D3-8FFE-1F7DD8FCF41C}">
      <text>
        <r>
          <rPr>
            <b/>
            <sz val="9"/>
            <color indexed="81"/>
            <rFont val="Tahoma"/>
            <family val="2"/>
          </rPr>
          <t>Dorien Andrew:</t>
        </r>
        <r>
          <rPr>
            <sz val="9"/>
            <color indexed="81"/>
            <rFont val="Tahoma"/>
            <family val="2"/>
          </rPr>
          <t xml:space="preserve">
14mins taking midnight reading 
4mins Palletiser waiting on pallet to pack</t>
        </r>
      </text>
    </comment>
    <comment ref="I39" authorId="0" shapeId="0" xr:uid="{432225D8-5990-4BE2-85CF-94342F5FA7DF}">
      <text>
        <r>
          <rPr>
            <b/>
            <sz val="9"/>
            <color indexed="81"/>
            <rFont val="Tahoma"/>
            <family val="2"/>
          </rPr>
          <t>Kaylil Baptiste:</t>
        </r>
        <r>
          <rPr>
            <sz val="9"/>
            <color indexed="81"/>
            <rFont val="Tahoma"/>
            <family val="2"/>
          </rPr>
          <t xml:space="preserve">
14mins filler change over, 12mins labeler change over </t>
        </r>
      </text>
    </comment>
    <comment ref="P39" authorId="0" shapeId="0" xr:uid="{F823D934-87A1-471F-A49A-3FCCD0B2B4C7}">
      <text>
        <r>
          <rPr>
            <b/>
            <sz val="9"/>
            <color indexed="81"/>
            <rFont val="Tahoma"/>
            <family val="2"/>
          </rPr>
          <t>Kaylil Baptiste:</t>
        </r>
        <r>
          <rPr>
            <sz val="9"/>
            <color indexed="81"/>
            <rFont val="Tahoma"/>
            <family val="2"/>
          </rPr>
          <t xml:space="preserve">
9mins high rejection due to labels on bottles </t>
        </r>
      </text>
    </comment>
    <comment ref="Q39" authorId="0" shapeId="0" xr:uid="{78EA1CA6-F074-4243-B9B0-4EA51F85ACCA}">
      <text>
        <r>
          <rPr>
            <b/>
            <sz val="9"/>
            <color indexed="81"/>
            <rFont val="Tahoma"/>
            <family val="2"/>
          </rPr>
          <t>Kaylil Baptiste:</t>
        </r>
        <r>
          <rPr>
            <sz val="9"/>
            <color indexed="81"/>
            <rFont val="Tahoma"/>
            <family val="2"/>
          </rPr>
          <t xml:space="preserve">
5mins fallen bottles on EBI starwheel</t>
        </r>
      </text>
    </comment>
    <comment ref="T39" authorId="0" shapeId="0" xr:uid="{C5BBAF99-BF25-4D42-A76E-6A3BB6D006AD}">
      <text>
        <r>
          <rPr>
            <b/>
            <sz val="9"/>
            <color indexed="81"/>
            <rFont val="Tahoma"/>
            <family val="2"/>
          </rPr>
          <t>Kaylil Baptiste:</t>
        </r>
        <r>
          <rPr>
            <sz val="9"/>
            <color indexed="81"/>
            <rFont val="Tahoma"/>
            <family val="2"/>
          </rPr>
          <t xml:space="preserve">
8mins labeler start up adjustments </t>
        </r>
      </text>
    </comment>
    <comment ref="V39" authorId="0" shapeId="0" xr:uid="{BFC79031-6797-44DE-BE39-DCDFADB94A03}">
      <text>
        <r>
          <rPr>
            <b/>
            <sz val="9"/>
            <color indexed="81"/>
            <rFont val="Tahoma"/>
            <family val="2"/>
          </rPr>
          <t>Kaylil Baptiste:</t>
        </r>
        <r>
          <rPr>
            <sz val="9"/>
            <color indexed="81"/>
            <rFont val="Tahoma"/>
            <family val="2"/>
          </rPr>
          <t xml:space="preserve">
13mins fallen bottles inside shuffler, 20mins pasteurizer discharge conveyor trip off</t>
        </r>
      </text>
    </comment>
    <comment ref="Z39" authorId="2" shapeId="0" xr:uid="{33AF745F-488B-4D73-B425-59747BDE098E}">
      <text>
        <r>
          <rPr>
            <b/>
            <sz val="9"/>
            <color indexed="81"/>
            <rFont val="Tahoma"/>
            <family val="2"/>
          </rPr>
          <t>Dorien Andrew:</t>
        </r>
        <r>
          <rPr>
            <sz val="9"/>
            <color indexed="81"/>
            <rFont val="Tahoma"/>
            <family val="2"/>
          </rPr>
          <t xml:space="preserve">
5 mins wait for palletizer, 10 mins stop for tools box meeting.</t>
        </r>
      </text>
    </comment>
    <comment ref="AB39" authorId="0" shapeId="0" xr:uid="{4FB96B27-1482-4FB7-AB29-06FDA33673B2}">
      <text>
        <r>
          <rPr>
            <b/>
            <sz val="9"/>
            <color indexed="81"/>
            <rFont val="Tahoma"/>
            <family val="2"/>
          </rPr>
          <t>Kaylil Baptiste:</t>
        </r>
        <r>
          <rPr>
            <sz val="9"/>
            <color indexed="81"/>
            <rFont val="Tahoma"/>
            <family val="2"/>
          </rPr>
          <t xml:space="preserve">
31mins high rejection due to old bottles,  7mins waiting on good crates.</t>
        </r>
      </text>
    </comment>
    <comment ref="I40" authorId="3" shapeId="0" xr:uid="{B98BF6C4-40FB-41A1-862F-293483F1F8B4}">
      <text>
        <r>
          <rPr>
            <b/>
            <sz val="9"/>
            <color indexed="81"/>
            <rFont val="Tahoma"/>
            <family val="2"/>
          </rPr>
          <t>Micah Noel:</t>
        </r>
        <r>
          <rPr>
            <sz val="9"/>
            <color indexed="81"/>
            <rFont val="Tahoma"/>
            <family val="2"/>
          </rPr>
          <t xml:space="preserve">
64 Filler &amp; EBI change over from Stag to Cider</t>
        </r>
      </text>
    </comment>
    <comment ref="J40" authorId="3" shapeId="0" xr:uid="{6B0F6B15-2F02-476C-BBE4-AFD486CB43A2}">
      <text>
        <r>
          <rPr>
            <b/>
            <sz val="9"/>
            <color indexed="81"/>
            <rFont val="Tahoma"/>
            <family val="2"/>
          </rPr>
          <t>Micah Noel:</t>
        </r>
        <r>
          <rPr>
            <sz val="9"/>
            <color indexed="81"/>
            <rFont val="Tahoma"/>
            <family val="2"/>
          </rPr>
          <t xml:space="preserve">
65mins waiting for blend to be transferred and product analyzed</t>
        </r>
      </text>
    </comment>
    <comment ref="V40" authorId="0" shapeId="0" xr:uid="{F7DF14A3-020F-4A49-8B2E-5E7BDB79C383}">
      <text>
        <r>
          <rPr>
            <b/>
            <sz val="9"/>
            <color indexed="81"/>
            <rFont val="Tahoma"/>
            <family val="2"/>
          </rPr>
          <t>Kaylil Baptiste:</t>
        </r>
        <r>
          <rPr>
            <sz val="9"/>
            <color indexed="81"/>
            <rFont val="Tahoma"/>
            <family val="2"/>
          </rPr>
          <t xml:space="preserve">
42mins unresponsive pasteurizer discharge #1 conveyor, 33mins wsher discharge Conveyor cut off, 7mins fallen bottles inside shuffler</t>
        </r>
      </text>
    </comment>
    <comment ref="Y40" authorId="1" shapeId="0" xr:uid="{E45B4FAA-A85A-4097-90A2-AED3B12DF857}">
      <text>
        <r>
          <rPr>
            <b/>
            <sz val="9"/>
            <color indexed="81"/>
            <rFont val="Tahoma"/>
            <family val="2"/>
          </rPr>
          <t>Michael Julien:</t>
        </r>
        <r>
          <rPr>
            <sz val="9"/>
            <color indexed="81"/>
            <rFont val="Tahoma"/>
            <family val="2"/>
          </rPr>
          <t xml:space="preserve">
due to regular stops the pasteurizer was emptied before ting filling began</t>
        </r>
      </text>
    </comment>
    <comment ref="Z40" authorId="3" shapeId="0" xr:uid="{904DF09C-F6AD-4B8E-BCDB-9813CD60AFF5}">
      <text>
        <r>
          <rPr>
            <b/>
            <sz val="9"/>
            <color indexed="81"/>
            <rFont val="Tahoma"/>
            <family val="2"/>
          </rPr>
          <t>Micah Noel:</t>
        </r>
        <r>
          <rPr>
            <sz val="9"/>
            <color indexed="81"/>
            <rFont val="Tahoma"/>
            <family val="2"/>
          </rPr>
          <t xml:space="preserve">
15 mins taking up product 10 mins ending up lunch break 5 mins waiting for bottles from washer</t>
        </r>
      </text>
    </comment>
    <comment ref="AB40" authorId="0" shapeId="0" xr:uid="{2C53FAB0-3D97-424A-A226-7D3950BB9835}">
      <text>
        <r>
          <rPr>
            <b/>
            <sz val="9"/>
            <color indexed="81"/>
            <rFont val="Tahoma"/>
            <family val="2"/>
          </rPr>
          <t>Kaylil Baptiste:</t>
        </r>
        <r>
          <rPr>
            <sz val="9"/>
            <color indexed="81"/>
            <rFont val="Tahoma"/>
            <family val="2"/>
          </rPr>
          <t xml:space="preserve">
6mins large bottles jamming starwheel</t>
        </r>
      </text>
    </comment>
    <comment ref="I41" authorId="0" shapeId="0" xr:uid="{3EDD55C2-6016-4693-AAB1-3946AD177FDC}">
      <text>
        <r>
          <rPr>
            <b/>
            <sz val="9"/>
            <color indexed="81"/>
            <rFont val="Tahoma"/>
            <family val="2"/>
          </rPr>
          <t>Kaylil Baptiste:</t>
        </r>
        <r>
          <rPr>
            <sz val="9"/>
            <color indexed="81"/>
            <rFont val="Tahoma"/>
            <family val="2"/>
          </rPr>
          <t xml:space="preserve">
changing over to rose and oiling machine</t>
        </r>
      </text>
    </comment>
    <comment ref="P41" authorId="0" shapeId="0" xr:uid="{89D2A7FF-1FB2-401E-AE07-AA9FF5AB4289}">
      <text>
        <r>
          <rPr>
            <b/>
            <sz val="9"/>
            <color indexed="81"/>
            <rFont val="Tahoma"/>
            <family val="2"/>
          </rPr>
          <t>Kaylil Baptiste:</t>
        </r>
        <r>
          <rPr>
            <sz val="9"/>
            <color indexed="81"/>
            <rFont val="Tahoma"/>
            <family val="2"/>
          </rPr>
          <t xml:space="preserve">
5mins high rejection due to labels </t>
        </r>
      </text>
    </comment>
    <comment ref="T41" authorId="0" shapeId="0" xr:uid="{C2842489-ED26-418A-84BF-9954BF230A4E}">
      <text>
        <r>
          <rPr>
            <b/>
            <sz val="9"/>
            <color indexed="81"/>
            <rFont val="Tahoma"/>
            <family val="2"/>
          </rPr>
          <t>Kaylil Baptiste:</t>
        </r>
        <r>
          <rPr>
            <sz val="9"/>
            <color indexed="81"/>
            <rFont val="Tahoma"/>
            <family val="2"/>
          </rPr>
          <t xml:space="preserve">
5mins start up adjustments </t>
        </r>
      </text>
    </comment>
    <comment ref="V41" authorId="0" shapeId="0" xr:uid="{5FCA6156-CD2C-4D24-BC7C-A7A45EE11002}">
      <text>
        <r>
          <rPr>
            <b/>
            <sz val="9"/>
            <color indexed="81"/>
            <rFont val="Tahoma"/>
            <family val="2"/>
          </rPr>
          <t>Kaylil Baptiste:</t>
        </r>
        <r>
          <rPr>
            <sz val="9"/>
            <color indexed="81"/>
            <rFont val="Tahoma"/>
            <family val="2"/>
          </rPr>
          <t xml:space="preserve">
46mins fallen bottles stick at pasteurizer discharge, 6mins fallen bottles inside shuffler, 8mins fallen bottles at filler discharge</t>
        </r>
      </text>
    </comment>
    <comment ref="X41" authorId="0" shapeId="0" xr:uid="{7D5814B3-E684-4C5D-926A-49FC0BB7CF54}">
      <text>
        <r>
          <rPr>
            <b/>
            <sz val="9"/>
            <color indexed="81"/>
            <rFont val="Tahoma"/>
            <family val="2"/>
          </rPr>
          <t>Kaylil Baptiste:</t>
        </r>
        <r>
          <rPr>
            <sz val="9"/>
            <color indexed="81"/>
            <rFont val="Tahoma"/>
            <family val="2"/>
          </rPr>
          <t xml:space="preserve">
33mins carton errector malfuction, 10mins sealing issues on carton errector, 9mins cartons upside down and had to be removed</t>
        </r>
      </text>
    </comment>
    <comment ref="I42" authorId="1" shapeId="0" xr:uid="{74B8E9A7-7648-4ABD-B765-A9759FD8C047}">
      <text>
        <r>
          <rPr>
            <b/>
            <sz val="9"/>
            <color indexed="81"/>
            <rFont val="Tahoma"/>
            <family val="2"/>
          </rPr>
          <t>Michael Julien:</t>
        </r>
        <r>
          <rPr>
            <sz val="9"/>
            <color indexed="81"/>
            <rFont val="Tahoma"/>
            <family val="2"/>
          </rPr>
          <t xml:space="preserve">
change over from rose to ting.</t>
        </r>
      </text>
    </comment>
    <comment ref="Q42" authorId="0" shapeId="0" xr:uid="{AA1F225F-3A98-4C1C-80B5-69D8461B72A6}">
      <text>
        <r>
          <rPr>
            <b/>
            <sz val="9"/>
            <color indexed="81"/>
            <rFont val="Tahoma"/>
            <family val="2"/>
          </rPr>
          <t>Kaylil Baptiste:</t>
        </r>
        <r>
          <rPr>
            <sz val="9"/>
            <color indexed="81"/>
            <rFont val="Tahoma"/>
            <family val="2"/>
          </rPr>
          <t xml:space="preserve">
10mins high EBI rejection</t>
        </r>
      </text>
    </comment>
    <comment ref="R42" authorId="0" shapeId="0" xr:uid="{748C0CBE-9DBC-400D-B6B9-B15A5E28EE26}">
      <text>
        <r>
          <rPr>
            <b/>
            <sz val="9"/>
            <color indexed="81"/>
            <rFont val="Tahoma"/>
            <family val="2"/>
          </rPr>
          <t>Kaylil Baptiste:</t>
        </r>
        <r>
          <rPr>
            <sz val="9"/>
            <color indexed="81"/>
            <rFont val="Tahoma"/>
            <family val="2"/>
          </rPr>
          <t xml:space="preserve">
14mins crowner stuck in chute, 9mins bottles jam in filler infeed, 7mins cleaning filler base </t>
        </r>
      </text>
    </comment>
    <comment ref="V42" authorId="0" shapeId="0" xr:uid="{7D3DC43E-F212-499B-B6AE-5106B6051D63}">
      <text>
        <r>
          <rPr>
            <b/>
            <sz val="9"/>
            <color indexed="81"/>
            <rFont val="Tahoma"/>
            <family val="2"/>
          </rPr>
          <t>Kaylil Baptiste:</t>
        </r>
        <r>
          <rPr>
            <sz val="9"/>
            <color indexed="81"/>
            <rFont val="Tahoma"/>
            <family val="2"/>
          </rPr>
          <t xml:space="preserve">
15mins uncaser conveyor cut off, 10mins fallen bottles at filler discharge</t>
        </r>
      </text>
    </comment>
    <comment ref="Z42" authorId="1" shapeId="0" xr:uid="{CE0A33A0-BD65-4FDB-8431-BF5966D3C9AB}">
      <text>
        <r>
          <rPr>
            <b/>
            <sz val="9"/>
            <color indexed="81"/>
            <rFont val="Tahoma"/>
            <family val="2"/>
          </rPr>
          <t>Michael Julien:</t>
        </r>
        <r>
          <rPr>
            <sz val="9"/>
            <color indexed="81"/>
            <rFont val="Tahoma"/>
            <family val="2"/>
          </rPr>
          <t xml:space="preserve">
16mins waiting for pasteurizer to empty to begin the ting.15mins for toolbox meeting 10 mins awaiting depalletizer(change of shift)</t>
        </r>
      </text>
    </comment>
    <comment ref="I43" authorId="3" shapeId="0" xr:uid="{8AF16379-8223-455F-9579-7773AAAC91C9}">
      <text>
        <r>
          <rPr>
            <b/>
            <sz val="9"/>
            <color indexed="81"/>
            <rFont val="Tahoma"/>
            <family val="2"/>
          </rPr>
          <t>Micah Noel:</t>
        </r>
        <r>
          <rPr>
            <sz val="9"/>
            <color indexed="81"/>
            <rFont val="Tahoma"/>
            <family val="2"/>
          </rPr>
          <t xml:space="preserve">
Filler change over and taking up product</t>
        </r>
      </text>
    </comment>
    <comment ref="J43" authorId="3" shapeId="0" xr:uid="{4651394F-6A08-4238-9390-CF40F4807794}">
      <text>
        <r>
          <rPr>
            <b/>
            <sz val="9"/>
            <color indexed="81"/>
            <rFont val="Tahoma"/>
            <family val="2"/>
          </rPr>
          <t>Micah Noel:</t>
        </r>
        <r>
          <rPr>
            <sz val="9"/>
            <color indexed="81"/>
            <rFont val="Tahoma"/>
            <family val="2"/>
          </rPr>
          <t xml:space="preserve">
waiting for cold water from filtration to cool down filler bowl before taking up the product</t>
        </r>
      </text>
    </comment>
    <comment ref="P43" authorId="0" shapeId="0" xr:uid="{E8328E63-D520-4B80-B4E0-D8AC857D1488}">
      <text>
        <r>
          <rPr>
            <b/>
            <sz val="9"/>
            <color indexed="81"/>
            <rFont val="Tahoma"/>
            <family val="2"/>
          </rPr>
          <t>Kaylil Baptiste:</t>
        </r>
        <r>
          <rPr>
            <sz val="9"/>
            <color indexed="81"/>
            <rFont val="Tahoma"/>
            <family val="2"/>
          </rPr>
          <t xml:space="preserve">
15mins high rejection due to labels </t>
        </r>
      </text>
    </comment>
    <comment ref="V43" authorId="0" shapeId="0" xr:uid="{321B5FC4-ADB6-42DD-881D-D9E245F02F5F}">
      <text>
        <r>
          <rPr>
            <b/>
            <sz val="9"/>
            <color indexed="81"/>
            <rFont val="Tahoma"/>
            <family val="2"/>
          </rPr>
          <t>Kaylil Baptiste:</t>
        </r>
        <r>
          <rPr>
            <sz val="9"/>
            <color indexed="81"/>
            <rFont val="Tahoma"/>
            <family val="2"/>
          </rPr>
          <t xml:space="preserve">
5mins EBI discharge conveyor line stopped (sensor ran slack)</t>
        </r>
      </text>
    </comment>
    <comment ref="AB43" authorId="3" shapeId="0" xr:uid="{BF2AFDB1-65F4-407E-878D-079B4EC697B0}">
      <text>
        <r>
          <rPr>
            <b/>
            <sz val="9"/>
            <color indexed="81"/>
            <rFont val="Tahoma"/>
            <family val="2"/>
          </rPr>
          <t>Micah Noel:</t>
        </r>
        <r>
          <rPr>
            <sz val="9"/>
            <color indexed="81"/>
            <rFont val="Tahoma"/>
            <family val="2"/>
          </rPr>
          <t xml:space="preserve">
High rejection caused by pre-rejected bottles</t>
        </r>
      </text>
    </comment>
    <comment ref="J44" authorId="3" shapeId="0" xr:uid="{01802B64-7D79-464A-8245-A3A5357ABDE1}">
      <text>
        <r>
          <rPr>
            <b/>
            <sz val="9"/>
            <color indexed="81"/>
            <rFont val="Tahoma"/>
            <family val="2"/>
          </rPr>
          <t>Micah Noel:</t>
        </r>
        <r>
          <rPr>
            <sz val="9"/>
            <color indexed="81"/>
            <rFont val="Tahoma"/>
            <family val="2"/>
          </rPr>
          <t xml:space="preserve">
low filler bowl level caused by empty BBT</t>
        </r>
      </text>
    </comment>
    <comment ref="R44" authorId="0" shapeId="0" xr:uid="{1C5980B5-F744-4116-9DFB-8FB05845B95D}">
      <text>
        <r>
          <rPr>
            <b/>
            <sz val="9"/>
            <color indexed="81"/>
            <rFont val="Tahoma"/>
            <family val="2"/>
          </rPr>
          <t>Kaylil Baptiste:</t>
        </r>
        <r>
          <rPr>
            <sz val="9"/>
            <color indexed="81"/>
            <rFont val="Tahoma"/>
            <family val="2"/>
          </rPr>
          <t xml:space="preserve">
115mins vaccum pump malfunction, 56mins working on filler infeed worm, 13mins crowner stuck in chute </t>
        </r>
      </text>
    </comment>
    <comment ref="Z44" authorId="2" shapeId="0" xr:uid="{739F3E4E-DAE3-45FC-895A-F5FAABFDB131}">
      <text>
        <r>
          <rPr>
            <b/>
            <sz val="9"/>
            <color indexed="81"/>
            <rFont val="Tahoma"/>
            <family val="2"/>
          </rPr>
          <t>Dorien Andrew:</t>
        </r>
        <r>
          <rPr>
            <sz val="9"/>
            <color indexed="81"/>
            <rFont val="Tahoma"/>
            <family val="2"/>
          </rPr>
          <t xml:space="preserve">
180 mins lost for union meeting </t>
        </r>
      </text>
    </comment>
    <comment ref="J45" authorId="3" shapeId="0" xr:uid="{A468708D-173A-41C7-8540-5D913222DA45}">
      <text>
        <r>
          <rPr>
            <b/>
            <sz val="9"/>
            <color indexed="81"/>
            <rFont val="Tahoma"/>
            <family val="2"/>
          </rPr>
          <t>Micah Noel:</t>
        </r>
        <r>
          <rPr>
            <sz val="9"/>
            <color indexed="81"/>
            <rFont val="Tahoma"/>
            <family val="2"/>
          </rPr>
          <t xml:space="preserve">
Low BBT pressure caused low filler bowl level</t>
        </r>
      </text>
    </comment>
    <comment ref="O45" authorId="0" shapeId="0" xr:uid="{35D2F5DD-179B-43B9-BD4B-15F9ABCE94CE}">
      <text>
        <r>
          <rPr>
            <b/>
            <sz val="9"/>
            <color indexed="81"/>
            <rFont val="Tahoma"/>
            <family val="2"/>
          </rPr>
          <t>Kaylil Baptiste:</t>
        </r>
        <r>
          <rPr>
            <sz val="9"/>
            <color indexed="81"/>
            <rFont val="Tahoma"/>
            <family val="2"/>
          </rPr>
          <t xml:space="preserve">
196mins thermic trip fault on uncaser, 80mins malfunction on centering device (manual loading)</t>
        </r>
      </text>
    </comment>
    <comment ref="R45" authorId="0" shapeId="0" xr:uid="{108D297D-3AC3-4BBE-9193-59FEFD4C9A57}">
      <text>
        <r>
          <rPr>
            <b/>
            <sz val="9"/>
            <color indexed="81"/>
            <rFont val="Tahoma"/>
            <family val="2"/>
          </rPr>
          <t>Kaylil Baptiste:</t>
        </r>
        <r>
          <rPr>
            <sz val="9"/>
            <color indexed="81"/>
            <rFont val="Tahoma"/>
            <family val="2"/>
          </rPr>
          <t xml:space="preserve">
56mins infeed worm jamming on filler</t>
        </r>
      </text>
    </comment>
    <comment ref="S45" authorId="0" shapeId="0" xr:uid="{3C889435-C116-4718-8499-38B6F1C44DBA}">
      <text>
        <r>
          <rPr>
            <b/>
            <sz val="9"/>
            <color indexed="81"/>
            <rFont val="Tahoma"/>
            <family val="2"/>
          </rPr>
          <t>Kaylil Baptiste:</t>
        </r>
        <r>
          <rPr>
            <sz val="9"/>
            <color indexed="81"/>
            <rFont val="Tahoma"/>
            <family val="2"/>
          </rPr>
          <t xml:space="preserve">
15mins pasteurizer temp dropped</t>
        </r>
      </text>
    </comment>
    <comment ref="T45" authorId="0" shapeId="0" xr:uid="{FDA700F3-00D3-40E0-B4D6-1E184D4AC1CE}">
      <text>
        <r>
          <rPr>
            <b/>
            <sz val="9"/>
            <color indexed="81"/>
            <rFont val="Tahoma"/>
            <family val="2"/>
          </rPr>
          <t>Kaylil Baptiste:</t>
        </r>
        <r>
          <rPr>
            <sz val="9"/>
            <color indexed="81"/>
            <rFont val="Tahoma"/>
            <family val="2"/>
          </rPr>
          <t xml:space="preserve">
5mins missing labels</t>
        </r>
      </text>
    </comment>
    <comment ref="V45" authorId="0" shapeId="0" xr:uid="{BA1616E2-3E99-4ECD-B813-3B63515B8359}">
      <text>
        <r>
          <rPr>
            <b/>
            <sz val="9"/>
            <color indexed="81"/>
            <rFont val="Tahoma"/>
            <family val="2"/>
          </rPr>
          <t>Kaylil Baptiste:</t>
        </r>
        <r>
          <rPr>
            <sz val="9"/>
            <color indexed="81"/>
            <rFont val="Tahoma"/>
            <family val="2"/>
          </rPr>
          <t xml:space="preserve">
13mins fallen bottles inside shuffler</t>
        </r>
      </text>
    </comment>
    <comment ref="W45" authorId="0" shapeId="0" xr:uid="{1958780C-18A2-4832-851F-C1DD8147EB2B}">
      <text>
        <r>
          <rPr>
            <b/>
            <sz val="9"/>
            <color indexed="81"/>
            <rFont val="Tahoma"/>
            <family val="2"/>
          </rPr>
          <t>Kaylil Baptiste:</t>
        </r>
        <r>
          <rPr>
            <sz val="9"/>
            <color indexed="81"/>
            <rFont val="Tahoma"/>
            <family val="2"/>
          </rPr>
          <t xml:space="preserve">
16mins bent fingers on packer </t>
        </r>
      </text>
    </comment>
    <comment ref="AB45" authorId="3" shapeId="0" xr:uid="{1A9DF289-447F-41BE-978A-8F4FD15F6B71}">
      <text>
        <r>
          <rPr>
            <b/>
            <sz val="9"/>
            <color indexed="81"/>
            <rFont val="Tahoma"/>
            <family val="2"/>
          </rPr>
          <t>Micah Noel:</t>
        </r>
        <r>
          <rPr>
            <sz val="9"/>
            <color indexed="81"/>
            <rFont val="Tahoma"/>
            <family val="2"/>
          </rPr>
          <t xml:space="preserve">
25mins high EBI rejections caused by pre-rejected bottles, 6mins waiting on crates</t>
        </r>
      </text>
    </comment>
    <comment ref="I46" authorId="0" shapeId="0" xr:uid="{E1389B35-FE9E-4D49-8C2A-A8A95EC57CEB}">
      <text>
        <r>
          <rPr>
            <b/>
            <sz val="9"/>
            <color indexed="81"/>
            <rFont val="Tahoma"/>
            <family val="2"/>
          </rPr>
          <t>Kaylil Baptiste:</t>
        </r>
        <r>
          <rPr>
            <sz val="9"/>
            <color indexed="81"/>
            <rFont val="Tahoma"/>
            <family val="2"/>
          </rPr>
          <t xml:space="preserve">
31mins filler change over</t>
        </r>
      </text>
    </comment>
    <comment ref="P46" authorId="0" shapeId="0" xr:uid="{097685D1-A36A-44D8-B57E-4581A8896328}">
      <text>
        <r>
          <rPr>
            <b/>
            <sz val="9"/>
            <color indexed="81"/>
            <rFont val="Tahoma"/>
            <family val="2"/>
          </rPr>
          <t>Kaylil Baptiste:</t>
        </r>
        <r>
          <rPr>
            <sz val="9"/>
            <color indexed="81"/>
            <rFont val="Tahoma"/>
            <family val="2"/>
          </rPr>
          <t xml:space="preserve">
5mins high rejection due to labels</t>
        </r>
      </text>
    </comment>
    <comment ref="R46" authorId="0" shapeId="0" xr:uid="{48962AEC-4D79-4324-87EF-AEBAEBFCC540}">
      <text>
        <r>
          <rPr>
            <b/>
            <sz val="9"/>
            <color indexed="81"/>
            <rFont val="Tahoma"/>
            <family val="2"/>
          </rPr>
          <t>Kaylil Baptiste:</t>
        </r>
        <r>
          <rPr>
            <sz val="9"/>
            <color indexed="81"/>
            <rFont val="Tahoma"/>
            <family val="2"/>
          </rPr>
          <t xml:space="preserve">
20mins crown transfer sensor malfunction</t>
        </r>
      </text>
    </comment>
    <comment ref="S46" authorId="0" shapeId="0" xr:uid="{06B9F491-11E6-48DE-B896-761360B7375D}">
      <text>
        <r>
          <rPr>
            <b/>
            <sz val="9"/>
            <color indexed="81"/>
            <rFont val="Tahoma"/>
            <family val="2"/>
          </rPr>
          <t>Kaylil Baptiste:</t>
        </r>
        <r>
          <rPr>
            <sz val="9"/>
            <color indexed="81"/>
            <rFont val="Tahoma"/>
            <family val="2"/>
          </rPr>
          <t xml:space="preserve">
31mins dry run on pasteurizer,12mins pasteurizer temp dropped</t>
        </r>
      </text>
    </comment>
    <comment ref="R47" authorId="0" shapeId="0" xr:uid="{37E4EBF7-A204-49D3-9226-1154BD79148C}">
      <text>
        <r>
          <rPr>
            <b/>
            <sz val="9"/>
            <color indexed="81"/>
            <rFont val="Tahoma"/>
            <family val="2"/>
          </rPr>
          <t>Kaylil Baptiste:</t>
        </r>
        <r>
          <rPr>
            <sz val="9"/>
            <color indexed="81"/>
            <rFont val="Tahoma"/>
            <family val="2"/>
          </rPr>
          <t xml:space="preserve">
33mins replacing crown transfer sensor on crowner</t>
        </r>
      </text>
    </comment>
    <comment ref="W47" authorId="0" shapeId="0" xr:uid="{D053D3D9-B9D7-4ABD-85FC-2B5650915023}">
      <text>
        <r>
          <rPr>
            <b/>
            <sz val="9"/>
            <color indexed="81"/>
            <rFont val="Tahoma"/>
            <family val="2"/>
          </rPr>
          <t>Kaylil Baptiste:</t>
        </r>
        <r>
          <rPr>
            <sz val="9"/>
            <color indexed="81"/>
            <rFont val="Tahoma"/>
            <family val="2"/>
          </rPr>
          <t xml:space="preserve">
21mins bent fingers on packer </t>
        </r>
      </text>
    </comment>
    <comment ref="Z47" authorId="3" shapeId="0" xr:uid="{A8C5872C-7E9A-4D4E-9B71-752866FCC7AC}">
      <text>
        <r>
          <rPr>
            <b/>
            <sz val="9"/>
            <color indexed="81"/>
            <rFont val="Tahoma"/>
            <family val="2"/>
          </rPr>
          <t>Micah Noel:</t>
        </r>
        <r>
          <rPr>
            <sz val="9"/>
            <color indexed="81"/>
            <rFont val="Tahoma"/>
            <family val="2"/>
          </rPr>
          <t xml:space="preserve">
5 mins filler operator taking midnight readings (switch over to a new day)</t>
        </r>
      </text>
    </comment>
    <comment ref="N70" authorId="5" shapeId="0" xr:uid="{00000000-0006-0000-1700-0000E0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0" authorId="5" shapeId="0" xr:uid="{00000000-0006-0000-1700-0000E1000000}">
      <text>
        <r>
          <rPr>
            <b/>
            <sz val="9"/>
            <rFont val="Tahoma"/>
            <family val="2"/>
          </rPr>
          <t>Royd:</t>
        </r>
        <r>
          <rPr>
            <sz val="9"/>
            <rFont val="Tahoma"/>
            <family val="2"/>
          </rPr>
          <t xml:space="preserve">
RULES:
1. Available time always starts at 7:50am.
2. End time should be 17:00/23:00 Mon-Thu &amp; 16:00/21:00 Fri. 
3. Actual end time is used once time goes past 17:00 on single shift and 23:00 on double shift.</t>
        </r>
      </text>
    </comment>
    <comment ref="T110" authorId="0" shapeId="0" xr:uid="{8410A7EE-61DA-4718-B199-2B347251FA84}">
      <text>
        <r>
          <rPr>
            <b/>
            <sz val="9"/>
            <color indexed="81"/>
            <rFont val="Tahoma"/>
            <family val="2"/>
          </rPr>
          <t>Kaylil Baptiste:</t>
        </r>
        <r>
          <rPr>
            <sz val="9"/>
            <color indexed="81"/>
            <rFont val="Tahoma"/>
            <family val="2"/>
          </rPr>
          <t xml:space="preserve">
pasteurizer shutdown commence</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Kaylil Baptiste</author>
    <author>Micah Noel</author>
    <author>Tyrell Bartholomew</author>
    <author>Michael Julien</author>
    <author>Royd</author>
  </authors>
  <commentList>
    <comment ref="B8" authorId="0" shapeId="0" xr:uid="{C9AD1B19-3BF9-4CA2-97FF-103016DAF04D}">
      <text>
        <r>
          <rPr>
            <b/>
            <sz val="9"/>
            <color indexed="81"/>
            <rFont val="Tahoma"/>
            <family val="2"/>
          </rPr>
          <t>Kaylil Baptiste:</t>
        </r>
        <r>
          <rPr>
            <sz val="9"/>
            <color indexed="81"/>
            <rFont val="Tahoma"/>
            <family val="2"/>
          </rPr>
          <t xml:space="preserve">
Pasteurizer commissioning</t>
        </r>
      </text>
    </comment>
    <comment ref="S8" authorId="0" shapeId="0" xr:uid="{97571343-C405-4F80-9EB1-90908F2ADF43}">
      <text>
        <r>
          <rPr>
            <b/>
            <sz val="9"/>
            <color indexed="81"/>
            <rFont val="Tahoma"/>
            <family val="2"/>
          </rPr>
          <t>Kaylil Baptiste:</t>
        </r>
        <r>
          <rPr>
            <sz val="9"/>
            <color indexed="81"/>
            <rFont val="Tahoma"/>
            <family val="2"/>
          </rPr>
          <t xml:space="preserve">
24mins missing rail at pasteurizer</t>
        </r>
      </text>
    </comment>
    <comment ref="V8" authorId="0" shapeId="0" xr:uid="{F9375AB9-0F56-4D8E-9493-E98D65B85548}">
      <text>
        <r>
          <rPr>
            <b/>
            <sz val="9"/>
            <color indexed="81"/>
            <rFont val="Tahoma"/>
            <family val="2"/>
          </rPr>
          <t>Kaylil Baptiste:</t>
        </r>
        <r>
          <rPr>
            <sz val="9"/>
            <color indexed="81"/>
            <rFont val="Tahoma"/>
            <family val="2"/>
          </rPr>
          <t xml:space="preserve">
10mins EBI conveyor running slow</t>
        </r>
      </text>
    </comment>
    <comment ref="D9" authorId="0" shapeId="0" xr:uid="{F4AA7B14-3639-45AC-BCF7-7DD81AD53027}">
      <text>
        <r>
          <rPr>
            <b/>
            <sz val="9"/>
            <color indexed="81"/>
            <rFont val="Tahoma"/>
            <family val="2"/>
          </rPr>
          <t>Kaylil Baptiste:</t>
        </r>
        <r>
          <rPr>
            <sz val="9"/>
            <color indexed="81"/>
            <rFont val="Tahoma"/>
            <family val="2"/>
          </rPr>
          <t xml:space="preserve">
7:17am</t>
        </r>
      </text>
    </comment>
    <comment ref="K9" authorId="1" shapeId="0" xr:uid="{B8451873-1608-4B07-9428-3DF116096534}">
      <text>
        <r>
          <rPr>
            <b/>
            <sz val="9"/>
            <color indexed="81"/>
            <rFont val="Tahoma"/>
            <family val="2"/>
          </rPr>
          <t>Micah Noel:</t>
        </r>
        <r>
          <rPr>
            <sz val="9"/>
            <color indexed="81"/>
            <rFont val="Tahoma"/>
            <family val="2"/>
          </rPr>
          <t xml:space="preserve">
low air pressure caused by power outage (compressor went off)</t>
        </r>
      </text>
    </comment>
    <comment ref="O9" authorId="0" shapeId="0" xr:uid="{86F40084-D880-4106-8AF3-FE601EA6E1E4}">
      <text>
        <r>
          <rPr>
            <b/>
            <sz val="9"/>
            <color indexed="81"/>
            <rFont val="Tahoma"/>
            <family val="2"/>
          </rPr>
          <t>Kaylil Baptiste:</t>
        </r>
        <r>
          <rPr>
            <sz val="9"/>
            <color indexed="81"/>
            <rFont val="Tahoma"/>
            <family val="2"/>
          </rPr>
          <t xml:space="preserve">
9mins uncaser head hitting crates</t>
        </r>
      </text>
    </comment>
    <comment ref="P9" authorId="0" shapeId="0" xr:uid="{295429F4-DCF8-4B35-B25F-56A3C15711C3}">
      <text>
        <r>
          <rPr>
            <b/>
            <sz val="9"/>
            <color indexed="81"/>
            <rFont val="Tahoma"/>
            <family val="2"/>
          </rPr>
          <t>Kaylil Baptiste:</t>
        </r>
        <r>
          <rPr>
            <sz val="9"/>
            <color indexed="81"/>
            <rFont val="Tahoma"/>
            <family val="2"/>
          </rPr>
          <t xml:space="preserve">
75mins caustic carry over, 17mins fallen bottles at washer discharge</t>
        </r>
      </text>
    </comment>
    <comment ref="S9" authorId="0" shapeId="0" xr:uid="{78AC8771-ED1F-4BA7-A3EF-3DBA59A8B3B4}">
      <text>
        <r>
          <rPr>
            <b/>
            <sz val="9"/>
            <color indexed="81"/>
            <rFont val="Tahoma"/>
            <family val="2"/>
          </rPr>
          <t>Kaylil Baptiste:</t>
        </r>
        <r>
          <rPr>
            <sz val="9"/>
            <color indexed="81"/>
            <rFont val="Tahoma"/>
            <family val="2"/>
          </rPr>
          <t xml:space="preserve">
 62mins awaiting dry run to be completed,30mins flap jammed, 16 mins tank #3 flap jammed,14mins pasteurizer tank 3 malfunction resulting in the tank overflowing and temperature drop, 8 mins tank #4 flap jammed  </t>
        </r>
      </text>
    </comment>
    <comment ref="T9" authorId="0" shapeId="0" xr:uid="{C461046B-997E-4213-B9F2-B7A2E2A32D45}">
      <text>
        <r>
          <rPr>
            <b/>
            <sz val="9"/>
            <color indexed="81"/>
            <rFont val="Tahoma"/>
            <family val="2"/>
          </rPr>
          <t>Kaylil Baptiste:</t>
        </r>
        <r>
          <rPr>
            <sz val="9"/>
            <color indexed="81"/>
            <rFont val="Tahoma"/>
            <family val="2"/>
          </rPr>
          <t xml:space="preserve">
27 mins making adjustments to magazine prongs and brushes.</t>
        </r>
      </text>
    </comment>
    <comment ref="V9" authorId="0" shapeId="0" xr:uid="{E5325F63-73B0-4434-B590-C8A21E7CD137}">
      <text>
        <r>
          <rPr>
            <b/>
            <sz val="9"/>
            <color indexed="81"/>
            <rFont val="Tahoma"/>
            <family val="2"/>
          </rPr>
          <t>Kaylil Baptiste:</t>
        </r>
        <r>
          <rPr>
            <sz val="9"/>
            <color indexed="81"/>
            <rFont val="Tahoma"/>
            <family val="2"/>
          </rPr>
          <t xml:space="preserve">
16 mins making adjustments to labeler infeed conveyor(san martin conveyor), 15mins san martin technician making adjustment to conveyor, 8mins fallen bottles on EBI shuffler, 5mins EBI discharge conveyor runing slow</t>
        </r>
      </text>
    </comment>
    <comment ref="Z9" authorId="2" shapeId="0" xr:uid="{4DD340D5-E0A3-4BD5-9F63-FF5EA8B5E56B}">
      <text>
        <r>
          <rPr>
            <b/>
            <sz val="9"/>
            <color indexed="81"/>
            <rFont val="Tahoma"/>
            <family val="2"/>
          </rPr>
          <t>Tyrell Bartholomew:</t>
        </r>
        <r>
          <rPr>
            <sz val="9"/>
            <color indexed="81"/>
            <rFont val="Tahoma"/>
            <family val="2"/>
          </rPr>
          <t xml:space="preserve">
39mins product preparation,12 mins electrical power outage,</t>
        </r>
      </text>
    </comment>
    <comment ref="O10" authorId="0" shapeId="0" xr:uid="{D4361C79-C8C8-43C1-8AAE-E5A1459640CA}">
      <text>
        <r>
          <rPr>
            <b/>
            <sz val="9"/>
            <color indexed="81"/>
            <rFont val="Tahoma"/>
            <family val="2"/>
          </rPr>
          <t>Kaylil Baptiste:</t>
        </r>
        <r>
          <rPr>
            <sz val="9"/>
            <color indexed="81"/>
            <rFont val="Tahoma"/>
            <family val="2"/>
          </rPr>
          <t xml:space="preserve">
8mins uncaser head hitting crates</t>
        </r>
      </text>
    </comment>
    <comment ref="P10" authorId="0" shapeId="0" xr:uid="{532B728B-A569-4613-B791-098A2B5FE136}">
      <text>
        <r>
          <rPr>
            <b/>
            <sz val="9"/>
            <color indexed="81"/>
            <rFont val="Tahoma"/>
            <family val="2"/>
          </rPr>
          <t>Kaylil Baptiste:</t>
        </r>
        <r>
          <rPr>
            <sz val="9"/>
            <color indexed="81"/>
            <rFont val="Tahoma"/>
            <family val="2"/>
          </rPr>
          <t xml:space="preserve">
11mins mins fallen bottles at washer discharge</t>
        </r>
      </text>
    </comment>
    <comment ref="S10" authorId="0" shapeId="0" xr:uid="{47A78F84-06E7-469F-A1C9-6592D87BD4EB}">
      <text>
        <r>
          <rPr>
            <b/>
            <sz val="9"/>
            <color indexed="81"/>
            <rFont val="Tahoma"/>
            <family val="2"/>
          </rPr>
          <t xml:space="preserve">Kaylil Baptiste
</t>
        </r>
        <r>
          <rPr>
            <sz val="9"/>
            <color indexed="81"/>
            <rFont val="Tahoma"/>
            <family val="2"/>
          </rPr>
          <t xml:space="preserve">185mins working on pasteurizer tank flap </t>
        </r>
        <r>
          <rPr>
            <b/>
            <sz val="9"/>
            <color indexed="81"/>
            <rFont val="Tahoma"/>
            <family val="2"/>
          </rPr>
          <t xml:space="preserve">, </t>
        </r>
        <r>
          <rPr>
            <sz val="9"/>
            <color indexed="81"/>
            <rFont val="Tahoma"/>
            <family val="2"/>
          </rPr>
          <t xml:space="preserve">45 mins dry run,  17 mins pasteurizer adjustment by San Martin team </t>
        </r>
      </text>
    </comment>
    <comment ref="Z10" authorId="1" shapeId="0" xr:uid="{F4D80388-16ED-480F-9212-4FFBA46D4B2B}">
      <text>
        <r>
          <rPr>
            <b/>
            <sz val="9"/>
            <color indexed="81"/>
            <rFont val="Tahoma"/>
            <family val="2"/>
          </rPr>
          <t>Micah Noel:</t>
        </r>
        <r>
          <rPr>
            <sz val="9"/>
            <color indexed="81"/>
            <rFont val="Tahoma"/>
            <family val="2"/>
          </rPr>
          <t xml:space="preserve">
60 mins steaming up pasteurizer, 17 mins filler taking up product</t>
        </r>
      </text>
    </comment>
    <comment ref="H11" authorId="2" shapeId="0" xr:uid="{39FFA93C-17C3-49C0-B2F5-6323A821981C}">
      <text>
        <r>
          <rPr>
            <b/>
            <sz val="9"/>
            <color indexed="81"/>
            <rFont val="Tahoma"/>
            <family val="2"/>
          </rPr>
          <t>Tyrell Bartholomew:</t>
        </r>
        <r>
          <rPr>
            <sz val="9"/>
            <color indexed="81"/>
            <rFont val="Tahoma"/>
            <family val="2"/>
          </rPr>
          <t xml:space="preserve">
crown hopper empty.</t>
        </r>
      </text>
    </comment>
    <comment ref="K11" authorId="1" shapeId="0" xr:uid="{3BDCA07F-5962-4C36-ADC8-E8C7032EA592}">
      <text>
        <r>
          <rPr>
            <b/>
            <sz val="9"/>
            <color indexed="81"/>
            <rFont val="Tahoma"/>
            <family val="2"/>
          </rPr>
          <t>Micah Noel:</t>
        </r>
        <r>
          <rPr>
            <sz val="9"/>
            <color indexed="81"/>
            <rFont val="Tahoma"/>
            <family val="2"/>
          </rPr>
          <t xml:space="preserve">
Low air pressure on filler</t>
        </r>
      </text>
    </comment>
    <comment ref="O11" authorId="0" shapeId="0" xr:uid="{CF2E6138-D495-494E-8DCA-3E8CC87E9DAA}">
      <text>
        <r>
          <rPr>
            <b/>
            <sz val="9"/>
            <color indexed="81"/>
            <rFont val="Tahoma"/>
            <family val="2"/>
          </rPr>
          <t>Kaylil Baptiste:</t>
        </r>
        <r>
          <rPr>
            <sz val="9"/>
            <color indexed="81"/>
            <rFont val="Tahoma"/>
            <family val="2"/>
          </rPr>
          <t xml:space="preserve">
17mins uncaser head malfunction, 8mins restarting unit due to frozen function screen, 6mins uncaser head hitting crates</t>
        </r>
      </text>
    </comment>
    <comment ref="P11" authorId="0" shapeId="0" xr:uid="{07D59654-F9EE-4D80-A56F-ACE8EC56EC9C}">
      <text>
        <r>
          <rPr>
            <b/>
            <sz val="9"/>
            <color indexed="81"/>
            <rFont val="Tahoma"/>
            <family val="2"/>
          </rPr>
          <t>Kaylil Baptiste:</t>
        </r>
        <r>
          <rPr>
            <sz val="9"/>
            <color indexed="81"/>
            <rFont val="Tahoma"/>
            <family val="2"/>
          </rPr>
          <t xml:space="preserve">
5mins cleaning washer filters </t>
        </r>
      </text>
    </comment>
    <comment ref="Q11" authorId="0" shapeId="0" xr:uid="{1BF00D6B-C0D1-419D-A626-F2C71D7C1723}">
      <text>
        <r>
          <rPr>
            <b/>
            <sz val="9"/>
            <color indexed="81"/>
            <rFont val="Tahoma"/>
            <family val="2"/>
          </rPr>
          <t>Kaylil Baptiste:</t>
        </r>
        <r>
          <rPr>
            <sz val="9"/>
            <color indexed="81"/>
            <rFont val="Tahoma"/>
            <family val="2"/>
          </rPr>
          <t xml:space="preserve">
6mins operator cleaning bases of filler </t>
        </r>
      </text>
    </comment>
    <comment ref="R11" authorId="0" shapeId="0" xr:uid="{537FDC90-8CF0-4561-89C8-39B62AB8C673}">
      <text>
        <r>
          <rPr>
            <b/>
            <sz val="9"/>
            <color indexed="81"/>
            <rFont val="Tahoma"/>
            <family val="2"/>
          </rPr>
          <t>Kaylil Baptiste:</t>
        </r>
        <r>
          <rPr>
            <sz val="9"/>
            <color indexed="81"/>
            <rFont val="Tahoma"/>
            <family val="2"/>
          </rPr>
          <t xml:space="preserve">
6mins operator cleaning filler base</t>
        </r>
      </text>
    </comment>
    <comment ref="S11" authorId="0" shapeId="0" xr:uid="{476AC1A8-EE03-4281-953D-5905E7EBEAEC}">
      <text>
        <r>
          <rPr>
            <b/>
            <sz val="9"/>
            <color indexed="81"/>
            <rFont val="Tahoma"/>
            <family val="2"/>
          </rPr>
          <t>Kaylil Baptiste:</t>
        </r>
        <r>
          <rPr>
            <sz val="9"/>
            <color indexed="81"/>
            <rFont val="Tahoma"/>
            <family val="2"/>
          </rPr>
          <t xml:space="preserve">
191mins pasteurizer malfunction, 60 mins dry run was done twice, 25 mins technician adjusting pasteurizer, 13mins line stopped by lab tech (monitor reporting low PU)</t>
        </r>
      </text>
    </comment>
    <comment ref="V11" authorId="0" shapeId="0" xr:uid="{082A585A-C20D-4231-9A4B-03559E1EA17F}">
      <text>
        <r>
          <rPr>
            <b/>
            <sz val="9"/>
            <color indexed="81"/>
            <rFont val="Tahoma"/>
            <family val="2"/>
          </rPr>
          <t>Kaylil Baptiste:</t>
        </r>
        <r>
          <rPr>
            <sz val="9"/>
            <color indexed="81"/>
            <rFont val="Tahoma"/>
            <family val="2"/>
          </rPr>
          <t xml:space="preserve">
10mins fallen bottles on EBI shuffler</t>
        </r>
      </text>
    </comment>
    <comment ref="Z11" authorId="0" shapeId="0" xr:uid="{413100C8-BFB1-4AF7-85A5-F89AD218F93C}">
      <text>
        <r>
          <rPr>
            <b/>
            <sz val="9"/>
            <color indexed="81"/>
            <rFont val="Tahoma"/>
            <family val="2"/>
          </rPr>
          <t>Kaylil Baptiste:</t>
        </r>
        <r>
          <rPr>
            <sz val="9"/>
            <color indexed="81"/>
            <rFont val="Tahoma"/>
            <family val="2"/>
          </rPr>
          <t xml:space="preserve">
10 mins taking midnight reading on filler and putting a gap in pasteurizer for overall end of day reading.</t>
        </r>
      </text>
    </comment>
    <comment ref="AB11" authorId="2" shapeId="0" xr:uid="{C3A37C44-9C2E-4784-B097-0F8BF4B5A975}">
      <text>
        <r>
          <rPr>
            <b/>
            <sz val="9"/>
            <color indexed="81"/>
            <rFont val="Tahoma"/>
            <family val="2"/>
          </rPr>
          <t>Tyrell Bartholomew:</t>
        </r>
        <r>
          <rPr>
            <sz val="9"/>
            <color indexed="81"/>
            <rFont val="Tahoma"/>
            <family val="2"/>
          </rPr>
          <t xml:space="preserve">
20mins stop at washer infeed to remove incorrect bottle type off the line.(short amber)</t>
        </r>
      </text>
    </comment>
    <comment ref="I12" authorId="3" shapeId="0" xr:uid="{62347B5F-D9EA-4AC1-AFE0-EF94B7CC5E45}">
      <text>
        <r>
          <rPr>
            <b/>
            <sz val="9"/>
            <color indexed="81"/>
            <rFont val="Tahoma"/>
            <family val="2"/>
          </rPr>
          <t>Michael Julien:</t>
        </r>
        <r>
          <rPr>
            <sz val="9"/>
            <color indexed="81"/>
            <rFont val="Tahoma"/>
            <family val="2"/>
          </rPr>
          <t xml:space="preserve">
59 mins Changing over from starmalt to carib.</t>
        </r>
      </text>
    </comment>
    <comment ref="J12" authorId="2" shapeId="0" xr:uid="{D8AF0CE3-A7E9-477E-B72D-62F2641655EC}">
      <text>
        <r>
          <rPr>
            <b/>
            <sz val="9"/>
            <color indexed="81"/>
            <rFont val="Tahoma"/>
            <family val="2"/>
          </rPr>
          <t>Tyrell Bartholomew:</t>
        </r>
        <r>
          <rPr>
            <sz val="9"/>
            <color indexed="81"/>
            <rFont val="Tahoma"/>
            <family val="2"/>
          </rPr>
          <t xml:space="preserve">
5mins bowl drop on filler.
3mins switching tanks.</t>
        </r>
      </text>
    </comment>
    <comment ref="L12" authorId="2" shapeId="0" xr:uid="{FF30E2C4-F5A4-44B5-99DB-696BE7ED719F}">
      <text>
        <r>
          <rPr>
            <b/>
            <sz val="9"/>
            <color indexed="81"/>
            <rFont val="Tahoma"/>
            <family val="2"/>
          </rPr>
          <t>Tyrell Bartholomew:</t>
        </r>
        <r>
          <rPr>
            <sz val="9"/>
            <color indexed="81"/>
            <rFont val="Tahoma"/>
            <family val="2"/>
          </rPr>
          <t xml:space="preserve">
16mins low CO2 on filler</t>
        </r>
      </text>
    </comment>
    <comment ref="O12" authorId="0" shapeId="0" xr:uid="{181FFE9D-360C-4E9D-B0EA-16859C8797A9}">
      <text>
        <r>
          <rPr>
            <b/>
            <sz val="9"/>
            <color indexed="81"/>
            <rFont val="Tahoma"/>
            <family val="2"/>
          </rPr>
          <t>Kaylil Baptiste:</t>
        </r>
        <r>
          <rPr>
            <sz val="9"/>
            <color indexed="81"/>
            <rFont val="Tahoma"/>
            <family val="2"/>
          </rPr>
          <t xml:space="preserve">
11mins uncaser head hitting crate</t>
        </r>
      </text>
    </comment>
    <comment ref="P12" authorId="0" shapeId="0" xr:uid="{A59412E6-2E54-43CA-8ADC-AC0420090DEB}">
      <text>
        <r>
          <rPr>
            <b/>
            <sz val="9"/>
            <color indexed="81"/>
            <rFont val="Tahoma"/>
            <family val="2"/>
          </rPr>
          <t>Kaylil Baptiste:</t>
        </r>
        <r>
          <rPr>
            <sz val="9"/>
            <color indexed="81"/>
            <rFont val="Tahoma"/>
            <family val="2"/>
          </rPr>
          <t xml:space="preserve">
7mins fallen bottles at washer discharge</t>
        </r>
      </text>
    </comment>
    <comment ref="S12" authorId="0" shapeId="0" xr:uid="{F56DE2FA-12A3-4DDF-8645-FE1CA7BB5EA8}">
      <text>
        <r>
          <rPr>
            <b/>
            <sz val="9"/>
            <color indexed="81"/>
            <rFont val="Tahoma"/>
            <family val="2"/>
          </rPr>
          <t>Kaylil Baptiste:</t>
        </r>
        <r>
          <rPr>
            <sz val="9"/>
            <color indexed="81"/>
            <rFont val="Tahoma"/>
            <family val="2"/>
          </rPr>
          <t xml:space="preserve">
17mins pasteurizer trip off</t>
        </r>
      </text>
    </comment>
    <comment ref="T12" authorId="0" shapeId="0" xr:uid="{20A9F0FE-A3AB-42D1-81BD-20271778AF20}">
      <text>
        <r>
          <rPr>
            <b/>
            <sz val="9"/>
            <color indexed="81"/>
            <rFont val="Tahoma"/>
            <family val="2"/>
          </rPr>
          <t>Kaylil Baptiste:</t>
        </r>
        <r>
          <rPr>
            <sz val="9"/>
            <color indexed="81"/>
            <rFont val="Tahoma"/>
            <family val="2"/>
          </rPr>
          <t xml:space="preserve">
8mins fallen bottles jam in worm infeed </t>
        </r>
      </text>
    </comment>
    <comment ref="V12" authorId="0" shapeId="0" xr:uid="{A3637A26-B002-4B83-B47D-C036570B05FF}">
      <text>
        <r>
          <rPr>
            <b/>
            <sz val="9"/>
            <color indexed="81"/>
            <rFont val="Tahoma"/>
            <family val="2"/>
          </rPr>
          <t>Kaylil Baptiste:</t>
        </r>
        <r>
          <rPr>
            <sz val="9"/>
            <color indexed="81"/>
            <rFont val="Tahoma"/>
            <family val="2"/>
          </rPr>
          <t xml:space="preserve">
8mins fallen bottles on EBI shuffler</t>
        </r>
      </text>
    </comment>
    <comment ref="Z12" authorId="2" shapeId="0" xr:uid="{A8BA9AD7-3DC8-4F8A-913C-EA8110708639}">
      <text>
        <r>
          <rPr>
            <b/>
            <sz val="9"/>
            <color indexed="81"/>
            <rFont val="Tahoma"/>
            <family val="2"/>
          </rPr>
          <t xml:space="preserve">Tyrell Bartholomew:
</t>
        </r>
        <r>
          <rPr>
            <sz val="9"/>
            <color indexed="81"/>
            <rFont val="Tahoma"/>
            <family val="2"/>
          </rPr>
          <t>18mins waiting on bottles from washer (gap in unit)</t>
        </r>
      </text>
    </comment>
    <comment ref="J13" authorId="0" shapeId="0" xr:uid="{2F562082-EC38-4E26-8CCF-0983868FAFEB}">
      <text>
        <r>
          <rPr>
            <b/>
            <sz val="9"/>
            <color indexed="81"/>
            <rFont val="Tahoma"/>
            <family val="2"/>
          </rPr>
          <t>Kaylil Baptiste:</t>
        </r>
        <r>
          <rPr>
            <sz val="9"/>
            <color indexed="81"/>
            <rFont val="Tahoma"/>
            <family val="2"/>
          </rPr>
          <t xml:space="preserve">
4mins bowl level drop on filler due to regulator malfunction in filtration.</t>
        </r>
      </text>
    </comment>
    <comment ref="O13" authorId="0" shapeId="0" xr:uid="{72EEC0D7-AB8A-4399-A8D1-DC09EC79C48C}">
      <text>
        <r>
          <rPr>
            <b/>
            <sz val="9"/>
            <color indexed="81"/>
            <rFont val="Tahoma"/>
            <family val="2"/>
          </rPr>
          <t>Kaylil Baptiste:</t>
        </r>
        <r>
          <rPr>
            <sz val="9"/>
            <color indexed="81"/>
            <rFont val="Tahoma"/>
            <family val="2"/>
          </rPr>
          <t xml:space="preserve">
10mins uncaser head hitting crates</t>
        </r>
      </text>
    </comment>
    <comment ref="P13" authorId="0" shapeId="0" xr:uid="{A6838132-B29D-486F-A151-F77B190D8D19}">
      <text>
        <r>
          <rPr>
            <b/>
            <sz val="9"/>
            <color indexed="81"/>
            <rFont val="Tahoma"/>
            <family val="2"/>
          </rPr>
          <t>Kaylil Baptiste:</t>
        </r>
        <r>
          <rPr>
            <sz val="9"/>
            <color indexed="81"/>
            <rFont val="Tahoma"/>
            <family val="2"/>
          </rPr>
          <t xml:space="preserve">
15mins bottles jamming at washer discharge</t>
        </r>
      </text>
    </comment>
    <comment ref="Q13" authorId="0" shapeId="0" xr:uid="{47DCE46B-6C15-4D25-A31F-133CCC0B0ABF}">
      <text>
        <r>
          <rPr>
            <b/>
            <sz val="9"/>
            <color indexed="81"/>
            <rFont val="Tahoma"/>
            <family val="2"/>
          </rPr>
          <t>Kaylil Baptiste:</t>
        </r>
        <r>
          <rPr>
            <sz val="9"/>
            <color indexed="81"/>
            <rFont val="Tahoma"/>
            <family val="2"/>
          </rPr>
          <t xml:space="preserve">
7mins restarting EBI</t>
        </r>
      </text>
    </comment>
    <comment ref="S13" authorId="0" shapeId="0" xr:uid="{3E56EF3A-184C-4A19-9F8B-CE48BD86D459}">
      <text>
        <r>
          <rPr>
            <b/>
            <sz val="9"/>
            <color indexed="81"/>
            <rFont val="Tahoma"/>
            <family val="2"/>
          </rPr>
          <t>Kaylil Baptiste:</t>
        </r>
        <r>
          <rPr>
            <sz val="9"/>
            <color indexed="81"/>
            <rFont val="Tahoma"/>
            <family val="2"/>
          </rPr>
          <t xml:space="preserve">
54mins lost due to pasteurizer malfunction( detained mesh waiting up)</t>
        </r>
      </text>
    </comment>
    <comment ref="Z13" authorId="2" shapeId="0" xr:uid="{9BF7E813-FF9C-4FA9-BFF6-F19BB1046544}">
      <text>
        <r>
          <rPr>
            <b/>
            <sz val="9"/>
            <color indexed="81"/>
            <rFont val="Tahoma"/>
            <family val="2"/>
          </rPr>
          <t>Tyrell Bartholomew:</t>
        </r>
        <r>
          <rPr>
            <sz val="9"/>
            <color indexed="81"/>
            <rFont val="Tahoma"/>
            <family val="2"/>
          </rPr>
          <t xml:space="preserve">
10mins stop for midnight reading, 
</t>
        </r>
      </text>
    </comment>
    <comment ref="I14" authorId="2" shapeId="0" xr:uid="{7B5C76B0-C5C8-4CE0-B71C-9974F029EBDC}">
      <text>
        <r>
          <rPr>
            <b/>
            <sz val="9"/>
            <color indexed="81"/>
            <rFont val="Tahoma"/>
            <family val="2"/>
          </rPr>
          <t>Tyrell Bartholomew:</t>
        </r>
        <r>
          <rPr>
            <sz val="9"/>
            <color indexed="81"/>
            <rFont val="Tahoma"/>
            <family val="2"/>
          </rPr>
          <t xml:space="preserve">
10mins change over from carib to stag</t>
        </r>
      </text>
    </comment>
    <comment ref="S14" authorId="0" shapeId="0" xr:uid="{11C3E048-D10B-4304-9CCC-78AA630E8FDA}">
      <text>
        <r>
          <rPr>
            <b/>
            <sz val="9"/>
            <color indexed="81"/>
            <rFont val="Tahoma"/>
            <family val="2"/>
          </rPr>
          <t>Kaylil Baptiste:</t>
        </r>
        <r>
          <rPr>
            <sz val="9"/>
            <color indexed="81"/>
            <rFont val="Tahoma"/>
            <family val="2"/>
          </rPr>
          <t xml:space="preserve">
22mins pasteurizer malfunction</t>
        </r>
      </text>
    </comment>
    <comment ref="Z14" authorId="2" shapeId="0" xr:uid="{F34034C4-730B-4989-938E-7BF83739BF00}">
      <text>
        <r>
          <rPr>
            <b/>
            <sz val="9"/>
            <color indexed="81"/>
            <rFont val="Tahoma"/>
            <family val="2"/>
          </rPr>
          <t>Tyrell Bartholomew:</t>
        </r>
        <r>
          <rPr>
            <sz val="9"/>
            <color indexed="81"/>
            <rFont val="Tahoma"/>
            <family val="2"/>
          </rPr>
          <t xml:space="preserve">
37 mins awaiting bottles from washer.</t>
        </r>
      </text>
    </comment>
    <comment ref="AB14" authorId="1" shapeId="0" xr:uid="{CF01776E-0CF0-4A90-A71B-4730B860C7A4}">
      <text>
        <r>
          <rPr>
            <b/>
            <sz val="9"/>
            <color indexed="81"/>
            <rFont val="Tahoma"/>
            <family val="2"/>
          </rPr>
          <t>Micah Noel:</t>
        </r>
        <r>
          <rPr>
            <sz val="9"/>
            <color indexed="81"/>
            <rFont val="Tahoma"/>
            <family val="2"/>
          </rPr>
          <t xml:space="preserve">
palletizing area full</t>
        </r>
      </text>
    </comment>
    <comment ref="I15" authorId="1" shapeId="0" xr:uid="{A18109ED-EBA0-4AA3-B1A5-6D0401DE51B5}">
      <text>
        <r>
          <rPr>
            <b/>
            <sz val="9"/>
            <color indexed="81"/>
            <rFont val="Tahoma"/>
            <family val="2"/>
          </rPr>
          <t>Micah Noel:</t>
        </r>
        <r>
          <rPr>
            <sz val="9"/>
            <color indexed="81"/>
            <rFont val="Tahoma"/>
            <family val="2"/>
          </rPr>
          <t xml:space="preserve">
12mins Filler change over from Stag to Guinness, 6mins labeler change over</t>
        </r>
      </text>
    </comment>
    <comment ref="J15" authorId="1" shapeId="0" xr:uid="{0478070F-3B35-4FA7-A531-F10167452910}">
      <text>
        <r>
          <rPr>
            <b/>
            <sz val="9"/>
            <color indexed="81"/>
            <rFont val="Tahoma"/>
            <family val="2"/>
          </rPr>
          <t>Micah Noel:</t>
        </r>
        <r>
          <rPr>
            <sz val="9"/>
            <color indexed="81"/>
            <rFont val="Tahoma"/>
            <family val="2"/>
          </rPr>
          <t xml:space="preserve">
13mins waiting for product from filtration</t>
        </r>
      </text>
    </comment>
    <comment ref="P15" authorId="0" shapeId="0" xr:uid="{E58D5FEA-DD8B-4E64-ABF6-D365B6A6A8B2}">
      <text>
        <r>
          <rPr>
            <b/>
            <sz val="9"/>
            <color indexed="81"/>
            <rFont val="Tahoma"/>
            <family val="2"/>
          </rPr>
          <t>Kaylil Baptiste:</t>
        </r>
        <r>
          <rPr>
            <sz val="9"/>
            <color indexed="81"/>
            <rFont val="Tahoma"/>
            <family val="2"/>
          </rPr>
          <t xml:space="preserve">
29mins bottles jamming at washer discharge</t>
        </r>
      </text>
    </comment>
    <comment ref="S15" authorId="0" shapeId="0" xr:uid="{B9D976BE-1D73-49D1-8323-B20A01715D91}">
      <text>
        <r>
          <rPr>
            <b/>
            <sz val="9"/>
            <color indexed="81"/>
            <rFont val="Tahoma"/>
            <family val="2"/>
          </rPr>
          <t>Kaylil Baptiste:</t>
        </r>
        <r>
          <rPr>
            <sz val="9"/>
            <color indexed="81"/>
            <rFont val="Tahoma"/>
            <family val="2"/>
          </rPr>
          <t xml:space="preserve">
120mins adjusting PU, 120mins adjusting temperature on pasteurizer, 45mins waiting on PU monitor, 42mins waiting for dry run results</t>
        </r>
      </text>
    </comment>
    <comment ref="U15" authorId="0" shapeId="0" xr:uid="{72CC303A-E8A6-4513-B9EE-0BF6A7F1A87D}">
      <text>
        <r>
          <rPr>
            <b/>
            <sz val="9"/>
            <color indexed="81"/>
            <rFont val="Tahoma"/>
            <family val="2"/>
          </rPr>
          <t>Kaylil Baptiste:</t>
        </r>
        <r>
          <rPr>
            <sz val="9"/>
            <color indexed="81"/>
            <rFont val="Tahoma"/>
            <family val="2"/>
          </rPr>
          <t xml:space="preserve">
51mins videojet not printing</t>
        </r>
      </text>
    </comment>
    <comment ref="Z15" authorId="1" shapeId="0" xr:uid="{27CA0E98-7FC9-465E-83EA-259D257116AA}">
      <text>
        <r>
          <rPr>
            <b/>
            <sz val="9"/>
            <color indexed="81"/>
            <rFont val="Tahoma"/>
            <family val="2"/>
          </rPr>
          <t>Micah Noel:</t>
        </r>
        <r>
          <rPr>
            <sz val="9"/>
            <color indexed="81"/>
            <rFont val="Tahoma"/>
            <family val="2"/>
          </rPr>
          <t xml:space="preserve">
55 mins waiting for pasteurizer to release all stag inside</t>
        </r>
      </text>
    </comment>
    <comment ref="P16" authorId="0" shapeId="0" xr:uid="{6EA9C0FB-B48A-490C-B8B9-DA39F65DDD6B}">
      <text>
        <r>
          <rPr>
            <b/>
            <sz val="9"/>
            <color indexed="81"/>
            <rFont val="Tahoma"/>
            <family val="2"/>
          </rPr>
          <t>Kaylil Baptiste:</t>
        </r>
        <r>
          <rPr>
            <sz val="9"/>
            <color indexed="81"/>
            <rFont val="Tahoma"/>
            <family val="2"/>
          </rPr>
          <t xml:space="preserve">
33mins bottles jamming at washer discharge</t>
        </r>
      </text>
    </comment>
    <comment ref="S16" authorId="0" shapeId="0" xr:uid="{007C9F57-0ABC-471D-9DCD-CDF645F54724}">
      <text>
        <r>
          <rPr>
            <b/>
            <sz val="9"/>
            <color indexed="81"/>
            <rFont val="Tahoma"/>
            <family val="2"/>
          </rPr>
          <t>Kaylil Baptiste:</t>
        </r>
        <r>
          <rPr>
            <sz val="9"/>
            <color indexed="81"/>
            <rFont val="Tahoma"/>
            <family val="2"/>
          </rPr>
          <t xml:space="preserve">
20mins lost due to low temperature in tanks</t>
        </r>
      </text>
    </comment>
    <comment ref="T16" authorId="0" shapeId="0" xr:uid="{75B5D2FA-56DD-48F6-86F7-33469A9098D2}">
      <text>
        <r>
          <rPr>
            <b/>
            <sz val="9"/>
            <color indexed="81"/>
            <rFont val="Tahoma"/>
            <family val="2"/>
          </rPr>
          <t>Kaylil Baptiste:</t>
        </r>
        <r>
          <rPr>
            <sz val="9"/>
            <color indexed="81"/>
            <rFont val="Tahoma"/>
            <family val="2"/>
          </rPr>
          <t xml:space="preserve">
8mins fallen bottle jam in  worm</t>
        </r>
      </text>
    </comment>
    <comment ref="V16" authorId="0" shapeId="0" xr:uid="{C3090E46-464A-4435-9D7A-E5CDD9109591}">
      <text>
        <r>
          <rPr>
            <b/>
            <sz val="9"/>
            <color indexed="81"/>
            <rFont val="Tahoma"/>
            <family val="2"/>
          </rPr>
          <t>Kaylil Baptiste:</t>
        </r>
        <r>
          <rPr>
            <sz val="9"/>
            <color indexed="81"/>
            <rFont val="Tahoma"/>
            <family val="2"/>
          </rPr>
          <t xml:space="preserve">
14 mins bottles jamming at pasteurizer infeed mouth, 6mins adjustment being done to sensor on filler discharge conveyor, 6mins fallen bottles on EBI shuffler</t>
        </r>
      </text>
    </comment>
    <comment ref="Z16" authorId="2" shapeId="0" xr:uid="{3B8084CC-0D00-43C5-BBDC-5F656C3D337F}">
      <text>
        <r>
          <rPr>
            <b/>
            <sz val="9"/>
            <color indexed="81"/>
            <rFont val="Tahoma"/>
            <family val="2"/>
          </rPr>
          <t>Tyrell Bartholomew:</t>
        </r>
        <r>
          <rPr>
            <sz val="9"/>
            <color indexed="81"/>
            <rFont val="Tahoma"/>
            <family val="2"/>
          </rPr>
          <t xml:space="preserve">
18mins taking midnight reading on filler,4mins along with greasing the unit, 3mins waiting on bottles from washer.
</t>
        </r>
      </text>
    </comment>
    <comment ref="I17" authorId="1" shapeId="0" xr:uid="{A832DA76-38BF-49C4-9D61-2B3A5252026B}">
      <text>
        <r>
          <rPr>
            <b/>
            <sz val="9"/>
            <color indexed="81"/>
            <rFont val="Tahoma"/>
            <family val="2"/>
          </rPr>
          <t>Micah Noel:</t>
        </r>
        <r>
          <rPr>
            <sz val="9"/>
            <color indexed="81"/>
            <rFont val="Tahoma"/>
            <family val="2"/>
          </rPr>
          <t xml:space="preserve">
55mins filler change over from Guinness to Carib </t>
        </r>
      </text>
    </comment>
    <comment ref="S17" authorId="0" shapeId="0" xr:uid="{6C290788-58FE-481E-9187-023E0227493D}">
      <text>
        <r>
          <rPr>
            <b/>
            <sz val="9"/>
            <color indexed="81"/>
            <rFont val="Tahoma"/>
            <family val="2"/>
          </rPr>
          <t>Kaylil Baptiste:</t>
        </r>
        <r>
          <rPr>
            <sz val="9"/>
            <color indexed="81"/>
            <rFont val="Tahoma"/>
            <family val="2"/>
          </rPr>
          <t xml:space="preserve">
94 mins pasteurizer preparation for carib (san martin tech adjusting parameters), 38mins low temperature on paste, 36mins PU adjustments, 22mins pateurizer malfunction, 7mins pasteurizer sensor malfunction</t>
        </r>
      </text>
    </comment>
    <comment ref="V17" authorId="0" shapeId="0" xr:uid="{A2AFC37A-7F1F-43A7-9B44-990538DFE8F5}">
      <text>
        <r>
          <rPr>
            <b/>
            <sz val="9"/>
            <color indexed="81"/>
            <rFont val="Tahoma"/>
            <family val="2"/>
          </rPr>
          <t>Kaylil Baptiste:</t>
        </r>
        <r>
          <rPr>
            <sz val="9"/>
            <color indexed="81"/>
            <rFont val="Tahoma"/>
            <family val="2"/>
          </rPr>
          <t xml:space="preserve">
52mins washer discharge conveyor unresponsive, 15mins EBI infeed malfunctio, 15mins washer discharge conveyor cut off, 14mins fallen bottles on EBI shuffler</t>
        </r>
      </text>
    </comment>
    <comment ref="Z17" authorId="1" shapeId="0" xr:uid="{CA412BE9-EE5D-4F58-BEC4-F3DB32C50BFB}">
      <text>
        <r>
          <rPr>
            <b/>
            <sz val="9"/>
            <color indexed="81"/>
            <rFont val="Tahoma"/>
            <family val="2"/>
          </rPr>
          <t>Micah Noel:</t>
        </r>
        <r>
          <rPr>
            <sz val="9"/>
            <color indexed="81"/>
            <rFont val="Tahoma"/>
            <family val="2"/>
          </rPr>
          <t xml:space="preserve">
 26mins filler mid week clean and swab. 3 mins waiting bottles from washer (gap in line)</t>
        </r>
      </text>
    </comment>
    <comment ref="Z18" authorId="2" shapeId="0" xr:uid="{10575403-DB1E-42D8-A65D-6BAA095528E2}">
      <text>
        <r>
          <rPr>
            <b/>
            <sz val="9"/>
            <color indexed="81"/>
            <rFont val="Tahoma"/>
            <family val="2"/>
          </rPr>
          <t>Tyrell Bartholomew:</t>
        </r>
        <r>
          <rPr>
            <sz val="9"/>
            <color indexed="81"/>
            <rFont val="Tahoma"/>
            <family val="2"/>
          </rPr>
          <t xml:space="preserve">
12mins stop to take midnight reading, 7mins waiting on bottles from washer.</t>
        </r>
      </text>
    </comment>
    <comment ref="H19" authorId="0" shapeId="0" xr:uid="{D26F61A6-3A47-4E6E-9613-4EB907064690}">
      <text>
        <r>
          <rPr>
            <b/>
            <sz val="9"/>
            <color indexed="81"/>
            <rFont val="Tahoma"/>
            <family val="2"/>
          </rPr>
          <t>Kaylil Baptiste:</t>
        </r>
        <r>
          <rPr>
            <sz val="9"/>
            <color indexed="81"/>
            <rFont val="Tahoma"/>
            <family val="2"/>
          </rPr>
          <t xml:space="preserve">
2 mins crowns finished in hopper</t>
        </r>
      </text>
    </comment>
    <comment ref="I19" authorId="2" shapeId="0" xr:uid="{A42333EB-1C07-4B53-8F27-F2C592A266A9}">
      <text>
        <r>
          <rPr>
            <b/>
            <sz val="9"/>
            <color indexed="81"/>
            <rFont val="Tahoma"/>
            <family val="2"/>
          </rPr>
          <t>Tyrell Bartholomew:</t>
        </r>
        <r>
          <rPr>
            <sz val="9"/>
            <color indexed="81"/>
            <rFont val="Tahoma"/>
            <family val="2"/>
          </rPr>
          <t xml:space="preserve">
23mins change over from carib to stag on filler.
6mins change over on labeler.</t>
        </r>
      </text>
    </comment>
    <comment ref="J19" authorId="0" shapeId="0" xr:uid="{AEDD911E-E70D-4805-8D4A-F38A9F12E123}">
      <text>
        <r>
          <rPr>
            <b/>
            <sz val="9"/>
            <color indexed="81"/>
            <rFont val="Tahoma"/>
            <family val="2"/>
          </rPr>
          <t>Kaylil Baptiste:</t>
        </r>
        <r>
          <rPr>
            <sz val="9"/>
            <color indexed="81"/>
            <rFont val="Tahoma"/>
            <family val="2"/>
          </rPr>
          <t xml:space="preserve">
4 mins removing low filled bottles from line caused by bad BBT change over</t>
        </r>
      </text>
    </comment>
    <comment ref="K19" authorId="1" shapeId="0" xr:uid="{B9539B20-8CFA-4220-A8E4-9C5409EAB343}">
      <text>
        <r>
          <rPr>
            <b/>
            <sz val="9"/>
            <color indexed="81"/>
            <rFont val="Tahoma"/>
            <family val="2"/>
          </rPr>
          <t>Micah Noel:</t>
        </r>
        <r>
          <rPr>
            <sz val="9"/>
            <color indexed="81"/>
            <rFont val="Tahoma"/>
            <family val="2"/>
          </rPr>
          <t xml:space="preserve">
co2 and air pressure low </t>
        </r>
      </text>
    </comment>
    <comment ref="L19" authorId="2" shapeId="0" xr:uid="{EBA93505-0C7D-4E67-9A23-97B2A95BC12D}">
      <text>
        <r>
          <rPr>
            <b/>
            <sz val="9"/>
            <color indexed="81"/>
            <rFont val="Tahoma"/>
            <family val="2"/>
          </rPr>
          <t>Tyrell Bartholomew:</t>
        </r>
        <r>
          <rPr>
            <sz val="9"/>
            <color indexed="81"/>
            <rFont val="Tahoma"/>
            <family val="2"/>
          </rPr>
          <t xml:space="preserve">
18 mins low co2 on filler.</t>
        </r>
      </text>
    </comment>
    <comment ref="Q19" authorId="0" shapeId="0" xr:uid="{39B3E8A2-3958-4CE8-90D8-E244ACF5846B}">
      <text>
        <r>
          <rPr>
            <b/>
            <sz val="9"/>
            <color indexed="81"/>
            <rFont val="Tahoma"/>
            <family val="2"/>
          </rPr>
          <t>Kaylil Baptiste:</t>
        </r>
        <r>
          <rPr>
            <sz val="9"/>
            <color indexed="81"/>
            <rFont val="Tahoma"/>
            <family val="2"/>
          </rPr>
          <t xml:space="preserve">
8mins high EBI rejection, 6mins 6 mins label stuck on OSW</t>
        </r>
      </text>
    </comment>
    <comment ref="R19" authorId="0" shapeId="0" xr:uid="{F2B7B1FE-C3CD-4013-B447-ECF54E2E6DB3}">
      <text>
        <r>
          <rPr>
            <b/>
            <sz val="9"/>
            <color indexed="81"/>
            <rFont val="Tahoma"/>
            <family val="2"/>
          </rPr>
          <t>Kaylil Baptiste:</t>
        </r>
        <r>
          <rPr>
            <sz val="9"/>
            <color indexed="81"/>
            <rFont val="Tahoma"/>
            <family val="2"/>
          </rPr>
          <t xml:space="preserve">
7mins crowns stuck in chute</t>
        </r>
      </text>
    </comment>
    <comment ref="T19" authorId="0" shapeId="0" xr:uid="{C296F413-39EF-4539-8105-4C9A5219F3AA}">
      <text>
        <r>
          <rPr>
            <b/>
            <sz val="9"/>
            <color indexed="81"/>
            <rFont val="Tahoma"/>
            <family val="2"/>
          </rPr>
          <t>Kaylil Baptiste:</t>
        </r>
        <r>
          <rPr>
            <sz val="9"/>
            <color indexed="81"/>
            <rFont val="Tahoma"/>
            <family val="2"/>
          </rPr>
          <t xml:space="preserve">
13mins addressing loose body magazine tensioner, 5mins startup adjustments</t>
        </r>
      </text>
    </comment>
    <comment ref="V19" authorId="0" shapeId="0" xr:uid="{CA0A49D4-71DA-4318-896A-EA4DE66D7331}">
      <text>
        <r>
          <rPr>
            <b/>
            <sz val="9"/>
            <color indexed="81"/>
            <rFont val="Tahoma"/>
            <family val="2"/>
          </rPr>
          <t>Kaylil Baptiste:</t>
        </r>
        <r>
          <rPr>
            <sz val="9"/>
            <color indexed="81"/>
            <rFont val="Tahoma"/>
            <family val="2"/>
          </rPr>
          <t xml:space="preserve">
11mins bottle jam at pasteurizer infeed, 5mins fallen bottles on EBI shuffler</t>
        </r>
      </text>
    </comment>
    <comment ref="Z19" authorId="2" shapeId="0" xr:uid="{C0E8DE98-328A-462D-BC55-1D4DB763FCEB}">
      <text>
        <r>
          <rPr>
            <b/>
            <sz val="9"/>
            <color indexed="81"/>
            <rFont val="Tahoma"/>
            <family val="2"/>
          </rPr>
          <t>Tyrell Bartholomew:</t>
        </r>
        <r>
          <rPr>
            <sz val="9"/>
            <color indexed="81"/>
            <rFont val="Tahoma"/>
            <family val="2"/>
          </rPr>
          <t xml:space="preserve">
9mins lost removing low fills product at pasteurizer discharge.
21mins toolbox. </t>
        </r>
      </text>
    </comment>
    <comment ref="I20" authorId="3" shapeId="0" xr:uid="{01548849-775F-4DAB-A946-A59764354CA9}">
      <text>
        <r>
          <rPr>
            <b/>
            <sz val="9"/>
            <color indexed="81"/>
            <rFont val="Tahoma"/>
            <family val="2"/>
          </rPr>
          <t>Michael Julien:</t>
        </r>
        <r>
          <rPr>
            <sz val="9"/>
            <color indexed="81"/>
            <rFont val="Tahoma"/>
            <family val="2"/>
          </rPr>
          <t xml:space="preserve">
37 min change over from stag to carib flint</t>
        </r>
      </text>
    </comment>
    <comment ref="P20" authorId="0" shapeId="0" xr:uid="{A30A3877-F846-4916-9A09-2AFD62428207}">
      <text>
        <r>
          <rPr>
            <b/>
            <sz val="9"/>
            <color indexed="81"/>
            <rFont val="Tahoma"/>
            <family val="2"/>
          </rPr>
          <t>Kaylil Baptiste:</t>
        </r>
        <r>
          <rPr>
            <sz val="9"/>
            <color indexed="81"/>
            <rFont val="Tahoma"/>
            <family val="2"/>
          </rPr>
          <t xml:space="preserve">
5mins bottles jamming at washer discharge</t>
        </r>
      </text>
    </comment>
    <comment ref="S20" authorId="0" shapeId="0" xr:uid="{01DF0EC8-6CAC-4649-A366-AD7C01A13863}">
      <text>
        <r>
          <rPr>
            <b/>
            <sz val="9"/>
            <color indexed="81"/>
            <rFont val="Tahoma"/>
            <family val="2"/>
          </rPr>
          <t>Kaylil Baptiste:</t>
        </r>
        <r>
          <rPr>
            <sz val="9"/>
            <color indexed="81"/>
            <rFont val="Tahoma"/>
            <family val="2"/>
          </rPr>
          <t xml:space="preserve">
14mins technician making adjustments, 13mins sensor for conveyor stop pasteurizer</t>
        </r>
      </text>
    </comment>
    <comment ref="V20" authorId="0" shapeId="0" xr:uid="{A7607191-879F-41BB-AC77-479CFB11E246}">
      <text>
        <r>
          <rPr>
            <b/>
            <sz val="9"/>
            <color indexed="81"/>
            <rFont val="Tahoma"/>
            <family val="2"/>
          </rPr>
          <t>Kaylil Baptiste:</t>
        </r>
        <r>
          <rPr>
            <sz val="9"/>
            <color indexed="81"/>
            <rFont val="Tahoma"/>
            <family val="2"/>
          </rPr>
          <t xml:space="preserve">
5mins fallen bottles on EBI shuffler</t>
        </r>
      </text>
    </comment>
    <comment ref="AB20" authorId="3" shapeId="0" xr:uid="{5D80CC47-4949-427B-ACA3-6384CA59F0D6}">
      <text>
        <r>
          <rPr>
            <b/>
            <sz val="9"/>
            <color indexed="81"/>
            <rFont val="Tahoma"/>
            <family val="2"/>
          </rPr>
          <t>Michael Julien:</t>
        </r>
        <r>
          <rPr>
            <sz val="9"/>
            <color indexed="81"/>
            <rFont val="Tahoma"/>
            <family val="2"/>
          </rPr>
          <t xml:space="preserve">
short flint loaded
</t>
        </r>
      </text>
    </comment>
    <comment ref="I21" authorId="3" shapeId="0" xr:uid="{0626BA84-07C8-4702-82E7-A69979DB6273}">
      <text>
        <r>
          <rPr>
            <b/>
            <sz val="9"/>
            <color indexed="81"/>
            <rFont val="Tahoma"/>
            <family val="2"/>
          </rPr>
          <t>Michael Julien:</t>
        </r>
        <r>
          <rPr>
            <sz val="9"/>
            <color indexed="81"/>
            <rFont val="Tahoma"/>
            <family val="2"/>
          </rPr>
          <t xml:space="preserve">
change over from flint to amber</t>
        </r>
      </text>
    </comment>
    <comment ref="O21" authorId="0" shapeId="0" xr:uid="{F9106DAC-742F-4C8C-AD6A-462776D7DDD1}">
      <text>
        <r>
          <rPr>
            <b/>
            <sz val="9"/>
            <color indexed="81"/>
            <rFont val="Tahoma"/>
            <family val="2"/>
          </rPr>
          <t>Kaylil Baptiste:</t>
        </r>
        <r>
          <rPr>
            <sz val="9"/>
            <color indexed="81"/>
            <rFont val="Tahoma"/>
            <family val="2"/>
          </rPr>
          <t xml:space="preserve">
10mins uncaser head hitting crates</t>
        </r>
      </text>
    </comment>
    <comment ref="P21" authorId="0" shapeId="0" xr:uid="{9E71C983-0280-44A8-8CE5-A33F879BD3E7}">
      <text>
        <r>
          <rPr>
            <b/>
            <sz val="9"/>
            <color indexed="81"/>
            <rFont val="Tahoma"/>
            <family val="2"/>
          </rPr>
          <t>Kaylil Baptiste:</t>
        </r>
        <r>
          <rPr>
            <sz val="9"/>
            <color indexed="81"/>
            <rFont val="Tahoma"/>
            <family val="2"/>
          </rPr>
          <t xml:space="preserve">
37mins cleaning rinse tank, 10mins bottles jamming at washer discharge</t>
        </r>
      </text>
    </comment>
    <comment ref="S21" authorId="0" shapeId="0" xr:uid="{D36334A8-9929-4132-BE95-A44F224974F6}">
      <text>
        <r>
          <rPr>
            <b/>
            <sz val="9"/>
            <color indexed="81"/>
            <rFont val="Tahoma"/>
            <family val="2"/>
          </rPr>
          <t>Kaylil Baptiste:</t>
        </r>
        <r>
          <rPr>
            <sz val="9"/>
            <color indexed="81"/>
            <rFont val="Tahoma"/>
            <family val="2"/>
          </rPr>
          <t xml:space="preserve">
10mins PU adjustments</t>
        </r>
      </text>
    </comment>
    <comment ref="V21" authorId="0" shapeId="0" xr:uid="{183636AB-D2CA-4883-A6E2-98048C80EDDC}">
      <text>
        <r>
          <rPr>
            <b/>
            <sz val="9"/>
            <color indexed="81"/>
            <rFont val="Tahoma"/>
            <family val="2"/>
          </rPr>
          <t>Kaylil Baptiste:</t>
        </r>
        <r>
          <rPr>
            <sz val="9"/>
            <color indexed="81"/>
            <rFont val="Tahoma"/>
            <family val="2"/>
          </rPr>
          <t xml:space="preserve">
40mins conveyor unresponsive due to communication issue</t>
        </r>
      </text>
    </comment>
    <comment ref="J22" authorId="2" shapeId="0" xr:uid="{42A4EEEE-DB2E-4822-BB3D-FA24810B47BE}">
      <text>
        <r>
          <rPr>
            <b/>
            <sz val="9"/>
            <color indexed="81"/>
            <rFont val="Tahoma"/>
            <family val="2"/>
          </rPr>
          <t>Tyrell Bartholomew:</t>
        </r>
        <r>
          <rPr>
            <sz val="9"/>
            <color indexed="81"/>
            <rFont val="Tahoma"/>
            <family val="2"/>
          </rPr>
          <t xml:space="preserve">
2mins filler bowl level drop.</t>
        </r>
      </text>
    </comment>
    <comment ref="L22" authorId="2" shapeId="0" xr:uid="{D81CEB21-F6D6-4F03-96C1-094B9321AA77}">
      <text>
        <r>
          <rPr>
            <b/>
            <sz val="9"/>
            <color indexed="81"/>
            <rFont val="Tahoma"/>
            <family val="2"/>
          </rPr>
          <t>Tyrell Bartholomew:</t>
        </r>
        <r>
          <rPr>
            <sz val="9"/>
            <color indexed="81"/>
            <rFont val="Tahoma"/>
            <family val="2"/>
          </rPr>
          <t xml:space="preserve">
low c02 on filler.</t>
        </r>
      </text>
    </comment>
    <comment ref="P22" authorId="0" shapeId="0" xr:uid="{D115BDCC-0A92-4A0D-AB78-6E6C1AC201F1}">
      <text>
        <r>
          <rPr>
            <b/>
            <sz val="9"/>
            <color indexed="81"/>
            <rFont val="Tahoma"/>
            <family val="2"/>
          </rPr>
          <t>Kaylil Baptiste:</t>
        </r>
        <r>
          <rPr>
            <sz val="9"/>
            <color indexed="81"/>
            <rFont val="Tahoma"/>
            <family val="2"/>
          </rPr>
          <t xml:space="preserve">
9mins bottles jamming at washer discharge</t>
        </r>
      </text>
    </comment>
    <comment ref="Q22" authorId="0" shapeId="0" xr:uid="{6587F9D8-6718-43AC-A7EA-BB72A969DADA}">
      <text>
        <r>
          <rPr>
            <b/>
            <sz val="9"/>
            <color indexed="81"/>
            <rFont val="Tahoma"/>
            <family val="2"/>
          </rPr>
          <t>Kaylil Baptiste:</t>
        </r>
        <r>
          <rPr>
            <sz val="9"/>
            <color indexed="81"/>
            <rFont val="Tahoma"/>
            <family val="2"/>
          </rPr>
          <t xml:space="preserve">
21mins maintenance making adjustment to base camera setting, 9mins heavy rejection, table full, 9mins high rejection, 5mind bottles stuck on OSW</t>
        </r>
      </text>
    </comment>
    <comment ref="S22" authorId="0" shapeId="0" xr:uid="{490C9AFC-A0EC-40BA-A7E6-0A148B5DAB44}">
      <text>
        <r>
          <rPr>
            <b/>
            <sz val="9"/>
            <color indexed="81"/>
            <rFont val="Tahoma"/>
            <family val="2"/>
          </rPr>
          <t>Kaylil Baptiste:</t>
        </r>
        <r>
          <rPr>
            <sz val="9"/>
            <color indexed="81"/>
            <rFont val="Tahoma"/>
            <family val="2"/>
          </rPr>
          <t xml:space="preserve">
7mins unit waiting on tank temperatures</t>
        </r>
      </text>
    </comment>
    <comment ref="V22" authorId="0" shapeId="0" xr:uid="{79591FE1-4334-4026-A741-2A37674F1F80}">
      <text>
        <r>
          <rPr>
            <b/>
            <sz val="9"/>
            <color indexed="81"/>
            <rFont val="Tahoma"/>
            <family val="2"/>
          </rPr>
          <t>Kaylil Baptiste:</t>
        </r>
        <r>
          <rPr>
            <sz val="9"/>
            <color indexed="81"/>
            <rFont val="Tahoma"/>
            <family val="2"/>
          </rPr>
          <t xml:space="preserve">
25mins EBI infeed conveyor unresponsive due to communication error</t>
        </r>
      </text>
    </comment>
    <comment ref="AB22" authorId="2" shapeId="0" xr:uid="{0BB7D0AD-77A2-4D3A-BE5A-10C63A74A619}">
      <text>
        <r>
          <rPr>
            <b/>
            <sz val="9"/>
            <color indexed="81"/>
            <rFont val="Tahoma"/>
            <family val="2"/>
          </rPr>
          <t>Tyrell Bartholomew:</t>
        </r>
        <r>
          <rPr>
            <sz val="9"/>
            <color indexed="81"/>
            <rFont val="Tahoma"/>
            <family val="2"/>
          </rPr>
          <t xml:space="preserve">
5 mins heavy EBI rejection (rewash bottles)
</t>
        </r>
      </text>
    </comment>
    <comment ref="I23" authorId="1" shapeId="0" xr:uid="{6F121D34-6C4D-4C7A-A0F4-A8FA95360367}">
      <text>
        <r>
          <rPr>
            <b/>
            <sz val="9"/>
            <color indexed="81"/>
            <rFont val="Tahoma"/>
            <family val="2"/>
          </rPr>
          <t>Micah Noel:</t>
        </r>
        <r>
          <rPr>
            <sz val="9"/>
            <color indexed="81"/>
            <rFont val="Tahoma"/>
            <family val="2"/>
          </rPr>
          <t xml:space="preserve">
Filler prep. For Ting</t>
        </r>
      </text>
    </comment>
    <comment ref="J23" authorId="1" shapeId="0" xr:uid="{A910B0C6-E249-4744-8EF0-D58EC333E0B8}">
      <text>
        <r>
          <rPr>
            <b/>
            <sz val="9"/>
            <color indexed="81"/>
            <rFont val="Tahoma"/>
            <family val="2"/>
          </rPr>
          <t>Micah Noel:</t>
        </r>
        <r>
          <rPr>
            <sz val="9"/>
            <color indexed="81"/>
            <rFont val="Tahoma"/>
            <family val="2"/>
          </rPr>
          <t xml:space="preserve">
issue in soft drink plant issue resulting in CIP having  to be done</t>
        </r>
      </text>
    </comment>
    <comment ref="S23" authorId="0" shapeId="0" xr:uid="{DF7392C4-4F32-4B5F-A48C-BD5DE7CCA2C3}">
      <text>
        <r>
          <rPr>
            <b/>
            <sz val="9"/>
            <color indexed="81"/>
            <rFont val="Tahoma"/>
            <family val="2"/>
          </rPr>
          <t>Kaylil Baptiste:</t>
        </r>
        <r>
          <rPr>
            <sz val="9"/>
            <color indexed="81"/>
            <rFont val="Tahoma"/>
            <family val="2"/>
          </rPr>
          <t xml:space="preserve">
pasteurizer commissioning
adjustment to temperature probes + electrical problem  (pasteurizer pumps cable burn)</t>
        </r>
      </text>
    </comment>
    <comment ref="D24" authorId="0" shapeId="0" xr:uid="{6BCF85D6-E92D-4BD7-9D45-DF76F52F6984}">
      <text>
        <r>
          <rPr>
            <b/>
            <sz val="9"/>
            <color indexed="81"/>
            <rFont val="Tahoma"/>
            <family val="2"/>
          </rPr>
          <t>Kaylil Baptiste:</t>
        </r>
        <r>
          <rPr>
            <sz val="9"/>
            <color indexed="81"/>
            <rFont val="Tahoma"/>
            <family val="2"/>
          </rPr>
          <t xml:space="preserve">
7:15</t>
        </r>
      </text>
    </comment>
    <comment ref="J24" authorId="1" shapeId="0" xr:uid="{C8FD44B7-E109-4D45-938B-10348503C429}">
      <text>
        <r>
          <rPr>
            <b/>
            <sz val="9"/>
            <color indexed="81"/>
            <rFont val="Tahoma"/>
            <family val="2"/>
          </rPr>
          <t>Micah Noel:</t>
        </r>
        <r>
          <rPr>
            <sz val="9"/>
            <color indexed="81"/>
            <rFont val="Tahoma"/>
            <family val="2"/>
          </rPr>
          <t xml:space="preserve">
14mins low filler bowl level </t>
        </r>
      </text>
    </comment>
    <comment ref="K24" authorId="0" shapeId="0" xr:uid="{962DC5F0-6E04-4916-B0DA-8B4B87F8D86D}">
      <text>
        <r>
          <rPr>
            <b/>
            <sz val="9"/>
            <color indexed="81"/>
            <rFont val="Tahoma"/>
            <family val="2"/>
          </rPr>
          <t>Kaylil Baptiste:</t>
        </r>
        <r>
          <rPr>
            <sz val="9"/>
            <color indexed="81"/>
            <rFont val="Tahoma"/>
            <family val="2"/>
          </rPr>
          <t xml:space="preserve">
37mins lack of air pressure on filler </t>
        </r>
      </text>
    </comment>
    <comment ref="P24" authorId="0" shapeId="0" xr:uid="{54304CC6-88C9-4286-A7A8-7089F152A843}">
      <text>
        <r>
          <rPr>
            <b/>
            <sz val="9"/>
            <color indexed="81"/>
            <rFont val="Tahoma"/>
            <family val="2"/>
          </rPr>
          <t>Kaylil Baptiste:</t>
        </r>
        <r>
          <rPr>
            <sz val="9"/>
            <color indexed="81"/>
            <rFont val="Tahoma"/>
            <family val="2"/>
          </rPr>
          <t xml:space="preserve">
49mins lost bottles consecutively jamming in flap, san martin tech made adjustments to mitigate this.</t>
        </r>
      </text>
    </comment>
    <comment ref="Q24" authorId="0" shapeId="0" xr:uid="{D08D76A0-5D82-4CF3-BD34-7AA70E8427C3}">
      <text>
        <r>
          <rPr>
            <b/>
            <sz val="9"/>
            <color indexed="81"/>
            <rFont val="Tahoma"/>
            <family val="2"/>
          </rPr>
          <t>Kaylil Baptiste:</t>
        </r>
        <r>
          <rPr>
            <sz val="9"/>
            <color indexed="81"/>
            <rFont val="Tahoma"/>
            <family val="2"/>
          </rPr>
          <t xml:space="preserve">
9mins heavy consecutive rejection; table full, 5mins high EBI rejection</t>
        </r>
      </text>
    </comment>
    <comment ref="S24" authorId="0" shapeId="0" xr:uid="{FF2A5815-FE03-4405-8F60-C7CF54803331}">
      <text>
        <r>
          <rPr>
            <b/>
            <sz val="9"/>
            <color indexed="81"/>
            <rFont val="Tahoma"/>
            <family val="2"/>
          </rPr>
          <t>Kaylil Baptiste:</t>
        </r>
        <r>
          <rPr>
            <sz val="9"/>
            <color indexed="81"/>
            <rFont val="Tahoma"/>
            <family val="2"/>
          </rPr>
          <t xml:space="preserve">
210mins adjusting PU</t>
        </r>
      </text>
    </comment>
    <comment ref="V24" authorId="0" shapeId="0" xr:uid="{F4CBB6CE-C1F4-414E-AEA2-C3A91CC73AFF}">
      <text>
        <r>
          <rPr>
            <b/>
            <sz val="9"/>
            <color indexed="81"/>
            <rFont val="Tahoma"/>
            <family val="2"/>
          </rPr>
          <t>Kaylil Baptiste:</t>
        </r>
        <r>
          <rPr>
            <sz val="9"/>
            <color indexed="81"/>
            <rFont val="Tahoma"/>
            <family val="2"/>
          </rPr>
          <t xml:space="preserve">
25mins washer discharge conveyor cut off, 19mins Ebi discharge #2 unresponsive</t>
        </r>
      </text>
    </comment>
    <comment ref="Z24" authorId="1" shapeId="0" xr:uid="{ECC64C7F-6686-4E97-9AB6-2D46651C7D65}">
      <text>
        <r>
          <rPr>
            <b/>
            <sz val="9"/>
            <color indexed="81"/>
            <rFont val="Tahoma"/>
            <family val="2"/>
          </rPr>
          <t>Micah Noel:</t>
        </r>
        <r>
          <rPr>
            <sz val="9"/>
            <color indexed="81"/>
            <rFont val="Tahoma"/>
            <family val="2"/>
          </rPr>
          <t xml:space="preserve">
44mins product preparation, 60 mins washer loading</t>
        </r>
      </text>
    </comment>
    <comment ref="I25" authorId="2" shapeId="0" xr:uid="{88D831BE-B056-4FBA-8AFE-2C2713C120FB}">
      <text>
        <r>
          <rPr>
            <b/>
            <sz val="9"/>
            <color indexed="81"/>
            <rFont val="Tahoma"/>
            <family val="2"/>
          </rPr>
          <t>Tyrell Bartholomew:</t>
        </r>
        <r>
          <rPr>
            <sz val="9"/>
            <color indexed="81"/>
            <rFont val="Tahoma"/>
            <family val="2"/>
          </rPr>
          <t xml:space="preserve">
20mins change over from carib to stag.</t>
        </r>
      </text>
    </comment>
    <comment ref="S25" authorId="0" shapeId="0" xr:uid="{4FA31299-4AA3-492B-888D-873736F6CFFD}">
      <text>
        <r>
          <rPr>
            <b/>
            <sz val="9"/>
            <color indexed="81"/>
            <rFont val="Tahoma"/>
            <family val="2"/>
          </rPr>
          <t>Kaylil Baptiste:</t>
        </r>
        <r>
          <rPr>
            <sz val="9"/>
            <color indexed="81"/>
            <rFont val="Tahoma"/>
            <family val="2"/>
          </rPr>
          <t xml:space="preserve">
15mins stop low tank temperature(self pu adjustment)</t>
        </r>
      </text>
    </comment>
    <comment ref="T25" authorId="0" shapeId="0" xr:uid="{6928905B-240D-4FEF-B7D2-41DF0AC7E34D}">
      <text>
        <r>
          <rPr>
            <b/>
            <sz val="9"/>
            <color indexed="81"/>
            <rFont val="Tahoma"/>
            <family val="2"/>
          </rPr>
          <t>Kaylil Baptiste:</t>
        </r>
        <r>
          <rPr>
            <sz val="9"/>
            <color indexed="81"/>
            <rFont val="Tahoma"/>
            <family val="2"/>
          </rPr>
          <t xml:space="preserve">
14mins labeller adjustments</t>
        </r>
      </text>
    </comment>
    <comment ref="D26" authorId="0" shapeId="0" xr:uid="{8055CF2C-45CC-432F-AD3B-2E47C83CD3A9}">
      <text>
        <r>
          <rPr>
            <b/>
            <sz val="9"/>
            <color indexed="81"/>
            <rFont val="Tahoma"/>
            <family val="2"/>
          </rPr>
          <t>Kaylil Baptiste:</t>
        </r>
        <r>
          <rPr>
            <sz val="9"/>
            <color indexed="81"/>
            <rFont val="Tahoma"/>
            <family val="2"/>
          </rPr>
          <t xml:space="preserve">
12:10</t>
        </r>
      </text>
    </comment>
    <comment ref="P26" authorId="0" shapeId="0" xr:uid="{CAB97BF2-9D7A-47BD-968A-F6F7B66D2C64}">
      <text>
        <r>
          <rPr>
            <b/>
            <sz val="9"/>
            <color indexed="81"/>
            <rFont val="Tahoma"/>
            <family val="2"/>
          </rPr>
          <t>Kaylil Baptiste:</t>
        </r>
        <r>
          <rPr>
            <sz val="9"/>
            <color indexed="81"/>
            <rFont val="Tahoma"/>
            <family val="2"/>
          </rPr>
          <t xml:space="preserve">
6mins fallen bottles at washer infeed</t>
        </r>
      </text>
    </comment>
    <comment ref="S26" authorId="0" shapeId="0" xr:uid="{ACF821D1-8BFC-467A-8C7A-C428B8C5AAC5}">
      <text>
        <r>
          <rPr>
            <b/>
            <sz val="9"/>
            <color indexed="81"/>
            <rFont val="Tahoma"/>
            <family val="2"/>
          </rPr>
          <t>Kaylil Baptiste:</t>
        </r>
        <r>
          <rPr>
            <sz val="9"/>
            <color indexed="81"/>
            <rFont val="Tahoma"/>
            <family val="2"/>
          </rPr>
          <t xml:space="preserve">
48mins waiting on dry run, 24mins pasteurizer self adjusting</t>
        </r>
      </text>
    </comment>
    <comment ref="U26" authorId="0" shapeId="0" xr:uid="{013925E2-4601-4198-A03D-AB7C877F83F3}">
      <text>
        <r>
          <rPr>
            <b/>
            <sz val="9"/>
            <color indexed="81"/>
            <rFont val="Tahoma"/>
            <family val="2"/>
          </rPr>
          <t>Kaylil Baptiste:</t>
        </r>
        <r>
          <rPr>
            <sz val="9"/>
            <color indexed="81"/>
            <rFont val="Tahoma"/>
            <family val="2"/>
          </rPr>
          <t xml:space="preserve">
24mins videojet cut off</t>
        </r>
      </text>
    </comment>
    <comment ref="Z26" authorId="3" shapeId="0" xr:uid="{94F60A1A-8F6D-4A68-AFB4-9DFD3B8B8E49}">
      <text>
        <r>
          <rPr>
            <b/>
            <sz val="9"/>
            <color indexed="81"/>
            <rFont val="Tahoma"/>
            <family val="2"/>
          </rPr>
          <t>Michael Julien:</t>
        </r>
        <r>
          <rPr>
            <sz val="9"/>
            <color indexed="81"/>
            <rFont val="Tahoma"/>
            <family val="2"/>
          </rPr>
          <t xml:space="preserve">
18mins filler preparation, 6mins misscommunication between palletisers</t>
        </r>
      </text>
    </comment>
    <comment ref="I27" authorId="2" shapeId="0" xr:uid="{0181337D-A876-4541-8883-A4224EE681B8}">
      <text>
        <r>
          <rPr>
            <b/>
            <sz val="9"/>
            <color indexed="81"/>
            <rFont val="Tahoma"/>
            <family val="2"/>
          </rPr>
          <t>Tyrell Bartholomew:</t>
        </r>
        <r>
          <rPr>
            <sz val="9"/>
            <color indexed="81"/>
            <rFont val="Tahoma"/>
            <family val="2"/>
          </rPr>
          <t xml:space="preserve">
53mins changing over from stag to ting.</t>
        </r>
      </text>
    </comment>
    <comment ref="J27" authorId="2" shapeId="0" xr:uid="{47CC7741-281F-42F7-B37B-E1D2F01C7D45}">
      <text>
        <r>
          <rPr>
            <b/>
            <sz val="9"/>
            <color indexed="81"/>
            <rFont val="Tahoma"/>
            <family val="2"/>
          </rPr>
          <t>Tyrell Bartholomew:</t>
        </r>
        <r>
          <rPr>
            <sz val="9"/>
            <color indexed="81"/>
            <rFont val="Tahoma"/>
            <family val="2"/>
          </rPr>
          <t xml:space="preserve">
9mins carbo cooler malfunction(compressor unresponsive), waiting on product.</t>
        </r>
      </text>
    </comment>
    <comment ref="L27" authorId="2" shapeId="0" xr:uid="{6E4F690A-BD8B-427D-810C-BC4673C619D0}">
      <text>
        <r>
          <rPr>
            <b/>
            <sz val="9"/>
            <color indexed="81"/>
            <rFont val="Tahoma"/>
            <family val="2"/>
          </rPr>
          <t>Tyrell Bartholomew:</t>
        </r>
        <r>
          <rPr>
            <sz val="9"/>
            <color indexed="81"/>
            <rFont val="Tahoma"/>
            <family val="2"/>
          </rPr>
          <t xml:space="preserve">
22mins co2 drop on carbo cooler.</t>
        </r>
      </text>
    </comment>
    <comment ref="M27" authorId="2" shapeId="0" xr:uid="{F295F63F-BCB7-45C5-8357-EB64156DE5D5}">
      <text>
        <r>
          <rPr>
            <b/>
            <sz val="9"/>
            <color indexed="81"/>
            <rFont val="Tahoma"/>
            <family val="2"/>
          </rPr>
          <t>Tyrell Bartholomew:</t>
        </r>
        <r>
          <rPr>
            <sz val="9"/>
            <color indexed="81"/>
            <rFont val="Tahoma"/>
            <family val="2"/>
          </rPr>
          <t xml:space="preserve">
low pressure water in soft drink plant.</t>
        </r>
      </text>
    </comment>
    <comment ref="S27" authorId="0" shapeId="0" xr:uid="{16304D9A-1958-4760-B3D1-5D1EB435C39A}">
      <text>
        <r>
          <rPr>
            <b/>
            <sz val="9"/>
            <color indexed="81"/>
            <rFont val="Tahoma"/>
            <family val="2"/>
          </rPr>
          <t>Kaylil Baptiste:</t>
        </r>
        <r>
          <rPr>
            <sz val="9"/>
            <color indexed="81"/>
            <rFont val="Tahoma"/>
            <family val="2"/>
          </rPr>
          <t xml:space="preserve">
65mins waiting on dry run</t>
        </r>
      </text>
    </comment>
    <comment ref="Z27" authorId="2" shapeId="0" xr:uid="{152A9A33-3B91-463D-B774-58E30D1AF3E8}">
      <text>
        <r>
          <rPr>
            <b/>
            <sz val="9"/>
            <color indexed="81"/>
            <rFont val="Tahoma"/>
            <family val="2"/>
          </rPr>
          <t>Tyrell Bartholomew:</t>
        </r>
        <r>
          <rPr>
            <sz val="9"/>
            <color indexed="81"/>
            <rFont val="Tahoma"/>
            <family val="2"/>
          </rPr>
          <t xml:space="preserve">
60mins waiting on pasteurizer to be empty and change product recipe.
5mins stop on filler to fill up washer discharge convoyer.</t>
        </r>
      </text>
    </comment>
    <comment ref="AB27" authorId="2" shapeId="0" xr:uid="{E27A3BC6-DB44-4D84-9751-7CCE4CAB3566}">
      <text>
        <r>
          <rPr>
            <b/>
            <sz val="9"/>
            <color indexed="81"/>
            <rFont val="Tahoma"/>
            <family val="2"/>
          </rPr>
          <t>Tyrell Bartholomew:</t>
        </r>
        <r>
          <rPr>
            <sz val="9"/>
            <color indexed="81"/>
            <rFont val="Tahoma"/>
            <family val="2"/>
          </rPr>
          <t xml:space="preserve">
13mins remove incorrect bottles type at washer infeed(short green)</t>
        </r>
      </text>
    </comment>
    <comment ref="I28" authorId="1" shapeId="0" xr:uid="{4B809DB1-4E70-49EE-96EB-E2BFDBDED55C}">
      <text>
        <r>
          <rPr>
            <b/>
            <sz val="9"/>
            <color indexed="81"/>
            <rFont val="Tahoma"/>
            <family val="2"/>
          </rPr>
          <t>Micah Noel:</t>
        </r>
        <r>
          <rPr>
            <sz val="9"/>
            <color indexed="81"/>
            <rFont val="Tahoma"/>
            <family val="2"/>
          </rPr>
          <t xml:space="preserve">
Filler change over from Ting to Ginseng original</t>
        </r>
      </text>
    </comment>
    <comment ref="M28" authorId="0" shapeId="0" xr:uid="{3B8C868D-7D6B-4EA1-B14E-7A658E4BBF0E}">
      <text>
        <r>
          <rPr>
            <b/>
            <sz val="9"/>
            <color indexed="81"/>
            <rFont val="Tahoma"/>
            <family val="2"/>
          </rPr>
          <t>Kaylil Baptiste:</t>
        </r>
        <r>
          <rPr>
            <sz val="9"/>
            <color indexed="81"/>
            <rFont val="Tahoma"/>
            <family val="2"/>
          </rPr>
          <t xml:space="preserve">
20mins low water in soft drink plant </t>
        </r>
      </text>
    </comment>
    <comment ref="P28" authorId="0" shapeId="0" xr:uid="{D06E655F-9B00-44BD-B6CC-9002DDFD3C60}">
      <text>
        <r>
          <rPr>
            <b/>
            <sz val="9"/>
            <color indexed="81"/>
            <rFont val="Tahoma"/>
            <family val="2"/>
          </rPr>
          <t>Kaylil Baptiste:</t>
        </r>
        <r>
          <rPr>
            <sz val="9"/>
            <color indexed="81"/>
            <rFont val="Tahoma"/>
            <family val="2"/>
          </rPr>
          <t xml:space="preserve">
5mins fallen bottles at washer discharge</t>
        </r>
      </text>
    </comment>
    <comment ref="Q28" authorId="0" shapeId="0" xr:uid="{F9FDDD30-32AF-4C44-AA22-5975C8A6A185}">
      <text>
        <r>
          <rPr>
            <b/>
            <sz val="9"/>
            <color indexed="81"/>
            <rFont val="Tahoma"/>
            <family val="2"/>
          </rPr>
          <t>Kaylil Baptiste:</t>
        </r>
        <r>
          <rPr>
            <sz val="9"/>
            <color indexed="81"/>
            <rFont val="Tahoma"/>
            <family val="2"/>
          </rPr>
          <t xml:space="preserve">
33mins ENI tech making adjustments, 20mins ENI adjustment to starwheel, 8mins fallen bottles on EBI starwheel</t>
        </r>
      </text>
    </comment>
    <comment ref="R28" authorId="0" shapeId="0" xr:uid="{773EF376-625F-4B83-A1A7-78E662137EF4}">
      <text>
        <r>
          <rPr>
            <b/>
            <sz val="9"/>
            <color indexed="81"/>
            <rFont val="Tahoma"/>
            <family val="2"/>
          </rPr>
          <t>Kaylil Baptiste:</t>
        </r>
        <r>
          <rPr>
            <sz val="9"/>
            <color indexed="81"/>
            <rFont val="Tahoma"/>
            <family val="2"/>
          </rPr>
          <t xml:space="preserve">
14mins filler HPI fault, 11mins communication problem on filler</t>
        </r>
      </text>
    </comment>
    <comment ref="Z28" authorId="1" shapeId="0" xr:uid="{A803D975-BCDF-4B13-816F-4490FD36B5F9}">
      <text>
        <r>
          <rPr>
            <b/>
            <sz val="9"/>
            <color indexed="81"/>
            <rFont val="Tahoma"/>
            <family val="2"/>
          </rPr>
          <t>Micah Noel:</t>
        </r>
        <r>
          <rPr>
            <sz val="9"/>
            <color indexed="81"/>
            <rFont val="Tahoma"/>
            <family val="2"/>
          </rPr>
          <t xml:space="preserve">
55mins awaiting PU results</t>
        </r>
      </text>
    </comment>
    <comment ref="L29" authorId="2" shapeId="0" xr:uid="{4A8378A9-1427-4845-BF18-16D1C774E466}">
      <text>
        <r>
          <rPr>
            <b/>
            <sz val="9"/>
            <color indexed="81"/>
            <rFont val="Tahoma"/>
            <family val="2"/>
          </rPr>
          <t>Tyrell Bartholomew:</t>
        </r>
        <r>
          <rPr>
            <sz val="9"/>
            <color indexed="81"/>
            <rFont val="Tahoma"/>
            <family val="2"/>
          </rPr>
          <t xml:space="preserve">
10mins waiting on co2 to push product in the line(tank finish). Co2 regulator malfunction. </t>
        </r>
      </text>
    </comment>
    <comment ref="P29" authorId="0" shapeId="0" xr:uid="{F8DF6789-0240-4D25-81A7-1F5AD8724631}">
      <text>
        <r>
          <rPr>
            <b/>
            <sz val="9"/>
            <color indexed="81"/>
            <rFont val="Tahoma"/>
            <family val="2"/>
          </rPr>
          <t>Kaylil Baptiste:</t>
        </r>
        <r>
          <rPr>
            <sz val="9"/>
            <color indexed="81"/>
            <rFont val="Tahoma"/>
            <family val="2"/>
          </rPr>
          <t xml:space="preserve">
9mins fallen bottles on washer discharge</t>
        </r>
      </text>
    </comment>
    <comment ref="Q29" authorId="0" shapeId="0" xr:uid="{FDC9C863-6769-4D7C-BA81-0BDC052327D9}">
      <text>
        <r>
          <rPr>
            <b/>
            <sz val="9"/>
            <color indexed="81"/>
            <rFont val="Tahoma"/>
            <family val="2"/>
          </rPr>
          <t>Kaylil Baptiste:</t>
        </r>
        <r>
          <rPr>
            <sz val="9"/>
            <color indexed="81"/>
            <rFont val="Tahoma"/>
            <family val="2"/>
          </rPr>
          <t xml:space="preserve">
11mins bottles hitting dead plate and going unto rejection table</t>
        </r>
      </text>
    </comment>
    <comment ref="S29" authorId="0" shapeId="0" xr:uid="{087EBBDC-E90D-4213-9232-45622DAA3A19}">
      <text>
        <r>
          <rPr>
            <b/>
            <sz val="9"/>
            <color indexed="81"/>
            <rFont val="Tahoma"/>
            <family val="2"/>
          </rPr>
          <t>Kaylil Baptiste:</t>
        </r>
        <r>
          <rPr>
            <sz val="9"/>
            <color indexed="81"/>
            <rFont val="Tahoma"/>
            <family val="2"/>
          </rPr>
          <t xml:space="preserve">
160mins waiting on dry run, 40mins panel adjustments on pasteurizer by tech</t>
        </r>
      </text>
    </comment>
    <comment ref="Z29" authorId="0" shapeId="0" xr:uid="{B72D5BF3-1BC6-48AE-BDA7-0D9A1189828B}">
      <text>
        <r>
          <rPr>
            <b/>
            <sz val="9"/>
            <color indexed="81"/>
            <rFont val="Tahoma"/>
            <family val="2"/>
          </rPr>
          <t>Kaylil Baptiste:</t>
        </r>
        <r>
          <rPr>
            <sz val="9"/>
            <color indexed="81"/>
            <rFont val="Tahoma"/>
            <family val="2"/>
          </rPr>
          <t xml:space="preserve">
10mins operator preparing filler</t>
        </r>
      </text>
    </comment>
    <comment ref="H30" authorId="2" shapeId="0" xr:uid="{B72DCD56-4C51-48B2-A279-5198AFE666E0}">
      <text>
        <r>
          <rPr>
            <b/>
            <sz val="9"/>
            <color indexed="81"/>
            <rFont val="Tahoma"/>
            <family val="2"/>
          </rPr>
          <t>Tyrell Bartholomew:</t>
        </r>
        <r>
          <rPr>
            <sz val="9"/>
            <color indexed="81"/>
            <rFont val="Tahoma"/>
            <family val="2"/>
          </rPr>
          <t xml:space="preserve">
11mins operator inadvertently pressed the pasteurizer discharge conveyor emergency stop button, without being aware that he needs to reset on the main screen.</t>
        </r>
      </text>
    </comment>
    <comment ref="I30" authorId="2" shapeId="0" xr:uid="{60318A1C-E748-4F15-B681-332E65FAF352}">
      <text>
        <r>
          <rPr>
            <b/>
            <sz val="9"/>
            <color indexed="81"/>
            <rFont val="Tahoma"/>
            <family val="2"/>
          </rPr>
          <t>Tyrell Bartholomew:</t>
        </r>
        <r>
          <rPr>
            <sz val="9"/>
            <color indexed="81"/>
            <rFont val="Tahoma"/>
            <family val="2"/>
          </rPr>
          <t xml:space="preserve">
16mins changing over from stag to carib.
11mins labeler change over from stag to carib</t>
        </r>
      </text>
    </comment>
    <comment ref="P30" authorId="0" shapeId="0" xr:uid="{BEBCAAC0-8C87-45D8-9A19-9E9FC49E4B2A}">
      <text>
        <r>
          <rPr>
            <b/>
            <sz val="9"/>
            <color indexed="81"/>
            <rFont val="Tahoma"/>
            <family val="2"/>
          </rPr>
          <t>Kaylil Baptiste:</t>
        </r>
        <r>
          <rPr>
            <sz val="9"/>
            <color indexed="81"/>
            <rFont val="Tahoma"/>
            <family val="2"/>
          </rPr>
          <t xml:space="preserve">
6mins fallen bottles on washer infeed</t>
        </r>
      </text>
    </comment>
    <comment ref="Q30" authorId="0" shapeId="0" xr:uid="{A00FFDEC-A622-494C-884F-1F5685D950F3}">
      <text>
        <r>
          <rPr>
            <b/>
            <sz val="9"/>
            <color indexed="81"/>
            <rFont val="Tahoma"/>
            <family val="2"/>
          </rPr>
          <t>Kaylil Baptiste:</t>
        </r>
        <r>
          <rPr>
            <sz val="9"/>
            <color indexed="81"/>
            <rFont val="Tahoma"/>
            <family val="2"/>
          </rPr>
          <t xml:space="preserve">
27mins high EBI rejection, 23mins maintenance cleaning base camera lens, 8mins ENI tech making adjustments, 5mins bottles stuck on EBI starwheel</t>
        </r>
      </text>
    </comment>
    <comment ref="U30" authorId="0" shapeId="0" xr:uid="{DBB7F3AE-C0F9-4BB1-A8A0-D6C6A893B314}">
      <text>
        <r>
          <rPr>
            <b/>
            <sz val="9"/>
            <color indexed="81"/>
            <rFont val="Tahoma"/>
            <family val="2"/>
          </rPr>
          <t>Kaylil Baptiste:</t>
        </r>
        <r>
          <rPr>
            <sz val="9"/>
            <color indexed="81"/>
            <rFont val="Tahoma"/>
            <family val="2"/>
          </rPr>
          <t xml:space="preserve">
30mins videojet not printing</t>
        </r>
      </text>
    </comment>
    <comment ref="V30" authorId="0" shapeId="0" xr:uid="{BE0DDA64-FED5-4B53-80D5-7D2BC1B40C0E}">
      <text>
        <r>
          <rPr>
            <b/>
            <sz val="9"/>
            <color indexed="81"/>
            <rFont val="Tahoma"/>
            <family val="2"/>
          </rPr>
          <t>Kaylil Baptiste:</t>
        </r>
        <r>
          <rPr>
            <sz val="9"/>
            <color indexed="81"/>
            <rFont val="Tahoma"/>
            <family val="2"/>
          </rPr>
          <t xml:space="preserve">
21mins fallen bottles on EBI shuffler</t>
        </r>
      </text>
    </comment>
    <comment ref="Z30" authorId="2" shapeId="0" xr:uid="{780DA21B-B17F-4905-A8D1-8CB1FE64DE4B}">
      <text>
        <r>
          <rPr>
            <b/>
            <sz val="9"/>
            <color indexed="81"/>
            <rFont val="Tahoma"/>
            <family val="2"/>
          </rPr>
          <t>Tyrell Bartholomew:</t>
        </r>
        <r>
          <rPr>
            <sz val="9"/>
            <color indexed="81"/>
            <rFont val="Tahoma"/>
            <family val="2"/>
          </rPr>
          <t xml:space="preserve">
18mins waiitng for depalletizer(shift change and incoming depalletizer was late), 6mins pasteurizer waiting on PU. </t>
        </r>
      </text>
    </comment>
    <comment ref="AB30" authorId="1" shapeId="0" xr:uid="{7965CBA8-9BEF-4077-9486-4D5E7D1C049D}">
      <text>
        <r>
          <rPr>
            <b/>
            <sz val="9"/>
            <color indexed="81"/>
            <rFont val="Tahoma"/>
            <family val="2"/>
          </rPr>
          <t>Micah Noel:</t>
        </r>
        <r>
          <rPr>
            <sz val="9"/>
            <color indexed="81"/>
            <rFont val="Tahoma"/>
            <family val="2"/>
          </rPr>
          <t xml:space="preserve">
10 mins heavy EBI rejection caused by Pre-washed bottles</t>
        </r>
      </text>
    </comment>
    <comment ref="N64" authorId="4" shapeId="0" xr:uid="{00000000-0006-0000-1000-00006C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4" authorId="4" shapeId="0" xr:uid="{00000000-0006-0000-1000-00006D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23:00 on double shift.</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Kaylil Baptiste</author>
    <author>Michael Julien</author>
    <author>Micah Noel</author>
    <author>Tyrell Bartholomew</author>
    <author>Dorien Andrew</author>
    <author>tc={3C80C8AE-F20F-4E00-A267-A0CDB1B65503}</author>
    <author>Royd</author>
  </authors>
  <commentList>
    <comment ref="J8" authorId="0" shapeId="0" xr:uid="{271167F1-B357-4C98-9E70-CF41A92B2BAA}">
      <text>
        <r>
          <rPr>
            <b/>
            <sz val="9"/>
            <color indexed="81"/>
            <rFont val="Tahoma"/>
            <family val="2"/>
          </rPr>
          <t>Kaylil Baptiste:</t>
        </r>
        <r>
          <rPr>
            <sz val="9"/>
            <color indexed="81"/>
            <rFont val="Tahoma"/>
            <family val="2"/>
          </rPr>
          <t xml:space="preserve">
60mins waiting on product</t>
        </r>
      </text>
    </comment>
    <comment ref="O8" authorId="0" shapeId="0" xr:uid="{670E61CA-0826-4874-A593-EC7A2970A671}">
      <text>
        <r>
          <rPr>
            <b/>
            <sz val="9"/>
            <color indexed="81"/>
            <rFont val="Tahoma"/>
            <family val="2"/>
          </rPr>
          <t>Kaylil Baptiste:</t>
        </r>
        <r>
          <rPr>
            <sz val="9"/>
            <color indexed="81"/>
            <rFont val="Tahoma"/>
            <family val="2"/>
          </rPr>
          <t xml:space="preserve">
9mins uncaser head hitting crates</t>
        </r>
      </text>
    </comment>
    <comment ref="P8" authorId="0" shapeId="0" xr:uid="{FF6C1350-B068-4694-AB96-E40B95970B77}">
      <text>
        <r>
          <rPr>
            <b/>
            <sz val="9"/>
            <color indexed="81"/>
            <rFont val="Tahoma"/>
            <family val="2"/>
          </rPr>
          <t>Kaylil Baptiste:</t>
        </r>
        <r>
          <rPr>
            <sz val="9"/>
            <color indexed="81"/>
            <rFont val="Tahoma"/>
            <family val="2"/>
          </rPr>
          <t xml:space="preserve">
15mins fallen bottles at washer discharge flap, 9mins mins fallen bottles at washer infeed flap  </t>
        </r>
      </text>
    </comment>
    <comment ref="Q8" authorId="0" shapeId="0" xr:uid="{E9A6ED87-597F-4E95-8E9A-508411732AFF}">
      <text>
        <r>
          <rPr>
            <b/>
            <sz val="9"/>
            <color indexed="81"/>
            <rFont val="Tahoma"/>
            <family val="2"/>
          </rPr>
          <t>Kaylil Baptiste:</t>
        </r>
        <r>
          <rPr>
            <sz val="9"/>
            <color indexed="81"/>
            <rFont val="Tahoma"/>
            <family val="2"/>
          </rPr>
          <t xml:space="preserve">
11mins fallen bottles at EBI starwheel, 8mins high EBI rejection</t>
        </r>
      </text>
    </comment>
    <comment ref="R8" authorId="0" shapeId="0" xr:uid="{2924AFA3-0537-43D0-824D-655D8752B30B}">
      <text>
        <r>
          <rPr>
            <b/>
            <sz val="9"/>
            <color indexed="81"/>
            <rFont val="Tahoma"/>
            <family val="2"/>
          </rPr>
          <t>Kaylil Baptiste:</t>
        </r>
        <r>
          <rPr>
            <sz val="9"/>
            <color indexed="81"/>
            <rFont val="Tahoma"/>
            <family val="2"/>
          </rPr>
          <t xml:space="preserve">
27mins filler infeed sensor malfunction/unresponsive</t>
        </r>
      </text>
    </comment>
    <comment ref="V8" authorId="0" shapeId="0" xr:uid="{95EA0CED-6D27-41F5-905B-CCB396F99CB0}">
      <text>
        <r>
          <rPr>
            <b/>
            <sz val="9"/>
            <color indexed="81"/>
            <rFont val="Tahoma"/>
            <family val="2"/>
          </rPr>
          <t>Kaylil Baptiste:</t>
        </r>
        <r>
          <rPr>
            <sz val="9"/>
            <color indexed="81"/>
            <rFont val="Tahoma"/>
            <family val="2"/>
          </rPr>
          <t xml:space="preserve">
6mins fallen bottles inside shuffler </t>
        </r>
      </text>
    </comment>
    <comment ref="Z8" authorId="1" shapeId="0" xr:uid="{955CD828-A718-4CB0-B641-158EFE086FE6}">
      <text>
        <r>
          <rPr>
            <b/>
            <sz val="9"/>
            <color indexed="81"/>
            <rFont val="Tahoma"/>
            <family val="2"/>
          </rPr>
          <t>Michael Julien:</t>
        </r>
        <r>
          <rPr>
            <sz val="9"/>
            <color indexed="81"/>
            <rFont val="Tahoma"/>
            <family val="2"/>
          </rPr>
          <t xml:space="preserve">
5 mins Depalletiser throwing up slow.17mins glue finish on labeler.3mins pasteurizer waiting on pu.10mins san martin tech making adjustment on pasteurizer(pu).</t>
        </r>
      </text>
    </comment>
    <comment ref="I9" authorId="2" shapeId="0" xr:uid="{8409484E-E8A5-459D-BADD-EA4DFDDF26F9}">
      <text>
        <r>
          <rPr>
            <b/>
            <sz val="9"/>
            <color indexed="81"/>
            <rFont val="Tahoma"/>
            <family val="2"/>
          </rPr>
          <t>Micah Noel:</t>
        </r>
        <r>
          <rPr>
            <sz val="9"/>
            <color indexed="81"/>
            <rFont val="Tahoma"/>
            <family val="2"/>
          </rPr>
          <t xml:space="preserve">
filler change over from carib to Vita Malt + midweek clean </t>
        </r>
      </text>
    </comment>
    <comment ref="L9" authorId="2" shapeId="0" xr:uid="{023485BE-A10A-4C0E-9422-63D270AE7561}">
      <text>
        <r>
          <rPr>
            <b/>
            <sz val="9"/>
            <color indexed="81"/>
            <rFont val="Tahoma"/>
            <family val="2"/>
          </rPr>
          <t>Micah Noel:</t>
        </r>
        <r>
          <rPr>
            <sz val="9"/>
            <color indexed="81"/>
            <rFont val="Tahoma"/>
            <family val="2"/>
          </rPr>
          <t xml:space="preserve">
33mins low co2 on filler</t>
        </r>
      </text>
    </comment>
    <comment ref="Q9" authorId="0" shapeId="0" xr:uid="{E4B3C402-60A1-41D3-B67C-1686BBFC477F}">
      <text>
        <r>
          <rPr>
            <b/>
            <sz val="9"/>
            <color indexed="81"/>
            <rFont val="Tahoma"/>
            <family val="2"/>
          </rPr>
          <t>Kaylil Baptiste:</t>
        </r>
        <r>
          <rPr>
            <sz val="9"/>
            <color indexed="81"/>
            <rFont val="Tahoma"/>
            <family val="2"/>
          </rPr>
          <t xml:space="preserve">
7mins adjustment to starwheel</t>
        </r>
      </text>
    </comment>
    <comment ref="R9" authorId="0" shapeId="0" xr:uid="{BD020CC0-3BDD-46C1-B0E7-7681C66ABB67}">
      <text>
        <r>
          <rPr>
            <b/>
            <sz val="9"/>
            <color indexed="81"/>
            <rFont val="Tahoma"/>
            <family val="2"/>
          </rPr>
          <t>Kaylil Baptiste:</t>
        </r>
        <r>
          <rPr>
            <sz val="9"/>
            <color indexed="81"/>
            <rFont val="Tahoma"/>
            <family val="2"/>
          </rPr>
          <t xml:space="preserve">
6mins crowns stuck in chute </t>
        </r>
      </text>
    </comment>
    <comment ref="S9" authorId="0" shapeId="0" xr:uid="{79BB9469-1B03-416D-A96D-8BF60628B639}">
      <text>
        <r>
          <rPr>
            <b/>
            <sz val="9"/>
            <color indexed="81"/>
            <rFont val="Tahoma"/>
            <family val="2"/>
          </rPr>
          <t>Kaylil Baptiste:</t>
        </r>
        <r>
          <rPr>
            <sz val="9"/>
            <color indexed="81"/>
            <rFont val="Tahoma"/>
            <family val="2"/>
          </rPr>
          <t xml:space="preserve">
15mins pasteurizer regulating temperature</t>
        </r>
      </text>
    </comment>
    <comment ref="T9" authorId="0" shapeId="0" xr:uid="{46084142-E04C-4CB1-926E-22303D5BAA66}">
      <text>
        <r>
          <rPr>
            <b/>
            <sz val="9"/>
            <color indexed="81"/>
            <rFont val="Tahoma"/>
            <family val="2"/>
          </rPr>
          <t>Kaylil Baptiste:</t>
        </r>
        <r>
          <rPr>
            <sz val="9"/>
            <color indexed="81"/>
            <rFont val="Tahoma"/>
            <family val="2"/>
          </rPr>
          <t xml:space="preserve">
37mins missing labels, 29mins back label adjustments </t>
        </r>
      </text>
    </comment>
    <comment ref="Z9" authorId="2" shapeId="0" xr:uid="{700506C6-C577-4EAD-8C42-45F10392964A}">
      <text>
        <r>
          <rPr>
            <b/>
            <sz val="9"/>
            <color indexed="81"/>
            <rFont val="Tahoma"/>
            <family val="2"/>
          </rPr>
          <t>Micah Noel:</t>
        </r>
        <r>
          <rPr>
            <sz val="9"/>
            <color indexed="81"/>
            <rFont val="Tahoma"/>
            <family val="2"/>
          </rPr>
          <t xml:space="preserve">
240mins waiting for dry run results Note that first dry run read off scale (Pu monitor malfunction) second result was too low and so a third was done which came out within spec </t>
        </r>
      </text>
    </comment>
    <comment ref="AB9" authorId="2" shapeId="0" xr:uid="{C20EAF30-F363-4B1E-BA27-6284E9E0414E}">
      <text>
        <r>
          <rPr>
            <b/>
            <sz val="9"/>
            <color indexed="81"/>
            <rFont val="Tahoma"/>
            <family val="2"/>
          </rPr>
          <t>Micah Noel:</t>
        </r>
        <r>
          <rPr>
            <sz val="9"/>
            <color indexed="81"/>
            <rFont val="Tahoma"/>
            <family val="2"/>
          </rPr>
          <t xml:space="preserve">
incorrect bottle stuck at EBI starwheel</t>
        </r>
      </text>
    </comment>
    <comment ref="Q10" authorId="0" shapeId="0" xr:uid="{85443B79-A60F-40EB-8115-4CA8FB9DBB4B}">
      <text>
        <r>
          <rPr>
            <b/>
            <sz val="9"/>
            <color indexed="81"/>
            <rFont val="Tahoma"/>
            <family val="2"/>
          </rPr>
          <t>Kaylil Baptiste:</t>
        </r>
        <r>
          <rPr>
            <sz val="9"/>
            <color indexed="81"/>
            <rFont val="Tahoma"/>
            <family val="2"/>
          </rPr>
          <t xml:space="preserve">
26mins test bottle #5 failing, 6mins fallen bottles on EBI starwheel</t>
        </r>
      </text>
    </comment>
    <comment ref="R10" authorId="0" shapeId="0" xr:uid="{22223C41-7C26-47AE-8BEA-574B0F25C30C}">
      <text>
        <r>
          <rPr>
            <b/>
            <sz val="9"/>
            <color indexed="81"/>
            <rFont val="Tahoma"/>
            <family val="2"/>
          </rPr>
          <t>Kaylil Baptiste:</t>
        </r>
        <r>
          <rPr>
            <sz val="9"/>
            <color indexed="81"/>
            <rFont val="Tahoma"/>
            <family val="2"/>
          </rPr>
          <t xml:space="preserve">
8mins crowns stuck in chute </t>
        </r>
      </text>
    </comment>
    <comment ref="S10" authorId="0" shapeId="0" xr:uid="{D81CECDF-E5E8-4D65-BB3E-A2AF9572895A}">
      <text>
        <r>
          <rPr>
            <b/>
            <sz val="9"/>
            <color indexed="81"/>
            <rFont val="Tahoma"/>
            <family val="2"/>
          </rPr>
          <t>Kaylil Baptiste:</t>
        </r>
        <r>
          <rPr>
            <sz val="9"/>
            <color indexed="81"/>
            <rFont val="Tahoma"/>
            <family val="2"/>
          </rPr>
          <t xml:space="preserve">
5mins low temp on pasteurizer</t>
        </r>
      </text>
    </comment>
    <comment ref="T10" authorId="0" shapeId="0" xr:uid="{400C568A-5D13-495A-A3C7-FBB138820126}">
      <text>
        <r>
          <rPr>
            <b/>
            <sz val="9"/>
            <color indexed="81"/>
            <rFont val="Tahoma"/>
            <family val="2"/>
          </rPr>
          <t>Kaylil Baptiste:</t>
        </r>
        <r>
          <rPr>
            <sz val="9"/>
            <color indexed="81"/>
            <rFont val="Tahoma"/>
            <family val="2"/>
          </rPr>
          <t xml:space="preserve">
41mins removing partially labeles bottles from line, 14mins missing labels, 7mins flagging labels</t>
        </r>
      </text>
    </comment>
    <comment ref="Z10" authorId="0" shapeId="0" xr:uid="{85E85044-4E69-4D6E-82B5-835E703438E0}">
      <text>
        <r>
          <rPr>
            <b/>
            <sz val="9"/>
            <color indexed="81"/>
            <rFont val="Tahoma"/>
            <family val="2"/>
          </rPr>
          <t>Kaylil Baptiste:</t>
        </r>
        <r>
          <rPr>
            <sz val="9"/>
            <color indexed="81"/>
            <rFont val="Tahoma"/>
            <family val="2"/>
          </rPr>
          <t xml:space="preserve">
12mins employee unintentionally stopped pasteurizer conveyor,  9mins filler operator taking midnight readings ( change over to a new day)</t>
        </r>
      </text>
    </comment>
    <comment ref="I11" authorId="2" shapeId="0" xr:uid="{AB6E98C7-41B9-482E-A6D9-9AED33B27DDB}">
      <text>
        <r>
          <rPr>
            <b/>
            <sz val="9"/>
            <color indexed="81"/>
            <rFont val="Tahoma"/>
            <family val="2"/>
          </rPr>
          <t>Micah Noel:</t>
        </r>
        <r>
          <rPr>
            <sz val="9"/>
            <color indexed="81"/>
            <rFont val="Tahoma"/>
            <family val="2"/>
          </rPr>
          <t xml:space="preserve">
10mins filler changing from classic to ginger vita malt</t>
        </r>
      </text>
    </comment>
    <comment ref="V11" authorId="0" shapeId="0" xr:uid="{81CC917B-07D5-439D-A4F6-8AD89E3E952B}">
      <text>
        <r>
          <rPr>
            <b/>
            <sz val="9"/>
            <color indexed="81"/>
            <rFont val="Tahoma"/>
            <family val="2"/>
          </rPr>
          <t>Kaylil Baptiste:</t>
        </r>
        <r>
          <rPr>
            <sz val="9"/>
            <color indexed="81"/>
            <rFont val="Tahoma"/>
            <family val="2"/>
          </rPr>
          <t xml:space="preserve">
8mins bottle blocking sensor at labeler infeed</t>
        </r>
      </text>
    </comment>
    <comment ref="Z11" authorId="2" shapeId="0" xr:uid="{12EA577E-FF90-41A1-8C45-9DD5D4B6D5A2}">
      <text>
        <r>
          <rPr>
            <b/>
            <sz val="9"/>
            <color indexed="81"/>
            <rFont val="Tahoma"/>
            <family val="2"/>
          </rPr>
          <t>Micah Noel:</t>
        </r>
        <r>
          <rPr>
            <sz val="9"/>
            <color indexed="81"/>
            <rFont val="Tahoma"/>
            <family val="2"/>
          </rPr>
          <t xml:space="preserve">
41mins creating gap in pasteurizer to separate classic from ginger vita malt,  4mins pasteurizer waiting on pu. </t>
        </r>
      </text>
    </comment>
    <comment ref="AB11" authorId="2" shapeId="0" xr:uid="{B3E605DC-983E-4AB1-8CDE-98A42A977E53}">
      <text>
        <r>
          <rPr>
            <b/>
            <sz val="9"/>
            <color indexed="81"/>
            <rFont val="Tahoma"/>
            <family val="2"/>
          </rPr>
          <t>Micah Noel:</t>
        </r>
        <r>
          <rPr>
            <sz val="9"/>
            <color indexed="81"/>
            <rFont val="Tahoma"/>
            <family val="2"/>
          </rPr>
          <t xml:space="preserve">
5mins waiting for pallet to continue palletizing.
2mins incorrect bottle type stuck in ebi star wheel.</t>
        </r>
      </text>
    </comment>
    <comment ref="I12" authorId="3" shapeId="0" xr:uid="{BC51B177-5C0B-4164-98B4-58FF136AD504}">
      <text>
        <r>
          <rPr>
            <b/>
            <sz val="9"/>
            <color indexed="81"/>
            <rFont val="Tahoma"/>
            <family val="2"/>
          </rPr>
          <t>Tyrell Bartholomew:</t>
        </r>
        <r>
          <rPr>
            <sz val="9"/>
            <color indexed="81"/>
            <rFont val="Tahoma"/>
            <family val="2"/>
          </rPr>
          <t xml:space="preserve">
140mins changing over from vita malt to carib.</t>
        </r>
      </text>
    </comment>
    <comment ref="O12" authorId="0" shapeId="0" xr:uid="{BDEBC94B-A920-4372-9113-33DAD5711986}">
      <text>
        <r>
          <rPr>
            <b/>
            <sz val="9"/>
            <color indexed="81"/>
            <rFont val="Tahoma"/>
            <family val="2"/>
          </rPr>
          <t>Kaylil Baptiste:</t>
        </r>
        <r>
          <rPr>
            <sz val="9"/>
            <color indexed="81"/>
            <rFont val="Tahoma"/>
            <family val="2"/>
          </rPr>
          <t xml:space="preserve">
5mins screen unresponsive on uncaser</t>
        </r>
      </text>
    </comment>
    <comment ref="Q12" authorId="0" shapeId="0" xr:uid="{6533302D-01EB-44F9-ABFB-D0C1D48FBD3F}">
      <text>
        <r>
          <rPr>
            <b/>
            <sz val="9"/>
            <color indexed="81"/>
            <rFont val="Tahoma"/>
            <family val="2"/>
          </rPr>
          <t>Kaylil Baptiste:</t>
        </r>
        <r>
          <rPr>
            <sz val="9"/>
            <color indexed="81"/>
            <rFont val="Tahoma"/>
            <family val="2"/>
          </rPr>
          <t xml:space="preserve">
22mins high EBI rejection, 9mins fallen bottles on OSW</t>
        </r>
      </text>
    </comment>
    <comment ref="S12" authorId="0" shapeId="0" xr:uid="{D67FCCF7-3D95-41C9-9642-50D624CB4C75}">
      <text>
        <r>
          <rPr>
            <b/>
            <sz val="9"/>
            <color indexed="81"/>
            <rFont val="Tahoma"/>
            <family val="2"/>
          </rPr>
          <t>Kaylil Baptiste:</t>
        </r>
        <r>
          <rPr>
            <sz val="9"/>
            <color indexed="81"/>
            <rFont val="Tahoma"/>
            <family val="2"/>
          </rPr>
          <t xml:space="preserve">
60mins waiting on dry run, 24mins low temp on pasteurizer, 11mins sensor malfunction on pasteurizer, 10mins sanmartin technician indicated that there may have been a power drop for which the unit is very sensitive to </t>
        </r>
      </text>
    </comment>
    <comment ref="T12" authorId="0" shapeId="0" xr:uid="{7F538206-BD57-4EF5-B952-63578A75D6A8}">
      <text>
        <r>
          <rPr>
            <b/>
            <sz val="9"/>
            <color indexed="81"/>
            <rFont val="Tahoma"/>
            <family val="2"/>
          </rPr>
          <t>Kaylil Baptiste:</t>
        </r>
        <r>
          <rPr>
            <sz val="9"/>
            <color indexed="81"/>
            <rFont val="Tahoma"/>
            <family val="2"/>
          </rPr>
          <t xml:space="preserve">
10mins magazine adjustments </t>
        </r>
      </text>
    </comment>
    <comment ref="U12" authorId="0" shapeId="0" xr:uid="{B46D2178-79A9-4C91-B277-3912A834EE91}">
      <text>
        <r>
          <rPr>
            <b/>
            <sz val="9"/>
            <color indexed="81"/>
            <rFont val="Tahoma"/>
            <family val="2"/>
          </rPr>
          <t>Kaylil Baptiste:</t>
        </r>
        <r>
          <rPr>
            <sz val="9"/>
            <color indexed="81"/>
            <rFont val="Tahoma"/>
            <family val="2"/>
          </rPr>
          <t xml:space="preserve">
20mins videojet not printing properly</t>
        </r>
      </text>
    </comment>
    <comment ref="V12" authorId="0" shapeId="0" xr:uid="{25EC98A3-DD60-40F0-B687-B645BFF0D3D3}">
      <text>
        <r>
          <rPr>
            <b/>
            <sz val="9"/>
            <color indexed="81"/>
            <rFont val="Tahoma"/>
            <family val="2"/>
          </rPr>
          <t>Kaylil Baptiste:</t>
        </r>
        <r>
          <rPr>
            <sz val="9"/>
            <color indexed="81"/>
            <rFont val="Tahoma"/>
            <family val="2"/>
          </rPr>
          <t xml:space="preserve">
5mins mins fallen bottles inside shuffler </t>
        </r>
      </text>
    </comment>
    <comment ref="Z12" authorId="3" shapeId="0" xr:uid="{B3DFEA5C-6F3A-4132-A6A3-DF09E903BE5E}">
      <text>
        <r>
          <rPr>
            <b/>
            <sz val="9"/>
            <color indexed="81"/>
            <rFont val="Tahoma"/>
            <family val="2"/>
          </rPr>
          <t>Tyrell Bartholomew:</t>
        </r>
        <r>
          <rPr>
            <sz val="9"/>
            <color indexed="81"/>
            <rFont val="Tahoma"/>
            <family val="2"/>
          </rPr>
          <t xml:space="preserve">
 35 mins awaiting Carib dry run results</t>
        </r>
      </text>
    </comment>
    <comment ref="O13" authorId="0" shapeId="0" xr:uid="{33AD7B36-E587-42C9-821A-2DA72B29D0E1}">
      <text>
        <r>
          <rPr>
            <b/>
            <sz val="9"/>
            <color indexed="81"/>
            <rFont val="Tahoma"/>
            <family val="2"/>
          </rPr>
          <t>Kaylil Baptiste:</t>
        </r>
        <r>
          <rPr>
            <sz val="9"/>
            <color indexed="81"/>
            <rFont val="Tahoma"/>
            <family val="2"/>
          </rPr>
          <t xml:space="preserve">
8mins uncaser head hitting crates, 6mins uncaser malfunction</t>
        </r>
      </text>
    </comment>
    <comment ref="P13" authorId="0" shapeId="0" xr:uid="{40536231-6F2D-4D78-B335-7BB1C5846E08}">
      <text>
        <r>
          <rPr>
            <b/>
            <sz val="9"/>
            <color indexed="81"/>
            <rFont val="Tahoma"/>
            <family val="2"/>
          </rPr>
          <t>Kaylil Baptiste:</t>
        </r>
        <r>
          <rPr>
            <sz val="9"/>
            <color indexed="81"/>
            <rFont val="Tahoma"/>
            <family val="2"/>
          </rPr>
          <t xml:space="preserve">
8mins fallen bottles at washer infeed</t>
        </r>
      </text>
    </comment>
    <comment ref="V13" authorId="0" shapeId="0" xr:uid="{78E35D86-8AD9-4987-B2A9-7A2C1CEEB996}">
      <text>
        <r>
          <rPr>
            <b/>
            <sz val="9"/>
            <color indexed="81"/>
            <rFont val="Tahoma"/>
            <family val="2"/>
          </rPr>
          <t>Kaylil Baptiste:</t>
        </r>
        <r>
          <rPr>
            <sz val="9"/>
            <color indexed="81"/>
            <rFont val="Tahoma"/>
            <family val="2"/>
          </rPr>
          <t xml:space="preserve">
13mins mins fallen bottles inside shuffler </t>
        </r>
      </text>
    </comment>
    <comment ref="Z13" authorId="1" shapeId="0" xr:uid="{CA9218C7-4D52-4B62-AC7C-F5F09068315D}">
      <text>
        <r>
          <rPr>
            <b/>
            <sz val="9"/>
            <color indexed="81"/>
            <rFont val="Tahoma"/>
            <family val="2"/>
          </rPr>
          <t>Michael Julien:</t>
        </r>
        <r>
          <rPr>
            <sz val="9"/>
            <color indexed="81"/>
            <rFont val="Tahoma"/>
            <family val="2"/>
          </rPr>
          <t xml:space="preserve">
15mins operator stop to take midnight reading, 5mins palletiser got cut</t>
        </r>
      </text>
    </comment>
    <comment ref="I14" authorId="3" shapeId="0" xr:uid="{D0248B57-94EB-48E6-B937-7D46253460FC}">
      <text>
        <r>
          <rPr>
            <b/>
            <sz val="9"/>
            <color indexed="81"/>
            <rFont val="Tahoma"/>
            <family val="2"/>
          </rPr>
          <t>Tyrell Bartholomew:</t>
        </r>
        <r>
          <rPr>
            <sz val="9"/>
            <color indexed="81"/>
            <rFont val="Tahoma"/>
            <family val="2"/>
          </rPr>
          <t xml:space="preserve">
14mins changeover from carib to stag.</t>
        </r>
      </text>
    </comment>
    <comment ref="J14" authorId="2" shapeId="0" xr:uid="{F42CF04E-8ECB-4158-98D5-C0AFA51B6F87}">
      <text>
        <r>
          <rPr>
            <b/>
            <sz val="9"/>
            <color indexed="81"/>
            <rFont val="Tahoma"/>
            <family val="2"/>
          </rPr>
          <t>Micah Noel:</t>
        </r>
        <r>
          <rPr>
            <sz val="9"/>
            <color indexed="81"/>
            <rFont val="Tahoma"/>
            <family val="2"/>
          </rPr>
          <t xml:space="preserve">
low filler bowl level</t>
        </r>
      </text>
    </comment>
    <comment ref="P14" authorId="0" shapeId="0" xr:uid="{48A5EBF0-ED3F-4AB9-A863-29B4DE8AD768}">
      <text>
        <r>
          <rPr>
            <b/>
            <sz val="9"/>
            <color indexed="81"/>
            <rFont val="Tahoma"/>
            <family val="2"/>
          </rPr>
          <t>Kaylil Baptiste:</t>
        </r>
        <r>
          <rPr>
            <sz val="9"/>
            <color indexed="81"/>
            <rFont val="Tahoma"/>
            <family val="2"/>
          </rPr>
          <t xml:space="preserve">
7mins fallen bottles at washer infeed, 5mins high rejection due to labels</t>
        </r>
      </text>
    </comment>
    <comment ref="Q14" authorId="0" shapeId="0" xr:uid="{9C5577AF-1F0F-454C-A501-A78DF321E07D}">
      <text>
        <r>
          <rPr>
            <b/>
            <sz val="9"/>
            <color indexed="81"/>
            <rFont val="Tahoma"/>
            <family val="2"/>
          </rPr>
          <t>Kaylil Baptiste:</t>
        </r>
        <r>
          <rPr>
            <sz val="9"/>
            <color indexed="81"/>
            <rFont val="Tahoma"/>
            <family val="2"/>
          </rPr>
          <t xml:space="preserve">
5mins fallen bottles on OSW </t>
        </r>
      </text>
    </comment>
    <comment ref="S14" authorId="0" shapeId="0" xr:uid="{76633D82-59BF-452E-A8A1-C04713F05B0E}">
      <text>
        <r>
          <rPr>
            <b/>
            <sz val="9"/>
            <color indexed="81"/>
            <rFont val="Tahoma"/>
            <family val="2"/>
          </rPr>
          <t>Kaylil Baptiste:</t>
        </r>
        <r>
          <rPr>
            <sz val="9"/>
            <color indexed="81"/>
            <rFont val="Tahoma"/>
            <family val="2"/>
          </rPr>
          <t xml:space="preserve">
64mins waiting on dry run</t>
        </r>
      </text>
    </comment>
    <comment ref="T14" authorId="0" shapeId="0" xr:uid="{C5FDA489-59A0-42C7-A1CC-CBED495CD7D7}">
      <text>
        <r>
          <rPr>
            <b/>
            <sz val="9"/>
            <color indexed="81"/>
            <rFont val="Tahoma"/>
            <family val="2"/>
          </rPr>
          <t>Kaylil Baptiste:</t>
        </r>
        <r>
          <rPr>
            <sz val="9"/>
            <color indexed="81"/>
            <rFont val="Tahoma"/>
            <family val="2"/>
          </rPr>
          <t xml:space="preserve">
14mins missing labels, 7mins making adjustment on magazine</t>
        </r>
      </text>
    </comment>
    <comment ref="V14" authorId="0" shapeId="0" xr:uid="{8FF614D2-E187-47D0-B45B-6F852578B57D}">
      <text>
        <r>
          <rPr>
            <b/>
            <sz val="9"/>
            <color indexed="81"/>
            <rFont val="Tahoma"/>
            <family val="2"/>
          </rPr>
          <t>Kaylil Baptiste:</t>
        </r>
        <r>
          <rPr>
            <sz val="9"/>
            <color indexed="81"/>
            <rFont val="Tahoma"/>
            <family val="2"/>
          </rPr>
          <t xml:space="preserve">
24mins fallen bottles inside shuffler </t>
        </r>
      </text>
    </comment>
    <comment ref="Z14" authorId="3" shapeId="0" xr:uid="{3940A979-BC11-46CD-9383-B26161A6D423}">
      <text>
        <r>
          <rPr>
            <b/>
            <sz val="9"/>
            <color indexed="81"/>
            <rFont val="Tahoma"/>
            <family val="2"/>
          </rPr>
          <t>Tyrell Bartholomew:</t>
        </r>
        <r>
          <rPr>
            <sz val="9"/>
            <color indexed="81"/>
            <rFont val="Tahoma"/>
            <family val="2"/>
          </rPr>
          <t xml:space="preserve">
10 mins waiting depalletiser.3 mins palletizer packing too slow for the increased line efficiency</t>
        </r>
      </text>
    </comment>
    <comment ref="L15" authorId="1" shapeId="0" xr:uid="{D44A6006-856D-4692-B7DE-A80B86D6542C}">
      <text>
        <r>
          <rPr>
            <b/>
            <sz val="9"/>
            <color indexed="81"/>
            <rFont val="Tahoma"/>
            <family val="2"/>
          </rPr>
          <t>Michael Julien:</t>
        </r>
        <r>
          <rPr>
            <sz val="9"/>
            <color indexed="81"/>
            <rFont val="Tahoma"/>
            <family val="2"/>
          </rPr>
          <t xml:space="preserve">
low co2 on bbt</t>
        </r>
      </text>
    </comment>
    <comment ref="P15" authorId="0" shapeId="0" xr:uid="{C1F60BE6-591F-4F44-9B25-2D680C4B43C0}">
      <text>
        <r>
          <rPr>
            <b/>
            <sz val="9"/>
            <color indexed="81"/>
            <rFont val="Tahoma"/>
            <family val="2"/>
          </rPr>
          <t>Kaylil Baptiste:</t>
        </r>
        <r>
          <rPr>
            <sz val="9"/>
            <color indexed="81"/>
            <rFont val="Tahoma"/>
            <family val="2"/>
          </rPr>
          <t xml:space="preserve">
15mins fallen bottles on washer infeed, 6mins fallen bottles on washer discharge, 6mins high rejection due to labels </t>
        </r>
      </text>
    </comment>
    <comment ref="Q15" authorId="0" shapeId="0" xr:uid="{31C7DA5B-08DF-43DA-B9AD-833589F526CE}">
      <text>
        <r>
          <rPr>
            <b/>
            <sz val="9"/>
            <color indexed="81"/>
            <rFont val="Tahoma"/>
            <family val="2"/>
          </rPr>
          <t>Kaylil Baptiste:</t>
        </r>
        <r>
          <rPr>
            <sz val="9"/>
            <color indexed="81"/>
            <rFont val="Tahoma"/>
            <family val="2"/>
          </rPr>
          <t xml:space="preserve">
8mins parameter adjustment on EBI </t>
        </r>
      </text>
    </comment>
    <comment ref="T15" authorId="0" shapeId="0" xr:uid="{699EEBFC-B580-4C23-91A3-8D85440640FC}">
      <text>
        <r>
          <rPr>
            <b/>
            <sz val="9"/>
            <color indexed="81"/>
            <rFont val="Tahoma"/>
            <family val="2"/>
          </rPr>
          <t>Kaylil Baptiste:</t>
        </r>
        <r>
          <rPr>
            <sz val="9"/>
            <color indexed="81"/>
            <rFont val="Tahoma"/>
            <family val="2"/>
          </rPr>
          <t xml:space="preserve">
160mins missing labels, 13mins flagging labels</t>
        </r>
      </text>
    </comment>
    <comment ref="U15" authorId="0" shapeId="0" xr:uid="{F7381DAD-E3D6-45CD-9A54-AA4DA8216162}">
      <text>
        <r>
          <rPr>
            <b/>
            <sz val="9"/>
            <color indexed="81"/>
            <rFont val="Tahoma"/>
            <family val="2"/>
          </rPr>
          <t>Kaylil Baptiste:</t>
        </r>
        <r>
          <rPr>
            <sz val="9"/>
            <color indexed="81"/>
            <rFont val="Tahoma"/>
            <family val="2"/>
          </rPr>
          <t xml:space="preserve">
242mins videojet not printing (both units down)</t>
        </r>
      </text>
    </comment>
    <comment ref="V15" authorId="0" shapeId="0" xr:uid="{BCE09AFD-017B-429B-B4E2-9E5A61F7F18C}">
      <text>
        <r>
          <rPr>
            <b/>
            <sz val="9"/>
            <color indexed="81"/>
            <rFont val="Tahoma"/>
            <family val="2"/>
          </rPr>
          <t>Kaylil Baptiste:</t>
        </r>
        <r>
          <rPr>
            <sz val="9"/>
            <color indexed="81"/>
            <rFont val="Tahoma"/>
            <family val="2"/>
          </rPr>
          <t xml:space="preserve">
123mins pu monitor jam at pastuerizer discharge leading to the conveyor belt derail from track, 8mins fallen bottles inside shuffler, 7 mins labeler conveyor is runninig slow(line back up)</t>
        </r>
      </text>
    </comment>
    <comment ref="Y15" authorId="0" shapeId="0" xr:uid="{E8E84168-2038-4065-9ED1-A75100E2A144}">
      <text>
        <r>
          <rPr>
            <b/>
            <sz val="9"/>
            <color indexed="81"/>
            <rFont val="Tahoma"/>
            <family val="2"/>
          </rPr>
          <t>Kaylil Baptiste:</t>
        </r>
        <r>
          <rPr>
            <sz val="9"/>
            <color indexed="81"/>
            <rFont val="Tahoma"/>
            <family val="2"/>
          </rPr>
          <t xml:space="preserve">
13 mins crate rinser pump tripp off, 7mins crate rinser pump leaking heavily -makeshift being implemented</t>
        </r>
      </text>
    </comment>
    <comment ref="Z15" authorId="2" shapeId="0" xr:uid="{938E07B4-B794-47A2-8707-804412078264}">
      <text>
        <r>
          <rPr>
            <b/>
            <sz val="9"/>
            <color indexed="81"/>
            <rFont val="Tahoma"/>
            <family val="2"/>
          </rPr>
          <t>Micah Noel:</t>
        </r>
        <r>
          <rPr>
            <sz val="9"/>
            <color indexed="81"/>
            <rFont val="Tahoma"/>
            <family val="2"/>
          </rPr>
          <t xml:space="preserve">
5mins PU monitor jammed at pasteurizer discharge. 7mins pasteurizer waiting on PU, 5mins palletiser packing slow, 24mins waiting on PU monitor results</t>
        </r>
      </text>
    </comment>
    <comment ref="P16" authorId="0" shapeId="0" xr:uid="{6B610256-D951-483D-9FE7-B2CDFA33711C}">
      <text>
        <r>
          <rPr>
            <b/>
            <sz val="9"/>
            <color indexed="81"/>
            <rFont val="Tahoma"/>
            <family val="2"/>
          </rPr>
          <t>Kaylil Baptiste:</t>
        </r>
        <r>
          <rPr>
            <sz val="9"/>
            <color indexed="81"/>
            <rFont val="Tahoma"/>
            <family val="2"/>
          </rPr>
          <t xml:space="preserve">
13mins fallen bottles on washer discharge</t>
        </r>
      </text>
    </comment>
    <comment ref="R16" authorId="0" shapeId="0" xr:uid="{4EBFA6E7-5F0B-4318-86EA-3A93E7CFFBBF}">
      <text>
        <r>
          <rPr>
            <b/>
            <sz val="9"/>
            <color indexed="81"/>
            <rFont val="Tahoma"/>
            <family val="2"/>
          </rPr>
          <t>Kaylil Baptiste:</t>
        </r>
        <r>
          <rPr>
            <sz val="9"/>
            <color indexed="81"/>
            <rFont val="Tahoma"/>
            <family val="2"/>
          </rPr>
          <t xml:space="preserve">
10mins crowner stuck in chute</t>
        </r>
      </text>
    </comment>
    <comment ref="S16" authorId="0" shapeId="0" xr:uid="{3A466B9E-B328-446B-8E93-7C22328836E3}">
      <text>
        <r>
          <rPr>
            <b/>
            <sz val="9"/>
            <color indexed="81"/>
            <rFont val="Tahoma"/>
            <family val="2"/>
          </rPr>
          <t>Kaylil Baptiste:</t>
        </r>
        <r>
          <rPr>
            <sz val="9"/>
            <color indexed="81"/>
            <rFont val="Tahoma"/>
            <family val="2"/>
          </rPr>
          <t xml:space="preserve">
134mins low temps on pasteurize, 58mins pasteurizer pumps shutting down </t>
        </r>
      </text>
    </comment>
    <comment ref="U16" authorId="0" shapeId="0" xr:uid="{FA340C63-42FD-4AC9-BD52-B95B83065E14}">
      <text>
        <r>
          <rPr>
            <b/>
            <sz val="9"/>
            <color indexed="81"/>
            <rFont val="Tahoma"/>
            <family val="2"/>
          </rPr>
          <t>Kaylil Baptiste:</t>
        </r>
        <r>
          <rPr>
            <sz val="9"/>
            <color indexed="81"/>
            <rFont val="Tahoma"/>
            <family val="2"/>
          </rPr>
          <t xml:space="preserve">
20mins videojet not printitng properly </t>
        </r>
      </text>
    </comment>
    <comment ref="V16" authorId="0" shapeId="0" xr:uid="{1EEB6F43-3455-44A6-8262-4247DCFA9DE4}">
      <text>
        <r>
          <rPr>
            <b/>
            <sz val="9"/>
            <color indexed="81"/>
            <rFont val="Tahoma"/>
            <family val="2"/>
          </rPr>
          <t>Kaylil Baptiste:</t>
        </r>
        <r>
          <rPr>
            <sz val="9"/>
            <color indexed="81"/>
            <rFont val="Tahoma"/>
            <family val="2"/>
          </rPr>
          <t xml:space="preserve">
11mins fallen bottle stuck on washer discharge #2 conveyor, 8mins fallen bottles inside shuffler, 6mins derailed pasteurizer discharge conveyor</t>
        </r>
      </text>
    </comment>
    <comment ref="AB16" authorId="2" shapeId="0" xr:uid="{61517502-AE83-465B-BD3C-E452225B94E7}">
      <text>
        <r>
          <rPr>
            <b/>
            <sz val="9"/>
            <color indexed="81"/>
            <rFont val="Tahoma"/>
            <family val="2"/>
          </rPr>
          <t>Micah Noel:</t>
        </r>
        <r>
          <rPr>
            <sz val="9"/>
            <color indexed="81"/>
            <rFont val="Tahoma"/>
            <family val="2"/>
          </rPr>
          <t xml:space="preserve">
palletizer waiting for pallets </t>
        </r>
      </text>
    </comment>
    <comment ref="I17" authorId="0" shapeId="0" xr:uid="{E4196264-59CF-40C7-AC39-52473FF7CF9A}">
      <text>
        <r>
          <rPr>
            <b/>
            <sz val="9"/>
            <color indexed="81"/>
            <rFont val="Tahoma"/>
            <family val="2"/>
          </rPr>
          <t>Kaylil Baptiste:</t>
        </r>
        <r>
          <rPr>
            <sz val="9"/>
            <color indexed="81"/>
            <rFont val="Tahoma"/>
            <family val="2"/>
          </rPr>
          <t xml:space="preserve">
15mins product change over </t>
        </r>
      </text>
    </comment>
    <comment ref="P17" authorId="0" shapeId="0" xr:uid="{94FB547F-8D21-4737-BE7B-ABE3FFFEA1C5}">
      <text>
        <r>
          <rPr>
            <b/>
            <sz val="9"/>
            <color indexed="81"/>
            <rFont val="Tahoma"/>
            <family val="2"/>
          </rPr>
          <t>Kaylil Baptiste:</t>
        </r>
        <r>
          <rPr>
            <sz val="9"/>
            <color indexed="81"/>
            <rFont val="Tahoma"/>
            <family val="2"/>
          </rPr>
          <t xml:space="preserve">
12mins fallen bottles on washer infeed</t>
        </r>
      </text>
    </comment>
    <comment ref="Q17" authorId="0" shapeId="0" xr:uid="{6BBC42E6-9E3D-4411-AFC9-9BE04942FB45}">
      <text>
        <r>
          <rPr>
            <b/>
            <sz val="9"/>
            <color indexed="81"/>
            <rFont val="Tahoma"/>
            <family val="2"/>
          </rPr>
          <t>Kaylil Baptiste:</t>
        </r>
        <r>
          <rPr>
            <sz val="9"/>
            <color indexed="81"/>
            <rFont val="Tahoma"/>
            <family val="2"/>
          </rPr>
          <t xml:space="preserve">
11mins high EBI rejection</t>
        </r>
      </text>
    </comment>
    <comment ref="S17" authorId="0" shapeId="0" xr:uid="{9435BF84-4618-4B16-A8BE-4A414D8B13D8}">
      <text>
        <r>
          <rPr>
            <b/>
            <sz val="9"/>
            <color indexed="81"/>
            <rFont val="Tahoma"/>
            <family val="2"/>
          </rPr>
          <t>Kaylil Baptiste:</t>
        </r>
        <r>
          <rPr>
            <sz val="9"/>
            <color indexed="81"/>
            <rFont val="Tahoma"/>
            <family val="2"/>
          </rPr>
          <t xml:space="preserve">
345mins dry run testing for starmalt and ginseng</t>
        </r>
      </text>
    </comment>
    <comment ref="Z17" authorId="3" shapeId="0" xr:uid="{EB78640D-19ED-41AC-8C73-FA0FB8452B7E}">
      <text>
        <r>
          <rPr>
            <b/>
            <sz val="9"/>
            <color indexed="81"/>
            <rFont val="Tahoma"/>
            <family val="2"/>
          </rPr>
          <t>Tyrell Bartholomew:</t>
        </r>
        <r>
          <rPr>
            <sz val="9"/>
            <color indexed="81"/>
            <rFont val="Tahoma"/>
            <family val="2"/>
          </rPr>
          <t xml:space="preserve">
360mins pastuerizer recipe trials.</t>
        </r>
      </text>
    </comment>
    <comment ref="AB17" authorId="3" shapeId="0" xr:uid="{8FEBA8FC-6E65-4BD6-8665-181EDB03B81A}">
      <text>
        <r>
          <rPr>
            <b/>
            <sz val="9"/>
            <color indexed="81"/>
            <rFont val="Tahoma"/>
            <family val="2"/>
          </rPr>
          <t>Tyrell Bartholomew:</t>
        </r>
        <r>
          <rPr>
            <sz val="9"/>
            <color indexed="81"/>
            <rFont val="Tahoma"/>
            <family val="2"/>
          </rPr>
          <t xml:space="preserve">
15mins space/gap in washer due to waiting on bottles from forklift.</t>
        </r>
      </text>
    </comment>
    <comment ref="J18" authorId="2" shapeId="0" xr:uid="{57A00561-3497-4D6A-AF6A-4E50151EA834}">
      <text>
        <r>
          <rPr>
            <b/>
            <sz val="9"/>
            <color indexed="81"/>
            <rFont val="Tahoma"/>
            <family val="2"/>
          </rPr>
          <t>Micah Noel:</t>
        </r>
        <r>
          <rPr>
            <sz val="9"/>
            <color indexed="81"/>
            <rFont val="Tahoma"/>
            <family val="2"/>
          </rPr>
          <t xml:space="preserve">
9 mins low BBT pressure </t>
        </r>
      </text>
    </comment>
    <comment ref="P18" authorId="0" shapeId="0" xr:uid="{A52E14C6-10F5-43A2-83A5-A34D493B8F1D}">
      <text>
        <r>
          <rPr>
            <b/>
            <sz val="9"/>
            <color indexed="81"/>
            <rFont val="Tahoma"/>
            <family val="2"/>
          </rPr>
          <t>Kaylil Baptiste:</t>
        </r>
        <r>
          <rPr>
            <sz val="9"/>
            <color indexed="81"/>
            <rFont val="Tahoma"/>
            <family val="2"/>
          </rPr>
          <t xml:space="preserve">
32mins fallen bottles on washer discharge</t>
        </r>
      </text>
    </comment>
    <comment ref="Q18" authorId="0" shapeId="0" xr:uid="{91831AE8-E3D0-435A-AC1C-4214D57CAF17}">
      <text>
        <r>
          <rPr>
            <b/>
            <sz val="9"/>
            <color indexed="81"/>
            <rFont val="Tahoma"/>
            <family val="2"/>
          </rPr>
          <t>Kaylil Baptiste:</t>
        </r>
        <r>
          <rPr>
            <sz val="9"/>
            <color indexed="81"/>
            <rFont val="Tahoma"/>
            <family val="2"/>
          </rPr>
          <t xml:space="preserve">
5mins high EBI rejection</t>
        </r>
      </text>
    </comment>
    <comment ref="U18" authorId="0" shapeId="0" xr:uid="{A3B7CE28-4407-43C4-9A1A-92799129F620}">
      <text>
        <r>
          <rPr>
            <b/>
            <sz val="9"/>
            <color indexed="81"/>
            <rFont val="Tahoma"/>
            <family val="2"/>
          </rPr>
          <t>Kaylil Baptiste:</t>
        </r>
        <r>
          <rPr>
            <sz val="9"/>
            <color indexed="81"/>
            <rFont val="Tahoma"/>
            <family val="2"/>
          </rPr>
          <t xml:space="preserve">
100mins videojet not printing</t>
        </r>
      </text>
    </comment>
    <comment ref="V18" authorId="0" shapeId="0" xr:uid="{91C43624-91D7-4B08-8F96-9C12174C5450}">
      <text>
        <r>
          <rPr>
            <b/>
            <sz val="9"/>
            <color indexed="81"/>
            <rFont val="Tahoma"/>
            <family val="2"/>
          </rPr>
          <t>Kaylil Baptiste:</t>
        </r>
        <r>
          <rPr>
            <sz val="9"/>
            <color indexed="81"/>
            <rFont val="Tahoma"/>
            <family val="2"/>
          </rPr>
          <t xml:space="preserve">
17mins fallen bottles inside shuffler, 10mins crate infeed conveyor cut off</t>
        </r>
      </text>
    </comment>
    <comment ref="Z18" authorId="2" shapeId="0" xr:uid="{C841A10A-F2BA-4428-A538-B9DCC79870EF}">
      <text>
        <r>
          <rPr>
            <b/>
            <sz val="9"/>
            <color indexed="81"/>
            <rFont val="Tahoma"/>
            <family val="2"/>
          </rPr>
          <t>Micah Noel:</t>
        </r>
        <r>
          <rPr>
            <sz val="9"/>
            <color indexed="81"/>
            <rFont val="Tahoma"/>
            <family val="2"/>
          </rPr>
          <t xml:space="preserve">
5mins changing over to a new day, 212mins waiting for product to be annalyzed</t>
        </r>
      </text>
    </comment>
    <comment ref="H19" authorId="0" shapeId="0" xr:uid="{85F99319-7F31-4A77-8452-7B0335D89B93}">
      <text>
        <r>
          <rPr>
            <b/>
            <sz val="9"/>
            <color indexed="81"/>
            <rFont val="Tahoma"/>
            <family val="2"/>
          </rPr>
          <t>Kaylil Baptiste:</t>
        </r>
        <r>
          <rPr>
            <sz val="9"/>
            <color indexed="81"/>
            <rFont val="Tahoma"/>
            <family val="2"/>
          </rPr>
          <t xml:space="preserve">
11 mins waiting on crowns</t>
        </r>
      </text>
    </comment>
    <comment ref="I19" authorId="1" shapeId="0" xr:uid="{62DBBD20-E8E4-4FF3-A268-0E2969D17085}">
      <text>
        <r>
          <rPr>
            <b/>
            <sz val="9"/>
            <color indexed="81"/>
            <rFont val="Tahoma"/>
            <family val="2"/>
          </rPr>
          <t>Michael Julien:</t>
        </r>
        <r>
          <rPr>
            <sz val="9"/>
            <color indexed="81"/>
            <rFont val="Tahoma"/>
            <family val="2"/>
          </rPr>
          <t xml:space="preserve">
carib to shandy lime</t>
        </r>
      </text>
    </comment>
    <comment ref="Q19" authorId="0" shapeId="0" xr:uid="{2091EF67-8152-4E7B-BCFD-BF52E17DADED}">
      <text>
        <r>
          <rPr>
            <b/>
            <sz val="9"/>
            <color indexed="81"/>
            <rFont val="Tahoma"/>
            <family val="2"/>
          </rPr>
          <t>Kaylil Baptiste:</t>
        </r>
        <r>
          <rPr>
            <sz val="9"/>
            <color indexed="81"/>
            <rFont val="Tahoma"/>
            <family val="2"/>
          </rPr>
          <t xml:space="preserve">
26mins parameter adjustment</t>
        </r>
      </text>
    </comment>
    <comment ref="Z19" authorId="1" shapeId="0" xr:uid="{1021CD8B-D9B2-40DF-B13B-97C72E3DB302}">
      <text>
        <r>
          <rPr>
            <b/>
            <sz val="9"/>
            <color indexed="81"/>
            <rFont val="Tahoma"/>
            <family val="2"/>
          </rPr>
          <t>Michael Julien:</t>
        </r>
        <r>
          <rPr>
            <sz val="9"/>
            <color indexed="81"/>
            <rFont val="Tahoma"/>
            <family val="2"/>
          </rPr>
          <t xml:space="preserve">
15 mins picking up excess bottles from line</t>
        </r>
      </text>
    </comment>
    <comment ref="I20" authorId="3" shapeId="0" xr:uid="{4F1B513F-427C-497F-B8C5-515B34C058FA}">
      <text>
        <r>
          <rPr>
            <b/>
            <sz val="9"/>
            <color indexed="81"/>
            <rFont val="Tahoma"/>
            <family val="2"/>
          </rPr>
          <t>Tyrell Bartholomew:</t>
        </r>
        <r>
          <rPr>
            <sz val="9"/>
            <color indexed="81"/>
            <rFont val="Tahoma"/>
            <family val="2"/>
          </rPr>
          <t xml:space="preserve">
47mins labeler and packer changing over( packer from crate to boxes.)</t>
        </r>
      </text>
    </comment>
    <comment ref="I21" authorId="3" shapeId="0" xr:uid="{1F5296D8-81E7-490E-BE1B-6210CD2A6C3C}">
      <text>
        <r>
          <rPr>
            <b/>
            <sz val="9"/>
            <color indexed="81"/>
            <rFont val="Tahoma"/>
            <family val="2"/>
          </rPr>
          <t>Tyrell Bartholomew:</t>
        </r>
        <r>
          <rPr>
            <sz val="9"/>
            <color indexed="81"/>
            <rFont val="Tahoma"/>
            <family val="2"/>
          </rPr>
          <t xml:space="preserve">
20mins change over from shandy lime to ginger on filler. 2mins change over on labeler</t>
        </r>
      </text>
    </comment>
    <comment ref="V21" authorId="0" shapeId="0" xr:uid="{821C9B12-1929-461E-9C48-1649DBFA3E13}">
      <text>
        <r>
          <rPr>
            <b/>
            <sz val="9"/>
            <color indexed="81"/>
            <rFont val="Tahoma"/>
            <family val="2"/>
          </rPr>
          <t>Kaylil Baptiste:</t>
        </r>
        <r>
          <rPr>
            <sz val="9"/>
            <color indexed="81"/>
            <rFont val="Tahoma"/>
            <family val="2"/>
          </rPr>
          <t xml:space="preserve">
6mins maintenance replacing rollers on packer discharge</t>
        </r>
      </text>
    </comment>
    <comment ref="Z21" authorId="3" shapeId="0" xr:uid="{E270531E-0959-4671-92EB-DA1B146DB15D}">
      <text>
        <r>
          <rPr>
            <b/>
            <sz val="9"/>
            <color indexed="81"/>
            <rFont val="Tahoma"/>
            <family val="2"/>
          </rPr>
          <t>Tyrell Bartholomew:</t>
        </r>
        <r>
          <rPr>
            <sz val="9"/>
            <color indexed="81"/>
            <rFont val="Tahoma"/>
            <family val="2"/>
          </rPr>
          <t xml:space="preserve">
27mins stop to create a space in the pasteurizer.(line running slow) 6mins waiting on shandy lime to run out on pasteurizer dicharge.</t>
        </r>
      </text>
    </comment>
    <comment ref="T22" authorId="0" shapeId="0" xr:uid="{C7F0A8A6-AE29-4820-91A6-CBE861F83CDA}">
      <text>
        <r>
          <rPr>
            <b/>
            <sz val="9"/>
            <color indexed="81"/>
            <rFont val="Tahoma"/>
            <family val="2"/>
          </rPr>
          <t>Kaylil Baptiste:</t>
        </r>
        <r>
          <rPr>
            <sz val="9"/>
            <color indexed="81"/>
            <rFont val="Tahoma"/>
            <family val="2"/>
          </rPr>
          <t xml:space="preserve">
8mins flagging labels</t>
        </r>
      </text>
    </comment>
    <comment ref="X22" authorId="0" shapeId="0" xr:uid="{2449D82F-AD6F-4150-B04C-74C27B5238BC}">
      <text>
        <r>
          <rPr>
            <b/>
            <sz val="9"/>
            <color indexed="81"/>
            <rFont val="Tahoma"/>
            <family val="2"/>
          </rPr>
          <t>Kaylil Baptiste:</t>
        </r>
        <r>
          <rPr>
            <sz val="9"/>
            <color indexed="81"/>
            <rFont val="Tahoma"/>
            <family val="2"/>
          </rPr>
          <t xml:space="preserve">
148mins communication fault between the machine and the discharge conveyor</t>
        </r>
      </text>
    </comment>
    <comment ref="I23" authorId="0" shapeId="0" xr:uid="{3BCAE6CA-0041-41A5-A67B-697BB1202247}">
      <text>
        <r>
          <rPr>
            <b/>
            <sz val="9"/>
            <color indexed="81"/>
            <rFont val="Tahoma"/>
            <family val="2"/>
          </rPr>
          <t>Kaylil Baptiste:</t>
        </r>
        <r>
          <rPr>
            <sz val="9"/>
            <color indexed="81"/>
            <rFont val="Tahoma"/>
            <family val="2"/>
          </rPr>
          <t xml:space="preserve">
47 mins packer change over from carton to crates</t>
        </r>
      </text>
    </comment>
    <comment ref="P23" authorId="0" shapeId="0" xr:uid="{89E1A979-2422-45B5-8431-A8B825CA3E11}">
      <text>
        <r>
          <rPr>
            <b/>
            <sz val="9"/>
            <color indexed="81"/>
            <rFont val="Tahoma"/>
            <family val="2"/>
          </rPr>
          <t>Kaylil Baptiste:</t>
        </r>
        <r>
          <rPr>
            <sz val="9"/>
            <color indexed="81"/>
            <rFont val="Tahoma"/>
            <family val="2"/>
          </rPr>
          <t xml:space="preserve">
14mins high rejction due to labels, 5mins fallen bottles on washer infeed</t>
        </r>
      </text>
    </comment>
    <comment ref="Q23" authorId="0" shapeId="0" xr:uid="{74FEDB2F-65C6-4452-A2DD-F0FA4EB90704}">
      <text>
        <r>
          <rPr>
            <b/>
            <sz val="9"/>
            <color indexed="81"/>
            <rFont val="Tahoma"/>
            <family val="2"/>
          </rPr>
          <t>Kaylil Baptiste:</t>
        </r>
        <r>
          <rPr>
            <sz val="9"/>
            <color indexed="81"/>
            <rFont val="Tahoma"/>
            <family val="2"/>
          </rPr>
          <t xml:space="preserve">
30mins high EBI rejection</t>
        </r>
      </text>
    </comment>
    <comment ref="R23" authorId="0" shapeId="0" xr:uid="{4566D362-5FBD-4F5B-A7D9-29A6755B3390}">
      <text>
        <r>
          <rPr>
            <b/>
            <sz val="9"/>
            <color indexed="81"/>
            <rFont val="Tahoma"/>
            <family val="2"/>
          </rPr>
          <t>Kaylil Baptiste:</t>
        </r>
        <r>
          <rPr>
            <sz val="9"/>
            <color indexed="81"/>
            <rFont val="Tahoma"/>
            <family val="2"/>
          </rPr>
          <t xml:space="preserve">
7mins crowns sticking at transfer plate, 6mins crowner stuck in chute</t>
        </r>
      </text>
    </comment>
    <comment ref="V23" authorId="0" shapeId="0" xr:uid="{77F86CF6-E80D-4F8F-AF77-E7F68A1ECF5B}">
      <text>
        <r>
          <rPr>
            <b/>
            <sz val="9"/>
            <color indexed="81"/>
            <rFont val="Tahoma"/>
            <family val="2"/>
          </rPr>
          <t>Kaylil Baptiste:</t>
        </r>
        <r>
          <rPr>
            <sz val="9"/>
            <color indexed="81"/>
            <rFont val="Tahoma"/>
            <family val="2"/>
          </rPr>
          <t xml:space="preserve">
12mins fallen bottles inside shuffler</t>
        </r>
      </text>
    </comment>
    <comment ref="X23" authorId="0" shapeId="0" xr:uid="{3829B9E6-EF3D-45D2-9288-23A1709F8F98}">
      <text>
        <r>
          <rPr>
            <b/>
            <sz val="9"/>
            <color indexed="81"/>
            <rFont val="Tahoma"/>
            <family val="2"/>
          </rPr>
          <t>Kaylil Baptiste:</t>
        </r>
        <r>
          <rPr>
            <sz val="9"/>
            <color indexed="81"/>
            <rFont val="Tahoma"/>
            <family val="2"/>
          </rPr>
          <t xml:space="preserve">
10mins cartoon errector malfunction </t>
        </r>
      </text>
    </comment>
    <comment ref="Z23" authorId="2" shapeId="0" xr:uid="{F2CA799B-2553-44FA-9AB5-3BFBC77C9A04}">
      <text>
        <r>
          <rPr>
            <b/>
            <sz val="9"/>
            <color indexed="81"/>
            <rFont val="Tahoma"/>
            <family val="2"/>
          </rPr>
          <t>Micah Noel:</t>
        </r>
        <r>
          <rPr>
            <sz val="9"/>
            <color indexed="81"/>
            <rFont val="Tahoma"/>
            <family val="2"/>
          </rPr>
          <t xml:space="preserve">
Micah Noel:
10 mins Filler taking midnight reading + creating gap in pasteurizer (change over to a new day), 87mins partially opened manhhole on  washer tank # 3 causes it's contents to violently gush out , 146mins refilling and heating up washer after incident </t>
        </r>
      </text>
    </comment>
    <comment ref="AB23" authorId="2" shapeId="0" xr:uid="{6912093E-43C4-4774-80F0-465295179598}">
      <text>
        <r>
          <rPr>
            <b/>
            <sz val="9"/>
            <color indexed="81"/>
            <rFont val="Tahoma"/>
            <family val="2"/>
          </rPr>
          <t>Micah Noel:</t>
        </r>
        <r>
          <rPr>
            <sz val="9"/>
            <color indexed="81"/>
            <rFont val="Tahoma"/>
            <family val="2"/>
          </rPr>
          <t xml:space="preserve">
2 mins incorrect bottle type stuck at EBI infeed 3 mins waiitng for crates</t>
        </r>
      </text>
    </comment>
    <comment ref="I24" authorId="0" shapeId="0" xr:uid="{1A1A2C3A-7853-44AE-8BB8-0913DFCF3525}">
      <text>
        <r>
          <rPr>
            <b/>
            <sz val="9"/>
            <color indexed="81"/>
            <rFont val="Tahoma"/>
            <family val="2"/>
          </rPr>
          <t>Kaylil Baptiste:</t>
        </r>
        <r>
          <rPr>
            <sz val="9"/>
            <color indexed="81"/>
            <rFont val="Tahoma"/>
            <family val="2"/>
          </rPr>
          <t xml:space="preserve">
17mins product change over</t>
        </r>
      </text>
    </comment>
    <comment ref="P24" authorId="0" shapeId="0" xr:uid="{628B5F27-CCE7-4A91-98A7-CE69E719F04E}">
      <text>
        <r>
          <rPr>
            <b/>
            <sz val="9"/>
            <color indexed="81"/>
            <rFont val="Tahoma"/>
            <family val="2"/>
          </rPr>
          <t>Kaylil Baptiste:</t>
        </r>
        <r>
          <rPr>
            <sz val="9"/>
            <color indexed="81"/>
            <rFont val="Tahoma"/>
            <family val="2"/>
          </rPr>
          <t xml:space="preserve">
46mins high rejction due to labels, 11mins fallen bottles on washer infeed</t>
        </r>
      </text>
    </comment>
    <comment ref="Q24" authorId="0" shapeId="0" xr:uid="{437BB85A-0E68-45BE-9D94-2E7B0AE5F779}">
      <text>
        <r>
          <rPr>
            <b/>
            <sz val="9"/>
            <color indexed="81"/>
            <rFont val="Tahoma"/>
            <family val="2"/>
          </rPr>
          <t>Kaylil Baptiste:</t>
        </r>
        <r>
          <rPr>
            <sz val="9"/>
            <color indexed="81"/>
            <rFont val="Tahoma"/>
            <family val="2"/>
          </rPr>
          <t xml:space="preserve">
8mins high EBI rejection</t>
        </r>
      </text>
    </comment>
    <comment ref="S24" authorId="0" shapeId="0" xr:uid="{8BCB7278-5039-4ED9-91B0-5376BE25FB80}">
      <text>
        <r>
          <rPr>
            <b/>
            <sz val="9"/>
            <color indexed="81"/>
            <rFont val="Tahoma"/>
            <family val="2"/>
          </rPr>
          <t>Kaylil Baptiste:</t>
        </r>
        <r>
          <rPr>
            <sz val="9"/>
            <color indexed="81"/>
            <rFont val="Tahoma"/>
            <family val="2"/>
          </rPr>
          <t xml:space="preserve">
14mins tech making adjustments </t>
        </r>
      </text>
    </comment>
    <comment ref="T24" authorId="0" shapeId="0" xr:uid="{191DF418-E9F6-423B-8752-31033206070E}">
      <text>
        <r>
          <rPr>
            <b/>
            <sz val="9"/>
            <color indexed="81"/>
            <rFont val="Tahoma"/>
            <family val="2"/>
          </rPr>
          <t>Kaylil Baptiste:</t>
        </r>
        <r>
          <rPr>
            <sz val="9"/>
            <color indexed="81"/>
            <rFont val="Tahoma"/>
            <family val="2"/>
          </rPr>
          <t xml:space="preserve">
21mins missing label, 5mins labeler infeed sensor malfunction ( closeing the infeed regardless of if the line is full)</t>
        </r>
      </text>
    </comment>
    <comment ref="V24" authorId="0" shapeId="0" xr:uid="{48DC0E05-E581-41E5-A350-3EC96EBE9072}">
      <text>
        <r>
          <rPr>
            <b/>
            <sz val="9"/>
            <color indexed="81"/>
            <rFont val="Tahoma"/>
            <family val="2"/>
          </rPr>
          <t>Kaylil Baptiste:</t>
        </r>
        <r>
          <rPr>
            <sz val="9"/>
            <color indexed="81"/>
            <rFont val="Tahoma"/>
            <family val="2"/>
          </rPr>
          <t xml:space="preserve">
10mins pasteurizer infeed cut off </t>
        </r>
      </text>
    </comment>
    <comment ref="Z24" authorId="3" shapeId="0" xr:uid="{7E870204-F24E-4D61-8E68-31B7AEC08E25}">
      <text>
        <r>
          <rPr>
            <b/>
            <sz val="9"/>
            <color indexed="81"/>
            <rFont val="Tahoma"/>
            <family val="2"/>
          </rPr>
          <t>Tyrell Bartholomew:</t>
        </r>
        <r>
          <rPr>
            <sz val="9"/>
            <color indexed="81"/>
            <rFont val="Tahoma"/>
            <family val="2"/>
          </rPr>
          <t xml:space="preserve">
3mins pasteurizer waiting on tank temperature, 6mins clearing uncaser area </t>
        </r>
      </text>
    </comment>
    <comment ref="H25" authorId="3" shapeId="0" xr:uid="{4A20CBAB-E41D-40CC-9E4C-F364C1FB5157}">
      <text>
        <r>
          <rPr>
            <b/>
            <sz val="9"/>
            <color indexed="81"/>
            <rFont val="Tahoma"/>
            <family val="2"/>
          </rPr>
          <t>Tyrell Bartholomew:</t>
        </r>
        <r>
          <rPr>
            <sz val="9"/>
            <color indexed="81"/>
            <rFont val="Tahoma"/>
            <family val="2"/>
          </rPr>
          <t xml:space="preserve">
crown hopper empty.</t>
        </r>
      </text>
    </comment>
    <comment ref="I25" authorId="3" shapeId="0" xr:uid="{C9CF8CE9-24BC-413E-884F-9A681071C2F4}">
      <text>
        <r>
          <rPr>
            <b/>
            <sz val="9"/>
            <color indexed="81"/>
            <rFont val="Tahoma"/>
            <family val="2"/>
          </rPr>
          <t>Tyrell Bartholomew:</t>
        </r>
        <r>
          <rPr>
            <sz val="9"/>
            <color indexed="81"/>
            <rFont val="Tahoma"/>
            <family val="2"/>
          </rPr>
          <t xml:space="preserve">
53mins change over on packer from crate to boxes.</t>
        </r>
      </text>
    </comment>
    <comment ref="J25" authorId="3" shapeId="0" xr:uid="{3C18ABC5-FE8C-4870-A7EB-6E566FFAC42A}">
      <text>
        <r>
          <rPr>
            <b/>
            <sz val="9"/>
            <color indexed="81"/>
            <rFont val="Tahoma"/>
            <family val="2"/>
          </rPr>
          <t>Tyrell Bartholomew:</t>
        </r>
        <r>
          <rPr>
            <sz val="9"/>
            <color indexed="81"/>
            <rFont val="Tahoma"/>
            <family val="2"/>
          </rPr>
          <t xml:space="preserve">
bowl level drop.</t>
        </r>
      </text>
    </comment>
    <comment ref="X25" authorId="0" shapeId="0" xr:uid="{BAF2DF5D-5E02-493C-810A-CBD255B19F5B}">
      <text>
        <r>
          <rPr>
            <b/>
            <sz val="9"/>
            <color indexed="81"/>
            <rFont val="Tahoma"/>
            <family val="2"/>
          </rPr>
          <t>Kaylil Baptiste:</t>
        </r>
        <r>
          <rPr>
            <sz val="9"/>
            <color indexed="81"/>
            <rFont val="Tahoma"/>
            <family val="2"/>
          </rPr>
          <t xml:space="preserve">
10mins waiting on boxes </t>
        </r>
      </text>
    </comment>
    <comment ref="Z25" authorId="3" shapeId="0" xr:uid="{79D0C588-3C62-4F67-90AB-A7DE3A23988E}">
      <text>
        <r>
          <rPr>
            <b/>
            <sz val="9"/>
            <color indexed="81"/>
            <rFont val="Tahoma"/>
            <family val="2"/>
          </rPr>
          <t>Tyrell Bartholomew:</t>
        </r>
        <r>
          <rPr>
            <sz val="9"/>
            <color indexed="81"/>
            <rFont val="Tahoma"/>
            <family val="2"/>
          </rPr>
          <t xml:space="preserve">
5mins san martin tech making adjustment to pasteurizer infeed conveyor.</t>
        </r>
      </text>
    </comment>
    <comment ref="AB25" authorId="3" shapeId="0" xr:uid="{A49E3142-5095-4B87-A924-C1C80E309405}">
      <text>
        <r>
          <rPr>
            <b/>
            <sz val="9"/>
            <color indexed="81"/>
            <rFont val="Tahoma"/>
            <family val="2"/>
          </rPr>
          <t>Tyrell Bartholomew:</t>
        </r>
        <r>
          <rPr>
            <sz val="9"/>
            <color indexed="81"/>
            <rFont val="Tahoma"/>
            <family val="2"/>
          </rPr>
          <t xml:space="preserve">
2mins incorrect bottle type in EBI Starwheel.</t>
        </r>
      </text>
    </comment>
    <comment ref="I26" authorId="3" shapeId="0" xr:uid="{2F2D06F2-5903-47C0-B044-F436F3015978}">
      <text>
        <r>
          <rPr>
            <b/>
            <sz val="9"/>
            <color indexed="81"/>
            <rFont val="Tahoma"/>
            <family val="2"/>
          </rPr>
          <t>Tyrell Bartholomew:</t>
        </r>
        <r>
          <rPr>
            <sz val="9"/>
            <color indexed="81"/>
            <rFont val="Tahoma"/>
            <family val="2"/>
          </rPr>
          <t xml:space="preserve">
50mins changing over from shandy sorrel to mackeson on filler.</t>
        </r>
      </text>
    </comment>
    <comment ref="P26" authorId="0" shapeId="0" xr:uid="{4AE4AFD3-6759-4D92-AF4A-738D7F10D167}">
      <text>
        <r>
          <rPr>
            <b/>
            <sz val="9"/>
            <color indexed="81"/>
            <rFont val="Tahoma"/>
            <family val="2"/>
          </rPr>
          <t>Kaylil Baptiste:</t>
        </r>
        <r>
          <rPr>
            <sz val="9"/>
            <color indexed="81"/>
            <rFont val="Tahoma"/>
            <family val="2"/>
          </rPr>
          <t xml:space="preserve">
5mins fallen bottles on washer discharge</t>
        </r>
      </text>
    </comment>
    <comment ref="Q26" authorId="0" shapeId="0" xr:uid="{B4CC1BF7-8552-4E8A-B715-D4A398E91E24}">
      <text>
        <r>
          <rPr>
            <b/>
            <sz val="9"/>
            <color indexed="81"/>
            <rFont val="Tahoma"/>
            <family val="2"/>
          </rPr>
          <t>Kaylil Baptiste:</t>
        </r>
        <r>
          <rPr>
            <sz val="9"/>
            <color indexed="81"/>
            <rFont val="Tahoma"/>
            <family val="2"/>
          </rPr>
          <t xml:space="preserve">
14mins high EBI rejection, 6mins fallen bottles into OSW </t>
        </r>
      </text>
    </comment>
    <comment ref="R26" authorId="0" shapeId="0" xr:uid="{3F3F77A5-8685-4DAD-950F-300566C8BDEF}">
      <text>
        <r>
          <rPr>
            <b/>
            <sz val="9"/>
            <color indexed="81"/>
            <rFont val="Tahoma"/>
            <family val="2"/>
          </rPr>
          <t>Kaylil Baptiste:</t>
        </r>
        <r>
          <rPr>
            <sz val="9"/>
            <color indexed="81"/>
            <rFont val="Tahoma"/>
            <family val="2"/>
          </rPr>
          <t xml:space="preserve">
6mins crowns shuck in chute </t>
        </r>
      </text>
    </comment>
    <comment ref="S26" authorId="0" shapeId="0" xr:uid="{CC761D67-0F7B-445C-AC83-2DFEC1E78FAE}">
      <text>
        <r>
          <rPr>
            <b/>
            <sz val="9"/>
            <color indexed="81"/>
            <rFont val="Tahoma"/>
            <family val="2"/>
          </rPr>
          <t>Kaylil Baptiste:</t>
        </r>
        <r>
          <rPr>
            <sz val="9"/>
            <color indexed="81"/>
            <rFont val="Tahoma"/>
            <family val="2"/>
          </rPr>
          <t xml:space="preserve">
105mins dry run, 22mins low temp on pasteurizer, 8mins temperature normalizing after long labeler downtime</t>
        </r>
      </text>
    </comment>
    <comment ref="T26" authorId="0" shapeId="0" xr:uid="{BC634A78-C8F6-4741-942D-D872B084FE77}">
      <text>
        <r>
          <rPr>
            <b/>
            <sz val="9"/>
            <color indexed="81"/>
            <rFont val="Tahoma"/>
            <family val="2"/>
          </rPr>
          <t>Kaylil Baptiste:</t>
        </r>
        <r>
          <rPr>
            <sz val="9"/>
            <color indexed="81"/>
            <rFont val="Tahoma"/>
            <family val="2"/>
          </rPr>
          <t xml:space="preserve">
90mins labeler unresponsive(maintenance trying to resolve), 28mins missing labels, 8mins labeler infeed sensor malfinction</t>
        </r>
      </text>
    </comment>
    <comment ref="V26" authorId="0" shapeId="0" xr:uid="{3971080F-A727-432F-9384-A79E5DAC1823}">
      <text>
        <r>
          <rPr>
            <b/>
            <sz val="9"/>
            <color indexed="81"/>
            <rFont val="Tahoma"/>
            <family val="2"/>
          </rPr>
          <t>Kaylil Baptiste:</t>
        </r>
        <r>
          <rPr>
            <sz val="9"/>
            <color indexed="81"/>
            <rFont val="Tahoma"/>
            <family val="2"/>
          </rPr>
          <t xml:space="preserve">
30mins packer infeed cut off</t>
        </r>
      </text>
    </comment>
    <comment ref="Z26" authorId="3" shapeId="0" xr:uid="{5E3CCCD4-CB8A-48BF-B80D-B77B37A5D5BD}">
      <text>
        <r>
          <rPr>
            <b/>
            <sz val="9"/>
            <color indexed="81"/>
            <rFont val="Tahoma"/>
            <family val="2"/>
          </rPr>
          <t>Tyrell Bartholomew:</t>
        </r>
        <r>
          <rPr>
            <sz val="9"/>
            <color indexed="81"/>
            <rFont val="Tahoma"/>
            <family val="2"/>
          </rPr>
          <t xml:space="preserve">
30mins waiting on pasteurizer to empty, 5 mins PU monitor stuck at pasteurizer discharge</t>
        </r>
      </text>
    </comment>
    <comment ref="AB26" authorId="2" shapeId="0" xr:uid="{E44AFA92-95C5-426D-946B-0854CA51ECF5}">
      <text>
        <r>
          <rPr>
            <b/>
            <sz val="9"/>
            <color indexed="81"/>
            <rFont val="Tahoma"/>
            <family val="2"/>
          </rPr>
          <t>Micah Noel:</t>
        </r>
        <r>
          <rPr>
            <sz val="9"/>
            <color indexed="81"/>
            <rFont val="Tahoma"/>
            <family val="2"/>
          </rPr>
          <t xml:space="preserve">
5 mins heavy EBI rejections caused by pre-washed bottles plus 8 mins caused by old and mixed bottle (short brown with cdc brown)</t>
        </r>
      </text>
    </comment>
    <comment ref="I27" authorId="0" shapeId="0" xr:uid="{6C262701-49F6-4251-9610-17C520236BDA}">
      <text>
        <r>
          <rPr>
            <b/>
            <sz val="9"/>
            <color indexed="81"/>
            <rFont val="Tahoma"/>
            <family val="2"/>
          </rPr>
          <t>Kaylil Baptiste:</t>
        </r>
        <r>
          <rPr>
            <sz val="9"/>
            <color indexed="81"/>
            <rFont val="Tahoma"/>
            <family val="2"/>
          </rPr>
          <t xml:space="preserve">
15 mins change over from mackeson to guinness. </t>
        </r>
      </text>
    </comment>
    <comment ref="J27" authorId="3" shapeId="0" xr:uid="{36B0D51B-13D2-4D94-9E53-642B36B64C17}">
      <text>
        <r>
          <rPr>
            <b/>
            <sz val="9"/>
            <color indexed="81"/>
            <rFont val="Tahoma"/>
            <family val="2"/>
          </rPr>
          <t>Tyrell Bartholomew:</t>
        </r>
        <r>
          <rPr>
            <sz val="9"/>
            <color indexed="81"/>
            <rFont val="Tahoma"/>
            <family val="2"/>
          </rPr>
          <t xml:space="preserve">
2mins bowl level drop,bbt finish.</t>
        </r>
      </text>
    </comment>
    <comment ref="L27" authorId="3" shapeId="0" xr:uid="{D4437492-CC7A-4E04-98A7-15A0F1F165B5}">
      <text>
        <r>
          <rPr>
            <b/>
            <sz val="9"/>
            <color indexed="81"/>
            <rFont val="Tahoma"/>
            <family val="2"/>
          </rPr>
          <t>Tyrell Bartholomew:</t>
        </r>
        <r>
          <rPr>
            <sz val="9"/>
            <color indexed="81"/>
            <rFont val="Tahoma"/>
            <family val="2"/>
          </rPr>
          <t xml:space="preserve">
co2 low on filler.</t>
        </r>
      </text>
    </comment>
    <comment ref="O27" authorId="0" shapeId="0" xr:uid="{04C56CEA-09FD-429B-9C88-FFFE8267155D}">
      <text>
        <r>
          <rPr>
            <b/>
            <sz val="9"/>
            <color indexed="81"/>
            <rFont val="Tahoma"/>
            <family val="2"/>
          </rPr>
          <t>Kaylil Baptiste:</t>
        </r>
        <r>
          <rPr>
            <sz val="9"/>
            <color indexed="81"/>
            <rFont val="Tahoma"/>
            <family val="2"/>
          </rPr>
          <t xml:space="preserve">
8mins uncaser head malfunction </t>
        </r>
      </text>
    </comment>
    <comment ref="P27" authorId="0" shapeId="0" xr:uid="{D5746ECF-7C2A-4336-866C-4370EAB82A61}">
      <text>
        <r>
          <rPr>
            <b/>
            <sz val="9"/>
            <color indexed="81"/>
            <rFont val="Tahoma"/>
            <family val="2"/>
          </rPr>
          <t>Kaylil Baptiste:</t>
        </r>
        <r>
          <rPr>
            <sz val="9"/>
            <color indexed="81"/>
            <rFont val="Tahoma"/>
            <family val="2"/>
          </rPr>
          <t xml:space="preserve">
17mins fallen bottles on washer discharge</t>
        </r>
      </text>
    </comment>
    <comment ref="Q27" authorId="0" shapeId="0" xr:uid="{A731FC40-91B1-4DF2-B846-FFB9407D9130}">
      <text>
        <r>
          <rPr>
            <b/>
            <sz val="9"/>
            <color indexed="81"/>
            <rFont val="Tahoma"/>
            <family val="2"/>
          </rPr>
          <t>Kaylil Baptiste:</t>
        </r>
        <r>
          <rPr>
            <sz val="9"/>
            <color indexed="81"/>
            <rFont val="Tahoma"/>
            <family val="2"/>
          </rPr>
          <t xml:space="preserve">
18mins EBI software reboot, 5mins high EBI rejection</t>
        </r>
      </text>
    </comment>
    <comment ref="S27" authorId="0" shapeId="0" xr:uid="{884F8326-49CC-4A41-9CAA-2BB525FEC499}">
      <text>
        <r>
          <rPr>
            <b/>
            <sz val="9"/>
            <color indexed="81"/>
            <rFont val="Tahoma"/>
            <family val="2"/>
          </rPr>
          <t>Kaylil Baptiste:</t>
        </r>
        <r>
          <rPr>
            <sz val="9"/>
            <color indexed="81"/>
            <rFont val="Tahoma"/>
            <family val="2"/>
          </rPr>
          <t xml:space="preserve">
120mins dry run</t>
        </r>
      </text>
    </comment>
    <comment ref="T27" authorId="0" shapeId="0" xr:uid="{25A3D28D-B24E-4B0B-9F57-93A61F1FBA9D}">
      <text>
        <r>
          <rPr>
            <b/>
            <sz val="9"/>
            <color indexed="81"/>
            <rFont val="Tahoma"/>
            <family val="2"/>
          </rPr>
          <t>Kaylil Baptiste:</t>
        </r>
        <r>
          <rPr>
            <sz val="9"/>
            <color indexed="81"/>
            <rFont val="Tahoma"/>
            <family val="2"/>
          </rPr>
          <t xml:space="preserve">
7mins flagging labels</t>
        </r>
      </text>
    </comment>
    <comment ref="V27" authorId="0" shapeId="0" xr:uid="{9DE04AAA-EA23-4D4F-A642-436DBC42DAB8}">
      <text>
        <r>
          <rPr>
            <b/>
            <sz val="9"/>
            <color indexed="81"/>
            <rFont val="Tahoma"/>
            <family val="2"/>
          </rPr>
          <t>Kaylil Baptiste:</t>
        </r>
        <r>
          <rPr>
            <sz val="9"/>
            <color indexed="81"/>
            <rFont val="Tahoma"/>
            <family val="2"/>
          </rPr>
          <t xml:space="preserve">
28mins packer discharge running slow, 13mins communication issue between the pasteurizer discharge and labeler infeed conveyor creating gaps in the line ultimately slows down the labeler resulting is line backing up, 7mins fallen bottles jamming at pasteurizer infeed</t>
        </r>
      </text>
    </comment>
    <comment ref="Z27" authorId="3" shapeId="0" xr:uid="{4BD99109-B9EE-400D-8385-05B9B17E38F1}">
      <text>
        <r>
          <rPr>
            <b/>
            <sz val="9"/>
            <color indexed="81"/>
            <rFont val="Tahoma"/>
            <family val="2"/>
          </rPr>
          <t>Tyrell Bartholomew:</t>
        </r>
        <r>
          <rPr>
            <sz val="9"/>
            <color indexed="81"/>
            <rFont val="Tahoma"/>
            <family val="2"/>
          </rPr>
          <t xml:space="preserve">
10mins product preparation,
7mins pasteurizer waiting on tank temperature.</t>
        </r>
      </text>
    </comment>
    <comment ref="O28" authorId="0" shapeId="0" xr:uid="{559FB170-896A-45C8-8F7C-E810C7F9D809}">
      <text>
        <r>
          <rPr>
            <b/>
            <sz val="9"/>
            <color indexed="81"/>
            <rFont val="Tahoma"/>
            <family val="2"/>
          </rPr>
          <t>Kaylil Baptiste:</t>
        </r>
        <r>
          <rPr>
            <sz val="9"/>
            <color indexed="81"/>
            <rFont val="Tahoma"/>
            <family val="2"/>
          </rPr>
          <t xml:space="preserve">
5mins uncaser head hitting crates </t>
        </r>
      </text>
    </comment>
    <comment ref="P28" authorId="0" shapeId="0" xr:uid="{B8F73FAC-F772-4CE9-8643-FB5918B80D79}">
      <text>
        <r>
          <rPr>
            <b/>
            <sz val="9"/>
            <color indexed="81"/>
            <rFont val="Tahoma"/>
            <family val="2"/>
          </rPr>
          <t>Kaylil Baptiste:</t>
        </r>
        <r>
          <rPr>
            <sz val="9"/>
            <color indexed="81"/>
            <rFont val="Tahoma"/>
            <family val="2"/>
          </rPr>
          <t xml:space="preserve">
47mins fallen bottles on washer discharge, 6mins fallen bottles on washer infeed</t>
        </r>
      </text>
    </comment>
    <comment ref="R28" authorId="0" shapeId="0" xr:uid="{30A40224-B5DA-4545-A1F1-EB536A9B8E3C}">
      <text>
        <r>
          <rPr>
            <b/>
            <sz val="9"/>
            <color indexed="81"/>
            <rFont val="Tahoma"/>
            <family val="2"/>
          </rPr>
          <t>Kaylil Baptiste:</t>
        </r>
        <r>
          <rPr>
            <sz val="9"/>
            <color indexed="81"/>
            <rFont val="Tahoma"/>
            <family val="2"/>
          </rPr>
          <t xml:space="preserve">
6mins crowns stuck in chute</t>
        </r>
      </text>
    </comment>
    <comment ref="S28" authorId="0" shapeId="0" xr:uid="{3BA76488-72BF-4F20-976F-15F96B581B5A}">
      <text>
        <r>
          <rPr>
            <b/>
            <sz val="9"/>
            <color indexed="81"/>
            <rFont val="Tahoma"/>
            <family val="2"/>
          </rPr>
          <t>Kaylil Baptiste:</t>
        </r>
        <r>
          <rPr>
            <sz val="9"/>
            <color indexed="81"/>
            <rFont val="Tahoma"/>
            <family val="2"/>
          </rPr>
          <t xml:space="preserve">
45mins dry run went in late, 15mins pump #4 had to be reset</t>
        </r>
      </text>
    </comment>
    <comment ref="T28" authorId="0" shapeId="0" xr:uid="{54CB9480-9A19-4A24-B3AF-48D497D0E891}">
      <text>
        <r>
          <rPr>
            <b/>
            <sz val="9"/>
            <color indexed="81"/>
            <rFont val="Tahoma"/>
            <family val="2"/>
          </rPr>
          <t>Kaylil Baptiste:</t>
        </r>
        <r>
          <rPr>
            <sz val="9"/>
            <color indexed="81"/>
            <rFont val="Tahoma"/>
            <family val="2"/>
          </rPr>
          <t xml:space="preserve">
17 mins for safety circuit fault caused by broken wire, 15mins changing spacing on back cylinder, 7mins missing labels, 5mins for labeller infeed sensor adjustments </t>
        </r>
      </text>
    </comment>
    <comment ref="U28" authorId="0" shapeId="0" xr:uid="{42CFBF19-520E-4B7D-BCF0-938FE6D5EBEE}">
      <text>
        <r>
          <rPr>
            <b/>
            <sz val="9"/>
            <color indexed="81"/>
            <rFont val="Tahoma"/>
            <family val="2"/>
          </rPr>
          <t>Kaylil Baptiste:</t>
        </r>
        <r>
          <rPr>
            <sz val="9"/>
            <color indexed="81"/>
            <rFont val="Tahoma"/>
            <family val="2"/>
          </rPr>
          <t xml:space="preserve">
167mins videoje not printing properly (skipping bottles)</t>
        </r>
      </text>
    </comment>
    <comment ref="V28" authorId="0" shapeId="0" xr:uid="{C340E78F-7F34-40DF-AAD4-DBC6655A6554}">
      <text>
        <r>
          <rPr>
            <b/>
            <sz val="9"/>
            <color indexed="81"/>
            <rFont val="Tahoma"/>
            <family val="2"/>
          </rPr>
          <t>Kaylil Baptiste:</t>
        </r>
        <r>
          <rPr>
            <sz val="9"/>
            <color indexed="81"/>
            <rFont val="Tahoma"/>
            <family val="2"/>
          </rPr>
          <t xml:space="preserve">
5 mins broken bottle stuck on conveyor caused line back up 15 mins conveyor stopping 15 pasteurizer in feed runnng slow. 24 mins pasteurizer infeed conveyor running slow, 6mins pasteurizer discharge conveyor stopping, 25mins mins fallen bottles inside shuffler</t>
        </r>
      </text>
    </comment>
    <comment ref="Z28" authorId="4" shapeId="0" xr:uid="{641D8208-8746-4F2B-8E75-328964846D13}">
      <text>
        <r>
          <rPr>
            <b/>
            <sz val="9"/>
            <color indexed="81"/>
            <rFont val="Tahoma"/>
            <family val="2"/>
          </rPr>
          <t>Dorien Andrew:</t>
        </r>
        <r>
          <rPr>
            <sz val="9"/>
            <color indexed="81"/>
            <rFont val="Tahoma"/>
            <family val="2"/>
          </rPr>
          <t xml:space="preserve">
20mins product preparation, 5mins PU monitor stuck and blocking discharge </t>
        </r>
      </text>
    </comment>
    <comment ref="AB28" authorId="2" shapeId="0" xr:uid="{214CAE27-66DC-4DA9-96D4-796831C6D08C}">
      <text>
        <r>
          <rPr>
            <b/>
            <sz val="9"/>
            <color indexed="81"/>
            <rFont val="Tahoma"/>
            <family val="2"/>
          </rPr>
          <t>Micah Noel:</t>
        </r>
        <r>
          <rPr>
            <sz val="9"/>
            <color indexed="81"/>
            <rFont val="Tahoma"/>
            <family val="2"/>
          </rPr>
          <t xml:space="preserve">
14 mins waiitng for crates (damaged crates on line plus wait for forklift to supply crates)</t>
        </r>
      </text>
    </comment>
    <comment ref="I29" authorId="1" shapeId="0" xr:uid="{1E54C150-3FA2-4577-B777-07279F29C306}">
      <text>
        <r>
          <rPr>
            <b/>
            <sz val="9"/>
            <color indexed="81"/>
            <rFont val="Tahoma"/>
            <family val="2"/>
          </rPr>
          <t>Michael Julien:</t>
        </r>
        <r>
          <rPr>
            <sz val="9"/>
            <color indexed="81"/>
            <rFont val="Tahoma"/>
            <family val="2"/>
          </rPr>
          <t xml:space="preserve">
32 mins change over from guinness to stag, 23mins adjusting pasteurizer recipe</t>
        </r>
      </text>
    </comment>
    <comment ref="J29" authorId="0" shapeId="0" xr:uid="{A0CCDCF6-E33A-47A9-8460-9D3F3558F02A}">
      <text>
        <r>
          <rPr>
            <b/>
            <sz val="9"/>
            <color indexed="81"/>
            <rFont val="Tahoma"/>
            <family val="2"/>
          </rPr>
          <t>Kaylil Baptiste:</t>
        </r>
        <r>
          <rPr>
            <sz val="9"/>
            <color indexed="81"/>
            <rFont val="Tahoma"/>
            <family val="2"/>
          </rPr>
          <t xml:space="preserve">
60mins waiting on product</t>
        </r>
      </text>
    </comment>
    <comment ref="V29" authorId="0" shapeId="0" xr:uid="{6AF85A15-357D-4E16-A001-B65BDADD54CE}">
      <text>
        <r>
          <rPr>
            <b/>
            <sz val="9"/>
            <color indexed="81"/>
            <rFont val="Tahoma"/>
            <family val="2"/>
          </rPr>
          <t>Kaylil Baptiste:</t>
        </r>
        <r>
          <rPr>
            <sz val="9"/>
            <color indexed="81"/>
            <rFont val="Tahoma"/>
            <family val="2"/>
          </rPr>
          <t xml:space="preserve">
28mins pasteurizer infeed running slow</t>
        </r>
      </text>
    </comment>
    <comment ref="Z29" authorId="4" shapeId="0" xr:uid="{7D87DD57-00CB-4D04-BC7A-C7AF8C97C8B4}">
      <text>
        <r>
          <rPr>
            <b/>
            <sz val="9"/>
            <color indexed="81"/>
            <rFont val="Tahoma"/>
            <family val="2"/>
          </rPr>
          <t>Dorien Andrew:</t>
        </r>
        <r>
          <rPr>
            <sz val="9"/>
            <color indexed="81"/>
            <rFont val="Tahoma"/>
            <family val="2"/>
          </rPr>
          <t xml:space="preserve">
33mins to empty pasteurizer
3mins lack of men power on uncaser</t>
        </r>
      </text>
    </comment>
    <comment ref="J30" authorId="0" shapeId="0" xr:uid="{90CFECD3-BF25-44C9-8E8C-6F74291D090E}">
      <text>
        <r>
          <rPr>
            <b/>
            <sz val="9"/>
            <color indexed="81"/>
            <rFont val="Tahoma"/>
            <family val="2"/>
          </rPr>
          <t>Kaylil Baptiste:</t>
        </r>
        <r>
          <rPr>
            <sz val="9"/>
            <color indexed="81"/>
            <rFont val="Tahoma"/>
            <family val="2"/>
          </rPr>
          <t xml:space="preserve">
8mins waiting on lab to release product</t>
        </r>
      </text>
    </comment>
    <comment ref="O30" authorId="0" shapeId="0" xr:uid="{C6A3B275-9AB2-4101-B764-B2E5E5C0EBC9}">
      <text>
        <r>
          <rPr>
            <b/>
            <sz val="9"/>
            <color indexed="81"/>
            <rFont val="Tahoma"/>
            <family val="2"/>
          </rPr>
          <t>Kaylil Baptiste:</t>
        </r>
        <r>
          <rPr>
            <sz val="9"/>
            <color indexed="81"/>
            <rFont val="Tahoma"/>
            <family val="2"/>
          </rPr>
          <t xml:space="preserve">
7 mins frozen screen on uncaser, 5mins uncaser head hitting crates</t>
        </r>
      </text>
    </comment>
    <comment ref="P30" authorId="0" shapeId="0" xr:uid="{6E95E362-73BA-4B21-8F1F-7F69326D0E9A}">
      <text>
        <r>
          <rPr>
            <b/>
            <sz val="9"/>
            <color indexed="81"/>
            <rFont val="Tahoma"/>
            <family val="2"/>
          </rPr>
          <t>Kaylil Baptiste:</t>
        </r>
        <r>
          <rPr>
            <sz val="9"/>
            <color indexed="81"/>
            <rFont val="Tahoma"/>
            <family val="2"/>
          </rPr>
          <t xml:space="preserve">
31mins fallen bottles on washer discharge, 20mins fallen bottles on washer infeed</t>
        </r>
      </text>
    </comment>
    <comment ref="Q30" authorId="0" shapeId="0" xr:uid="{6E5DA04C-A6F8-4E6C-A0D3-0C3C1E221D84}">
      <text>
        <r>
          <rPr>
            <b/>
            <sz val="9"/>
            <color indexed="81"/>
            <rFont val="Tahoma"/>
            <family val="2"/>
          </rPr>
          <t>Kaylil Baptiste:</t>
        </r>
        <r>
          <rPr>
            <sz val="9"/>
            <color indexed="81"/>
            <rFont val="Tahoma"/>
            <family val="2"/>
          </rPr>
          <t xml:space="preserve">
26mins faulty bottles passing EBI, 23mins high EBI rejection, 8mins fallen bottles at EBI starwheel</t>
        </r>
      </text>
    </comment>
    <comment ref="T30" authorId="0" shapeId="0" xr:uid="{1B22BFC6-2F28-4AA8-99B5-9783C6692B12}">
      <text>
        <r>
          <rPr>
            <b/>
            <sz val="9"/>
            <color indexed="81"/>
            <rFont val="Tahoma"/>
            <family val="2"/>
          </rPr>
          <t>Kaylil Baptiste:</t>
        </r>
        <r>
          <rPr>
            <sz val="9"/>
            <color indexed="81"/>
            <rFont val="Tahoma"/>
            <family val="2"/>
          </rPr>
          <t xml:space="preserve">
6mins missing labels</t>
        </r>
      </text>
    </comment>
    <comment ref="U30" authorId="0" shapeId="0" xr:uid="{974B0E63-0DA9-4818-A809-6BA5B3D7C037}">
      <text>
        <r>
          <rPr>
            <b/>
            <sz val="9"/>
            <color indexed="81"/>
            <rFont val="Tahoma"/>
            <family val="2"/>
          </rPr>
          <t>Kaylil Baptiste:</t>
        </r>
        <r>
          <rPr>
            <sz val="9"/>
            <color indexed="81"/>
            <rFont val="Tahoma"/>
            <family val="2"/>
          </rPr>
          <t xml:space="preserve">
19mins videojet not printing properly</t>
        </r>
      </text>
    </comment>
    <comment ref="V30" authorId="0" shapeId="0" xr:uid="{BE5C9F94-0168-4F0F-BA1C-922A8A230CC8}">
      <text>
        <r>
          <rPr>
            <b/>
            <sz val="9"/>
            <color indexed="81"/>
            <rFont val="Tahoma"/>
            <family val="2"/>
          </rPr>
          <t>Kaylil Baptiste:</t>
        </r>
        <r>
          <rPr>
            <sz val="9"/>
            <color indexed="81"/>
            <rFont val="Tahoma"/>
            <family val="2"/>
          </rPr>
          <t xml:space="preserve">
31mins lots of stops on pasteurizer infeed, 28mins crate rinser infeed malfunction, 14mins fallen bottles inside shuffler</t>
        </r>
      </text>
    </comment>
    <comment ref="Z30" authorId="2" shapeId="0" xr:uid="{FEB40095-ECDB-47D0-90F0-51A4B0C62F6A}">
      <text>
        <r>
          <rPr>
            <b/>
            <sz val="9"/>
            <color indexed="81"/>
            <rFont val="Tahoma"/>
            <family val="2"/>
          </rPr>
          <t>Micah Noel:</t>
        </r>
        <r>
          <rPr>
            <sz val="9"/>
            <color indexed="81"/>
            <rFont val="Tahoma"/>
            <family val="2"/>
          </rPr>
          <t xml:space="preserve">
15mins stop to take midnigh reading, 10 mins change of shift out going palletizer left incoming palletizer went for a glove replacement 4 mins  PU monitor stuck at pasteurizer discharge</t>
        </r>
      </text>
    </comment>
    <comment ref="AB30" authorId="2" shapeId="0" xr:uid="{7D1623AF-3DB5-44E2-800B-993758AC71E8}">
      <text>
        <r>
          <rPr>
            <b/>
            <sz val="9"/>
            <color indexed="81"/>
            <rFont val="Tahoma"/>
            <family val="2"/>
          </rPr>
          <t>Micah Noel:</t>
        </r>
        <r>
          <rPr>
            <sz val="9"/>
            <color indexed="81"/>
            <rFont val="Tahoma"/>
            <family val="2"/>
          </rPr>
          <t xml:space="preserve">
10 mins awaiting crates, 6 mins incorrect bottles brought on line, 137mins waiting on bottles from logistics</t>
        </r>
      </text>
    </comment>
    <comment ref="I31" authorId="4" shapeId="0" xr:uid="{E2572D35-074E-4967-A533-71A94F198B0E}">
      <text>
        <r>
          <rPr>
            <b/>
            <sz val="9"/>
            <color indexed="81"/>
            <rFont val="Tahoma"/>
            <family val="2"/>
          </rPr>
          <t>Dorien Andrew:</t>
        </r>
        <r>
          <rPr>
            <sz val="9"/>
            <color indexed="81"/>
            <rFont val="Tahoma"/>
            <family val="2"/>
          </rPr>
          <t xml:space="preserve">
68mins product change over and mid week cleaning, 4mins changing bottle type </t>
        </r>
      </text>
    </comment>
    <comment ref="J31" authorId="2" shapeId="0" xr:uid="{119A5012-3D15-4315-83CB-782249333ED9}">
      <text>
        <r>
          <rPr>
            <b/>
            <sz val="9"/>
            <color indexed="81"/>
            <rFont val="Tahoma"/>
            <family val="2"/>
          </rPr>
          <t>Micah Noel:</t>
        </r>
        <r>
          <rPr>
            <sz val="9"/>
            <color indexed="81"/>
            <rFont val="Tahoma"/>
            <family val="2"/>
          </rPr>
          <t xml:space="preserve">
19 mins waiting for productt from filtration ( c02 had to be added)</t>
        </r>
      </text>
    </comment>
    <comment ref="Q31" authorId="0" shapeId="0" xr:uid="{5CAF8D67-807A-416E-BA1F-0B7105A3EC06}">
      <text>
        <r>
          <rPr>
            <b/>
            <sz val="9"/>
            <color indexed="81"/>
            <rFont val="Tahoma"/>
            <family val="2"/>
          </rPr>
          <t>Kaylil Baptiste:</t>
        </r>
        <r>
          <rPr>
            <sz val="9"/>
            <color indexed="81"/>
            <rFont val="Tahoma"/>
            <family val="2"/>
          </rPr>
          <t xml:space="preserve">
16mins false EBI rejection, 9mins high EBI rejection, 8mins parameter adjustment on EBI</t>
        </r>
      </text>
    </comment>
    <comment ref="R31" authorId="0" shapeId="0" xr:uid="{56164012-E38F-490E-B679-BEB260BFCCAC}">
      <text>
        <r>
          <rPr>
            <b/>
            <sz val="9"/>
            <color indexed="81"/>
            <rFont val="Tahoma"/>
            <family val="2"/>
          </rPr>
          <t>Kaylil Baptiste:</t>
        </r>
        <r>
          <rPr>
            <sz val="9"/>
            <color indexed="81"/>
            <rFont val="Tahoma"/>
            <family val="2"/>
          </rPr>
          <t xml:space="preserve">
23mins sensor issues on filler, 6mins checking valve #53 on filler</t>
        </r>
      </text>
    </comment>
    <comment ref="T31" authorId="0" shapeId="0" xr:uid="{41D53665-FD53-4CA2-BB61-1344F3DA0486}">
      <text>
        <r>
          <rPr>
            <b/>
            <sz val="9"/>
            <color indexed="81"/>
            <rFont val="Tahoma"/>
            <family val="2"/>
          </rPr>
          <t>Kaylil Baptiste:</t>
        </r>
        <r>
          <rPr>
            <sz val="9"/>
            <color indexed="81"/>
            <rFont val="Tahoma"/>
            <family val="2"/>
          </rPr>
          <t xml:space="preserve">
19mins start up adjustments, 17mins back station adjustments </t>
        </r>
      </text>
    </comment>
    <comment ref="V31" authorId="0" shapeId="0" xr:uid="{B43B05C6-EA70-4785-A2C6-C926A26D439E}">
      <text>
        <r>
          <rPr>
            <b/>
            <sz val="9"/>
            <color indexed="81"/>
            <rFont val="Tahoma"/>
            <family val="2"/>
          </rPr>
          <t>Kaylil Baptiste:</t>
        </r>
        <r>
          <rPr>
            <sz val="9"/>
            <color indexed="81"/>
            <rFont val="Tahoma"/>
            <family val="2"/>
          </rPr>
          <t xml:space="preserve">
14mins pasteuriser discharge conveyor running too slow, 5mins  fallen bottles inside shuffler</t>
        </r>
      </text>
    </comment>
    <comment ref="X31" authorId="0" shapeId="0" xr:uid="{00281FBD-62A3-4D30-8220-6E1033FDE1E6}">
      <text>
        <r>
          <rPr>
            <b/>
            <sz val="9"/>
            <color indexed="81"/>
            <rFont val="Tahoma"/>
            <family val="2"/>
          </rPr>
          <t>Kaylil Baptiste:</t>
        </r>
        <r>
          <rPr>
            <sz val="9"/>
            <color indexed="81"/>
            <rFont val="Tahoma"/>
            <family val="2"/>
          </rPr>
          <t xml:space="preserve">
25mins cartoon errector malfunction, 16mins bending flats on cartoon errector</t>
        </r>
      </text>
    </comment>
    <comment ref="Z31" authorId="2" shapeId="0" xr:uid="{E004BD87-C980-41B2-89DA-B60DF5C73FCD}">
      <text>
        <r>
          <rPr>
            <b/>
            <sz val="9"/>
            <color indexed="81"/>
            <rFont val="Tahoma"/>
            <family val="2"/>
          </rPr>
          <t>Micah Noel:</t>
        </r>
        <r>
          <rPr>
            <sz val="9"/>
            <color indexed="81"/>
            <rFont val="Tahoma"/>
            <family val="2"/>
          </rPr>
          <t xml:space="preserve">
13 mins line stopped by Quality assurance to investigate label on bottles 2 mins slow palletizing</t>
        </r>
      </text>
    </comment>
    <comment ref="AB31" authorId="0" shapeId="0" xr:uid="{F1210B90-5118-4ACA-9472-BB2B3306BA5B}">
      <text>
        <r>
          <rPr>
            <b/>
            <sz val="9"/>
            <color indexed="81"/>
            <rFont val="Tahoma"/>
            <family val="2"/>
          </rPr>
          <t>Kaylil Baptiste:</t>
        </r>
        <r>
          <rPr>
            <sz val="9"/>
            <color indexed="81"/>
            <rFont val="Tahoma"/>
            <family val="2"/>
          </rPr>
          <t xml:space="preserve">
15mins waiting on bottles from logistics </t>
        </r>
      </text>
    </comment>
    <comment ref="I32" authorId="2" shapeId="0" xr:uid="{99D6C2F5-B6CD-4046-8C8A-70D70774114A}">
      <text>
        <r>
          <rPr>
            <b/>
            <sz val="9"/>
            <color indexed="81"/>
            <rFont val="Tahoma"/>
            <family val="2"/>
          </rPr>
          <t>Micah Noel:</t>
        </r>
        <r>
          <rPr>
            <sz val="9"/>
            <color indexed="81"/>
            <rFont val="Tahoma"/>
            <family val="2"/>
          </rPr>
          <t xml:space="preserve">
20mins filler change over from  carib to Stag ( explorer to short green) 36 mins EBI change over to run short green bottle. 10 mins changing from short to regular green bottles.</t>
        </r>
      </text>
    </comment>
    <comment ref="J32" authorId="2" shapeId="0" xr:uid="{0239806E-4AB8-47A9-848D-5D126AB348B7}">
      <text>
        <r>
          <rPr>
            <b/>
            <sz val="9"/>
            <color indexed="81"/>
            <rFont val="Tahoma"/>
            <family val="2"/>
          </rPr>
          <t>Micah Noel:</t>
        </r>
        <r>
          <rPr>
            <sz val="9"/>
            <color indexed="81"/>
            <rFont val="Tahoma"/>
            <family val="2"/>
          </rPr>
          <t xml:space="preserve">
12mins waiting for product from filtration ( co2 had to be bubbled into product)</t>
        </r>
      </text>
    </comment>
    <comment ref="M32" authorId="0" shapeId="0" xr:uid="{6064A560-0090-419D-A741-5CCDA7405AAB}">
      <text>
        <r>
          <rPr>
            <b/>
            <sz val="9"/>
            <color indexed="81"/>
            <rFont val="Tahoma"/>
            <family val="2"/>
          </rPr>
          <t>Kaylil Baptiste:</t>
        </r>
        <r>
          <rPr>
            <sz val="9"/>
            <color indexed="81"/>
            <rFont val="Tahoma"/>
            <family val="2"/>
          </rPr>
          <t xml:space="preserve">
5mins low water pressure on filler </t>
        </r>
      </text>
    </comment>
    <comment ref="P32" authorId="0" shapeId="0" xr:uid="{C0CC2DBB-BB8E-4B6C-8404-1B7FAFBB288F}">
      <text>
        <r>
          <rPr>
            <b/>
            <sz val="9"/>
            <color indexed="81"/>
            <rFont val="Tahoma"/>
            <family val="2"/>
          </rPr>
          <t>Kaylil Baptiste:</t>
        </r>
        <r>
          <rPr>
            <sz val="9"/>
            <color indexed="81"/>
            <rFont val="Tahoma"/>
            <family val="2"/>
          </rPr>
          <t xml:space="preserve">
27mins washer discharge out of timing, 17mins fallen bottles on washer discharge</t>
        </r>
      </text>
    </comment>
    <comment ref="Q32" authorId="0" shapeId="0" xr:uid="{F10D9C6A-7C87-4A44-BE34-8720044DA167}">
      <text>
        <r>
          <rPr>
            <b/>
            <sz val="9"/>
            <color indexed="81"/>
            <rFont val="Tahoma"/>
            <family val="2"/>
          </rPr>
          <t>Kaylil Baptiste:</t>
        </r>
        <r>
          <rPr>
            <sz val="9"/>
            <color indexed="81"/>
            <rFont val="Tahoma"/>
            <family val="2"/>
          </rPr>
          <t xml:space="preserve">
13mins high EBI rejection, 7mins fallen bottles on EBI starwheel </t>
        </r>
      </text>
    </comment>
    <comment ref="S32" authorId="0" shapeId="0" xr:uid="{5CF07E79-B3AD-4416-8808-6BF6C8150832}">
      <text>
        <r>
          <rPr>
            <b/>
            <sz val="9"/>
            <color indexed="81"/>
            <rFont val="Tahoma"/>
            <family val="2"/>
          </rPr>
          <t>Kaylil Baptiste:</t>
        </r>
        <r>
          <rPr>
            <sz val="9"/>
            <color indexed="81"/>
            <rFont val="Tahoma"/>
            <family val="2"/>
          </rPr>
          <t xml:space="preserve">
36mins temperature dropped on pasteuriser</t>
        </r>
      </text>
    </comment>
    <comment ref="T32" authorId="0" shapeId="0" xr:uid="{7B4DD8E1-4A96-4A18-BDE9-9693ADE02A18}">
      <text>
        <r>
          <rPr>
            <b/>
            <sz val="9"/>
            <color indexed="81"/>
            <rFont val="Tahoma"/>
            <family val="2"/>
          </rPr>
          <t>Kaylil Baptiste:</t>
        </r>
        <r>
          <rPr>
            <sz val="9"/>
            <color indexed="81"/>
            <rFont val="Tahoma"/>
            <family val="2"/>
          </rPr>
          <t xml:space="preserve">
125mins break down on the labeler (power failure)</t>
        </r>
      </text>
    </comment>
    <comment ref="V32" authorId="0" shapeId="0" xr:uid="{ADFB4A9A-0824-485A-A527-A370160B7EDD}">
      <text>
        <r>
          <rPr>
            <b/>
            <sz val="9"/>
            <color indexed="81"/>
            <rFont val="Tahoma"/>
            <family val="2"/>
          </rPr>
          <t>Kaylil Baptiste:</t>
        </r>
        <r>
          <rPr>
            <sz val="9"/>
            <color indexed="81"/>
            <rFont val="Tahoma"/>
            <family val="2"/>
          </rPr>
          <t xml:space="preserve">
9mins fallen bottles inside shuffler</t>
        </r>
      </text>
    </comment>
    <comment ref="Q33" authorId="0" shapeId="0" xr:uid="{6B87D937-CE11-4746-87AC-3E8A0E5B2E8F}">
      <text>
        <r>
          <rPr>
            <b/>
            <sz val="9"/>
            <color indexed="81"/>
            <rFont val="Tahoma"/>
            <family val="2"/>
          </rPr>
          <t>Kaylil Baptiste:</t>
        </r>
        <r>
          <rPr>
            <sz val="9"/>
            <color indexed="81"/>
            <rFont val="Tahoma"/>
            <family val="2"/>
          </rPr>
          <t xml:space="preserve">
9mins EBI software reboot</t>
        </r>
      </text>
    </comment>
    <comment ref="W33" authorId="0" shapeId="0" xr:uid="{A26A3E7B-FC48-4DCD-BC5C-CAB42E93EDF4}">
      <text>
        <r>
          <rPr>
            <b/>
            <sz val="9"/>
            <color indexed="81"/>
            <rFont val="Tahoma"/>
            <family val="2"/>
          </rPr>
          <t>Kaylil Baptiste:</t>
        </r>
        <r>
          <rPr>
            <sz val="9"/>
            <color indexed="81"/>
            <rFont val="Tahoma"/>
            <family val="2"/>
          </rPr>
          <t xml:space="preserve">
17mins head adjustements being made </t>
        </r>
      </text>
    </comment>
    <comment ref="Z33" authorId="0" shapeId="0" xr:uid="{C35F62A0-EA51-43B0-B8A5-9170F5753E18}">
      <text>
        <r>
          <rPr>
            <b/>
            <sz val="9"/>
            <color indexed="81"/>
            <rFont val="Tahoma"/>
            <family val="2"/>
          </rPr>
          <t>Kaylil Baptiste:</t>
        </r>
        <r>
          <rPr>
            <sz val="9"/>
            <color indexed="81"/>
            <rFont val="Tahoma"/>
            <family val="2"/>
          </rPr>
          <t xml:space="preserve">
15mins stop to take midnight reading </t>
        </r>
      </text>
    </comment>
    <comment ref="AC33" authorId="0" shapeId="0" xr:uid="{3F0055F7-B68E-4F62-B7B8-87C32062D26E}">
      <text>
        <r>
          <rPr>
            <b/>
            <sz val="9"/>
            <color indexed="81"/>
            <rFont val="Tahoma"/>
            <family val="2"/>
          </rPr>
          <t>Kaylil Baptiste:</t>
        </r>
        <r>
          <rPr>
            <sz val="9"/>
            <color indexed="81"/>
            <rFont val="Tahoma"/>
            <family val="2"/>
          </rPr>
          <t xml:space="preserve">
9mins waiting on space to pack</t>
        </r>
      </text>
    </comment>
    <comment ref="G34" authorId="2" shapeId="0" xr:uid="{661BCAFE-D34C-43DD-8432-B58FCED1B03F}">
      <text>
        <r>
          <rPr>
            <b/>
            <sz val="9"/>
            <color indexed="81"/>
            <rFont val="Tahoma"/>
            <family val="2"/>
          </rPr>
          <t>Micah Noel:</t>
        </r>
        <r>
          <rPr>
            <sz val="9"/>
            <color indexed="81"/>
            <rFont val="Tahoma"/>
            <family val="2"/>
          </rPr>
          <t xml:space="preserve">
Issue with sensor on pasteurizer infeed conveyor delayed finish)</t>
        </r>
      </text>
    </comment>
    <comment ref="I34" authorId="4" shapeId="0" xr:uid="{F130804F-F67F-4230-8543-727422657841}">
      <text>
        <r>
          <rPr>
            <b/>
            <sz val="9"/>
            <color indexed="81"/>
            <rFont val="Tahoma"/>
            <family val="2"/>
          </rPr>
          <t>Dorien Andrew:</t>
        </r>
        <r>
          <rPr>
            <sz val="9"/>
            <color indexed="81"/>
            <rFont val="Tahoma"/>
            <family val="2"/>
          </rPr>
          <t xml:space="preserve">
44mins change over </t>
        </r>
      </text>
    </comment>
    <comment ref="Q34" authorId="0" shapeId="0" xr:uid="{789465AE-2E91-4C59-AF83-831FF1FEF664}">
      <text>
        <r>
          <rPr>
            <b/>
            <sz val="9"/>
            <color indexed="81"/>
            <rFont val="Tahoma"/>
            <family val="2"/>
          </rPr>
          <t>Kaylil Baptiste:</t>
        </r>
        <r>
          <rPr>
            <sz val="9"/>
            <color indexed="81"/>
            <rFont val="Tahoma"/>
            <family val="2"/>
          </rPr>
          <t xml:space="preserve">
14mins parameter adjustments on EBI, 9mins false rejection, 7mins high EBI rejection</t>
        </r>
      </text>
    </comment>
    <comment ref="R34" authorId="0" shapeId="0" xr:uid="{9073B02C-B9D8-4D08-87A8-B78EC7D5A685}">
      <text>
        <r>
          <rPr>
            <b/>
            <sz val="9"/>
            <color indexed="81"/>
            <rFont val="Tahoma"/>
            <family val="2"/>
          </rPr>
          <t>Kaylil Baptiste:</t>
        </r>
        <r>
          <rPr>
            <sz val="9"/>
            <color indexed="81"/>
            <rFont val="Tahoma"/>
            <family val="2"/>
          </rPr>
          <t xml:space="preserve">
76mins filler infeed star star/bottle guide sensor plus centering bell sensor malfunction</t>
        </r>
      </text>
    </comment>
    <comment ref="V34" authorId="0" shapeId="0" xr:uid="{BF6E2753-9531-4462-A421-503E27FCA45B}">
      <text>
        <r>
          <rPr>
            <b/>
            <sz val="9"/>
            <color indexed="81"/>
            <rFont val="Tahoma"/>
            <family val="2"/>
          </rPr>
          <t>Kaylil Baptiste:</t>
        </r>
        <r>
          <rPr>
            <sz val="9"/>
            <color indexed="81"/>
            <rFont val="Tahoma"/>
            <family val="2"/>
          </rPr>
          <t xml:space="preserve">
9mins EBI conveyor running slow, 7mins conveyor running too slow which create gaps on line  ultimately closing labeler infeed due to lack of adequate  bottle feed to machine, 7mins fallen bottles stuck inside shuffler</t>
        </r>
      </text>
    </comment>
    <comment ref="W34" authorId="0" shapeId="0" xr:uid="{50553F90-8AD9-422A-B441-3510D98CB318}">
      <text>
        <r>
          <rPr>
            <b/>
            <sz val="9"/>
            <color indexed="81"/>
            <rFont val="Tahoma"/>
            <family val="2"/>
          </rPr>
          <t>Kaylil Baptiste:</t>
        </r>
        <r>
          <rPr>
            <sz val="9"/>
            <color indexed="81"/>
            <rFont val="Tahoma"/>
            <family val="2"/>
          </rPr>
          <t xml:space="preserve">
141mins packer sensor malfunction, 25mins changing cups </t>
        </r>
      </text>
    </comment>
    <comment ref="X34" authorId="0" shapeId="0" xr:uid="{2F8E392D-209E-4523-99B2-34DF26405240}">
      <text>
        <r>
          <rPr>
            <b/>
            <sz val="9"/>
            <color indexed="81"/>
            <rFont val="Tahoma"/>
            <family val="2"/>
          </rPr>
          <t>Kaylil Baptiste:</t>
        </r>
        <r>
          <rPr>
            <sz val="9"/>
            <color indexed="81"/>
            <rFont val="Tahoma"/>
            <family val="2"/>
          </rPr>
          <t xml:space="preserve">
11mins cartoon errector malfunction</t>
        </r>
      </text>
    </comment>
    <comment ref="Z34" authorId="4" shapeId="0" xr:uid="{96E56ABC-534F-43BD-95C0-5EC8DA9D48E2}">
      <text>
        <r>
          <rPr>
            <b/>
            <sz val="9"/>
            <color indexed="81"/>
            <rFont val="Tahoma"/>
            <family val="2"/>
          </rPr>
          <t>Dorien Andrew:</t>
        </r>
        <r>
          <rPr>
            <sz val="9"/>
            <color indexed="81"/>
            <rFont val="Tahoma"/>
            <family val="2"/>
          </rPr>
          <t xml:space="preserve">
30 mins installing new seal tape 4 mins waiting for palletizer</t>
        </r>
      </text>
    </comment>
    <comment ref="I35" authorId="2" shapeId="0" xr:uid="{FA61F347-95F3-4A98-883B-E050F073448A}">
      <text>
        <r>
          <rPr>
            <b/>
            <sz val="9"/>
            <color indexed="81"/>
            <rFont val="Tahoma"/>
            <family val="2"/>
          </rPr>
          <t>Micah Noel:</t>
        </r>
        <r>
          <rPr>
            <sz val="9"/>
            <color indexed="81"/>
            <rFont val="Tahoma"/>
            <family val="2"/>
          </rPr>
          <t xml:space="preserve">
21 mins change over from export to local carib  gap created inside pasteurizer to separate export ( explorer) bottle from local (cdc bottle) carib. 23 MINS PACKER CHANGE OVER</t>
        </r>
      </text>
    </comment>
    <comment ref="Q35" authorId="0" shapeId="0" xr:uid="{1619AF04-0C16-4757-A298-8A0578F3AC7E}">
      <text>
        <r>
          <rPr>
            <b/>
            <sz val="9"/>
            <color indexed="81"/>
            <rFont val="Tahoma"/>
            <family val="2"/>
          </rPr>
          <t>Kaylil Baptiste:</t>
        </r>
        <r>
          <rPr>
            <sz val="9"/>
            <color indexed="81"/>
            <rFont val="Tahoma"/>
            <family val="2"/>
          </rPr>
          <t xml:space="preserve">
13mins EBI speed adjustments</t>
        </r>
      </text>
    </comment>
    <comment ref="T35" authorId="0" shapeId="0" xr:uid="{FFEAB623-6C29-4D81-B966-1DAF1A8ABAFE}">
      <text>
        <r>
          <rPr>
            <b/>
            <sz val="9"/>
            <color indexed="81"/>
            <rFont val="Tahoma"/>
            <family val="2"/>
          </rPr>
          <t>Kaylil Baptiste:</t>
        </r>
        <r>
          <rPr>
            <sz val="9"/>
            <color indexed="81"/>
            <rFont val="Tahoma"/>
            <family val="2"/>
          </rPr>
          <t xml:space="preserve">
8mins missing labels</t>
        </r>
      </text>
    </comment>
    <comment ref="V35" authorId="0" shapeId="0" xr:uid="{84B7469F-4998-4565-B130-6BDA1745D692}">
      <text>
        <r>
          <rPr>
            <b/>
            <sz val="9"/>
            <color indexed="81"/>
            <rFont val="Tahoma"/>
            <family val="2"/>
          </rPr>
          <t>Kaylil Baptiste:</t>
        </r>
        <r>
          <rPr>
            <sz val="9"/>
            <color indexed="81"/>
            <rFont val="Tahoma"/>
            <family val="2"/>
          </rPr>
          <t xml:space="preserve">
31mins pasteurizer infeed stopped it was later discovered by Itrad that the isolator for that conveyor was turned off</t>
        </r>
      </text>
    </comment>
    <comment ref="Z35" authorId="1" shapeId="0" xr:uid="{F8B00056-6C21-4A8A-B74B-183FF534AD15}">
      <text>
        <r>
          <rPr>
            <b/>
            <sz val="9"/>
            <color indexed="81"/>
            <rFont val="Tahoma"/>
            <family val="2"/>
          </rPr>
          <t>Michael Julien:</t>
        </r>
        <r>
          <rPr>
            <sz val="9"/>
            <color indexed="81"/>
            <rFont val="Tahoma"/>
            <family val="2"/>
          </rPr>
          <t xml:space="preserve">
8mins waiting on crate lids</t>
        </r>
      </text>
    </comment>
    <comment ref="I36" authorId="0" shapeId="0" xr:uid="{8D9ECAB3-0126-49B0-9ABC-90861FFE5AB1}">
      <text>
        <r>
          <rPr>
            <b/>
            <sz val="9"/>
            <color indexed="81"/>
            <rFont val="Tahoma"/>
            <family val="2"/>
          </rPr>
          <t>Kaylil Baptiste:</t>
        </r>
        <r>
          <rPr>
            <sz val="9"/>
            <color indexed="81"/>
            <rFont val="Tahoma"/>
            <family val="2"/>
          </rPr>
          <t xml:space="preserve">
10mins change over</t>
        </r>
      </text>
    </comment>
    <comment ref="Q36" authorId="0" shapeId="0" xr:uid="{67669928-C386-4C51-9A66-B970656393D4}">
      <text>
        <r>
          <rPr>
            <b/>
            <sz val="9"/>
            <color indexed="81"/>
            <rFont val="Tahoma"/>
            <family val="2"/>
          </rPr>
          <t>Kaylil Baptiste:</t>
        </r>
        <r>
          <rPr>
            <sz val="9"/>
            <color indexed="81"/>
            <rFont val="Tahoma"/>
            <family val="2"/>
          </rPr>
          <t xml:space="preserve">
6mins EBI infeed fault </t>
        </r>
      </text>
    </comment>
    <comment ref="T36" authorId="0" shapeId="0" xr:uid="{CD24451E-AC35-4C25-86AD-A8ECA66DC7DB}">
      <text>
        <r>
          <rPr>
            <b/>
            <sz val="9"/>
            <color indexed="81"/>
            <rFont val="Tahoma"/>
            <family val="2"/>
          </rPr>
          <t>Kaylil Baptiste:</t>
        </r>
        <r>
          <rPr>
            <sz val="9"/>
            <color indexed="81"/>
            <rFont val="Tahoma"/>
            <family val="2"/>
          </rPr>
          <t xml:space="preserve">
9mins gripper cylinder adjustments </t>
        </r>
      </text>
    </comment>
    <comment ref="V36" authorId="0" shapeId="0" xr:uid="{09E12749-9817-4779-8ECB-DC2FEF39FF61}">
      <text>
        <r>
          <rPr>
            <b/>
            <sz val="9"/>
            <color indexed="81"/>
            <rFont val="Tahoma"/>
            <family val="2"/>
          </rPr>
          <t>Kaylil Baptiste:</t>
        </r>
        <r>
          <rPr>
            <sz val="9"/>
            <color indexed="81"/>
            <rFont val="Tahoma"/>
            <family val="2"/>
          </rPr>
          <t xml:space="preserve">
34mins labeller infeed conveyor running slow, 8mins fallen bottles at pasteurizer discharge, 6mins fallen bottles inside shuffler</t>
        </r>
      </text>
    </comment>
    <comment ref="W36" authorId="0" shapeId="0" xr:uid="{077029CC-6289-48A7-BBDD-1BE63CC90196}">
      <text>
        <r>
          <rPr>
            <b/>
            <sz val="9"/>
            <color indexed="81"/>
            <rFont val="Tahoma"/>
            <family val="2"/>
          </rPr>
          <t>Kaylil Baptiste:</t>
        </r>
        <r>
          <rPr>
            <sz val="9"/>
            <color indexed="81"/>
            <rFont val="Tahoma"/>
            <family val="2"/>
          </rPr>
          <t xml:space="preserve">
5mins packer head adjustments</t>
        </r>
      </text>
    </comment>
    <comment ref="S37" authorId="0" shapeId="0" xr:uid="{604F3244-B9E3-4C97-8BAC-B7BDA0BBADFC}">
      <text>
        <r>
          <rPr>
            <b/>
            <sz val="9"/>
            <color indexed="81"/>
            <rFont val="Tahoma"/>
            <family val="2"/>
          </rPr>
          <t>Kaylil Baptiste:</t>
        </r>
        <r>
          <rPr>
            <sz val="9"/>
            <color indexed="81"/>
            <rFont val="Tahoma"/>
            <family val="2"/>
          </rPr>
          <t xml:space="preserve">
36mins air line blow off in control panel as a result machine had to stop for repair after repair temp went low so we waited for 11 mins but once temp went back up machine restarted but temp keep going up we lost an extra, 14 mins as aresult </t>
        </r>
      </text>
    </comment>
    <comment ref="Z37" authorId="0" shapeId="0" xr:uid="{A411C0B9-A0B7-460D-89CB-F95062FF8133}">
      <text>
        <r>
          <rPr>
            <b/>
            <sz val="9"/>
            <color indexed="81"/>
            <rFont val="Tahoma"/>
            <family val="2"/>
          </rPr>
          <t>Kaylil Baptiste:</t>
        </r>
        <r>
          <rPr>
            <sz val="9"/>
            <color indexed="81"/>
            <rFont val="Tahoma"/>
            <family val="2"/>
          </rPr>
          <t xml:space="preserve">
15mins stop to take midnight reading </t>
        </r>
      </text>
    </comment>
    <comment ref="E38" authorId="5" shapeId="0" xr:uid="{3C80C8AE-F20F-4E00-A267-A0CDB1B65503}">
      <text>
        <t>[Threaded comment]
Your version of Excel allows you to read this threaded comment; however, any edits to it will get removed if the file is opened in a newer version of Excel. Learn more: https://go.microsoft.com/fwlink/?linkid=870924
Comment:
    Filling only ran for approximately 3 minutes</t>
      </text>
    </comment>
    <comment ref="I38" authorId="2" shapeId="0" xr:uid="{2CA1E3F1-1C74-403A-8F54-BB38EED76D50}">
      <text>
        <r>
          <rPr>
            <b/>
            <sz val="9"/>
            <color indexed="81"/>
            <rFont val="Tahoma"/>
            <family val="2"/>
          </rPr>
          <t>Micah Noel:</t>
        </r>
        <r>
          <rPr>
            <sz val="9"/>
            <color indexed="81"/>
            <rFont val="Tahoma"/>
            <family val="2"/>
          </rPr>
          <t xml:space="preserve">
filler change over from carib (amber ) to Pink Tink (short clear)</t>
        </r>
      </text>
    </comment>
    <comment ref="J38" authorId="2" shapeId="0" xr:uid="{5FD3B344-0FC1-4F6D-8708-A67E011D13C8}">
      <text>
        <r>
          <rPr>
            <b/>
            <sz val="9"/>
            <color indexed="81"/>
            <rFont val="Tahoma"/>
            <family val="2"/>
          </rPr>
          <t>Micah Noel:</t>
        </r>
        <r>
          <rPr>
            <sz val="9"/>
            <color indexed="81"/>
            <rFont val="Tahoma"/>
            <family val="2"/>
          </rPr>
          <t xml:space="preserve">
awaiting cold water from soft drink plant to cool filler bowl</t>
        </r>
      </text>
    </comment>
    <comment ref="L38" authorId="2" shapeId="0" xr:uid="{48880CDB-A65B-45BC-B9B7-34630C1FE87D}">
      <text>
        <r>
          <rPr>
            <b/>
            <sz val="9"/>
            <color indexed="81"/>
            <rFont val="Tahoma"/>
            <family val="2"/>
          </rPr>
          <t>Micah Noel:</t>
        </r>
        <r>
          <rPr>
            <sz val="9"/>
            <color indexed="81"/>
            <rFont val="Tahoma"/>
            <family val="2"/>
          </rPr>
          <t xml:space="preserve">
low co2 issue in soft drink plant ( co2 valve on carbo cooler)had to be worked on </t>
        </r>
      </text>
    </comment>
    <comment ref="S38" authorId="0" shapeId="0" xr:uid="{CD9704FE-6DBF-4977-A7DC-F5AEA2447644}">
      <text>
        <r>
          <rPr>
            <b/>
            <sz val="9"/>
            <color indexed="81"/>
            <rFont val="Tahoma"/>
            <family val="2"/>
          </rPr>
          <t>Kaylil Baptiste:</t>
        </r>
        <r>
          <rPr>
            <sz val="9"/>
            <color indexed="81"/>
            <rFont val="Tahoma"/>
            <family val="2"/>
          </rPr>
          <t xml:space="preserve">
220 mins awaiting dry run results ( had to be conducted twice)</t>
        </r>
      </text>
    </comment>
    <comment ref="Z38" authorId="2" shapeId="0" xr:uid="{3BB0592F-EB04-4EF1-B266-D945602A559D}">
      <text>
        <r>
          <rPr>
            <b/>
            <sz val="9"/>
            <color indexed="81"/>
            <rFont val="Tahoma"/>
            <family val="2"/>
          </rPr>
          <t>Micah Noel:</t>
        </r>
        <r>
          <rPr>
            <sz val="9"/>
            <color indexed="81"/>
            <rFont val="Tahoma"/>
            <family val="2"/>
          </rPr>
          <t xml:space="preserve">
623mins no level control on carbo cooler final mix reservoir (product overflowing ) . NO BOTTLING ON 2-9 SHIFT, 13mins filler preparation</t>
        </r>
      </text>
    </comment>
    <comment ref="H39" authorId="0" shapeId="0" xr:uid="{265B5972-CFD7-4F10-8D4E-B72DEBC14914}">
      <text>
        <r>
          <rPr>
            <b/>
            <sz val="9"/>
            <color indexed="81"/>
            <rFont val="Tahoma"/>
            <family val="2"/>
          </rPr>
          <t>Kaylil Baptiste:</t>
        </r>
        <r>
          <rPr>
            <sz val="9"/>
            <color indexed="81"/>
            <rFont val="Tahoma"/>
            <family val="2"/>
          </rPr>
          <t xml:space="preserve">
15 mins waiitng for crowns</t>
        </r>
      </text>
    </comment>
    <comment ref="O39" authorId="0" shapeId="0" xr:uid="{BB34F417-DF6F-4726-A713-E86440B587C9}">
      <text>
        <r>
          <rPr>
            <b/>
            <sz val="9"/>
            <color indexed="81"/>
            <rFont val="Tahoma"/>
            <family val="2"/>
          </rPr>
          <t>Kaylil Baptiste:</t>
        </r>
        <r>
          <rPr>
            <sz val="9"/>
            <color indexed="81"/>
            <rFont val="Tahoma"/>
            <family val="2"/>
          </rPr>
          <t xml:space="preserve">
11mins uncaser head hitting crates</t>
        </r>
      </text>
    </comment>
    <comment ref="P39" authorId="0" shapeId="0" xr:uid="{71992A5D-0E27-4FF9-A4B6-B22765A2E5E8}">
      <text>
        <r>
          <rPr>
            <b/>
            <sz val="9"/>
            <color indexed="81"/>
            <rFont val="Tahoma"/>
            <family val="2"/>
          </rPr>
          <t>Kaylil Baptiste:</t>
        </r>
        <r>
          <rPr>
            <sz val="9"/>
            <color indexed="81"/>
            <rFont val="Tahoma"/>
            <family val="2"/>
          </rPr>
          <t xml:space="preserve">
34mins fallen bottles at washer discharge flap </t>
        </r>
      </text>
    </comment>
    <comment ref="Q39" authorId="0" shapeId="0" xr:uid="{B61291ED-6CEC-483C-A4F7-269543BBB7C7}">
      <text>
        <r>
          <rPr>
            <b/>
            <sz val="9"/>
            <color indexed="81"/>
            <rFont val="Tahoma"/>
            <family val="2"/>
          </rPr>
          <t>Kaylil Baptiste:</t>
        </r>
        <r>
          <rPr>
            <sz val="9"/>
            <color indexed="81"/>
            <rFont val="Tahoma"/>
            <family val="2"/>
          </rPr>
          <t xml:space="preserve">
108mins malfunction on EBI starwheel, 16mins high EBI rejection, 8mins fallen bottles at EBI starwheel</t>
        </r>
      </text>
    </comment>
    <comment ref="R39" authorId="0" shapeId="0" xr:uid="{29E6F48E-85BD-4C03-BE67-45A9E5B19708}">
      <text>
        <r>
          <rPr>
            <b/>
            <sz val="9"/>
            <color indexed="81"/>
            <rFont val="Tahoma"/>
            <family val="2"/>
          </rPr>
          <t>Kaylil Baptiste:</t>
        </r>
        <r>
          <rPr>
            <sz val="9"/>
            <color indexed="81"/>
            <rFont val="Tahoma"/>
            <family val="2"/>
          </rPr>
          <t xml:space="preserve">
53mins communication issue on filler </t>
        </r>
      </text>
    </comment>
    <comment ref="S39" authorId="0" shapeId="0" xr:uid="{6DA3613F-5EAE-4DBF-9657-37F227A4E052}">
      <text>
        <r>
          <rPr>
            <b/>
            <sz val="9"/>
            <color indexed="81"/>
            <rFont val="Tahoma"/>
            <family val="2"/>
          </rPr>
          <t>Kaylil Baptiste:</t>
        </r>
        <r>
          <rPr>
            <sz val="9"/>
            <color indexed="81"/>
            <rFont val="Tahoma"/>
            <family val="2"/>
          </rPr>
          <t xml:space="preserve">
 7mins low temp on pasteurizer</t>
        </r>
      </text>
    </comment>
    <comment ref="V39" authorId="0" shapeId="0" xr:uid="{1DC9BACE-6D49-40C2-8BBA-CEB55DDF2C63}">
      <text>
        <r>
          <rPr>
            <b/>
            <sz val="9"/>
            <color indexed="81"/>
            <rFont val="Tahoma"/>
            <family val="2"/>
          </rPr>
          <t>Kaylil Baptiste:</t>
        </r>
        <r>
          <rPr>
            <sz val="9"/>
            <color indexed="81"/>
            <rFont val="Tahoma"/>
            <family val="2"/>
          </rPr>
          <t xml:space="preserve">
12mins fallen bottles inside EBI shuffler</t>
        </r>
      </text>
    </comment>
    <comment ref="W39" authorId="0" shapeId="0" xr:uid="{FFA0B4BD-7675-4CE7-A05F-02F74CC055BA}">
      <text>
        <r>
          <rPr>
            <b/>
            <sz val="9"/>
            <color indexed="81"/>
            <rFont val="Tahoma"/>
            <family val="2"/>
          </rPr>
          <t>Kaylil Baptiste:</t>
        </r>
        <r>
          <rPr>
            <sz val="9"/>
            <color indexed="81"/>
            <rFont val="Tahoma"/>
            <family val="2"/>
          </rPr>
          <t xml:space="preserve">
194mins head malfunction on uncaser -servo motor on head had to be replaced</t>
        </r>
      </text>
    </comment>
    <comment ref="Z39" authorId="0" shapeId="0" xr:uid="{511E2B45-5D09-4721-B921-EBBE33D0769D}">
      <text>
        <r>
          <rPr>
            <b/>
            <sz val="9"/>
            <color indexed="81"/>
            <rFont val="Tahoma"/>
            <family val="2"/>
          </rPr>
          <t>Kaylil Baptiste:</t>
        </r>
        <r>
          <rPr>
            <sz val="9"/>
            <color indexed="81"/>
            <rFont val="Tahoma"/>
            <family val="2"/>
          </rPr>
          <t xml:space="preserve">
40mins waiting on dry run</t>
        </r>
      </text>
    </comment>
    <comment ref="AB39" authorId="0" shapeId="0" xr:uid="{0FEF5197-63ED-4377-8397-EB193FA74679}">
      <text>
        <r>
          <rPr>
            <b/>
            <sz val="9"/>
            <color indexed="81"/>
            <rFont val="Tahoma"/>
            <family val="2"/>
          </rPr>
          <t>Kaylil Baptiste:</t>
        </r>
        <r>
          <rPr>
            <sz val="9"/>
            <color indexed="81"/>
            <rFont val="Tahoma"/>
            <family val="2"/>
          </rPr>
          <t xml:space="preserve">
7mins high rejection due to rewashed bottles </t>
        </r>
      </text>
    </comment>
    <comment ref="I40" authorId="2" shapeId="0" xr:uid="{7949AD4A-FA84-4B03-BFA5-28201DB968CD}">
      <text>
        <r>
          <rPr>
            <b/>
            <sz val="9"/>
            <color indexed="81"/>
            <rFont val="Tahoma"/>
            <family val="2"/>
          </rPr>
          <t>Micah Noel:</t>
        </r>
        <r>
          <rPr>
            <sz val="9"/>
            <color indexed="81"/>
            <rFont val="Tahoma"/>
            <family val="2"/>
          </rPr>
          <t xml:space="preserve">
75mins Changing over filler star malt to ting</t>
        </r>
      </text>
    </comment>
    <comment ref="Z40" authorId="2" shapeId="0" xr:uid="{6AA206E6-0BCB-442B-A83E-983F09430B36}">
      <text>
        <r>
          <rPr>
            <b/>
            <sz val="9"/>
            <color indexed="81"/>
            <rFont val="Tahoma"/>
            <family val="2"/>
          </rPr>
          <t>Micah Noel:</t>
        </r>
        <r>
          <rPr>
            <sz val="9"/>
            <color indexed="81"/>
            <rFont val="Tahoma"/>
            <family val="2"/>
          </rPr>
          <t xml:space="preserve">
15 Mins waiting for pasteurizer to reach desired temps 55 mins awaiting dry run</t>
        </r>
      </text>
    </comment>
    <comment ref="J41" authorId="0" shapeId="0" xr:uid="{D5A4AB69-3D3B-48EA-ABF1-2783470ACA0C}">
      <text>
        <r>
          <rPr>
            <b/>
            <sz val="9"/>
            <color indexed="81"/>
            <rFont val="Tahoma"/>
            <family val="2"/>
          </rPr>
          <t>Kaylil Baptiste:</t>
        </r>
        <r>
          <rPr>
            <sz val="9"/>
            <color indexed="81"/>
            <rFont val="Tahoma"/>
            <family val="2"/>
          </rPr>
          <t xml:space="preserve">
60mins product not fit for bottling- Problem with product being out of spec</t>
        </r>
      </text>
    </comment>
    <comment ref="Z41" authorId="0" shapeId="0" xr:uid="{854E390F-B291-4805-8A5F-37F0C23464A6}">
      <text>
        <r>
          <rPr>
            <b/>
            <sz val="9"/>
            <color indexed="81"/>
            <rFont val="Tahoma"/>
            <family val="2"/>
          </rPr>
          <t>Kaylil Baptiste:</t>
        </r>
        <r>
          <rPr>
            <sz val="9"/>
            <color indexed="81"/>
            <rFont val="Tahoma"/>
            <family val="2"/>
          </rPr>
          <t xml:space="preserve">
75mins compressor cut off in soft drink plant</t>
        </r>
      </text>
    </comment>
    <comment ref="AB41" authorId="0" shapeId="0" xr:uid="{AA5EEC2B-EA6C-4705-A1AD-602C7BCD76D0}">
      <text>
        <r>
          <rPr>
            <b/>
            <sz val="9"/>
            <color indexed="81"/>
            <rFont val="Tahoma"/>
            <family val="2"/>
          </rPr>
          <t>Kaylil Baptiste:</t>
        </r>
        <r>
          <rPr>
            <sz val="9"/>
            <color indexed="81"/>
            <rFont val="Tahoma"/>
            <family val="2"/>
          </rPr>
          <t xml:space="preserve">
6mins high rejection due to rewashed</t>
        </r>
      </text>
    </comment>
    <comment ref="I42" authorId="1" shapeId="0" xr:uid="{4266EF68-59AE-4C5C-A380-6E6BB6D8A658}">
      <text>
        <r>
          <rPr>
            <b/>
            <sz val="9"/>
            <color indexed="81"/>
            <rFont val="Tahoma"/>
            <family val="2"/>
          </rPr>
          <t>Michael Julien:</t>
        </r>
        <r>
          <rPr>
            <sz val="9"/>
            <color indexed="81"/>
            <rFont val="Tahoma"/>
            <family val="2"/>
          </rPr>
          <t xml:space="preserve">
change over from ting to carib.</t>
        </r>
      </text>
    </comment>
    <comment ref="P42" authorId="0" shapeId="0" xr:uid="{3230C0DF-3997-44A6-B31A-6A25CEA1323E}">
      <text>
        <r>
          <rPr>
            <b/>
            <sz val="9"/>
            <color indexed="81"/>
            <rFont val="Tahoma"/>
            <family val="2"/>
          </rPr>
          <t>Kaylil Baptiste:</t>
        </r>
        <r>
          <rPr>
            <sz val="9"/>
            <color indexed="81"/>
            <rFont val="Tahoma"/>
            <family val="2"/>
          </rPr>
          <t xml:space="preserve">
29mins fallen bottles at washer discharge flap</t>
        </r>
      </text>
    </comment>
    <comment ref="R42" authorId="0" shapeId="0" xr:uid="{07A13BA5-E376-4317-A630-C81F00248391}">
      <text>
        <r>
          <rPr>
            <b/>
            <sz val="9"/>
            <color indexed="81"/>
            <rFont val="Tahoma"/>
            <family val="2"/>
          </rPr>
          <t>Kaylil Baptiste:</t>
        </r>
        <r>
          <rPr>
            <sz val="9"/>
            <color indexed="81"/>
            <rFont val="Tahoma"/>
            <family val="2"/>
          </rPr>
          <t xml:space="preserve">
14mins communication fault on filler </t>
        </r>
      </text>
    </comment>
    <comment ref="V42" authorId="0" shapeId="0" xr:uid="{EEAD9932-96D7-48AF-A994-8CB0DB224AED}">
      <text>
        <r>
          <rPr>
            <b/>
            <sz val="9"/>
            <color indexed="81"/>
            <rFont val="Tahoma"/>
            <family val="2"/>
          </rPr>
          <t>Kaylil Baptiste:</t>
        </r>
        <r>
          <rPr>
            <sz val="9"/>
            <color indexed="81"/>
            <rFont val="Tahoma"/>
            <family val="2"/>
          </rPr>
          <t xml:space="preserve">
22mins fallen bottles inside EBI shuffler</t>
        </r>
      </text>
    </comment>
    <comment ref="Z42" authorId="1" shapeId="0" xr:uid="{8B9C363C-E385-4095-AE24-A13BD74F9833}">
      <text>
        <r>
          <rPr>
            <b/>
            <sz val="9"/>
            <color indexed="81"/>
            <rFont val="Tahoma"/>
            <family val="2"/>
          </rPr>
          <t>Michael Julien:</t>
        </r>
        <r>
          <rPr>
            <sz val="9"/>
            <color indexed="81"/>
            <rFont val="Tahoma"/>
            <family val="2"/>
          </rPr>
          <t xml:space="preserve">
5mins gap in line, 6mins washer loading
</t>
        </r>
      </text>
    </comment>
    <comment ref="I43" authorId="2" shapeId="0" xr:uid="{6A036850-0529-4A37-AD80-ECA1EF95EE84}">
      <text>
        <r>
          <rPr>
            <b/>
            <sz val="9"/>
            <color indexed="81"/>
            <rFont val="Tahoma"/>
            <family val="2"/>
          </rPr>
          <t>Micah Noel:</t>
        </r>
        <r>
          <rPr>
            <sz val="9"/>
            <color indexed="81"/>
            <rFont val="Tahoma"/>
            <family val="2"/>
          </rPr>
          <t xml:space="preserve">
60mins filler change over from Carib to Pink Ting</t>
        </r>
      </text>
    </comment>
    <comment ref="R43" authorId="0" shapeId="0" xr:uid="{FB33715E-19D4-4A4D-A755-928AEA994DB6}">
      <text>
        <r>
          <rPr>
            <b/>
            <sz val="9"/>
            <color indexed="81"/>
            <rFont val="Tahoma"/>
            <family val="2"/>
          </rPr>
          <t>Kaylil Baptiste:</t>
        </r>
        <r>
          <rPr>
            <sz val="9"/>
            <color indexed="81"/>
            <rFont val="Tahoma"/>
            <family val="2"/>
          </rPr>
          <t xml:space="preserve">
8mins crowner adjustments</t>
        </r>
      </text>
    </comment>
    <comment ref="S43" authorId="0" shapeId="0" xr:uid="{6D6CBA8D-BC29-4DD4-9C15-73381ED53E83}">
      <text>
        <r>
          <rPr>
            <b/>
            <sz val="9"/>
            <color indexed="81"/>
            <rFont val="Tahoma"/>
            <family val="2"/>
          </rPr>
          <t>Kaylil Baptiste:</t>
        </r>
        <r>
          <rPr>
            <sz val="9"/>
            <color indexed="81"/>
            <rFont val="Tahoma"/>
            <family val="2"/>
          </rPr>
          <t xml:space="preserve">
90 mins extended dry run due to pump #5 failure to start ( monitor was stuck in tank six as issue with pump failure stopped pasteurizer), 60mins waiting dry run</t>
        </r>
      </text>
    </comment>
    <comment ref="AB43" authorId="1" shapeId="0" xr:uid="{EB340BF2-AE3E-4DE2-B58C-7990F72E14F9}">
      <text>
        <r>
          <rPr>
            <sz val="9"/>
            <color indexed="81"/>
            <rFont val="Tahoma"/>
            <family val="2"/>
          </rPr>
          <t>32 mins incorrect bottle jammed at starwheel</t>
        </r>
      </text>
    </comment>
    <comment ref="M44" authorId="0" shapeId="0" xr:uid="{A9325C15-FDCB-45B0-AE45-5A40D77F00B1}">
      <text>
        <r>
          <rPr>
            <b/>
            <sz val="9"/>
            <color indexed="81"/>
            <rFont val="Tahoma"/>
            <family val="2"/>
          </rPr>
          <t>Kaylil Baptiste:</t>
        </r>
        <r>
          <rPr>
            <sz val="9"/>
            <color indexed="81"/>
            <rFont val="Tahoma"/>
            <family val="2"/>
          </rPr>
          <t xml:space="preserve">
13 mins low water in soft drink plant.</t>
        </r>
      </text>
    </comment>
    <comment ref="O44" authorId="0" shapeId="0" xr:uid="{49F62967-432C-465D-94F6-6AE9864DBAEF}">
      <text>
        <r>
          <rPr>
            <b/>
            <sz val="9"/>
            <color indexed="81"/>
            <rFont val="Tahoma"/>
            <family val="2"/>
          </rPr>
          <t>Kaylil Baptiste:</t>
        </r>
        <r>
          <rPr>
            <sz val="9"/>
            <color indexed="81"/>
            <rFont val="Tahoma"/>
            <family val="2"/>
          </rPr>
          <t xml:space="preserve">
28mins screen replacement on uncaser, 7mins adjusting centering device </t>
        </r>
      </text>
    </comment>
    <comment ref="P44" authorId="0" shapeId="0" xr:uid="{81D9AD19-6EE5-4E04-BD4D-9CA385547BA4}">
      <text>
        <r>
          <rPr>
            <b/>
            <sz val="9"/>
            <color indexed="81"/>
            <rFont val="Tahoma"/>
            <family val="2"/>
          </rPr>
          <t>Kaylil Baptiste:</t>
        </r>
        <r>
          <rPr>
            <sz val="9"/>
            <color indexed="81"/>
            <rFont val="Tahoma"/>
            <family val="2"/>
          </rPr>
          <t xml:space="preserve">
32mins fallen bottles at washer discharge flap</t>
        </r>
      </text>
    </comment>
    <comment ref="Z44" authorId="1" shapeId="0" xr:uid="{51EADE59-6586-46BC-8FC9-48BEE8AE5760}">
      <text>
        <r>
          <rPr>
            <b/>
            <sz val="9"/>
            <color indexed="81"/>
            <rFont val="Tahoma"/>
            <family val="2"/>
          </rPr>
          <t>Michael Julien:</t>
        </r>
        <r>
          <rPr>
            <sz val="9"/>
            <color indexed="81"/>
            <rFont val="Tahoma"/>
            <family val="2"/>
          </rPr>
          <t xml:space="preserve">
13 min midnight change over</t>
        </r>
      </text>
    </comment>
    <comment ref="AB44" authorId="0" shapeId="0" xr:uid="{74B6F232-9B0D-4D16-BEB1-42228E6C3768}">
      <text>
        <r>
          <rPr>
            <b/>
            <sz val="9"/>
            <color indexed="81"/>
            <rFont val="Tahoma"/>
            <family val="2"/>
          </rPr>
          <t xml:space="preserve">Michael Julien:
</t>
        </r>
        <r>
          <rPr>
            <sz val="9"/>
            <color indexed="81"/>
            <rFont val="Tahoma"/>
            <family val="2"/>
          </rPr>
          <t xml:space="preserve">56 mins to remove wrong bottle type from line, 59mins incorrect bottle jamming starwheel </t>
        </r>
      </text>
    </comment>
    <comment ref="J45" authorId="2" shapeId="0" xr:uid="{B552ABC8-951B-4ADB-A632-9BEC32AE00E5}">
      <text>
        <r>
          <rPr>
            <b/>
            <sz val="9"/>
            <color indexed="81"/>
            <rFont val="Tahoma"/>
            <family val="2"/>
          </rPr>
          <t>Micah Noel:</t>
        </r>
        <r>
          <rPr>
            <sz val="9"/>
            <color indexed="81"/>
            <rFont val="Tahoma"/>
            <family val="2"/>
          </rPr>
          <t xml:space="preserve">
Preparation for blending Pornstar Martini  water sample checks consumed the greater portion of the 3-11 shift ( blending started 2135</t>
        </r>
      </text>
    </comment>
    <comment ref="J46" authorId="4" shapeId="0" xr:uid="{6132DE43-6AF6-4CCC-8866-0369E7B0C6C7}">
      <text>
        <r>
          <rPr>
            <b/>
            <sz val="9"/>
            <color indexed="81"/>
            <rFont val="Tahoma"/>
            <family val="2"/>
          </rPr>
          <t>Dorien Andrew:</t>
        </r>
        <r>
          <rPr>
            <sz val="9"/>
            <color indexed="81"/>
            <rFont val="Tahoma"/>
            <family val="2"/>
          </rPr>
          <t xml:space="preserve">
product being blending</t>
        </r>
      </text>
    </comment>
    <comment ref="O46" authorId="0" shapeId="0" xr:uid="{3CC6E4B2-F722-452B-AD57-B88AF5B55C4D}">
      <text>
        <r>
          <rPr>
            <b/>
            <sz val="9"/>
            <color indexed="81"/>
            <rFont val="Tahoma"/>
            <family val="2"/>
          </rPr>
          <t>Kaylil Baptiste:</t>
        </r>
        <r>
          <rPr>
            <sz val="9"/>
            <color indexed="81"/>
            <rFont val="Tahoma"/>
            <family val="2"/>
          </rPr>
          <t xml:space="preserve">
27mins uncaser screen issues, 11mins uncaser head malfuction</t>
        </r>
      </text>
    </comment>
    <comment ref="T46" authorId="0" shapeId="0" xr:uid="{065694B1-AEA2-42A7-B7DB-57A74F2B68A1}">
      <text>
        <r>
          <rPr>
            <b/>
            <sz val="9"/>
            <color indexed="81"/>
            <rFont val="Tahoma"/>
            <family val="2"/>
          </rPr>
          <t>Kaylil Baptiste:</t>
        </r>
        <r>
          <rPr>
            <sz val="9"/>
            <color indexed="81"/>
            <rFont val="Tahoma"/>
            <family val="2"/>
          </rPr>
          <t xml:space="preserve">
28mins adjustment to neck magazine (label is too big for magazine)</t>
        </r>
      </text>
    </comment>
    <comment ref="X46" authorId="0" shapeId="0" xr:uid="{88DE9F80-1501-42F4-BB9E-B74CB4261739}">
      <text>
        <r>
          <rPr>
            <b/>
            <sz val="9"/>
            <color indexed="81"/>
            <rFont val="Tahoma"/>
            <family val="2"/>
          </rPr>
          <t>Kaylil Baptiste:</t>
        </r>
        <r>
          <rPr>
            <sz val="9"/>
            <color indexed="81"/>
            <rFont val="Tahoma"/>
            <family val="2"/>
          </rPr>
          <t xml:space="preserve">
120mins replacing damaged belt on carton sealer, 13mins not printing, 8mins cartoon errector malfunction</t>
        </r>
      </text>
    </comment>
    <comment ref="AB46" authorId="0" shapeId="0" xr:uid="{92AB19F7-9488-4E92-9FE8-D9820D9C7E8B}">
      <text>
        <r>
          <rPr>
            <b/>
            <sz val="9"/>
            <color indexed="81"/>
            <rFont val="Tahoma"/>
            <family val="2"/>
          </rPr>
          <t>Kaylil Baptiste:</t>
        </r>
        <r>
          <rPr>
            <sz val="9"/>
            <color indexed="81"/>
            <rFont val="Tahoma"/>
            <family val="2"/>
          </rPr>
          <t xml:space="preserve">
32mins high rejection due to rewashed</t>
        </r>
      </text>
    </comment>
    <comment ref="I47" authorId="2" shapeId="0" xr:uid="{8B20BF11-D81B-4A4C-939D-1BE217A1EF87}">
      <text>
        <r>
          <rPr>
            <b/>
            <sz val="9"/>
            <color indexed="81"/>
            <rFont val="Tahoma"/>
            <family val="2"/>
          </rPr>
          <t>Micah Noel:</t>
        </r>
        <r>
          <rPr>
            <sz val="9"/>
            <color indexed="81"/>
            <rFont val="Tahoma"/>
            <family val="2"/>
          </rPr>
          <t xml:space="preserve">
Filler change over from pornstar to royale ( cold caustic)</t>
        </r>
      </text>
    </comment>
    <comment ref="Q47" authorId="0" shapeId="0" xr:uid="{09774367-6715-41DF-A541-B730CF022C45}">
      <text>
        <r>
          <rPr>
            <b/>
            <sz val="9"/>
            <color indexed="81"/>
            <rFont val="Tahoma"/>
            <family val="2"/>
          </rPr>
          <t>Kaylil Baptiste:</t>
        </r>
        <r>
          <rPr>
            <sz val="9"/>
            <color indexed="81"/>
            <rFont val="Tahoma"/>
            <family val="2"/>
          </rPr>
          <t xml:space="preserve">
66mins faulty bottles passing EBI, 11mins high EBI rejection</t>
        </r>
      </text>
    </comment>
    <comment ref="V47" authorId="0" shapeId="0" xr:uid="{E0354389-5BF4-4C19-BBF3-63FF834D5399}">
      <text>
        <r>
          <rPr>
            <b/>
            <sz val="9"/>
            <color indexed="81"/>
            <rFont val="Tahoma"/>
            <family val="2"/>
          </rPr>
          <t>Kaylil Baptiste:</t>
        </r>
        <r>
          <rPr>
            <sz val="9"/>
            <color indexed="81"/>
            <rFont val="Tahoma"/>
            <family val="2"/>
          </rPr>
          <t xml:space="preserve">
 5mins fallen bottle stuck on pasteurizer discharge</t>
        </r>
      </text>
    </comment>
    <comment ref="X47" authorId="0" shapeId="0" xr:uid="{6EDB2D82-B6C0-4498-B330-705ED6CAFAE8}">
      <text>
        <r>
          <rPr>
            <b/>
            <sz val="9"/>
            <color indexed="81"/>
            <rFont val="Tahoma"/>
            <family val="2"/>
          </rPr>
          <t>Kaylil Baptiste:</t>
        </r>
        <r>
          <rPr>
            <sz val="9"/>
            <color indexed="81"/>
            <rFont val="Tahoma"/>
            <family val="2"/>
          </rPr>
          <t xml:space="preserve">
40mins cartoon errector malfunction, 6mins tape not sealing properly</t>
        </r>
      </text>
    </comment>
    <comment ref="J48" authorId="0" shapeId="0" xr:uid="{D60BB285-34A2-4A57-9AD6-E7BDBDFB3E06}">
      <text>
        <r>
          <rPr>
            <b/>
            <sz val="9"/>
            <color indexed="81"/>
            <rFont val="Tahoma"/>
            <family val="2"/>
          </rPr>
          <t>Kaylil Baptiste:</t>
        </r>
        <r>
          <rPr>
            <sz val="9"/>
            <color indexed="81"/>
            <rFont val="Tahoma"/>
            <family val="2"/>
          </rPr>
          <t xml:space="preserve">
763mins waiting on product</t>
        </r>
      </text>
    </comment>
    <comment ref="O48" authorId="0" shapeId="0" xr:uid="{1E3569B7-FDB6-454A-810A-421375BF341D}">
      <text>
        <r>
          <rPr>
            <b/>
            <sz val="9"/>
            <color indexed="81"/>
            <rFont val="Tahoma"/>
            <family val="2"/>
          </rPr>
          <t>Kaylil Baptiste:</t>
        </r>
        <r>
          <rPr>
            <sz val="9"/>
            <color indexed="81"/>
            <rFont val="Tahoma"/>
            <family val="2"/>
          </rPr>
          <t xml:space="preserve">
71mins No power to one side of the head</t>
        </r>
      </text>
    </comment>
    <comment ref="R48" authorId="0" shapeId="0" xr:uid="{643EB37D-EF4F-4073-8F6A-6D8580A6D994}">
      <text>
        <r>
          <rPr>
            <b/>
            <sz val="9"/>
            <color indexed="81"/>
            <rFont val="Tahoma"/>
            <family val="2"/>
          </rPr>
          <t>Kaylil Baptiste:</t>
        </r>
        <r>
          <rPr>
            <sz val="9"/>
            <color indexed="81"/>
            <rFont val="Tahoma"/>
            <family val="2"/>
          </rPr>
          <t xml:space="preserve">
5mins crimp adjustment </t>
        </r>
      </text>
    </comment>
    <comment ref="V48" authorId="0" shapeId="0" xr:uid="{7E167D36-0385-417E-8058-D34807D24798}">
      <text>
        <r>
          <rPr>
            <b/>
            <sz val="9"/>
            <color indexed="81"/>
            <rFont val="Tahoma"/>
            <family val="2"/>
          </rPr>
          <t>Kaylil Baptiste:</t>
        </r>
        <r>
          <rPr>
            <sz val="9"/>
            <color indexed="81"/>
            <rFont val="Tahoma"/>
            <family val="2"/>
          </rPr>
          <t xml:space="preserve">
8 mins Incorrect bottle type stuck on conveyor</t>
        </r>
      </text>
    </comment>
    <comment ref="X48" authorId="0" shapeId="0" xr:uid="{ACC27D08-8276-4A6E-81B9-1D79F4825AAA}">
      <text>
        <r>
          <rPr>
            <b/>
            <sz val="9"/>
            <color indexed="81"/>
            <rFont val="Tahoma"/>
            <family val="2"/>
          </rPr>
          <t>Kaylil Baptiste:</t>
        </r>
        <r>
          <rPr>
            <sz val="9"/>
            <color indexed="81"/>
            <rFont val="Tahoma"/>
            <family val="2"/>
          </rPr>
          <t xml:space="preserve">
7mins carton sealer not sealing all cartons (skipping cartons)</t>
        </r>
      </text>
    </comment>
    <comment ref="Z48" authorId="2" shapeId="0" xr:uid="{F6787E94-CE47-47E3-B951-B9D4A669CCAC}">
      <text>
        <r>
          <rPr>
            <b/>
            <sz val="9"/>
            <color indexed="81"/>
            <rFont val="Tahoma"/>
            <family val="2"/>
          </rPr>
          <t>Micah Noel:</t>
        </r>
        <r>
          <rPr>
            <sz val="9"/>
            <color indexed="81"/>
            <rFont val="Tahoma"/>
            <family val="2"/>
          </rPr>
          <t xml:space="preserve">
4 mins stop to speak with employees about working extra hours to get some Carib out2 mins palletizer packing too slow </t>
        </r>
      </text>
    </comment>
    <comment ref="E49" authorId="2" shapeId="0" xr:uid="{3A86E2E9-D77D-4DB6-AC1D-C046BBF67837}">
      <text>
        <r>
          <rPr>
            <b/>
            <sz val="9"/>
            <color indexed="81"/>
            <rFont val="Tahoma"/>
            <family val="2"/>
          </rPr>
          <t>Micah Noel:</t>
        </r>
        <r>
          <rPr>
            <sz val="9"/>
            <color indexed="81"/>
            <rFont val="Tahoma"/>
            <family val="2"/>
          </rPr>
          <t xml:space="preserve">
filler was ready at 1907 however due to EBI problems filling was cancelled</t>
        </r>
      </text>
    </comment>
    <comment ref="I49" authorId="0" shapeId="0" xr:uid="{559DB677-6E22-4FD3-A7B7-6DD5EF59E41B}">
      <text>
        <r>
          <rPr>
            <b/>
            <sz val="9"/>
            <color indexed="81"/>
            <rFont val="Tahoma"/>
            <family val="2"/>
          </rPr>
          <t>Kaylil Baptiste:</t>
        </r>
        <r>
          <rPr>
            <sz val="9"/>
            <color indexed="81"/>
            <rFont val="Tahoma"/>
            <family val="2"/>
          </rPr>
          <t xml:space="preserve">
57mins filler change over</t>
        </r>
      </text>
    </comment>
    <comment ref="Q49" authorId="0" shapeId="0" xr:uid="{7B75BF9E-4631-4386-8BFF-F5AF0636B051}">
      <text>
        <r>
          <rPr>
            <b/>
            <sz val="9"/>
            <color indexed="81"/>
            <rFont val="Tahoma"/>
            <family val="2"/>
          </rPr>
          <t>Kaylil Baptiste:</t>
        </r>
        <r>
          <rPr>
            <sz val="9"/>
            <color indexed="81"/>
            <rFont val="Tahoma"/>
            <family val="2"/>
          </rPr>
          <t xml:space="preserve">
113mins EBI rejecting all bottles that enter unit (bottling had to be aborted)</t>
        </r>
      </text>
    </comment>
    <comment ref="P50" authorId="0" shapeId="0" xr:uid="{ADA3509C-9AAC-4E1D-8B41-BA2C67FF66F5}">
      <text>
        <r>
          <rPr>
            <b/>
            <sz val="9"/>
            <color indexed="81"/>
            <rFont val="Tahoma"/>
            <family val="2"/>
          </rPr>
          <t>Kaylil Baptiste:</t>
        </r>
        <r>
          <rPr>
            <sz val="9"/>
            <color indexed="81"/>
            <rFont val="Tahoma"/>
            <family val="2"/>
          </rPr>
          <t xml:space="preserve">
228mins maintenance working to address dicharge out of timing issue, 29mins fallen bottles at washer discharge, 5mins fallen bottles at washer infeed</t>
        </r>
      </text>
    </comment>
    <comment ref="Q50" authorId="0" shapeId="0" xr:uid="{F4B37C5A-9D98-4426-BBCC-4257AE1A2006}">
      <text>
        <r>
          <rPr>
            <b/>
            <sz val="9"/>
            <color indexed="81"/>
            <rFont val="Tahoma"/>
            <family val="2"/>
          </rPr>
          <t>Kaylil Baptiste:</t>
        </r>
        <r>
          <rPr>
            <sz val="9"/>
            <color indexed="81"/>
            <rFont val="Tahoma"/>
            <family val="2"/>
          </rPr>
          <t xml:space="preserve">
58mins consecutive rejection on neck finish, 31mins tech making adjustment to EBI</t>
        </r>
      </text>
    </comment>
    <comment ref="R50" authorId="0" shapeId="0" xr:uid="{F8F134C5-A86F-4BC7-ACF2-F7045A721738}">
      <text>
        <r>
          <rPr>
            <b/>
            <sz val="9"/>
            <color indexed="81"/>
            <rFont val="Tahoma"/>
            <family val="2"/>
          </rPr>
          <t>Kaylil Baptiste:</t>
        </r>
        <r>
          <rPr>
            <sz val="9"/>
            <color indexed="81"/>
            <rFont val="Tahoma"/>
            <family val="2"/>
          </rPr>
          <t xml:space="preserve">
39mins communication fault on filler, 7mins cleaning filler base</t>
        </r>
      </text>
    </comment>
    <comment ref="V50" authorId="0" shapeId="0" xr:uid="{7EAC6C60-BCB1-494C-B384-04F1821FD8FB}">
      <text>
        <r>
          <rPr>
            <b/>
            <sz val="9"/>
            <color indexed="81"/>
            <rFont val="Tahoma"/>
            <family val="2"/>
          </rPr>
          <t>Kaylil Baptiste:</t>
        </r>
        <r>
          <rPr>
            <sz val="9"/>
            <color indexed="81"/>
            <rFont val="Tahoma"/>
            <family val="2"/>
          </rPr>
          <t xml:space="preserve">
22mins EBI discharge sensor malfunction, 15mins fallen bottles sticking inside shuffler,5mins EBI discharge conveyor not running</t>
        </r>
      </text>
    </comment>
    <comment ref="Z50" authorId="4" shapeId="0" xr:uid="{A618CF75-502D-4FDF-A3E6-5BEC365EC128}">
      <text>
        <r>
          <rPr>
            <b/>
            <sz val="9"/>
            <color indexed="81"/>
            <rFont val="Tahoma"/>
            <family val="2"/>
          </rPr>
          <t>Dorien Andrew:</t>
        </r>
        <r>
          <rPr>
            <sz val="9"/>
            <color indexed="81"/>
            <rFont val="Tahoma"/>
            <family val="2"/>
          </rPr>
          <t xml:space="preserve">
180mins no lab tech on shift, 10mins filler preparation, 6mins fire alarm went off, 35 mins lost for picking up bottles from washer </t>
        </r>
      </text>
    </comment>
    <comment ref="J51" authorId="0" shapeId="0" xr:uid="{8482DD50-3CCD-4137-90C0-C83C1D527A10}">
      <text>
        <r>
          <rPr>
            <b/>
            <sz val="9"/>
            <color indexed="81"/>
            <rFont val="Tahoma"/>
            <family val="2"/>
          </rPr>
          <t>Kaylil Baptiste:</t>
        </r>
        <r>
          <rPr>
            <sz val="9"/>
            <color indexed="81"/>
            <rFont val="Tahoma"/>
            <family val="2"/>
          </rPr>
          <t xml:space="preserve">
8 mins removing low filled bottles from pasteurizer discharge conveyor (13 cases result of bad BBT switch)</t>
        </r>
      </text>
    </comment>
    <comment ref="O51" authorId="0" shapeId="0" xr:uid="{D16C7637-815D-4F71-B100-5ACD38FB6645}">
      <text>
        <r>
          <rPr>
            <b/>
            <sz val="9"/>
            <color indexed="81"/>
            <rFont val="Tahoma"/>
            <family val="2"/>
          </rPr>
          <t>Kaylil Baptiste:</t>
        </r>
        <r>
          <rPr>
            <sz val="9"/>
            <color indexed="81"/>
            <rFont val="Tahoma"/>
            <family val="2"/>
          </rPr>
          <t xml:space="preserve">
41mins uncaser head hitting crates</t>
        </r>
      </text>
    </comment>
    <comment ref="P51" authorId="0" shapeId="0" xr:uid="{85C69CDB-B773-4D6D-B6B9-59D4861CE58C}">
      <text>
        <r>
          <rPr>
            <b/>
            <sz val="9"/>
            <color indexed="81"/>
            <rFont val="Tahoma"/>
            <family val="2"/>
          </rPr>
          <t>Kaylil Baptiste:</t>
        </r>
        <r>
          <rPr>
            <sz val="9"/>
            <color indexed="81"/>
            <rFont val="Tahoma"/>
            <family val="2"/>
          </rPr>
          <t xml:space="preserve">
21mins fallen bottles at washer discharge flap</t>
        </r>
      </text>
    </comment>
    <comment ref="U51" authorId="0" shapeId="0" xr:uid="{88AD745F-3667-4544-A3A5-A7BBD06EC116}">
      <text>
        <r>
          <rPr>
            <b/>
            <sz val="9"/>
            <color indexed="81"/>
            <rFont val="Tahoma"/>
            <family val="2"/>
          </rPr>
          <t>Kaylil Baptiste:</t>
        </r>
        <r>
          <rPr>
            <sz val="9"/>
            <color indexed="81"/>
            <rFont val="Tahoma"/>
            <family val="2"/>
          </rPr>
          <t xml:space="preserve">
16mins videojet not printing properly</t>
        </r>
      </text>
    </comment>
    <comment ref="Z51" authorId="2" shapeId="0" xr:uid="{D804A5CB-B5C0-4F48-884D-4E24D7B02561}">
      <text>
        <r>
          <rPr>
            <b/>
            <sz val="9"/>
            <color indexed="81"/>
            <rFont val="Tahoma"/>
            <family val="2"/>
          </rPr>
          <t>Micah Noel:</t>
        </r>
        <r>
          <rPr>
            <sz val="9"/>
            <color indexed="81"/>
            <rFont val="Tahoma"/>
            <family val="2"/>
          </rPr>
          <t xml:space="preserve">
9 mins Filler operator taking midnight readings ( change over to a new day),  4 mins PU monitor stuck at pasteurizer discharge</t>
        </r>
      </text>
    </comment>
    <comment ref="I52" authorId="0" shapeId="0" xr:uid="{9CBED253-7236-4201-8A6B-B9B8685C2A9A}">
      <text>
        <r>
          <rPr>
            <b/>
            <sz val="9"/>
            <color indexed="81"/>
            <rFont val="Tahoma"/>
            <family val="2"/>
          </rPr>
          <t>Kaylil Baptiste:</t>
        </r>
        <r>
          <rPr>
            <sz val="9"/>
            <color indexed="81"/>
            <rFont val="Tahoma"/>
            <family val="2"/>
          </rPr>
          <t xml:space="preserve">
22mins change over</t>
        </r>
      </text>
    </comment>
    <comment ref="Q52" authorId="0" shapeId="0" xr:uid="{6E9A627A-723B-4240-8C69-B9F4A6356A08}">
      <text>
        <r>
          <rPr>
            <b/>
            <sz val="9"/>
            <color indexed="81"/>
            <rFont val="Tahoma"/>
            <family val="2"/>
          </rPr>
          <t>Kaylil Baptiste:</t>
        </r>
        <r>
          <rPr>
            <sz val="9"/>
            <color indexed="81"/>
            <rFont val="Tahoma"/>
            <family val="2"/>
          </rPr>
          <t xml:space="preserve">
6mins EBI parameter adjustment </t>
        </r>
      </text>
    </comment>
    <comment ref="R52" authorId="0" shapeId="0" xr:uid="{BF61C0E9-0809-485F-994B-14F68B707917}">
      <text>
        <r>
          <rPr>
            <b/>
            <sz val="9"/>
            <color indexed="81"/>
            <rFont val="Tahoma"/>
            <family val="2"/>
          </rPr>
          <t>Kaylil Baptiste:</t>
        </r>
        <r>
          <rPr>
            <sz val="9"/>
            <color indexed="81"/>
            <rFont val="Tahoma"/>
            <family val="2"/>
          </rPr>
          <t xml:space="preserve">
37mins replacing diaphram for valve #33</t>
        </r>
      </text>
    </comment>
    <comment ref="T52" authorId="0" shapeId="0" xr:uid="{688DB124-2816-4F54-AC8F-C71F9E98948C}">
      <text>
        <r>
          <rPr>
            <b/>
            <sz val="9"/>
            <color indexed="81"/>
            <rFont val="Tahoma"/>
            <family val="2"/>
          </rPr>
          <t>Kaylil Baptiste:</t>
        </r>
        <r>
          <rPr>
            <sz val="9"/>
            <color indexed="81"/>
            <rFont val="Tahoma"/>
            <family val="2"/>
          </rPr>
          <t xml:space="preserve">
6mins misaligned label adjustments</t>
        </r>
      </text>
    </comment>
    <comment ref="V52" authorId="0" shapeId="0" xr:uid="{AB81E9E4-3D18-4FAD-BED5-CD3AF75B5320}">
      <text>
        <r>
          <rPr>
            <b/>
            <sz val="9"/>
            <color indexed="81"/>
            <rFont val="Tahoma"/>
            <family val="2"/>
          </rPr>
          <t>Kaylil Baptiste:</t>
        </r>
        <r>
          <rPr>
            <sz val="9"/>
            <color indexed="81"/>
            <rFont val="Tahoma"/>
            <family val="2"/>
          </rPr>
          <t xml:space="preserve">
7mins fallen bottles at pasteurizer discharge</t>
        </r>
      </text>
    </comment>
    <comment ref="X52" authorId="0" shapeId="0" xr:uid="{60F23613-BCF7-4153-85C9-E3B3FB7BD16F}">
      <text>
        <r>
          <rPr>
            <b/>
            <sz val="9"/>
            <color indexed="81"/>
            <rFont val="Tahoma"/>
            <family val="2"/>
          </rPr>
          <t>Kaylil Baptiste:</t>
        </r>
        <r>
          <rPr>
            <sz val="9"/>
            <color indexed="81"/>
            <rFont val="Tahoma"/>
            <family val="2"/>
          </rPr>
          <t xml:space="preserve">
29mins carton coder malfunction, 10mins lost for not printing, 10mins lost for chain repair </t>
        </r>
      </text>
    </comment>
    <comment ref="Z52" authorId="2" shapeId="0" xr:uid="{A1326E18-0704-41DE-B024-6DEBA42C72E3}">
      <text>
        <r>
          <rPr>
            <b/>
            <sz val="9"/>
            <color indexed="81"/>
            <rFont val="Tahoma"/>
            <family val="2"/>
          </rPr>
          <t>Micah Noel:</t>
        </r>
        <r>
          <rPr>
            <sz val="9"/>
            <color indexed="81"/>
            <rFont val="Tahoma"/>
            <family val="2"/>
          </rPr>
          <t xml:space="preserve">
8 mins waiting for cartons (loading carton erector)</t>
        </r>
      </text>
    </comment>
    <comment ref="AB52" authorId="2" shapeId="0" xr:uid="{753B6128-A78F-4355-84C2-2BFBB413C765}">
      <text>
        <r>
          <rPr>
            <b/>
            <sz val="9"/>
            <color indexed="81"/>
            <rFont val="Tahoma"/>
            <family val="2"/>
          </rPr>
          <t>Micah Noel:</t>
        </r>
        <r>
          <rPr>
            <sz val="9"/>
            <color indexed="81"/>
            <rFont val="Tahoma"/>
            <family val="2"/>
          </rPr>
          <t xml:space="preserve">
no pallets for palletizing finished product</t>
        </r>
      </text>
    </comment>
    <comment ref="X53" authorId="0" shapeId="0" xr:uid="{3342C4B3-6DAD-440B-BA5D-4395C98EC34C}">
      <text>
        <r>
          <rPr>
            <b/>
            <sz val="9"/>
            <color indexed="81"/>
            <rFont val="Tahoma"/>
            <family val="2"/>
          </rPr>
          <t>Kaylil Baptiste:</t>
        </r>
        <r>
          <rPr>
            <sz val="9"/>
            <color indexed="81"/>
            <rFont val="Tahoma"/>
            <family val="2"/>
          </rPr>
          <t xml:space="preserve">
11mins cartoon errector bending flats, 6mins tape not sealing properly</t>
        </r>
      </text>
    </comment>
    <comment ref="Z53" authorId="2" shapeId="0" xr:uid="{46ADE89F-F043-4681-BCA9-E460B4570E1A}">
      <text>
        <r>
          <rPr>
            <b/>
            <sz val="9"/>
            <color indexed="81"/>
            <rFont val="Tahoma"/>
            <family val="2"/>
          </rPr>
          <t>Micah Noel:</t>
        </r>
        <r>
          <rPr>
            <sz val="9"/>
            <color indexed="81"/>
            <rFont val="Tahoma"/>
            <family val="2"/>
          </rPr>
          <t xml:space="preserve">
10mins Filler operator taking midnight readings plus creating gap inside pasteurizer to mark end of bottling  for 28 July</t>
        </r>
      </text>
    </comment>
    <comment ref="I54" authorId="0" shapeId="0" xr:uid="{D8BED2A5-4A1F-4870-97BE-1209A5575B8F}">
      <text>
        <r>
          <rPr>
            <b/>
            <sz val="9"/>
            <color indexed="81"/>
            <rFont val="Tahoma"/>
            <family val="2"/>
          </rPr>
          <t>Kaylil Baptiste:</t>
        </r>
        <r>
          <rPr>
            <sz val="9"/>
            <color indexed="81"/>
            <rFont val="Tahoma"/>
            <family val="2"/>
          </rPr>
          <t xml:space="preserve">
22mins EBI bottle type adjustment for Local Flint 
58mins packer change over</t>
        </r>
      </text>
    </comment>
    <comment ref="U54" authorId="0" shapeId="0" xr:uid="{635DBB9A-EF49-47CA-92DD-6FF999ED129A}">
      <text>
        <r>
          <rPr>
            <b/>
            <sz val="9"/>
            <color indexed="81"/>
            <rFont val="Tahoma"/>
            <family val="2"/>
          </rPr>
          <t>Kaylil Baptiste:</t>
        </r>
        <r>
          <rPr>
            <sz val="9"/>
            <color indexed="81"/>
            <rFont val="Tahoma"/>
            <family val="2"/>
          </rPr>
          <t xml:space="preserve">
6mins videojet not printing properly</t>
        </r>
      </text>
    </comment>
    <comment ref="V54" authorId="0" shapeId="0" xr:uid="{5EDEFCB8-C7FD-4D7A-B80D-E257509150C3}">
      <text>
        <r>
          <rPr>
            <b/>
            <sz val="9"/>
            <color indexed="81"/>
            <rFont val="Tahoma"/>
            <family val="2"/>
          </rPr>
          <t>Kaylil Baptiste:</t>
        </r>
        <r>
          <rPr>
            <sz val="9"/>
            <color indexed="81"/>
            <rFont val="Tahoma"/>
            <family val="2"/>
          </rPr>
          <t xml:space="preserve">
6mins fallen bottles at pasteurizer discharge</t>
        </r>
      </text>
    </comment>
    <comment ref="Z54" authorId="0" shapeId="0" xr:uid="{73774529-BCED-4F4F-8594-33E32B60CDE5}">
      <text>
        <r>
          <rPr>
            <b/>
            <sz val="9"/>
            <color indexed="81"/>
            <rFont val="Tahoma"/>
            <family val="2"/>
          </rPr>
          <t>Kaylil Baptiste:</t>
        </r>
        <r>
          <rPr>
            <sz val="9"/>
            <color indexed="81"/>
            <rFont val="Tahoma"/>
            <family val="2"/>
          </rPr>
          <t xml:space="preserve">
17mins waiting on stores to issue cartoon</t>
        </r>
      </text>
    </comment>
    <comment ref="I55" authorId="2" shapeId="0" xr:uid="{F0930004-E535-426B-966C-8A1619FA13EC}">
      <text>
        <r>
          <rPr>
            <b/>
            <sz val="9"/>
            <color indexed="81"/>
            <rFont val="Tahoma"/>
            <family val="2"/>
          </rPr>
          <t>Micah Noel:</t>
        </r>
        <r>
          <rPr>
            <sz val="9"/>
            <color indexed="81"/>
            <rFont val="Tahoma"/>
            <family val="2"/>
          </rPr>
          <t xml:space="preserve">
Fille c hnage over from Carib to Vita Malt</t>
        </r>
      </text>
    </comment>
    <comment ref="P55" authorId="0" shapeId="0" xr:uid="{69AD9885-DA8C-4B5E-9BFE-8A674CB8120F}">
      <text>
        <r>
          <rPr>
            <b/>
            <sz val="9"/>
            <color indexed="81"/>
            <rFont val="Tahoma"/>
            <family val="2"/>
          </rPr>
          <t>Kaylil Baptiste:</t>
        </r>
        <r>
          <rPr>
            <sz val="9"/>
            <color indexed="81"/>
            <rFont val="Tahoma"/>
            <family val="2"/>
          </rPr>
          <t xml:space="preserve">
11mins allen bottles at washer discharge</t>
        </r>
      </text>
    </comment>
    <comment ref="Q55" authorId="0" shapeId="0" xr:uid="{59E4F723-3FF3-41A2-ABDC-DF4789C60A6D}">
      <text>
        <r>
          <rPr>
            <b/>
            <sz val="9"/>
            <color indexed="81"/>
            <rFont val="Tahoma"/>
            <family val="2"/>
          </rPr>
          <t>Kaylil Baptiste:</t>
        </r>
        <r>
          <rPr>
            <sz val="9"/>
            <color indexed="81"/>
            <rFont val="Tahoma"/>
            <family val="2"/>
          </rPr>
          <t xml:space="preserve">
10mins adjustment to starwheel on EBI</t>
        </r>
      </text>
    </comment>
    <comment ref="R55" authorId="0" shapeId="0" xr:uid="{F40826C9-FE1D-4BD3-AB11-5B4DCD5FB242}">
      <text>
        <r>
          <rPr>
            <b/>
            <sz val="9"/>
            <color indexed="81"/>
            <rFont val="Tahoma"/>
            <family val="2"/>
          </rPr>
          <t>Kaylil Baptiste:</t>
        </r>
        <r>
          <rPr>
            <sz val="9"/>
            <color indexed="81"/>
            <rFont val="Tahoma"/>
            <family val="2"/>
          </rPr>
          <t xml:space="preserve">
30mins communication fault, 6mins cleaning filler base, 5mins crowner stuck in chute </t>
        </r>
      </text>
    </comment>
    <comment ref="S55" authorId="0" shapeId="0" xr:uid="{01852D0F-3D50-44A1-BEE1-DAE23870FD94}">
      <text>
        <r>
          <rPr>
            <b/>
            <sz val="9"/>
            <color indexed="81"/>
            <rFont val="Tahoma"/>
            <family val="2"/>
          </rPr>
          <t>Kaylil Baptiste:</t>
        </r>
        <r>
          <rPr>
            <sz val="9"/>
            <color indexed="81"/>
            <rFont val="Tahoma"/>
            <family val="2"/>
          </rPr>
          <t xml:space="preserve">
5mins tank #4 flap jam on pasteurizer</t>
        </r>
      </text>
    </comment>
    <comment ref="T55" authorId="0" shapeId="0" xr:uid="{E300BAC4-D62A-426E-B3FB-3AD23D6EA1AE}">
      <text>
        <r>
          <rPr>
            <b/>
            <sz val="9"/>
            <color indexed="81"/>
            <rFont val="Tahoma"/>
            <family val="2"/>
          </rPr>
          <t>Kaylil Baptiste:</t>
        </r>
        <r>
          <rPr>
            <sz val="9"/>
            <color indexed="81"/>
            <rFont val="Tahoma"/>
            <family val="2"/>
          </rPr>
          <t xml:space="preserve">
10mins misaligned label adjustments</t>
        </r>
      </text>
    </comment>
    <comment ref="V55" authorId="0" shapeId="0" xr:uid="{933ACE68-25B6-4E36-BBB1-5BAB37DB5C85}">
      <text>
        <r>
          <rPr>
            <b/>
            <sz val="9"/>
            <color indexed="81"/>
            <rFont val="Tahoma"/>
            <family val="2"/>
          </rPr>
          <t>Kaylil Baptiste:</t>
        </r>
        <r>
          <rPr>
            <sz val="9"/>
            <color indexed="81"/>
            <rFont val="Tahoma"/>
            <family val="2"/>
          </rPr>
          <t xml:space="preserve">
10mins fallen bottles inside shuffler</t>
        </r>
      </text>
    </comment>
    <comment ref="W55" authorId="0" shapeId="0" xr:uid="{75D121F2-DF32-46FC-819E-2820A50E4743}">
      <text>
        <r>
          <rPr>
            <b/>
            <sz val="9"/>
            <color indexed="81"/>
            <rFont val="Tahoma"/>
            <family val="2"/>
          </rPr>
          <t>Kaylil Baptiste:</t>
        </r>
        <r>
          <rPr>
            <sz val="9"/>
            <color indexed="81"/>
            <rFont val="Tahoma"/>
            <family val="2"/>
          </rPr>
          <t xml:space="preserve">
5mins broken bottles inside packer</t>
        </r>
      </text>
    </comment>
    <comment ref="Z55" authorId="2" shapeId="0" xr:uid="{1E664137-B419-4F43-BC9F-1C481DF70D76}">
      <text>
        <r>
          <rPr>
            <b/>
            <sz val="9"/>
            <color indexed="81"/>
            <rFont val="Tahoma"/>
            <family val="2"/>
          </rPr>
          <t>Micah Noel:</t>
        </r>
        <r>
          <rPr>
            <sz val="9"/>
            <color indexed="81"/>
            <rFont val="Tahoma"/>
            <family val="2"/>
          </rPr>
          <t xml:space="preserve">
10mins emptying pasteurizer of carib before doing dry run for Vita Malt. 60 mins waiting on pastuerizer to empty.285min relabeling of carib, 96mins waiting on gaf filter repair.</t>
        </r>
      </text>
    </comment>
    <comment ref="AB55" authorId="4" shapeId="0" xr:uid="{91256BF3-945F-45C7-8ED0-C530A8B90EBD}">
      <text>
        <r>
          <rPr>
            <b/>
            <sz val="9"/>
            <color indexed="81"/>
            <rFont val="Tahoma"/>
            <family val="2"/>
          </rPr>
          <t>Dorien Andrew:</t>
        </r>
        <r>
          <rPr>
            <sz val="9"/>
            <color indexed="81"/>
            <rFont val="Tahoma"/>
            <family val="2"/>
          </rPr>
          <t xml:space="preserve">
4mins palletizing area full waiting on forklift, 14mins high rejection due  to rewashed</t>
        </r>
      </text>
    </comment>
    <comment ref="P56" authorId="0" shapeId="0" xr:uid="{C8845204-770F-4127-9E99-57FBC526595B}">
      <text>
        <r>
          <rPr>
            <b/>
            <sz val="9"/>
            <color indexed="81"/>
            <rFont val="Tahoma"/>
            <family val="2"/>
          </rPr>
          <t>Kaylil Baptiste:</t>
        </r>
        <r>
          <rPr>
            <sz val="9"/>
            <color indexed="81"/>
            <rFont val="Tahoma"/>
            <family val="2"/>
          </rPr>
          <t xml:space="preserve">
5mins fallen bottles at washer infeed flap</t>
        </r>
      </text>
    </comment>
    <comment ref="V56" authorId="0" shapeId="0" xr:uid="{F5EA75CA-914F-4ABD-A551-225F878BE49B}">
      <text>
        <r>
          <rPr>
            <b/>
            <sz val="9"/>
            <color indexed="81"/>
            <rFont val="Tahoma"/>
            <family val="2"/>
          </rPr>
          <t>Kaylil Baptiste:</t>
        </r>
        <r>
          <rPr>
            <sz val="9"/>
            <color indexed="81"/>
            <rFont val="Tahoma"/>
            <family val="2"/>
          </rPr>
          <t xml:space="preserve">
18mins fallen bottles inside shuffler</t>
        </r>
      </text>
    </comment>
    <comment ref="Z56" authorId="0" shapeId="0" xr:uid="{1F756E06-92A2-46FD-A89B-0C02D2857871}">
      <text>
        <r>
          <rPr>
            <b/>
            <sz val="9"/>
            <color indexed="81"/>
            <rFont val="Tahoma"/>
            <family val="2"/>
          </rPr>
          <t>Kaylil Baptiste:</t>
        </r>
        <r>
          <rPr>
            <sz val="9"/>
            <color indexed="81"/>
            <rFont val="Tahoma"/>
            <family val="2"/>
          </rPr>
          <t xml:space="preserve">
Filler operator taking midnight reading plus creating gap inside pasteurizer to separate 29th production from start of 30th ( new day)</t>
        </r>
      </text>
    </comment>
    <comment ref="AB56" authorId="2" shapeId="0" xr:uid="{5681C33D-3DB2-4D70-8F1B-AC652A22A0B3}">
      <text>
        <r>
          <rPr>
            <b/>
            <sz val="9"/>
            <color indexed="81"/>
            <rFont val="Tahoma"/>
            <family val="2"/>
          </rPr>
          <t>Micah Noel:</t>
        </r>
        <r>
          <rPr>
            <sz val="9"/>
            <color indexed="81"/>
            <rFont val="Tahoma"/>
            <family val="2"/>
          </rPr>
          <t xml:space="preserve">
large vita Malt bottle stuck at EBI infeed</t>
        </r>
      </text>
    </comment>
    <comment ref="I57" authorId="2" shapeId="0" xr:uid="{D54C8ED7-0DE1-41FE-B79E-E8125A199F1F}">
      <text>
        <r>
          <rPr>
            <b/>
            <sz val="9"/>
            <color indexed="81"/>
            <rFont val="Tahoma"/>
            <family val="2"/>
          </rPr>
          <t>Micah Noel:</t>
        </r>
        <r>
          <rPr>
            <sz val="9"/>
            <color indexed="81"/>
            <rFont val="Tahoma"/>
            <family val="2"/>
          </rPr>
          <t xml:space="preserve">
filler change over from vita Malt to Stag</t>
        </r>
      </text>
    </comment>
    <comment ref="O57" authorId="0" shapeId="0" xr:uid="{73E0FC9F-6769-46F1-A452-51CD868ADB99}">
      <text>
        <r>
          <rPr>
            <b/>
            <sz val="9"/>
            <color indexed="81"/>
            <rFont val="Tahoma"/>
            <family val="2"/>
          </rPr>
          <t>Kaylil Baptiste:</t>
        </r>
        <r>
          <rPr>
            <sz val="9"/>
            <color indexed="81"/>
            <rFont val="Tahoma"/>
            <family val="2"/>
          </rPr>
          <t xml:space="preserve">
23mins adjusting drive belt on uncaser</t>
        </r>
      </text>
    </comment>
    <comment ref="P57" authorId="0" shapeId="0" xr:uid="{4BCE783D-3762-4E54-A85A-C171CCD07032}">
      <text>
        <r>
          <rPr>
            <b/>
            <sz val="9"/>
            <color indexed="81"/>
            <rFont val="Tahoma"/>
            <family val="2"/>
          </rPr>
          <t>Kaylil Baptiste:</t>
        </r>
        <r>
          <rPr>
            <sz val="9"/>
            <color indexed="81"/>
            <rFont val="Tahoma"/>
            <family val="2"/>
          </rPr>
          <t xml:space="preserve">
14mins high rejection due to labels</t>
        </r>
      </text>
    </comment>
    <comment ref="Q57" authorId="0" shapeId="0" xr:uid="{D6ECF98B-3AC2-46A8-BCD1-83E4F12F659A}">
      <text>
        <r>
          <rPr>
            <b/>
            <sz val="9"/>
            <color indexed="81"/>
            <rFont val="Tahoma"/>
            <family val="2"/>
          </rPr>
          <t>Kaylil Baptiste:</t>
        </r>
        <r>
          <rPr>
            <sz val="9"/>
            <color indexed="81"/>
            <rFont val="Tahoma"/>
            <family val="2"/>
          </rPr>
          <t xml:space="preserve">
15mins EBI rejecting all bottles ENI tech making adjustment, 10mins high EBI rejection</t>
        </r>
      </text>
    </comment>
    <comment ref="T57" authorId="0" shapeId="0" xr:uid="{9275B183-74E7-40FA-A916-D70AAE4BCA1B}">
      <text>
        <r>
          <rPr>
            <b/>
            <sz val="9"/>
            <color indexed="81"/>
            <rFont val="Tahoma"/>
            <family val="2"/>
          </rPr>
          <t>Kaylil Baptiste:</t>
        </r>
        <r>
          <rPr>
            <sz val="9"/>
            <color indexed="81"/>
            <rFont val="Tahoma"/>
            <family val="2"/>
          </rPr>
          <t xml:space="preserve">
20mins missing labels</t>
        </r>
      </text>
    </comment>
    <comment ref="V57" authorId="0" shapeId="0" xr:uid="{BB3E0E85-9B26-44AE-9B37-A312BC59E1B5}">
      <text>
        <r>
          <rPr>
            <b/>
            <sz val="9"/>
            <color indexed="81"/>
            <rFont val="Tahoma"/>
            <family val="2"/>
          </rPr>
          <t>Kaylil Baptiste:</t>
        </r>
        <r>
          <rPr>
            <sz val="9"/>
            <color indexed="81"/>
            <rFont val="Tahoma"/>
            <family val="2"/>
          </rPr>
          <t xml:space="preserve">
18mins fallen bottles inside shuffler</t>
        </r>
      </text>
    </comment>
    <comment ref="Z57" authorId="2" shapeId="0" xr:uid="{44FC6B4E-5A17-4D66-99D9-AE34D5CB7509}">
      <text>
        <r>
          <rPr>
            <b/>
            <sz val="9"/>
            <color indexed="81"/>
            <rFont val="Tahoma"/>
            <family val="2"/>
          </rPr>
          <t>Micah Noel:</t>
        </r>
        <r>
          <rPr>
            <sz val="9"/>
            <color indexed="81"/>
            <rFont val="Tahoma"/>
            <family val="2"/>
          </rPr>
          <t xml:space="preserve">
26 waiitng for pasteurizer reach specs for Stag 60 mins awaiitng dry run results 09 mins filler swab. 26 mins lost for house keeping washer bin over flowing with labels </t>
        </r>
      </text>
    </comment>
    <comment ref="AB57" authorId="0" shapeId="0" xr:uid="{5D405962-C062-4C39-98A1-643F4340CFA0}">
      <text>
        <r>
          <rPr>
            <b/>
            <sz val="9"/>
            <color indexed="81"/>
            <rFont val="Tahoma"/>
            <family val="2"/>
          </rPr>
          <t>Kaylil Baptiste:</t>
        </r>
        <r>
          <rPr>
            <sz val="9"/>
            <color indexed="81"/>
            <rFont val="Tahoma"/>
            <family val="2"/>
          </rPr>
          <t xml:space="preserve">
high rejection due to rewashed</t>
        </r>
      </text>
    </comment>
    <comment ref="J58" authorId="0" shapeId="0" xr:uid="{8D88F43A-176B-44F4-916F-69E0A8C3BD39}">
      <text>
        <r>
          <rPr>
            <b/>
            <sz val="9"/>
            <color indexed="81"/>
            <rFont val="Tahoma"/>
            <family val="2"/>
          </rPr>
          <t>Kaylil Baptiste:</t>
        </r>
        <r>
          <rPr>
            <sz val="9"/>
            <color indexed="81"/>
            <rFont val="Tahoma"/>
            <family val="2"/>
          </rPr>
          <t xml:space="preserve">
6mins waiting on lab for product relase</t>
        </r>
      </text>
    </comment>
    <comment ref="O58" authorId="0" shapeId="0" xr:uid="{85081A72-8DE5-4A41-B648-B2C66F93963C}">
      <text>
        <r>
          <rPr>
            <b/>
            <sz val="9"/>
            <color indexed="81"/>
            <rFont val="Tahoma"/>
            <family val="2"/>
          </rPr>
          <t>Kaylil Baptiste:</t>
        </r>
        <r>
          <rPr>
            <sz val="9"/>
            <color indexed="81"/>
            <rFont val="Tahoma"/>
            <family val="2"/>
          </rPr>
          <t xml:space="preserve">
14mins uncaser head malfunction</t>
        </r>
      </text>
    </comment>
    <comment ref="Q58" authorId="0" shapeId="0" xr:uid="{E7992DC5-2818-4369-89F5-9826A4B896BA}">
      <text>
        <r>
          <rPr>
            <b/>
            <sz val="9"/>
            <color indexed="81"/>
            <rFont val="Tahoma"/>
            <family val="2"/>
          </rPr>
          <t>Kaylil Baptiste:</t>
        </r>
        <r>
          <rPr>
            <sz val="9"/>
            <color indexed="81"/>
            <rFont val="Tahoma"/>
            <family val="2"/>
          </rPr>
          <t xml:space="preserve">
14mins high EBI rejection</t>
        </r>
      </text>
    </comment>
    <comment ref="Z58" authorId="4" shapeId="0" xr:uid="{498E1DE1-72B8-4015-96BF-EFC18AB35956}">
      <text>
        <r>
          <rPr>
            <b/>
            <sz val="9"/>
            <color indexed="81"/>
            <rFont val="Tahoma"/>
            <family val="2"/>
          </rPr>
          <t>Dorien Andrew:</t>
        </r>
        <r>
          <rPr>
            <sz val="9"/>
            <color indexed="81"/>
            <rFont val="Tahoma"/>
            <family val="2"/>
          </rPr>
          <t xml:space="preserve">
50mins midweek clean on washer </t>
        </r>
      </text>
    </comment>
    <comment ref="J59" authorId="0" shapeId="0" xr:uid="{313AB16D-6798-4B21-9D46-FCC04A7EBDDD}">
      <text>
        <r>
          <rPr>
            <b/>
            <sz val="9"/>
            <color indexed="81"/>
            <rFont val="Tahoma"/>
            <family val="2"/>
          </rPr>
          <t>Kaylil Baptiste:</t>
        </r>
        <r>
          <rPr>
            <sz val="9"/>
            <color indexed="81"/>
            <rFont val="Tahoma"/>
            <family val="2"/>
          </rPr>
          <t xml:space="preserve">
6mins removing low filled bottles from pasteurizer discharge ( bad BBT switch over), 60mins waiting on product</t>
        </r>
      </text>
    </comment>
    <comment ref="M59" authorId="2" shapeId="0" xr:uid="{2AE73A3A-031A-4B4A-BDC2-10D37B4A431A}">
      <text>
        <r>
          <rPr>
            <b/>
            <sz val="9"/>
            <color indexed="81"/>
            <rFont val="Tahoma"/>
            <family val="2"/>
          </rPr>
          <t>Micah Noel:</t>
        </r>
        <r>
          <rPr>
            <sz val="9"/>
            <color indexed="81"/>
            <rFont val="Tahoma"/>
            <family val="2"/>
          </rPr>
          <t xml:space="preserve">
Low water pressure on filler fobber due to problems with pump at water supply end (up the hill)</t>
        </r>
      </text>
    </comment>
    <comment ref="O59" authorId="0" shapeId="0" xr:uid="{67BF8FF4-3AEF-4D9F-8E0F-D7D1EE350AA4}">
      <text>
        <r>
          <rPr>
            <b/>
            <sz val="9"/>
            <color indexed="81"/>
            <rFont val="Tahoma"/>
            <family val="2"/>
          </rPr>
          <t>Kaylil Baptiste:</t>
        </r>
        <r>
          <rPr>
            <sz val="9"/>
            <color indexed="81"/>
            <rFont val="Tahoma"/>
            <family val="2"/>
          </rPr>
          <t xml:space="preserve">
22mins head not picking up bottles</t>
        </r>
      </text>
    </comment>
    <comment ref="P59" authorId="0" shapeId="0" xr:uid="{4E78F35B-673B-47B6-8669-A2E670C941DB}">
      <text>
        <r>
          <rPr>
            <b/>
            <sz val="9"/>
            <color indexed="81"/>
            <rFont val="Tahoma"/>
            <family val="2"/>
          </rPr>
          <t>Kaylil Baptiste:</t>
        </r>
        <r>
          <rPr>
            <sz val="9"/>
            <color indexed="81"/>
            <rFont val="Tahoma"/>
            <family val="2"/>
          </rPr>
          <t xml:space="preserve">
10mins bottles jamming at washer infeed</t>
        </r>
      </text>
    </comment>
    <comment ref="Q59" authorId="0" shapeId="0" xr:uid="{367E83A1-B88F-4FFA-A1CF-604631CE84A5}">
      <text>
        <r>
          <rPr>
            <b/>
            <sz val="9"/>
            <color indexed="81"/>
            <rFont val="Tahoma"/>
            <family val="2"/>
          </rPr>
          <t>Kaylil Baptiste:</t>
        </r>
        <r>
          <rPr>
            <sz val="9"/>
            <color indexed="81"/>
            <rFont val="Tahoma"/>
            <family val="2"/>
          </rPr>
          <t xml:space="preserve">
12mins high EBI rejection, 5mins fallen bottles on OSW</t>
        </r>
      </text>
    </comment>
    <comment ref="R59" authorId="0" shapeId="0" xr:uid="{221E5DEA-FD5F-453D-9A22-B387AE96AFFF}">
      <text>
        <r>
          <rPr>
            <b/>
            <sz val="9"/>
            <color indexed="81"/>
            <rFont val="Tahoma"/>
            <family val="2"/>
          </rPr>
          <t>Kaylil Baptiste:</t>
        </r>
        <r>
          <rPr>
            <sz val="9"/>
            <color indexed="81"/>
            <rFont val="Tahoma"/>
            <family val="2"/>
          </rPr>
          <t xml:space="preserve">
5mins crowner self flushing</t>
        </r>
      </text>
    </comment>
    <comment ref="U59" authorId="0" shapeId="0" xr:uid="{A75163B6-0BA4-4C83-9CD2-97E7328DBBC1}">
      <text>
        <r>
          <rPr>
            <b/>
            <sz val="9"/>
            <color indexed="81"/>
            <rFont val="Tahoma"/>
            <family val="2"/>
          </rPr>
          <t>Kaylil Baptiste:</t>
        </r>
        <r>
          <rPr>
            <sz val="9"/>
            <color indexed="81"/>
            <rFont val="Tahoma"/>
            <family val="2"/>
          </rPr>
          <t xml:space="preserve">
12mins videojet not printing properly</t>
        </r>
      </text>
    </comment>
    <comment ref="V59" authorId="0" shapeId="0" xr:uid="{429E92AC-F917-4455-97E7-1FCD7DDB5F2B}">
      <text>
        <r>
          <rPr>
            <b/>
            <sz val="9"/>
            <color indexed="81"/>
            <rFont val="Tahoma"/>
            <family val="2"/>
          </rPr>
          <t>Kaylil Baptiste:</t>
        </r>
        <r>
          <rPr>
            <sz val="9"/>
            <color indexed="81"/>
            <rFont val="Tahoma"/>
            <family val="2"/>
          </rPr>
          <t xml:space="preserve">
9 mins Pu monitor stuck at discharge</t>
        </r>
      </text>
    </comment>
    <comment ref="Z59" authorId="2" shapeId="0" xr:uid="{72BDF0A2-8939-4D42-9E0B-63016B2A9619}">
      <text>
        <r>
          <rPr>
            <b/>
            <sz val="9"/>
            <color indexed="81"/>
            <rFont val="Tahoma"/>
            <family val="2"/>
          </rPr>
          <t>Micah Noel:</t>
        </r>
        <r>
          <rPr>
            <sz val="9"/>
            <color indexed="81"/>
            <rFont val="Tahoma"/>
            <family val="2"/>
          </rPr>
          <t xml:space="preserve">
10 mins Filler operator taking midnight reading + creatin space between 30th bottling and the start of the 31st, 33mins toolbox meeting, 3 mins washer stopped by incoming supervisor to change speed</t>
        </r>
      </text>
    </comment>
    <comment ref="AB59" authorId="0" shapeId="0" xr:uid="{D7E94034-9168-46A2-9F70-540C0D606FF1}">
      <text>
        <r>
          <rPr>
            <b/>
            <sz val="9"/>
            <color indexed="81"/>
            <rFont val="Tahoma"/>
            <family val="2"/>
          </rPr>
          <t>Kaylil Baptiste:</t>
        </r>
        <r>
          <rPr>
            <sz val="9"/>
            <color indexed="81"/>
            <rFont val="Tahoma"/>
            <family val="2"/>
          </rPr>
          <t xml:space="preserve">
high rejects due to old bottles</t>
        </r>
      </text>
    </comment>
    <comment ref="N68" authorId="6" shapeId="0" xr:uid="{00000000-0006-0000-1800-00002A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8" authorId="6" shapeId="0" xr:uid="{00000000-0006-0000-1800-00002B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Kaylil Baptiste</author>
    <author>Micah Noel</author>
    <author>Tyrell Bartholomew</author>
    <author>Reshelle Fleming</author>
    <author>Michael Julien</author>
    <author>Dorien Andrew</author>
    <author>Royd</author>
  </authors>
  <commentList>
    <comment ref="O8" authorId="0" shapeId="0" xr:uid="{0408A36B-82B6-4D96-BBD3-4E0F19250B5D}">
      <text>
        <r>
          <rPr>
            <b/>
            <sz val="9"/>
            <color indexed="81"/>
            <rFont val="Tahoma"/>
            <family val="2"/>
          </rPr>
          <t>Kaylil Baptiste:</t>
        </r>
        <r>
          <rPr>
            <sz val="9"/>
            <color indexed="81"/>
            <rFont val="Tahoma"/>
            <family val="2"/>
          </rPr>
          <t xml:space="preserve">
48mins uncaser malfunction </t>
        </r>
      </text>
    </comment>
    <comment ref="Q8" authorId="0" shapeId="0" xr:uid="{35FAFDC0-C16B-4306-AC6F-085F8D87066D}">
      <text>
        <r>
          <rPr>
            <b/>
            <sz val="9"/>
            <color indexed="81"/>
            <rFont val="Tahoma"/>
            <family val="2"/>
          </rPr>
          <t>Kaylil Baptiste:</t>
        </r>
        <r>
          <rPr>
            <sz val="9"/>
            <color indexed="81"/>
            <rFont val="Tahoma"/>
            <family val="2"/>
          </rPr>
          <t xml:space="preserve">
80mins false EBI rejection, 18mins due to high rejection on neck finish and OSW ENI tech was called in to make the necessary adjustment</t>
        </r>
      </text>
    </comment>
    <comment ref="S8" authorId="0" shapeId="0" xr:uid="{910EADD6-707F-4A40-8A52-04E559E61129}">
      <text>
        <r>
          <rPr>
            <b/>
            <sz val="9"/>
            <color indexed="81"/>
            <rFont val="Tahoma"/>
            <family val="2"/>
          </rPr>
          <t>Kaylil Baptiste:</t>
        </r>
        <r>
          <rPr>
            <sz val="9"/>
            <color indexed="81"/>
            <rFont val="Tahoma"/>
            <family val="2"/>
          </rPr>
          <t xml:space="preserve">
25mins waiting on dry run, 17mins pump #4 cut off, 12 mins low water level on pasteurizer (long stop- temp regulation), 8mins sensor malfunction at pasteurizer infeed, 6mins low temo on pasteuriser</t>
        </r>
      </text>
    </comment>
    <comment ref="T8" authorId="0" shapeId="0" xr:uid="{387BCFB3-6541-42F1-AAEC-ED8C8B206765}">
      <text>
        <r>
          <rPr>
            <b/>
            <sz val="9"/>
            <color indexed="81"/>
            <rFont val="Tahoma"/>
            <family val="2"/>
          </rPr>
          <t>Kaylil Baptiste:</t>
        </r>
        <r>
          <rPr>
            <sz val="9"/>
            <color indexed="81"/>
            <rFont val="Tahoma"/>
            <family val="2"/>
          </rPr>
          <t xml:space="preserve">
165mins missing labels, 138mins magazine repairs and adjustment, 15mins misaligned label adjustments</t>
        </r>
      </text>
    </comment>
    <comment ref="V8" authorId="0" shapeId="0" xr:uid="{C2C6795D-2BAF-4508-9EAD-4ECB1E88CC79}">
      <text>
        <r>
          <rPr>
            <b/>
            <sz val="9"/>
            <color indexed="81"/>
            <rFont val="Tahoma"/>
            <family val="2"/>
          </rPr>
          <t>Kaylil Baptiste:</t>
        </r>
        <r>
          <rPr>
            <sz val="9"/>
            <color indexed="81"/>
            <rFont val="Tahoma"/>
            <family val="2"/>
          </rPr>
          <t xml:space="preserve">
11mins fallen bottles inside shuffler, 8mins fallen bottles at pasteurizer discharge, 6mins fallen bottles at pasteurizer infeed</t>
        </r>
      </text>
    </comment>
    <comment ref="Z8" authorId="1" shapeId="0" xr:uid="{4342695F-EA25-41CA-9480-7CEF100539CE}">
      <text>
        <r>
          <rPr>
            <b/>
            <sz val="9"/>
            <color indexed="81"/>
            <rFont val="Tahoma"/>
            <family val="2"/>
          </rPr>
          <t>Micah Noel:</t>
        </r>
        <r>
          <rPr>
            <sz val="9"/>
            <color indexed="81"/>
            <rFont val="Tahoma"/>
            <family val="2"/>
          </rPr>
          <t xml:space="preserve">
15mins product preparation</t>
        </r>
      </text>
    </comment>
    <comment ref="AB8" authorId="1" shapeId="0" xr:uid="{6191C32C-A216-4AB0-A2D6-16681013163F}">
      <text>
        <r>
          <rPr>
            <b/>
            <sz val="9"/>
            <color indexed="81"/>
            <rFont val="Tahoma"/>
            <family val="2"/>
          </rPr>
          <t>Micah Noel:</t>
        </r>
        <r>
          <rPr>
            <sz val="9"/>
            <color indexed="81"/>
            <rFont val="Tahoma"/>
            <family val="2"/>
          </rPr>
          <t xml:space="preserve">
26 mins waiting for crates and pallets, 6mins waiting on crowns</t>
        </r>
      </text>
    </comment>
    <comment ref="I9" authorId="0" shapeId="0" xr:uid="{81C026FD-951B-4DC6-9EAC-7EB69C964BC6}">
      <text>
        <r>
          <rPr>
            <b/>
            <sz val="9"/>
            <color indexed="81"/>
            <rFont val="Tahoma"/>
            <family val="2"/>
          </rPr>
          <t>Kaylil Baptiste:</t>
        </r>
        <r>
          <rPr>
            <sz val="9"/>
            <color indexed="81"/>
            <rFont val="Tahoma"/>
            <family val="2"/>
          </rPr>
          <t xml:space="preserve">
25mins product change over </t>
        </r>
      </text>
    </comment>
    <comment ref="J9" authorId="0" shapeId="0" xr:uid="{9A28DB0F-A1A2-4A6D-8F86-5A21909CBF9C}">
      <text>
        <r>
          <rPr>
            <b/>
            <sz val="9"/>
            <color indexed="81"/>
            <rFont val="Tahoma"/>
            <family val="2"/>
          </rPr>
          <t>Kaylil Baptiste:</t>
        </r>
        <r>
          <rPr>
            <sz val="9"/>
            <color indexed="81"/>
            <rFont val="Tahoma"/>
            <family val="2"/>
          </rPr>
          <t xml:space="preserve">
4mins waiting on product</t>
        </r>
      </text>
    </comment>
    <comment ref="O9" authorId="0" shapeId="0" xr:uid="{5FF75C86-4D24-4C1B-B143-350AE0914C0A}">
      <text>
        <r>
          <rPr>
            <b/>
            <sz val="9"/>
            <color indexed="81"/>
            <rFont val="Tahoma"/>
            <family val="2"/>
          </rPr>
          <t>Kaylil Baptiste:</t>
        </r>
        <r>
          <rPr>
            <sz val="9"/>
            <color indexed="81"/>
            <rFont val="Tahoma"/>
            <family val="2"/>
          </rPr>
          <t xml:space="preserve">
12mins uncaser head malfunction, 7mins uncaser guiding rail ran slack, 5mins uncaser head hitting crates</t>
        </r>
      </text>
    </comment>
    <comment ref="P9" authorId="0" shapeId="0" xr:uid="{048CBB25-62A2-42A6-B43A-6BA9AA4635A7}">
      <text>
        <r>
          <rPr>
            <b/>
            <sz val="9"/>
            <color indexed="81"/>
            <rFont val="Tahoma"/>
            <family val="2"/>
          </rPr>
          <t>Kaylil Baptiste:</t>
        </r>
        <r>
          <rPr>
            <sz val="9"/>
            <color indexed="81"/>
            <rFont val="Tahoma"/>
            <family val="2"/>
          </rPr>
          <t xml:space="preserve">
14 mins bottles jamming at washer discharge, 12mins bottles jamming at washer infeed, 9mins high rejection due to labels</t>
        </r>
      </text>
    </comment>
    <comment ref="Q9" authorId="0" shapeId="0" xr:uid="{7752026B-505E-44BF-8A49-B39CAE654B4D}">
      <text>
        <r>
          <rPr>
            <b/>
            <sz val="9"/>
            <color indexed="81"/>
            <rFont val="Tahoma"/>
            <family val="2"/>
          </rPr>
          <t>Kaylil Baptiste:</t>
        </r>
        <r>
          <rPr>
            <sz val="9"/>
            <color indexed="81"/>
            <rFont val="Tahoma"/>
            <family val="2"/>
          </rPr>
          <t xml:space="preserve">
8mins fallen bottles on EBI stawheel, 7mins high EBI rejection</t>
        </r>
      </text>
    </comment>
    <comment ref="S9" authorId="0" shapeId="0" xr:uid="{1227C6C7-2AA7-4491-AF0D-2104D54CFA0F}">
      <text>
        <r>
          <rPr>
            <b/>
            <sz val="9"/>
            <color indexed="81"/>
            <rFont val="Tahoma"/>
            <family val="2"/>
          </rPr>
          <t>Kaylil Baptiste:</t>
        </r>
        <r>
          <rPr>
            <sz val="9"/>
            <color indexed="81"/>
            <rFont val="Tahoma"/>
            <family val="2"/>
          </rPr>
          <t xml:space="preserve">
65mins waiting temp to go down from guinness, 10mins tank 2 overflowing on pasteurizer</t>
        </r>
      </text>
    </comment>
    <comment ref="T9" authorId="0" shapeId="0" xr:uid="{977D49B2-6DD1-409B-AEA2-931BD036A1CB}">
      <text>
        <r>
          <rPr>
            <b/>
            <sz val="9"/>
            <color indexed="81"/>
            <rFont val="Tahoma"/>
            <family val="2"/>
          </rPr>
          <t>Kaylil Baptiste:</t>
        </r>
        <r>
          <rPr>
            <sz val="9"/>
            <color indexed="81"/>
            <rFont val="Tahoma"/>
            <family val="2"/>
          </rPr>
          <t xml:space="preserve">
5mins labeler start up adjustments </t>
        </r>
      </text>
    </comment>
    <comment ref="V9" authorId="0" shapeId="0" xr:uid="{DC34F0F9-DB79-4FB1-81A4-49C22F0B7B62}">
      <text>
        <r>
          <rPr>
            <b/>
            <sz val="9"/>
            <color indexed="81"/>
            <rFont val="Tahoma"/>
            <family val="2"/>
          </rPr>
          <t>Kaylil Baptiste:</t>
        </r>
        <r>
          <rPr>
            <sz val="9"/>
            <color indexed="81"/>
            <rFont val="Tahoma"/>
            <family val="2"/>
          </rPr>
          <t xml:space="preserve">
10mins fallen bottles inside shuffler, 5mins sensor on conveyor jammed by broken bottle which caused the conveyor to remain in a stop position</t>
        </r>
      </text>
    </comment>
    <comment ref="W9" authorId="0" shapeId="0" xr:uid="{12061935-5EC5-4499-BB9C-4A22BC5BCDCD}">
      <text>
        <r>
          <rPr>
            <b/>
            <sz val="9"/>
            <color indexed="81"/>
            <rFont val="Tahoma"/>
            <family val="2"/>
          </rPr>
          <t>Kaylil Baptiste:</t>
        </r>
        <r>
          <rPr>
            <sz val="9"/>
            <color indexed="81"/>
            <rFont val="Tahoma"/>
            <family val="2"/>
          </rPr>
          <t xml:space="preserve">
13mins packer head adjustments, 11mins packer sensor malfunction</t>
        </r>
      </text>
    </comment>
    <comment ref="Z9" authorId="2" shapeId="0" xr:uid="{C4E8A303-9675-4A99-8A1C-9F9E966D9A84}">
      <text>
        <r>
          <rPr>
            <b/>
            <sz val="9"/>
            <color indexed="81"/>
            <rFont val="Tahoma"/>
            <family val="2"/>
          </rPr>
          <t>Tyrell Bartholomew:</t>
        </r>
        <r>
          <rPr>
            <sz val="9"/>
            <color indexed="81"/>
            <rFont val="Tahoma"/>
            <family val="2"/>
          </rPr>
          <t xml:space="preserve">
19 mins waiting on depalletizer 4 mins removing pallets of empty crates from uncaser discharge 28 mins blown bulb at sighters station</t>
        </r>
      </text>
    </comment>
    <comment ref="AB9" authorId="2" shapeId="0" xr:uid="{D86E60BC-F364-4388-8716-E3ACEECAA87D}">
      <text>
        <r>
          <rPr>
            <b/>
            <sz val="9"/>
            <color indexed="81"/>
            <rFont val="Tahoma"/>
            <family val="2"/>
          </rPr>
          <t>Tyrell Bartholomew:</t>
        </r>
        <r>
          <rPr>
            <sz val="9"/>
            <color indexed="81"/>
            <rFont val="Tahoma"/>
            <family val="2"/>
          </rPr>
          <t xml:space="preserve">
57mins heavy consecutive EBI rejection due to re-washed Bottle.</t>
        </r>
      </text>
    </comment>
    <comment ref="J10" authorId="3" shapeId="0" xr:uid="{D383A56A-4062-42ED-9917-E97EA2281AE4}">
      <text>
        <r>
          <rPr>
            <b/>
            <sz val="9"/>
            <color indexed="81"/>
            <rFont val="Tahoma"/>
            <family val="2"/>
          </rPr>
          <t>Reshelle Fleming:</t>
        </r>
        <r>
          <rPr>
            <sz val="9"/>
            <color indexed="81"/>
            <rFont val="Tahoma"/>
            <family val="2"/>
          </rPr>
          <t xml:space="preserve">
17mins low bowl level</t>
        </r>
      </text>
    </comment>
    <comment ref="P10" authorId="3" shapeId="0" xr:uid="{FA69E84F-7FC8-4F56-ABCC-12C8D000975D}">
      <text>
        <r>
          <rPr>
            <b/>
            <sz val="9"/>
            <color indexed="81"/>
            <rFont val="Tahoma"/>
            <family val="2"/>
          </rPr>
          <t>Reshelle Fleming:</t>
        </r>
        <r>
          <rPr>
            <sz val="9"/>
            <color indexed="81"/>
            <rFont val="Tahoma"/>
            <family val="2"/>
          </rPr>
          <t xml:space="preserve">
13mins breaker for pump #1 tripped (extractor</t>
        </r>
      </text>
    </comment>
    <comment ref="Q10" authorId="3" shapeId="0" xr:uid="{7EF4001B-7FFA-4696-8523-8E544D7CA2A3}">
      <text>
        <r>
          <rPr>
            <b/>
            <sz val="9"/>
            <color indexed="81"/>
            <rFont val="Tahoma"/>
            <family val="2"/>
          </rPr>
          <t>Reshelle Fleming:</t>
        </r>
        <r>
          <rPr>
            <sz val="9"/>
            <color indexed="81"/>
            <rFont val="Tahoma"/>
            <family val="2"/>
          </rPr>
          <t xml:space="preserve">
9mins High EBI rejection, 7mins fallen and incorrect bottles stuck in EBI Starwheel  </t>
        </r>
      </text>
    </comment>
    <comment ref="Z10" authorId="3" shapeId="0" xr:uid="{E4ADF2F0-F1F8-4FAC-ACC2-474D7A89B030}">
      <text>
        <r>
          <rPr>
            <b/>
            <sz val="9"/>
            <color indexed="81"/>
            <rFont val="Tahoma"/>
            <family val="2"/>
          </rPr>
          <t>Reshelle Fleming:</t>
        </r>
        <r>
          <rPr>
            <sz val="9"/>
            <color indexed="81"/>
            <rFont val="Tahoma"/>
            <family val="2"/>
          </rPr>
          <t xml:space="preserve">
10mins stop to take midnight reading, 4mins supervisor stop to load washer discharge conveyor </t>
        </r>
      </text>
    </comment>
    <comment ref="I11" authorId="1" shapeId="0" xr:uid="{49467671-5893-49F9-B812-0D1C54AE51D5}">
      <text>
        <r>
          <rPr>
            <b/>
            <sz val="9"/>
            <color indexed="81"/>
            <rFont val="Tahoma"/>
            <family val="2"/>
          </rPr>
          <t>Micah Noel:</t>
        </r>
        <r>
          <rPr>
            <sz val="9"/>
            <color indexed="81"/>
            <rFont val="Tahoma"/>
            <family val="2"/>
          </rPr>
          <t xml:space="preserve">
14mins Product Change-Over from Carib to Stag</t>
        </r>
      </text>
    </comment>
    <comment ref="O11" authorId="3" shapeId="0" xr:uid="{B57FFC9D-25B6-4B9F-BC68-F00418249E16}">
      <text>
        <r>
          <rPr>
            <b/>
            <sz val="9"/>
            <color indexed="81"/>
            <rFont val="Tahoma"/>
            <family val="2"/>
          </rPr>
          <t>Reshelle Fleming:</t>
        </r>
        <r>
          <rPr>
            <sz val="9"/>
            <color indexed="81"/>
            <rFont val="Tahoma"/>
            <family val="2"/>
          </rPr>
          <t xml:space="preserve">
6mins changing broken hose for Uncaser suction cup- leaking</t>
        </r>
      </text>
    </comment>
    <comment ref="Q11" authorId="3" shapeId="0" xr:uid="{AE95224E-84E9-4178-8E79-E989C579CFDB}">
      <text>
        <r>
          <rPr>
            <b/>
            <sz val="9"/>
            <color indexed="81"/>
            <rFont val="Tahoma"/>
            <family val="2"/>
          </rPr>
          <t>Reshelle Fleming:</t>
        </r>
        <r>
          <rPr>
            <sz val="9"/>
            <color indexed="81"/>
            <rFont val="Tahoma"/>
            <family val="2"/>
          </rPr>
          <t xml:space="preserve">
9mins High EBI rejection</t>
        </r>
      </text>
    </comment>
    <comment ref="U11" authorId="3" shapeId="0" xr:uid="{2E86B3D6-1CBF-4EC7-A2D1-2444FA9FC3CD}">
      <text>
        <r>
          <rPr>
            <b/>
            <sz val="9"/>
            <color indexed="81"/>
            <rFont val="Tahoma"/>
            <family val="2"/>
          </rPr>
          <t>Reshelle Fleming:</t>
        </r>
        <r>
          <rPr>
            <sz val="9"/>
            <color indexed="81"/>
            <rFont val="Tahoma"/>
            <family val="2"/>
          </rPr>
          <t xml:space="preserve">
41mins Videojet not printing properly</t>
        </r>
      </text>
    </comment>
    <comment ref="V11" authorId="3" shapeId="0" xr:uid="{7FD73C34-0730-4B5A-89B1-1ED0CE437CA7}">
      <text>
        <r>
          <rPr>
            <b/>
            <sz val="9"/>
            <color indexed="81"/>
            <rFont val="Tahoma"/>
            <family val="2"/>
          </rPr>
          <t>Reshelle Fleming:</t>
        </r>
        <r>
          <rPr>
            <sz val="9"/>
            <color indexed="81"/>
            <rFont val="Tahoma"/>
            <family val="2"/>
          </rPr>
          <t xml:space="preserve">
7mins Pasteurizer conveyor sensor malfunction, 25 mins pasteurizer discharge conveyors cut off</t>
        </r>
      </text>
    </comment>
    <comment ref="Z11" authorId="1" shapeId="0" xr:uid="{96A80EFB-0AA9-4AD8-9E41-7C613F0728E4}">
      <text>
        <r>
          <rPr>
            <b/>
            <sz val="9"/>
            <color indexed="81"/>
            <rFont val="Tahoma"/>
            <family val="2"/>
          </rPr>
          <t>Micah Noel:</t>
        </r>
        <r>
          <rPr>
            <sz val="9"/>
            <color indexed="81"/>
            <rFont val="Tahoma"/>
            <family val="2"/>
          </rPr>
          <t xml:space="preserve">
33mins lunch break, 16mins late start waiting for bottles from washer. </t>
        </r>
      </text>
    </comment>
    <comment ref="AB11" authorId="1" shapeId="0" xr:uid="{3F8C7A1B-07AB-42F1-8AC8-EB75C40CFA2D}">
      <text>
        <r>
          <rPr>
            <b/>
            <sz val="9"/>
            <color indexed="81"/>
            <rFont val="Tahoma"/>
            <family val="2"/>
          </rPr>
          <t>Micah Noel:</t>
        </r>
        <r>
          <rPr>
            <sz val="9"/>
            <color indexed="81"/>
            <rFont val="Tahoma"/>
            <family val="2"/>
          </rPr>
          <t xml:space="preserve">
,12mins heavy EBI rejection caused by prewasher &amp; mixed bottles on line</t>
        </r>
      </text>
    </comment>
    <comment ref="AC11" authorId="3" shapeId="0" xr:uid="{96A87FAB-75BA-4EF5-BC63-FA4EA5A2F656}">
      <text>
        <r>
          <rPr>
            <b/>
            <sz val="9"/>
            <color indexed="81"/>
            <rFont val="Tahoma"/>
            <family val="2"/>
          </rPr>
          <t>Reshelle Fleming:</t>
        </r>
        <r>
          <rPr>
            <sz val="9"/>
            <color indexed="81"/>
            <rFont val="Tahoma"/>
            <family val="2"/>
          </rPr>
          <t xml:space="preserve">
271mins due to space availabilty constraints</t>
        </r>
      </text>
    </comment>
    <comment ref="I12" authorId="4" shapeId="0" xr:uid="{2DD3B425-140F-4483-8077-157036AA0F56}">
      <text>
        <r>
          <rPr>
            <b/>
            <sz val="9"/>
            <color indexed="81"/>
            <rFont val="Tahoma"/>
            <family val="2"/>
          </rPr>
          <t>Michael Julien:</t>
        </r>
        <r>
          <rPr>
            <sz val="9"/>
            <color indexed="81"/>
            <rFont val="Tahoma"/>
            <family val="2"/>
          </rPr>
          <t xml:space="preserve">
21mins Product change over from stag to carib (14 cases stag placed on line for repasteurization.)</t>
        </r>
      </text>
    </comment>
    <comment ref="T12" authorId="3" shapeId="0" xr:uid="{6562B45F-F925-4244-8DBD-7A4F371DC3AE}">
      <text>
        <r>
          <rPr>
            <b/>
            <sz val="9"/>
            <color indexed="81"/>
            <rFont val="Tahoma"/>
            <family val="2"/>
          </rPr>
          <t>Reshelle Fleming:</t>
        </r>
        <r>
          <rPr>
            <sz val="9"/>
            <color indexed="81"/>
            <rFont val="Tahoma"/>
            <family val="2"/>
          </rPr>
          <t xml:space="preserve">
29mins Labeller safety circuit fault  </t>
        </r>
      </text>
    </comment>
    <comment ref="I13" authorId="3" shapeId="0" xr:uid="{3310D79D-9C06-4374-9573-5DFBF22360C7}">
      <text>
        <r>
          <rPr>
            <b/>
            <sz val="9"/>
            <color indexed="81"/>
            <rFont val="Tahoma"/>
            <family val="2"/>
          </rPr>
          <t>Reshelle Fleming:</t>
        </r>
        <r>
          <rPr>
            <sz val="9"/>
            <color indexed="81"/>
            <rFont val="Tahoma"/>
            <family val="2"/>
          </rPr>
          <t xml:space="preserve">
2mins change- over on labeller, 78mins Product change- Over from Carib to Starmalt </t>
        </r>
      </text>
    </comment>
    <comment ref="L13" authorId="4" shapeId="0" xr:uid="{62BD08E6-C6C1-487E-AF14-B9EEEF2632FA}">
      <text>
        <r>
          <rPr>
            <b/>
            <sz val="9"/>
            <color indexed="81"/>
            <rFont val="Tahoma"/>
            <family val="2"/>
          </rPr>
          <t>Michael Julien:</t>
        </r>
        <r>
          <rPr>
            <sz val="9"/>
            <color indexed="81"/>
            <rFont val="Tahoma"/>
            <family val="2"/>
          </rPr>
          <t xml:space="preserve">
63mins low CO2 on filler.</t>
        </r>
      </text>
    </comment>
    <comment ref="P13" authorId="3" shapeId="0" xr:uid="{0AB02918-7EAF-4DB5-995B-E1ACDBA31979}">
      <text>
        <r>
          <rPr>
            <b/>
            <sz val="9"/>
            <color indexed="81"/>
            <rFont val="Tahoma"/>
            <family val="2"/>
          </rPr>
          <t>Reshelle Fleming:</t>
        </r>
        <r>
          <rPr>
            <sz val="9"/>
            <color indexed="81"/>
            <rFont val="Tahoma"/>
            <family val="2"/>
          </rPr>
          <t xml:space="preserve">
13mins Broken bottles jam chain at washer discharge, 11mins bottles jamming at washer infeed </t>
        </r>
      </text>
    </comment>
    <comment ref="Q13" authorId="3" shapeId="0" xr:uid="{DCF2E838-64DE-41CE-A102-5F64C8042E87}">
      <text>
        <r>
          <rPr>
            <b/>
            <sz val="9"/>
            <color indexed="81"/>
            <rFont val="Tahoma"/>
            <family val="2"/>
          </rPr>
          <t>Reshelle Fleming:</t>
        </r>
        <r>
          <rPr>
            <sz val="9"/>
            <color indexed="81"/>
            <rFont val="Tahoma"/>
            <family val="2"/>
          </rPr>
          <t xml:space="preserve">
24mins high EBI rejection, 9mins fallen bottles stuck in starwheel </t>
        </r>
      </text>
    </comment>
    <comment ref="R13" authorId="3" shapeId="0" xr:uid="{06E10B0C-7D43-4A2C-87DA-26D6F30AFE9A}">
      <text>
        <r>
          <rPr>
            <b/>
            <sz val="9"/>
            <color indexed="81"/>
            <rFont val="Tahoma"/>
            <family val="2"/>
          </rPr>
          <t>Reshelle Fleming:</t>
        </r>
        <r>
          <rPr>
            <sz val="9"/>
            <color indexed="81"/>
            <rFont val="Tahoma"/>
            <family val="2"/>
          </rPr>
          <t xml:space="preserve">
319mins issues with Filler rotating plate</t>
        </r>
      </text>
    </comment>
    <comment ref="S13" authorId="3" shapeId="0" xr:uid="{2FBA1944-509C-4ADD-99B1-7B024740722E}">
      <text>
        <r>
          <rPr>
            <b/>
            <sz val="9"/>
            <color indexed="81"/>
            <rFont val="Tahoma"/>
            <family val="2"/>
          </rPr>
          <t>Reshelle Fleming:</t>
        </r>
        <r>
          <rPr>
            <sz val="9"/>
            <color indexed="81"/>
            <rFont val="Tahoma"/>
            <family val="2"/>
          </rPr>
          <t xml:space="preserve">
6mins pasteurizer stop fo low temp</t>
        </r>
      </text>
    </comment>
    <comment ref="T13" authorId="3" shapeId="0" xr:uid="{08CD1BB7-9572-4CD5-97C3-9A7934ADCAB8}">
      <text>
        <r>
          <rPr>
            <b/>
            <sz val="9"/>
            <color indexed="81"/>
            <rFont val="Tahoma"/>
            <family val="2"/>
          </rPr>
          <t>Reshelle Fleming:</t>
        </r>
        <r>
          <rPr>
            <sz val="9"/>
            <color indexed="81"/>
            <rFont val="Tahoma"/>
            <family val="2"/>
          </rPr>
          <t xml:space="preserve">
7mins making adjustments to the Labeller </t>
        </r>
      </text>
    </comment>
    <comment ref="V13" authorId="3" shapeId="0" xr:uid="{54CFAB9D-2B09-421E-863F-AFFF452F141C}">
      <text>
        <r>
          <rPr>
            <b/>
            <sz val="9"/>
            <color indexed="81"/>
            <rFont val="Tahoma"/>
            <family val="2"/>
          </rPr>
          <t>Reshelle Fleming:</t>
        </r>
        <r>
          <rPr>
            <sz val="9"/>
            <color indexed="81"/>
            <rFont val="Tahoma"/>
            <family val="2"/>
          </rPr>
          <t xml:space="preserve">
8mins PU monitor stuck at discharge conveyor, 6mins fallen bottles on shuffler before the EBI; and 5mins at washer infeed. </t>
        </r>
      </text>
    </comment>
    <comment ref="W13" authorId="3" shapeId="0" xr:uid="{F83D7765-C3B0-48F2-9175-0647A4126B0B}">
      <text>
        <r>
          <rPr>
            <b/>
            <sz val="9"/>
            <color indexed="81"/>
            <rFont val="Tahoma"/>
            <family val="2"/>
          </rPr>
          <t>Reshelle Fleming:</t>
        </r>
        <r>
          <rPr>
            <sz val="9"/>
            <color indexed="81"/>
            <rFont val="Tahoma"/>
            <family val="2"/>
          </rPr>
          <t xml:space="preserve">
8mins Side guard on packer outfeed came out </t>
        </r>
      </text>
    </comment>
    <comment ref="Z13" authorId="4" shapeId="0" xr:uid="{901695BE-42AA-44FD-AAFF-779461A0B6A3}">
      <text>
        <r>
          <rPr>
            <b/>
            <sz val="9"/>
            <color indexed="81"/>
            <rFont val="Tahoma"/>
            <family val="2"/>
          </rPr>
          <t>Michael Julien:</t>
        </r>
        <r>
          <rPr>
            <sz val="9"/>
            <color indexed="81"/>
            <rFont val="Tahoma"/>
            <family val="2"/>
          </rPr>
          <t xml:space="preserve">
10mins Late start midnight count,4mins crowns run out, 23 mins terrible stench in the bottling hall I had to unblock the main drain.</t>
        </r>
      </text>
    </comment>
    <comment ref="H14" authorId="3" shapeId="0" xr:uid="{6E070DF6-A4A9-4734-8E83-78F080D6FE0D}">
      <text>
        <r>
          <rPr>
            <b/>
            <sz val="9"/>
            <color indexed="81"/>
            <rFont val="Tahoma"/>
            <family val="2"/>
          </rPr>
          <t>Reshelle Fleming:</t>
        </r>
        <r>
          <rPr>
            <sz val="9"/>
            <color indexed="81"/>
            <rFont val="Tahoma"/>
            <family val="2"/>
          </rPr>
          <t xml:space="preserve">
3mins operator error, 2mins crowns run out </t>
        </r>
      </text>
    </comment>
    <comment ref="O14" authorId="3" shapeId="0" xr:uid="{3F7B2475-4C8C-45A1-BCE4-A70E0FEB1876}">
      <text>
        <r>
          <rPr>
            <b/>
            <sz val="9"/>
            <color indexed="81"/>
            <rFont val="Tahoma"/>
            <family val="2"/>
          </rPr>
          <t>Reshelle Fleming:</t>
        </r>
        <r>
          <rPr>
            <sz val="9"/>
            <color indexed="81"/>
            <rFont val="Tahoma"/>
            <family val="2"/>
          </rPr>
          <t xml:space="preserve">
11mins due to old crates sticking in Uncaser head, 6mins replacing air hose on Uncaser </t>
        </r>
      </text>
    </comment>
    <comment ref="P14" authorId="3" shapeId="0" xr:uid="{B03D5476-CD7C-425A-BD43-11BE8C0BFB0A}">
      <text>
        <r>
          <rPr>
            <b/>
            <sz val="9"/>
            <color indexed="81"/>
            <rFont val="Tahoma"/>
            <family val="2"/>
          </rPr>
          <t>Reshelle Fleming:</t>
        </r>
        <r>
          <rPr>
            <sz val="9"/>
            <color indexed="81"/>
            <rFont val="Tahoma"/>
            <family val="2"/>
          </rPr>
          <t xml:space="preserve">
44mins cleaning washer rinse tank, 5mins stop at washer infeed </t>
        </r>
      </text>
    </comment>
    <comment ref="Q14" authorId="3" shapeId="0" xr:uid="{F6A3C406-6E16-43B3-A9BE-A41E888A529D}">
      <text>
        <r>
          <rPr>
            <b/>
            <sz val="9"/>
            <color indexed="81"/>
            <rFont val="Tahoma"/>
            <family val="2"/>
          </rPr>
          <t>Reshelle Fleming:</t>
        </r>
        <r>
          <rPr>
            <sz val="9"/>
            <color indexed="81"/>
            <rFont val="Tahoma"/>
            <family val="2"/>
          </rPr>
          <t xml:space="preserve">
17mins High rejection - Old bottles, 7mins fallen bottles on EBI OSW </t>
        </r>
      </text>
    </comment>
    <comment ref="S14" authorId="3" shapeId="0" xr:uid="{9CE2018D-797E-439F-AB54-78D66FD21205}">
      <text>
        <r>
          <rPr>
            <b/>
            <sz val="9"/>
            <color indexed="81"/>
            <rFont val="Tahoma"/>
            <family val="2"/>
          </rPr>
          <t>Reshelle Fleming:</t>
        </r>
        <r>
          <rPr>
            <sz val="9"/>
            <color indexed="81"/>
            <rFont val="Tahoma"/>
            <family val="2"/>
          </rPr>
          <t xml:space="preserve">
80mins late start waiting for dry run,35mins pasteurizer stop fo low temp (16mins tank 4), 6mins pump #5 on pasteurizer cut off and 4 mins on pump#4. </t>
        </r>
      </text>
    </comment>
    <comment ref="T14" authorId="3" shapeId="0" xr:uid="{79163B86-241C-4306-B144-0ADA3C9E8EE7}">
      <text>
        <r>
          <rPr>
            <b/>
            <sz val="9"/>
            <color indexed="81"/>
            <rFont val="Tahoma"/>
            <family val="2"/>
          </rPr>
          <t>Reshelle Fleming:</t>
        </r>
        <r>
          <rPr>
            <sz val="9"/>
            <color indexed="81"/>
            <rFont val="Tahoma"/>
            <family val="2"/>
          </rPr>
          <t xml:space="preserve">
11mins making adjustments to neck labels </t>
        </r>
      </text>
    </comment>
    <comment ref="V14" authorId="3" shapeId="0" xr:uid="{A95E7FC6-C359-4472-849B-C73EC96AC954}">
      <text>
        <r>
          <rPr>
            <b/>
            <sz val="9"/>
            <color indexed="81"/>
            <rFont val="Tahoma"/>
            <family val="2"/>
          </rPr>
          <t>Reshelle Fleming:</t>
        </r>
        <r>
          <rPr>
            <sz val="9"/>
            <color indexed="81"/>
            <rFont val="Tahoma"/>
            <family val="2"/>
          </rPr>
          <t xml:space="preserve">
15mins bottle jam on shuffler before the EBI and 5mins at pasteurizer discharge. </t>
        </r>
      </text>
    </comment>
    <comment ref="AB14" authorId="1" shapeId="0" xr:uid="{B1C72AFE-75F6-4428-B84A-35BA6C2E443C}">
      <text>
        <r>
          <rPr>
            <b/>
            <sz val="9"/>
            <color indexed="81"/>
            <rFont val="Tahoma"/>
            <family val="2"/>
          </rPr>
          <t>Micah Noel:</t>
        </r>
        <r>
          <rPr>
            <sz val="9"/>
            <color indexed="81"/>
            <rFont val="Tahoma"/>
            <family val="2"/>
          </rPr>
          <t xml:space="preserve">
47mins heavy EBI rejection caused by pre-washed bottles</t>
        </r>
      </text>
    </comment>
    <comment ref="H15" authorId="3" shapeId="0" xr:uid="{DC4C5A76-B6D0-4107-9AAE-21C78CC564F4}">
      <text>
        <r>
          <rPr>
            <b/>
            <sz val="9"/>
            <color indexed="81"/>
            <rFont val="Tahoma"/>
            <family val="2"/>
          </rPr>
          <t>Reshelle Fleming:</t>
        </r>
        <r>
          <rPr>
            <sz val="9"/>
            <color indexed="81"/>
            <rFont val="Tahoma"/>
            <family val="2"/>
          </rPr>
          <t xml:space="preserve">
6mins waiting for crowns</t>
        </r>
      </text>
    </comment>
    <comment ref="I15" authorId="4" shapeId="0" xr:uid="{EC2D9DE4-DEB6-4D99-95F3-8C6B0A6454AE}">
      <text>
        <r>
          <rPr>
            <b/>
            <sz val="9"/>
            <color indexed="81"/>
            <rFont val="Tahoma"/>
            <family val="2"/>
          </rPr>
          <t>Michael Julien:</t>
        </r>
        <r>
          <rPr>
            <sz val="9"/>
            <color indexed="81"/>
            <rFont val="Tahoma"/>
            <family val="2"/>
          </rPr>
          <t xml:space="preserve">
135mins change over from starmalt to carib </t>
        </r>
      </text>
    </comment>
    <comment ref="Q15" authorId="3" shapeId="0" xr:uid="{F743ECDF-E077-4B94-8B78-D69A66DFD468}">
      <text>
        <r>
          <rPr>
            <b/>
            <sz val="9"/>
            <color indexed="81"/>
            <rFont val="Tahoma"/>
            <family val="2"/>
          </rPr>
          <t>Reshelle Fleming:</t>
        </r>
        <r>
          <rPr>
            <sz val="9"/>
            <color indexed="81"/>
            <rFont val="Tahoma"/>
            <family val="2"/>
          </rPr>
          <t xml:space="preserve">
6mins High rejection - neck finish</t>
        </r>
      </text>
    </comment>
    <comment ref="O16" authorId="3" shapeId="0" xr:uid="{EA8AEFD3-32B0-49D9-917F-73A6C0ED7867}">
      <text>
        <r>
          <rPr>
            <b/>
            <sz val="9"/>
            <color indexed="81"/>
            <rFont val="Tahoma"/>
            <family val="2"/>
          </rPr>
          <t>Reshelle Fleming:</t>
        </r>
        <r>
          <rPr>
            <sz val="9"/>
            <color indexed="81"/>
            <rFont val="Tahoma"/>
            <family val="2"/>
          </rPr>
          <t xml:space="preserve">
21mins Uncaser Head malfunction, 15mins broken crates jamming in Uncaser head, 9mins replacing air hose on Uncaser  </t>
        </r>
      </text>
    </comment>
    <comment ref="Q16" authorId="3" shapeId="0" xr:uid="{24D8D329-2ECF-4700-933B-DB05FD9977E8}">
      <text>
        <r>
          <rPr>
            <b/>
            <sz val="9"/>
            <color indexed="81"/>
            <rFont val="Tahoma"/>
            <family val="2"/>
          </rPr>
          <t>Reshelle Fleming:</t>
        </r>
        <r>
          <rPr>
            <sz val="9"/>
            <color indexed="81"/>
            <rFont val="Tahoma"/>
            <family val="2"/>
          </rPr>
          <t xml:space="preserve">
12mins making adjustments to EBI setting , 5mins false rejection on EBI OSW </t>
        </r>
      </text>
    </comment>
    <comment ref="R16" authorId="3" shapeId="0" xr:uid="{2AE7A0BD-56F3-4C0A-B588-C98A110912A7}">
      <text>
        <r>
          <rPr>
            <b/>
            <sz val="9"/>
            <color indexed="81"/>
            <rFont val="Tahoma"/>
            <family val="2"/>
          </rPr>
          <t>Reshelle Fleming:</t>
        </r>
        <r>
          <rPr>
            <sz val="9"/>
            <color indexed="81"/>
            <rFont val="Tahoma"/>
            <family val="2"/>
          </rPr>
          <t xml:space="preserve">
13mins crowns stuck in chute </t>
        </r>
      </text>
    </comment>
    <comment ref="S16" authorId="3" shapeId="0" xr:uid="{6A88ED4C-081B-42D9-B3D1-DB494D5DC4C8}">
      <text>
        <r>
          <rPr>
            <b/>
            <sz val="9"/>
            <color indexed="81"/>
            <rFont val="Tahoma"/>
            <family val="2"/>
          </rPr>
          <t>Reshelle Fleming:</t>
        </r>
        <r>
          <rPr>
            <sz val="9"/>
            <color indexed="81"/>
            <rFont val="Tahoma"/>
            <family val="2"/>
          </rPr>
          <t xml:space="preserve">
31mins Pasteurizer pump #4 cut off, 8mins low temperature on pasteurizer (pump 2 and 3 cut off), 5mins broken bottle jammed discharge conveyor sensor</t>
        </r>
      </text>
    </comment>
    <comment ref="T16" authorId="3" shapeId="0" xr:uid="{F4A571F2-DD7C-40DB-A5AB-DCCF7489D831}">
      <text>
        <r>
          <rPr>
            <b/>
            <sz val="9"/>
            <color indexed="81"/>
            <rFont val="Tahoma"/>
            <family val="2"/>
          </rPr>
          <t>Reshelle Fleming:</t>
        </r>
        <r>
          <rPr>
            <sz val="9"/>
            <color indexed="81"/>
            <rFont val="Tahoma"/>
            <family val="2"/>
          </rPr>
          <t xml:space="preserve">
13mins missing back labels </t>
        </r>
      </text>
    </comment>
    <comment ref="V16" authorId="3" shapeId="0" xr:uid="{2631EDBA-57B4-44B6-B049-382515DD6412}">
      <text>
        <r>
          <rPr>
            <b/>
            <sz val="9"/>
            <color indexed="81"/>
            <rFont val="Tahoma"/>
            <family val="2"/>
          </rPr>
          <t>Reshelle Fleming:</t>
        </r>
        <r>
          <rPr>
            <sz val="9"/>
            <color indexed="81"/>
            <rFont val="Tahoma"/>
            <family val="2"/>
          </rPr>
          <t xml:space="preserve">
8mins bottles jamming at pasteurizer discharge</t>
        </r>
      </text>
    </comment>
    <comment ref="X16" authorId="3" shapeId="0" xr:uid="{68E53B6F-1A78-4637-AC81-BE421ADB53BF}">
      <text>
        <r>
          <rPr>
            <b/>
            <sz val="9"/>
            <color indexed="81"/>
            <rFont val="Tahoma"/>
            <family val="2"/>
          </rPr>
          <t>Reshelle Fleming:</t>
        </r>
        <r>
          <rPr>
            <sz val="9"/>
            <color indexed="81"/>
            <rFont val="Tahoma"/>
            <family val="2"/>
          </rPr>
          <t xml:space="preserve">
60mins Sealer malfunction - not sealing , 10mins Carton errector malfunction- bended flats </t>
        </r>
      </text>
    </comment>
    <comment ref="Z16" authorId="5" shapeId="0" xr:uid="{ECDFB605-0B5F-48BB-B378-EC6ECF969699}">
      <text>
        <r>
          <rPr>
            <b/>
            <sz val="9"/>
            <color indexed="81"/>
            <rFont val="Tahoma"/>
            <family val="2"/>
          </rPr>
          <t>Dorien Andrew:</t>
        </r>
        <r>
          <rPr>
            <sz val="9"/>
            <color indexed="81"/>
            <rFont val="Tahoma"/>
            <family val="2"/>
          </rPr>
          <t xml:space="preserve">
164mins late start up loading washer and filler start up, 6 mins removing pallet with empty crates from uncaser discharge (one employee stationed at the moment), 46mins stop for lunch break, </t>
        </r>
      </text>
    </comment>
    <comment ref="AB16" authorId="1" shapeId="0" xr:uid="{714DD460-BBBF-482F-8F23-964C3AFF2C39}">
      <text>
        <r>
          <rPr>
            <b/>
            <sz val="9"/>
            <color indexed="81"/>
            <rFont val="Tahoma"/>
            <family val="2"/>
          </rPr>
          <t>Micah Noel:</t>
        </r>
        <r>
          <rPr>
            <sz val="9"/>
            <color indexed="81"/>
            <rFont val="Tahoma"/>
            <family val="2"/>
          </rPr>
          <t xml:space="preserve">
10mins waiting on bottles,16mins palletizer waiting for small pallets from logistics </t>
        </r>
      </text>
    </comment>
    <comment ref="I17" authorId="4" shapeId="0" xr:uid="{BA8EB19B-6003-46D3-B780-F99821F8963A}">
      <text>
        <r>
          <rPr>
            <b/>
            <sz val="9"/>
            <color indexed="81"/>
            <rFont val="Tahoma"/>
            <family val="2"/>
          </rPr>
          <t>Michael Julien:</t>
        </r>
        <r>
          <rPr>
            <sz val="9"/>
            <color indexed="81"/>
            <rFont val="Tahoma"/>
            <family val="2"/>
          </rPr>
          <t xml:space="preserve">
7mins Change Over From Export To Local Flint, </t>
        </r>
      </text>
    </comment>
    <comment ref="X17" authorId="3" shapeId="0" xr:uid="{0537BEB5-32F5-45EB-A441-48DCE14383EB}">
      <text>
        <r>
          <rPr>
            <b/>
            <sz val="9"/>
            <color indexed="81"/>
            <rFont val="Tahoma"/>
            <family val="2"/>
          </rPr>
          <t>Reshelle Fleming:</t>
        </r>
        <r>
          <rPr>
            <sz val="9"/>
            <color indexed="81"/>
            <rFont val="Tahoma"/>
            <family val="2"/>
          </rPr>
          <t xml:space="preserve">
10mins Sealer malfunction - not sealing</t>
        </r>
      </text>
    </comment>
    <comment ref="Z17" authorId="4" shapeId="0" xr:uid="{9259350D-DA10-4889-8F1F-13E9A8E94499}">
      <text>
        <r>
          <rPr>
            <b/>
            <sz val="9"/>
            <color indexed="81"/>
            <rFont val="Tahoma"/>
            <family val="2"/>
          </rPr>
          <t>Michael Julien:</t>
        </r>
        <r>
          <rPr>
            <sz val="9"/>
            <color indexed="81"/>
            <rFont val="Tahoma"/>
            <family val="2"/>
          </rPr>
          <t xml:space="preserve">
6mins making space in pasteurizer.4mins waiting on workers to reposition themselves </t>
        </r>
      </text>
    </comment>
    <comment ref="AB17" authorId="3" shapeId="0" xr:uid="{8F5C507A-547D-4F9C-B2A1-43E6F8F13719}">
      <text>
        <r>
          <rPr>
            <b/>
            <sz val="9"/>
            <color indexed="81"/>
            <rFont val="Tahoma"/>
            <family val="2"/>
          </rPr>
          <t>Reshelle Fleming:</t>
        </r>
        <r>
          <rPr>
            <sz val="9"/>
            <color indexed="81"/>
            <rFont val="Tahoma"/>
            <family val="2"/>
          </rPr>
          <t xml:space="preserve">
2mins tall bottles in starwheel</t>
        </r>
      </text>
    </comment>
    <comment ref="I18" authorId="1" shapeId="0" xr:uid="{DB101831-C817-49CA-BDB8-C3D137A1D072}">
      <text>
        <r>
          <rPr>
            <b/>
            <sz val="9"/>
            <color indexed="81"/>
            <rFont val="Tahoma"/>
            <family val="2"/>
          </rPr>
          <t>Micah Noel:</t>
        </r>
        <r>
          <rPr>
            <sz val="9"/>
            <color indexed="81"/>
            <rFont val="Tahoma"/>
            <family val="2"/>
          </rPr>
          <t xml:space="preserve">
69mins Product Change- Over from Carib Flint Local to Amber (packer change over)</t>
        </r>
      </text>
    </comment>
    <comment ref="P18" authorId="3" shapeId="0" xr:uid="{885CE6C0-D346-4366-996C-E7E7FB272678}">
      <text>
        <r>
          <rPr>
            <b/>
            <sz val="9"/>
            <color indexed="81"/>
            <rFont val="Tahoma"/>
            <family val="2"/>
          </rPr>
          <t>Reshelle Fleming:</t>
        </r>
        <r>
          <rPr>
            <sz val="9"/>
            <color indexed="81"/>
            <rFont val="Tahoma"/>
            <family val="2"/>
          </rPr>
          <t xml:space="preserve">
63mins Caustic Carry-Over </t>
        </r>
      </text>
    </comment>
    <comment ref="Q18" authorId="3" shapeId="0" xr:uid="{D66DD43D-A42D-47EE-A3C5-9DC949EF71B5}">
      <text>
        <r>
          <rPr>
            <b/>
            <sz val="9"/>
            <color indexed="81"/>
            <rFont val="Tahoma"/>
            <family val="2"/>
          </rPr>
          <t>Reshelle Fleming:</t>
        </r>
        <r>
          <rPr>
            <sz val="9"/>
            <color indexed="81"/>
            <rFont val="Tahoma"/>
            <family val="2"/>
          </rPr>
          <t xml:space="preserve">
6mins fallen bottles in EBI Starwheel </t>
        </r>
      </text>
    </comment>
    <comment ref="AB18" authorId="1" shapeId="0" xr:uid="{F5D54128-4EB8-44D7-A823-C17DE6A5317D}">
      <text>
        <r>
          <rPr>
            <b/>
            <sz val="9"/>
            <color indexed="81"/>
            <rFont val="Tahoma"/>
            <family val="2"/>
          </rPr>
          <t>Micah Noel:</t>
        </r>
        <r>
          <rPr>
            <sz val="9"/>
            <color indexed="81"/>
            <rFont val="Tahoma"/>
            <family val="2"/>
          </rPr>
          <t xml:space="preserve">
6 mins incorrect bottle stuck at EBI starwheel 4 mins heavy EBI rejections caused by pre-washed bottles</t>
        </r>
      </text>
    </comment>
    <comment ref="I19" authorId="3" shapeId="0" xr:uid="{7B1ED689-DC49-4C13-A462-A84D00E6C51E}">
      <text>
        <r>
          <rPr>
            <b/>
            <sz val="9"/>
            <color indexed="81"/>
            <rFont val="Tahoma"/>
            <family val="2"/>
          </rPr>
          <t>Reshelle Fleming:</t>
        </r>
        <r>
          <rPr>
            <sz val="9"/>
            <color indexed="81"/>
            <rFont val="Tahoma"/>
            <family val="2"/>
          </rPr>
          <t xml:space="preserve">
48mins Product Change- Over from Carib to Stag</t>
        </r>
      </text>
    </comment>
    <comment ref="P19" authorId="3" shapeId="0" xr:uid="{9B0F1404-6283-4CE1-B3A3-3E805B8668D8}">
      <text>
        <r>
          <rPr>
            <b/>
            <sz val="9"/>
            <color indexed="81"/>
            <rFont val="Tahoma"/>
            <family val="2"/>
          </rPr>
          <t>Reshelle Fleming:</t>
        </r>
        <r>
          <rPr>
            <sz val="9"/>
            <color indexed="81"/>
            <rFont val="Tahoma"/>
            <family val="2"/>
          </rPr>
          <t xml:space="preserve">
49mins High Rejection- Labels </t>
        </r>
      </text>
    </comment>
    <comment ref="Q19" authorId="3" shapeId="0" xr:uid="{DF4DCB98-37E0-44CA-8409-5DB640FD12CB}">
      <text>
        <r>
          <rPr>
            <b/>
            <sz val="9"/>
            <color indexed="81"/>
            <rFont val="Tahoma"/>
            <family val="2"/>
          </rPr>
          <t>Reshelle Fleming:</t>
        </r>
        <r>
          <rPr>
            <sz val="9"/>
            <color indexed="81"/>
            <rFont val="Tahoma"/>
            <family val="2"/>
          </rPr>
          <t xml:space="preserve">
5mins High Rejection- NF</t>
        </r>
      </text>
    </comment>
    <comment ref="V19" authorId="3" shapeId="0" xr:uid="{7AF27ECB-FB81-4D55-8667-267EB6AAE186}">
      <text>
        <r>
          <rPr>
            <b/>
            <sz val="9"/>
            <color indexed="81"/>
            <rFont val="Tahoma"/>
            <family val="2"/>
          </rPr>
          <t>Reshelle Fleming:</t>
        </r>
        <r>
          <rPr>
            <sz val="9"/>
            <color indexed="81"/>
            <rFont val="Tahoma"/>
            <family val="2"/>
          </rPr>
          <t xml:space="preserve">
9mins fallen bottles on EBI infeed and 5mins on shuffler before the EBI.</t>
        </r>
      </text>
    </comment>
    <comment ref="Z19" authorId="5" shapeId="0" xr:uid="{103654C1-D1AF-4560-A1F3-C314CF7AD3B0}">
      <text>
        <r>
          <rPr>
            <b/>
            <sz val="9"/>
            <color indexed="81"/>
            <rFont val="Tahoma"/>
            <family val="2"/>
          </rPr>
          <t>Dorien Andrew:</t>
        </r>
        <r>
          <rPr>
            <sz val="9"/>
            <color indexed="81"/>
            <rFont val="Tahoma"/>
            <family val="2"/>
          </rPr>
          <t xml:space="preserve">
7mins waiting for palletizer, 31mins stop for lunch break. 5mins waiting on crate lids.</t>
        </r>
      </text>
    </comment>
    <comment ref="AB19" authorId="5" shapeId="0" xr:uid="{5C5F841E-3668-44C5-939A-647F94CC2B9D}">
      <text>
        <r>
          <rPr>
            <b/>
            <sz val="9"/>
            <color indexed="81"/>
            <rFont val="Tahoma"/>
            <family val="2"/>
          </rPr>
          <t>Dorien Andrew:</t>
        </r>
        <r>
          <rPr>
            <sz val="9"/>
            <color indexed="81"/>
            <rFont val="Tahoma"/>
            <family val="2"/>
          </rPr>
          <t xml:space="preserve">
3mins waiting on fork lift to unstack shell</t>
        </r>
      </text>
    </comment>
    <comment ref="H20" authorId="3" shapeId="0" xr:uid="{48640231-51B1-4AFA-91DF-7C9E96F662DA}">
      <text>
        <r>
          <rPr>
            <b/>
            <sz val="9"/>
            <color indexed="81"/>
            <rFont val="Tahoma"/>
            <family val="2"/>
          </rPr>
          <t>Reshelle Fleming:</t>
        </r>
        <r>
          <rPr>
            <sz val="9"/>
            <color indexed="81"/>
            <rFont val="Tahoma"/>
            <family val="2"/>
          </rPr>
          <t xml:space="preserve">
3mins crowns finish in hopper </t>
        </r>
      </text>
    </comment>
    <comment ref="I20" authorId="4" shapeId="0" xr:uid="{74A11E0D-7230-4E40-AAB6-41F018EF74E8}">
      <text>
        <r>
          <rPr>
            <b/>
            <sz val="9"/>
            <color indexed="81"/>
            <rFont val="Tahoma"/>
            <family val="2"/>
          </rPr>
          <t>Michael Julien:</t>
        </r>
        <r>
          <rPr>
            <sz val="9"/>
            <color indexed="81"/>
            <rFont val="Tahoma"/>
            <family val="2"/>
          </rPr>
          <t xml:space="preserve">
17mins waiting to make space in the pasteurizer for midnight change over.
</t>
        </r>
      </text>
    </comment>
    <comment ref="K20" authorId="3" shapeId="0" xr:uid="{35EF155C-BD14-4405-A0F2-BB09517D4ACC}">
      <text>
        <r>
          <rPr>
            <b/>
            <sz val="9"/>
            <color indexed="81"/>
            <rFont val="Tahoma"/>
            <family val="2"/>
          </rPr>
          <t>Reshelle Fleming:</t>
        </r>
        <r>
          <rPr>
            <sz val="9"/>
            <color indexed="81"/>
            <rFont val="Tahoma"/>
            <family val="2"/>
          </rPr>
          <t xml:space="preserve">
73mins low air on filler</t>
        </r>
      </text>
    </comment>
    <comment ref="O20" authorId="3" shapeId="0" xr:uid="{F5D692DD-BE23-435E-A51B-299ACB89CA38}">
      <text>
        <r>
          <rPr>
            <b/>
            <sz val="9"/>
            <color indexed="81"/>
            <rFont val="Tahoma"/>
            <family val="2"/>
          </rPr>
          <t>Reshelle Fleming:</t>
        </r>
        <r>
          <rPr>
            <sz val="9"/>
            <color indexed="81"/>
            <rFont val="Tahoma"/>
            <family val="2"/>
          </rPr>
          <t xml:space="preserve">
14mins Uncaser head hitting crates </t>
        </r>
      </text>
    </comment>
    <comment ref="P20" authorId="3" shapeId="0" xr:uid="{BD068489-6576-4E11-87E5-CCDF2280B8A3}">
      <text>
        <r>
          <rPr>
            <b/>
            <sz val="9"/>
            <color indexed="81"/>
            <rFont val="Tahoma"/>
            <family val="2"/>
          </rPr>
          <t>Reshelle Fleming:</t>
        </r>
        <r>
          <rPr>
            <sz val="9"/>
            <color indexed="81"/>
            <rFont val="Tahoma"/>
            <family val="2"/>
          </rPr>
          <t xml:space="preserve">
20mins High rejection- Labels </t>
        </r>
      </text>
    </comment>
    <comment ref="Q20" authorId="3" shapeId="0" xr:uid="{20FE9738-E6E4-40C8-B588-AF8F59A6D3F1}">
      <text>
        <r>
          <rPr>
            <b/>
            <sz val="9"/>
            <color indexed="81"/>
            <rFont val="Tahoma"/>
            <family val="2"/>
          </rPr>
          <t>Reshelle Fleming:</t>
        </r>
        <r>
          <rPr>
            <sz val="9"/>
            <color indexed="81"/>
            <rFont val="Tahoma"/>
            <family val="2"/>
          </rPr>
          <t xml:space="preserve">
29mins High EBI rejection- OSW </t>
        </r>
      </text>
    </comment>
    <comment ref="R20" authorId="3" shapeId="0" xr:uid="{7FDBD11B-A3AD-4822-BA54-3B8F8B7FE8F4}">
      <text>
        <r>
          <rPr>
            <b/>
            <sz val="9"/>
            <color indexed="81"/>
            <rFont val="Tahoma"/>
            <family val="2"/>
          </rPr>
          <t>Reshelle Fleming:</t>
        </r>
        <r>
          <rPr>
            <sz val="9"/>
            <color indexed="81"/>
            <rFont val="Tahoma"/>
            <family val="2"/>
          </rPr>
          <t xml:space="preserve">
5mins crowns stuck in filler chute, 8mins cleaning Filler Base 
</t>
        </r>
      </text>
    </comment>
    <comment ref="S20" authorId="3" shapeId="0" xr:uid="{09BFFA94-2DD8-42CE-B21E-3B5B36DA6E70}">
      <text>
        <r>
          <rPr>
            <b/>
            <sz val="9"/>
            <color indexed="81"/>
            <rFont val="Tahoma"/>
            <family val="2"/>
          </rPr>
          <t>Reshelle Fleming:</t>
        </r>
        <r>
          <rPr>
            <sz val="9"/>
            <color indexed="81"/>
            <rFont val="Tahoma"/>
            <family val="2"/>
          </rPr>
          <t xml:space="preserve">
25mins Pasteurizer pump malfunction, 6mins low pasteurizer temperature </t>
        </r>
      </text>
    </comment>
    <comment ref="V20" authorId="3" shapeId="0" xr:uid="{9DF3BBE1-600B-4655-8C1A-8865BF27BACA}">
      <text>
        <r>
          <rPr>
            <b/>
            <sz val="9"/>
            <color indexed="81"/>
            <rFont val="Tahoma"/>
            <family val="2"/>
          </rPr>
          <t>Reshelle Fleming:</t>
        </r>
        <r>
          <rPr>
            <sz val="9"/>
            <color indexed="81"/>
            <rFont val="Tahoma"/>
            <family val="2"/>
          </rPr>
          <t xml:space="preserve">
17mins fallen bottles on Shuffler before the EBI </t>
        </r>
      </text>
    </comment>
    <comment ref="Z20" authorId="4" shapeId="0" xr:uid="{251898CA-9D63-43AE-9321-D896216DCBD3}">
      <text>
        <r>
          <rPr>
            <b/>
            <sz val="9"/>
            <color indexed="81"/>
            <rFont val="Tahoma"/>
            <family val="2"/>
          </rPr>
          <t>Michael Julien:</t>
        </r>
        <r>
          <rPr>
            <sz val="9"/>
            <color indexed="81"/>
            <rFont val="Tahoma"/>
            <family val="2"/>
          </rPr>
          <t xml:space="preserve">
34 mins to facilate staff break due to being shot staff.6 mins waiting for pallets 36 mins for lunch break 4 mins filler operator stopped to clean machine base</t>
        </r>
      </text>
    </comment>
    <comment ref="I21" authorId="1" shapeId="0" xr:uid="{477869BA-1DB4-40EF-B865-54CB0E99D2E0}">
      <text>
        <r>
          <rPr>
            <b/>
            <sz val="9"/>
            <color indexed="81"/>
            <rFont val="Tahoma"/>
            <family val="2"/>
          </rPr>
          <t>Micah Noel:</t>
        </r>
        <r>
          <rPr>
            <sz val="9"/>
            <color indexed="81"/>
            <rFont val="Tahoma"/>
            <family val="2"/>
          </rPr>
          <t xml:space="preserve">
20mins Product change over from Carib to Stag</t>
        </r>
      </text>
    </comment>
    <comment ref="P21" authorId="3" shapeId="0" xr:uid="{F10E09AE-2BC6-4FBC-9276-EB0642886D39}">
      <text>
        <r>
          <rPr>
            <b/>
            <sz val="9"/>
            <color indexed="81"/>
            <rFont val="Tahoma"/>
            <family val="2"/>
          </rPr>
          <t>Reshelle Fleming:</t>
        </r>
        <r>
          <rPr>
            <sz val="9"/>
            <color indexed="81"/>
            <rFont val="Tahoma"/>
            <family val="2"/>
          </rPr>
          <t xml:space="preserve">
5mins high rejection- labels </t>
        </r>
      </text>
    </comment>
    <comment ref="H22" authorId="3" shapeId="0" xr:uid="{9C828FE8-2AF1-4D11-9082-D8478039CE4B}">
      <text>
        <r>
          <rPr>
            <b/>
            <sz val="9"/>
            <color indexed="81"/>
            <rFont val="Tahoma"/>
            <family val="2"/>
          </rPr>
          <t>Reshelle Fleming:</t>
        </r>
        <r>
          <rPr>
            <sz val="9"/>
            <color indexed="81"/>
            <rFont val="Tahoma"/>
            <family val="2"/>
          </rPr>
          <t xml:space="preserve">
90mins Late due to late turn on of pasteurizer by shift man </t>
        </r>
      </text>
    </comment>
    <comment ref="I22" authorId="2" shapeId="0" xr:uid="{103376F3-EC5A-47BD-BD62-BAE1F0E4B623}">
      <text>
        <r>
          <rPr>
            <b/>
            <sz val="9"/>
            <color indexed="81"/>
            <rFont val="Tahoma"/>
            <family val="2"/>
          </rPr>
          <t>Tyrell Bartholomew:</t>
        </r>
        <r>
          <rPr>
            <sz val="9"/>
            <color indexed="81"/>
            <rFont val="Tahoma"/>
            <family val="2"/>
          </rPr>
          <t xml:space="preserve">
17mins changeover on packer switching from crate to carton. 58mins change- Over on packer - Carton finish </t>
        </r>
      </text>
    </comment>
    <comment ref="J22" authorId="4" shapeId="0" xr:uid="{65515A9A-28E1-4209-A6EC-823C117C72A3}">
      <text>
        <r>
          <rPr>
            <b/>
            <sz val="9"/>
            <color indexed="81"/>
            <rFont val="Tahoma"/>
            <family val="2"/>
          </rPr>
          <t>Michael Julien:</t>
        </r>
        <r>
          <rPr>
            <sz val="9"/>
            <color indexed="81"/>
            <rFont val="Tahoma"/>
            <family val="2"/>
          </rPr>
          <t xml:space="preserve">
9mins switching bbt bowl level drop.</t>
        </r>
      </text>
    </comment>
    <comment ref="T22" authorId="3" shapeId="0" xr:uid="{1268BBAC-DE11-4FAF-9BEC-F33C0202A16E}">
      <text>
        <r>
          <rPr>
            <b/>
            <sz val="9"/>
            <color indexed="81"/>
            <rFont val="Tahoma"/>
            <family val="2"/>
          </rPr>
          <t>Reshelle Fleming:</t>
        </r>
        <r>
          <rPr>
            <sz val="9"/>
            <color indexed="81"/>
            <rFont val="Tahoma"/>
            <family val="2"/>
          </rPr>
          <t xml:space="preserve">
34mins repairing bent bottle pad, 22mins back station glue pump cut off, 18mins making adjustments to Labeller magazine, 16mins adjusting fingers on Labeller Gripper cylinder</t>
        </r>
      </text>
    </comment>
    <comment ref="V22" authorId="3" shapeId="0" xr:uid="{54050A01-2888-472C-976C-C447A37EF98F}">
      <text>
        <r>
          <rPr>
            <b/>
            <sz val="9"/>
            <color indexed="81"/>
            <rFont val="Tahoma"/>
            <family val="2"/>
          </rPr>
          <t>Reshelle Fleming:</t>
        </r>
        <r>
          <rPr>
            <sz val="9"/>
            <color indexed="81"/>
            <rFont val="Tahoma"/>
            <family val="2"/>
          </rPr>
          <t xml:space="preserve">
26mins welding rail at Packer discharge, 12mins broken crate infeed guide rail,</t>
        </r>
      </text>
    </comment>
    <comment ref="X22" authorId="3" shapeId="0" xr:uid="{3FFE2CF8-8669-4660-BF3A-4C0B1210360E}">
      <text>
        <r>
          <rPr>
            <b/>
            <sz val="9"/>
            <color indexed="81"/>
            <rFont val="Tahoma"/>
            <family val="2"/>
          </rPr>
          <t>Reshelle Fleming:</t>
        </r>
        <r>
          <rPr>
            <sz val="9"/>
            <color indexed="81"/>
            <rFont val="Tahoma"/>
            <family val="2"/>
          </rPr>
          <t xml:space="preserve">
80mins adjusting drive belt for carton sealer, 12mins sealer not taping properly </t>
        </r>
      </text>
    </comment>
    <comment ref="AB22" authorId="2" shapeId="0" xr:uid="{556398FC-288B-4FCC-9D1F-B5B18D02742A}">
      <text>
        <r>
          <rPr>
            <b/>
            <sz val="9"/>
            <color indexed="81"/>
            <rFont val="Tahoma"/>
            <family val="2"/>
          </rPr>
          <t>Tyrell Bartholomew:</t>
        </r>
        <r>
          <rPr>
            <sz val="9"/>
            <color indexed="81"/>
            <rFont val="Tahoma"/>
            <family val="2"/>
          </rPr>
          <t xml:space="preserve">
36mins incorrect bottle was placed on the line.</t>
        </r>
      </text>
    </comment>
    <comment ref="I23" authorId="2" shapeId="0" xr:uid="{D63B7D05-DEA3-4B79-891C-BB1DBCD62126}">
      <text>
        <r>
          <rPr>
            <b/>
            <sz val="9"/>
            <color indexed="81"/>
            <rFont val="Tahoma"/>
            <family val="2"/>
          </rPr>
          <t>Tyrell Bartholomew:</t>
        </r>
        <r>
          <rPr>
            <sz val="9"/>
            <color indexed="81"/>
            <rFont val="Tahoma"/>
            <family val="2"/>
          </rPr>
          <t xml:space="preserve">
14mins changeover on EBI.</t>
        </r>
      </text>
    </comment>
    <comment ref="Q23" authorId="3" shapeId="0" xr:uid="{59FFBD44-CE4C-4EC6-950C-03CB9054E61A}">
      <text>
        <r>
          <rPr>
            <b/>
            <sz val="9"/>
            <color indexed="81"/>
            <rFont val="Tahoma"/>
            <family val="2"/>
          </rPr>
          <t>Reshelle Fleming:</t>
        </r>
        <r>
          <rPr>
            <sz val="9"/>
            <color indexed="81"/>
            <rFont val="Tahoma"/>
            <family val="2"/>
          </rPr>
          <t xml:space="preserve">
10mins adjusting EBI Starwheel, 10mins EBI unresponsive </t>
        </r>
      </text>
    </comment>
    <comment ref="I24" authorId="1" shapeId="0" xr:uid="{BED906E8-DA3A-4747-9ABD-65367A6409A1}">
      <text>
        <r>
          <rPr>
            <b/>
            <sz val="9"/>
            <color indexed="81"/>
            <rFont val="Tahoma"/>
            <family val="2"/>
          </rPr>
          <t>Micah Noel:</t>
        </r>
        <r>
          <rPr>
            <sz val="9"/>
            <color indexed="81"/>
            <rFont val="Tahoma"/>
            <family val="2"/>
          </rPr>
          <t xml:space="preserve">
24mins Packer change over from carton to crate</t>
        </r>
      </text>
    </comment>
    <comment ref="L24" authorId="1" shapeId="0" xr:uid="{C35CA289-19B4-42D9-ACB9-1A19C4DF5C9B}">
      <text>
        <r>
          <rPr>
            <b/>
            <sz val="9"/>
            <color indexed="81"/>
            <rFont val="Tahoma"/>
            <family val="2"/>
          </rPr>
          <t>Micah Noel:</t>
        </r>
        <r>
          <rPr>
            <sz val="9"/>
            <color indexed="81"/>
            <rFont val="Tahoma"/>
            <family val="2"/>
          </rPr>
          <t xml:space="preserve">
10mins low CO2 pressure in buffer tank at supply </t>
        </r>
      </text>
    </comment>
    <comment ref="P24" authorId="3" shapeId="0" xr:uid="{6352E940-E69A-488D-BF13-36CAAC295D9F}">
      <text>
        <r>
          <rPr>
            <b/>
            <sz val="9"/>
            <color indexed="81"/>
            <rFont val="Tahoma"/>
            <family val="2"/>
          </rPr>
          <t>Reshelle Fleming:</t>
        </r>
        <r>
          <rPr>
            <sz val="9"/>
            <color indexed="81"/>
            <rFont val="Tahoma"/>
            <family val="2"/>
          </rPr>
          <t xml:space="preserve">
47mins High rejection- labels and glue</t>
        </r>
      </text>
    </comment>
    <comment ref="Q24" authorId="3" shapeId="0" xr:uid="{B7F6B13B-036B-4D7A-BA6B-7A9094E877D9}">
      <text>
        <r>
          <rPr>
            <b/>
            <sz val="9"/>
            <color indexed="81"/>
            <rFont val="Tahoma"/>
            <family val="2"/>
          </rPr>
          <t>Reshelle Fleming:</t>
        </r>
        <r>
          <rPr>
            <sz val="9"/>
            <color indexed="81"/>
            <rFont val="Tahoma"/>
            <family val="2"/>
          </rPr>
          <t xml:space="preserve">
75mins communication problem between EBI and filler where filler was not getting signal from EBI to open it's infeed (sensor malfunction)</t>
        </r>
      </text>
    </comment>
    <comment ref="V24" authorId="3" shapeId="0" xr:uid="{607C4C0D-3EA8-406F-8CBD-99A343D042C1}">
      <text>
        <r>
          <rPr>
            <b/>
            <sz val="9"/>
            <color indexed="81"/>
            <rFont val="Tahoma"/>
            <family val="2"/>
          </rPr>
          <t>Reshelle Fleming:</t>
        </r>
        <r>
          <rPr>
            <sz val="9"/>
            <color indexed="81"/>
            <rFont val="Tahoma"/>
            <family val="2"/>
          </rPr>
          <t xml:space="preserve">
10mins making adjustments to sensor on EBI discharge conveyor line</t>
        </r>
      </text>
    </comment>
    <comment ref="H25" authorId="3" shapeId="0" xr:uid="{7E62145A-6F36-45EF-AD79-70DB5382C51E}">
      <text>
        <r>
          <rPr>
            <b/>
            <sz val="9"/>
            <color indexed="81"/>
            <rFont val="Tahoma"/>
            <family val="2"/>
          </rPr>
          <t>Reshelle Fleming:</t>
        </r>
        <r>
          <rPr>
            <sz val="9"/>
            <color indexed="81"/>
            <rFont val="Tahoma"/>
            <family val="2"/>
          </rPr>
          <t xml:space="preserve">
3mins crown bin empty , 10mins stop on pasteurizer as emergency stop button was accidentally pressed by ex-pasteurizer personnel..</t>
        </r>
      </text>
    </comment>
    <comment ref="I25" authorId="1" shapeId="0" xr:uid="{6815B8A5-6C8A-441E-BA5F-2D6E5F817CD8}">
      <text>
        <r>
          <rPr>
            <b/>
            <sz val="9"/>
            <color indexed="81"/>
            <rFont val="Tahoma"/>
            <family val="2"/>
          </rPr>
          <t>Micah Noel:</t>
        </r>
        <r>
          <rPr>
            <sz val="9"/>
            <color indexed="81"/>
            <rFont val="Tahoma"/>
            <family val="2"/>
          </rPr>
          <t xml:space="preserve">
13mins filler stop to create space in pasteurizer between flint and amber</t>
        </r>
      </text>
    </comment>
    <comment ref="J25" authorId="2" shapeId="0" xr:uid="{C0169C24-F993-42EA-8F4F-86CF078854B1}">
      <text>
        <r>
          <rPr>
            <b/>
            <sz val="9"/>
            <color indexed="81"/>
            <rFont val="Tahoma"/>
            <family val="2"/>
          </rPr>
          <t>Tyrell Bartholomew:</t>
        </r>
        <r>
          <rPr>
            <sz val="9"/>
            <color indexed="81"/>
            <rFont val="Tahoma"/>
            <family val="2"/>
          </rPr>
          <t xml:space="preserve">
3mins bowl level drop </t>
        </r>
      </text>
    </comment>
    <comment ref="O25" authorId="3" shapeId="0" xr:uid="{DDD2764A-9036-49FE-8EEC-CE432F50BECB}">
      <text>
        <r>
          <rPr>
            <b/>
            <sz val="9"/>
            <color indexed="81"/>
            <rFont val="Tahoma"/>
            <family val="2"/>
          </rPr>
          <t>Reshelle Fleming:</t>
        </r>
        <r>
          <rPr>
            <sz val="9"/>
            <color indexed="81"/>
            <rFont val="Tahoma"/>
            <family val="2"/>
          </rPr>
          <t xml:space="preserve">
19mins Uncaser head hitting crates, 11mins Uncaser head malfunction</t>
        </r>
      </text>
    </comment>
    <comment ref="P25" authorId="3" shapeId="0" xr:uid="{7D30F773-B917-422C-A601-8DB93C61C503}">
      <text>
        <r>
          <rPr>
            <b/>
            <sz val="9"/>
            <color indexed="81"/>
            <rFont val="Tahoma"/>
            <family val="2"/>
          </rPr>
          <t>Reshelle Fleming:</t>
        </r>
        <r>
          <rPr>
            <sz val="9"/>
            <color indexed="81"/>
            <rFont val="Tahoma"/>
            <family val="2"/>
          </rPr>
          <t xml:space="preserve">
23mins bottles jamming in Washer infeed and discharge flap</t>
        </r>
      </text>
    </comment>
    <comment ref="Q25" authorId="3" shapeId="0" xr:uid="{EDA6A599-80D5-46F8-B8A5-4294599F1825}">
      <text>
        <r>
          <rPr>
            <b/>
            <sz val="9"/>
            <color indexed="81"/>
            <rFont val="Tahoma"/>
            <family val="2"/>
          </rPr>
          <t>Reshelle Fleming:</t>
        </r>
        <r>
          <rPr>
            <sz val="9"/>
            <color indexed="81"/>
            <rFont val="Tahoma"/>
            <family val="2"/>
          </rPr>
          <t xml:space="preserve">
8mins High EBI rejection</t>
        </r>
      </text>
    </comment>
    <comment ref="R25" authorId="3" shapeId="0" xr:uid="{5F6C4A4F-4D71-4650-B83D-A3B0322D1BDA}">
      <text>
        <r>
          <rPr>
            <b/>
            <sz val="9"/>
            <color indexed="81"/>
            <rFont val="Tahoma"/>
            <family val="2"/>
          </rPr>
          <t>Reshelle Fleming:</t>
        </r>
        <r>
          <rPr>
            <sz val="9"/>
            <color indexed="81"/>
            <rFont val="Tahoma"/>
            <family val="2"/>
          </rPr>
          <t xml:space="preserve">
16mins crowns stuck in chute </t>
        </r>
      </text>
    </comment>
    <comment ref="V25" authorId="3" shapeId="0" xr:uid="{0A6822AC-DD25-42E4-AB1E-D4B0EB98DF25}">
      <text>
        <r>
          <rPr>
            <b/>
            <sz val="9"/>
            <color indexed="81"/>
            <rFont val="Tahoma"/>
            <family val="2"/>
          </rPr>
          <t>Reshelle Fleming:</t>
        </r>
        <r>
          <rPr>
            <sz val="9"/>
            <color indexed="81"/>
            <rFont val="Tahoma"/>
            <family val="2"/>
          </rPr>
          <t xml:space="preserve">
22mins fallen bottles on Shuffler before the EBI</t>
        </r>
      </text>
    </comment>
    <comment ref="W25" authorId="3" shapeId="0" xr:uid="{D1B54651-3D71-47E7-BA92-94A9F85E7C5F}">
      <text>
        <r>
          <rPr>
            <b/>
            <sz val="9"/>
            <color indexed="81"/>
            <rFont val="Tahoma"/>
            <family val="2"/>
          </rPr>
          <t>Reshelle Fleming:</t>
        </r>
        <r>
          <rPr>
            <sz val="9"/>
            <color indexed="81"/>
            <rFont val="Tahoma"/>
            <family val="2"/>
          </rPr>
          <t xml:space="preserve">
7mins making adjustment to crate stopper.</t>
        </r>
      </text>
    </comment>
    <comment ref="Z25" authorId="1" shapeId="0" xr:uid="{B6F915C1-8894-481F-9A3B-C97CCE8B70E6}">
      <text>
        <r>
          <rPr>
            <b/>
            <sz val="9"/>
            <color indexed="81"/>
            <rFont val="Tahoma"/>
            <family val="2"/>
          </rPr>
          <t>Micah Noel:</t>
        </r>
        <r>
          <rPr>
            <sz val="9"/>
            <color indexed="81"/>
            <rFont val="Tahoma"/>
            <family val="2"/>
          </rPr>
          <t xml:space="preserve">
2 mins switching palletizer.  6mins space in washer</t>
        </r>
      </text>
    </comment>
    <comment ref="AB25" authorId="2" shapeId="0" xr:uid="{9BC5413B-61C7-40E0-A57E-31CDED03177D}">
      <text>
        <r>
          <rPr>
            <b/>
            <sz val="9"/>
            <color indexed="81"/>
            <rFont val="Tahoma"/>
            <family val="2"/>
          </rPr>
          <t>Tyrell Bartholomew:</t>
        </r>
        <r>
          <rPr>
            <sz val="9"/>
            <color indexed="81"/>
            <rFont val="Tahoma"/>
            <family val="2"/>
          </rPr>
          <t xml:space="preserve">
3mins heavy consecutive EBI rejections ( re-wash bottles)</t>
        </r>
      </text>
    </comment>
    <comment ref="H26" authorId="3" shapeId="0" xr:uid="{040A12FD-9D1F-4477-B4D6-53736709A355}">
      <text>
        <r>
          <rPr>
            <b/>
            <sz val="9"/>
            <color indexed="81"/>
            <rFont val="Tahoma"/>
            <family val="2"/>
          </rPr>
          <t>Reshelle Fleming:</t>
        </r>
        <r>
          <rPr>
            <sz val="9"/>
            <color indexed="81"/>
            <rFont val="Tahoma"/>
            <family val="2"/>
          </rPr>
          <t xml:space="preserve">
2mins run out of crowns </t>
        </r>
      </text>
    </comment>
    <comment ref="I26" authorId="1" shapeId="0" xr:uid="{5AA9E0F9-7E84-40C6-BDAE-2526F4985CC6}">
      <text>
        <r>
          <rPr>
            <b/>
            <sz val="9"/>
            <color indexed="81"/>
            <rFont val="Tahoma"/>
            <family val="2"/>
          </rPr>
          <t>Micah Noel:</t>
        </r>
        <r>
          <rPr>
            <sz val="9"/>
            <color indexed="81"/>
            <rFont val="Tahoma"/>
            <family val="2"/>
          </rPr>
          <t xml:space="preserve">
4 mins filler taking midnight readings (change over to a new day)</t>
        </r>
      </text>
    </comment>
    <comment ref="O26" authorId="3" shapeId="0" xr:uid="{518A26E1-479A-4530-9C0A-8DAAF77042B6}">
      <text>
        <r>
          <rPr>
            <b/>
            <sz val="9"/>
            <color indexed="81"/>
            <rFont val="Tahoma"/>
            <family val="2"/>
          </rPr>
          <t>Reshelle Fleming:</t>
        </r>
        <r>
          <rPr>
            <sz val="9"/>
            <color indexed="81"/>
            <rFont val="Tahoma"/>
            <family val="2"/>
          </rPr>
          <t xml:space="preserve">
9mins Uncaser head hitting crates</t>
        </r>
      </text>
    </comment>
    <comment ref="R26" authorId="3" shapeId="0" xr:uid="{AEBEAA01-B6BD-4081-ABE3-C4617F9ED2C3}">
      <text>
        <r>
          <rPr>
            <b/>
            <sz val="9"/>
            <color indexed="81"/>
            <rFont val="Tahoma"/>
            <family val="2"/>
          </rPr>
          <t>Reshelle Fleming:</t>
        </r>
        <r>
          <rPr>
            <sz val="9"/>
            <color indexed="81"/>
            <rFont val="Tahoma"/>
            <family val="2"/>
          </rPr>
          <t xml:space="preserve">
7mins crowns stuck in chute, 8mins cleaning filler base </t>
        </r>
      </text>
    </comment>
    <comment ref="S26" authorId="3" shapeId="0" xr:uid="{661ED642-8A25-4377-959C-604707D23F86}">
      <text>
        <r>
          <rPr>
            <b/>
            <sz val="9"/>
            <color indexed="81"/>
            <rFont val="Tahoma"/>
            <family val="2"/>
          </rPr>
          <t>Reshelle Fleming:</t>
        </r>
        <r>
          <rPr>
            <sz val="9"/>
            <color indexed="81"/>
            <rFont val="Tahoma"/>
            <family val="2"/>
          </rPr>
          <t xml:space="preserve">
12mins Low temperature on pasteurizer </t>
        </r>
      </text>
    </comment>
    <comment ref="T26" authorId="3" shapeId="0" xr:uid="{2EE991F6-65B8-4E3E-8B6F-5BDE6F432A2F}">
      <text>
        <r>
          <rPr>
            <b/>
            <sz val="9"/>
            <color indexed="81"/>
            <rFont val="Tahoma"/>
            <family val="2"/>
          </rPr>
          <t>Reshelle Fleming:</t>
        </r>
        <r>
          <rPr>
            <sz val="9"/>
            <color indexed="81"/>
            <rFont val="Tahoma"/>
            <family val="2"/>
          </rPr>
          <t xml:space="preserve">
12mins emergency switch malfunction- labeller </t>
        </r>
      </text>
    </comment>
    <comment ref="V26" authorId="3" shapeId="0" xr:uid="{EF66A0D0-F721-4E6D-A184-6B05F2AC0B33}">
      <text>
        <r>
          <rPr>
            <b/>
            <sz val="9"/>
            <color indexed="81"/>
            <rFont val="Tahoma"/>
            <family val="2"/>
          </rPr>
          <t>Reshelle Fleming:</t>
        </r>
        <r>
          <rPr>
            <sz val="9"/>
            <color indexed="81"/>
            <rFont val="Tahoma"/>
            <family val="2"/>
          </rPr>
          <t xml:space="preserve">
7mins fallen bottles jam at shuffler before the EBI </t>
        </r>
      </text>
    </comment>
    <comment ref="W26" authorId="3" shapeId="0" xr:uid="{CA2ECB03-3257-4D4E-B194-1B3B34D766DF}">
      <text>
        <r>
          <rPr>
            <b/>
            <sz val="9"/>
            <color indexed="81"/>
            <rFont val="Tahoma"/>
            <family val="2"/>
          </rPr>
          <t>Reshelle Fleming:</t>
        </r>
        <r>
          <rPr>
            <sz val="9"/>
            <color indexed="81"/>
            <rFont val="Tahoma"/>
            <family val="2"/>
          </rPr>
          <t xml:space="preserve">
16mins Packer sensor malfunction </t>
        </r>
      </text>
    </comment>
    <comment ref="Z26" authorId="1" shapeId="0" xr:uid="{82F3B7C2-AA69-4D3F-AB86-0B5B0EC1737C}">
      <text>
        <r>
          <rPr>
            <b/>
            <sz val="9"/>
            <color indexed="81"/>
            <rFont val="Tahoma"/>
            <family val="2"/>
          </rPr>
          <t>Micah Noel:</t>
        </r>
        <r>
          <rPr>
            <sz val="9"/>
            <color indexed="81"/>
            <rFont val="Tahoma"/>
            <family val="2"/>
          </rPr>
          <t xml:space="preserve">
30mins lunch break,  5mins depalletizer stopped to clean up broken glass on floor at workstation</t>
        </r>
      </text>
    </comment>
    <comment ref="AB26" authorId="1" shapeId="0" xr:uid="{B20687F1-6481-467F-87D2-B45B5FF3A78C}">
      <text>
        <r>
          <rPr>
            <b/>
            <sz val="9"/>
            <color indexed="81"/>
            <rFont val="Tahoma"/>
            <family val="2"/>
          </rPr>
          <t>Micah Noel:</t>
        </r>
        <r>
          <rPr>
            <sz val="9"/>
            <color indexed="81"/>
            <rFont val="Tahoma"/>
            <family val="2"/>
          </rPr>
          <t xml:space="preserve">
6 mins waiting for bottles from logistics 10 mins incorrect bottles brought on line (flint) 10 mins of heavy EBI rejection caused by pre-washed bottles 3 mins stop waiitng for crates (old crates jammed under uncaser head) 3 mins waiting on big pallets. 15 mins waiting for crates.</t>
        </r>
      </text>
    </comment>
    <comment ref="I27" authorId="2" shapeId="0" xr:uid="{2F941508-122B-4EED-BE53-F3079F478824}">
      <text>
        <r>
          <rPr>
            <b/>
            <sz val="9"/>
            <color indexed="81"/>
            <rFont val="Tahoma"/>
            <family val="2"/>
          </rPr>
          <t>Tyrell Bartholomew:</t>
        </r>
        <r>
          <rPr>
            <sz val="9"/>
            <color indexed="81"/>
            <rFont val="Tahoma"/>
            <family val="2"/>
          </rPr>
          <t xml:space="preserve">
52mins change over from carib to ting.</t>
        </r>
      </text>
    </comment>
    <comment ref="S27" authorId="3" shapeId="0" xr:uid="{5F12DC8A-C8BB-46AA-8CD9-C6A22EBB9E9C}">
      <text>
        <r>
          <rPr>
            <b/>
            <sz val="9"/>
            <color indexed="81"/>
            <rFont val="Tahoma"/>
            <family val="2"/>
          </rPr>
          <t>Reshelle Fleming:</t>
        </r>
        <r>
          <rPr>
            <sz val="9"/>
            <color indexed="81"/>
            <rFont val="Tahoma"/>
            <family val="2"/>
          </rPr>
          <t xml:space="preserve">
118mins waiting on dry run.(came out low the first time), 5mins Low temperature on pasteurizer </t>
        </r>
      </text>
    </comment>
    <comment ref="V27" authorId="3" shapeId="0" xr:uid="{D7BF8AAB-E766-42B3-9FF6-EC81471B7B4C}">
      <text>
        <r>
          <rPr>
            <b/>
            <sz val="9"/>
            <color indexed="81"/>
            <rFont val="Tahoma"/>
            <family val="2"/>
          </rPr>
          <t>Reshelle Fleming:</t>
        </r>
        <r>
          <rPr>
            <sz val="9"/>
            <color indexed="81"/>
            <rFont val="Tahoma"/>
            <family val="2"/>
          </rPr>
          <t xml:space="preserve">
7mins fallen bottles jam at Washer discharge </t>
        </r>
      </text>
    </comment>
    <comment ref="Z27" authorId="2" shapeId="0" xr:uid="{8448E70F-95CB-4A03-BA49-D66611242D4C}">
      <text>
        <r>
          <rPr>
            <b/>
            <sz val="9"/>
            <color indexed="81"/>
            <rFont val="Tahoma"/>
            <family val="2"/>
          </rPr>
          <t>Tyrell Bartholomew:</t>
        </r>
        <r>
          <rPr>
            <sz val="9"/>
            <color indexed="81"/>
            <rFont val="Tahoma"/>
            <family val="2"/>
          </rPr>
          <t xml:space="preserve">
30mins midweek clean on filler and washer.
47mins carbon cooler compressor malfunction(pressure to high to run)</t>
        </r>
      </text>
    </comment>
    <comment ref="H28" authorId="3" shapeId="0" xr:uid="{BCE57190-039C-46E3-8E1D-18D26DD6D3E8}">
      <text>
        <r>
          <rPr>
            <b/>
            <sz val="9"/>
            <color indexed="81"/>
            <rFont val="Tahoma"/>
            <family val="2"/>
          </rPr>
          <t>Reshelle Fleming:</t>
        </r>
        <r>
          <rPr>
            <sz val="9"/>
            <color indexed="81"/>
            <rFont val="Tahoma"/>
            <family val="2"/>
          </rPr>
          <t xml:space="preserve">
2mins run out of crowns </t>
        </r>
      </text>
    </comment>
    <comment ref="I28" authorId="1" shapeId="0" xr:uid="{FB3E01DE-AD00-4D9C-A4E5-DAB1E639F46E}">
      <text>
        <r>
          <rPr>
            <b/>
            <sz val="9"/>
            <color indexed="81"/>
            <rFont val="Tahoma"/>
            <family val="2"/>
          </rPr>
          <t>Micah Noel:</t>
        </r>
        <r>
          <rPr>
            <sz val="9"/>
            <color indexed="81"/>
            <rFont val="Tahoma"/>
            <family val="2"/>
          </rPr>
          <t xml:space="preserve">
5mins Filler operator taking midnight readings ( change over to a new day)</t>
        </r>
      </text>
    </comment>
    <comment ref="P28" authorId="3" shapeId="0" xr:uid="{179BDA2E-8274-4BC6-B3FD-1B1686FD176F}">
      <text>
        <r>
          <rPr>
            <b/>
            <sz val="9"/>
            <color indexed="81"/>
            <rFont val="Tahoma"/>
            <family val="2"/>
          </rPr>
          <t>Reshelle Fleming:</t>
        </r>
        <r>
          <rPr>
            <sz val="9"/>
            <color indexed="81"/>
            <rFont val="Tahoma"/>
            <family val="2"/>
          </rPr>
          <t xml:space="preserve">
20mins High rejection- labels and glue</t>
        </r>
      </text>
    </comment>
    <comment ref="S28" authorId="3" shapeId="0" xr:uid="{758AAF88-D7E0-499B-A70A-5EF5F841E67D}">
      <text>
        <r>
          <rPr>
            <b/>
            <sz val="9"/>
            <color indexed="81"/>
            <rFont val="Tahoma"/>
            <family val="2"/>
          </rPr>
          <t>Reshelle Fleming:</t>
        </r>
        <r>
          <rPr>
            <sz val="9"/>
            <color indexed="81"/>
            <rFont val="Tahoma"/>
            <family val="2"/>
          </rPr>
          <t xml:space="preserve">
7mins pasteurizer pump 5 cut off</t>
        </r>
      </text>
    </comment>
    <comment ref="I29" authorId="1" shapeId="0" xr:uid="{ADA83B96-FEB0-4D85-B3C9-51C08FBE313F}">
      <text>
        <r>
          <rPr>
            <b/>
            <sz val="9"/>
            <color indexed="81"/>
            <rFont val="Tahoma"/>
            <family val="2"/>
          </rPr>
          <t>Micah Noel:</t>
        </r>
        <r>
          <rPr>
            <sz val="9"/>
            <color indexed="81"/>
            <rFont val="Tahoma"/>
            <family val="2"/>
          </rPr>
          <t xml:space="preserve">
164mins Filler change over from Ting to Stag (emptying pasteurizer plus waiitng for temp drop, waiitng for dry run)</t>
        </r>
      </text>
    </comment>
    <comment ref="P29" authorId="3" shapeId="0" xr:uid="{9005E060-32E7-451E-B605-2AF823492708}">
      <text>
        <r>
          <rPr>
            <b/>
            <sz val="9"/>
            <color indexed="81"/>
            <rFont val="Tahoma"/>
            <family val="2"/>
          </rPr>
          <t>Reshelle Fleming:</t>
        </r>
        <r>
          <rPr>
            <sz val="9"/>
            <color indexed="81"/>
            <rFont val="Tahoma"/>
            <family val="2"/>
          </rPr>
          <t xml:space="preserve">
12mins High rejection- labels and glue</t>
        </r>
      </text>
    </comment>
    <comment ref="T29" authorId="3" shapeId="0" xr:uid="{56E6F211-BEDC-4D88-8783-73C707FCE906}">
      <text>
        <r>
          <rPr>
            <b/>
            <sz val="9"/>
            <color indexed="81"/>
            <rFont val="Tahoma"/>
            <family val="2"/>
          </rPr>
          <t>Reshelle Fleming:</t>
        </r>
        <r>
          <rPr>
            <sz val="9"/>
            <color indexed="81"/>
            <rFont val="Tahoma"/>
            <family val="2"/>
          </rPr>
          <t xml:space="preserve">
17mins missing labels </t>
        </r>
      </text>
    </comment>
    <comment ref="V29" authorId="3" shapeId="0" xr:uid="{12620CE2-1D23-4B7D-A550-CE5DA710B800}">
      <text>
        <r>
          <rPr>
            <b/>
            <sz val="9"/>
            <color indexed="81"/>
            <rFont val="Tahoma"/>
            <family val="2"/>
          </rPr>
          <t>Reshelle Fleming:</t>
        </r>
        <r>
          <rPr>
            <sz val="9"/>
            <color indexed="81"/>
            <rFont val="Tahoma"/>
            <family val="2"/>
          </rPr>
          <t xml:space="preserve">
13mins malfunction on crate conveyor, 8mins fallen bottles jam at Pasteurizer discharge</t>
        </r>
      </text>
    </comment>
    <comment ref="W29" authorId="3" shapeId="0" xr:uid="{D5BF4000-B474-4215-9382-6FD27D245A88}">
      <text>
        <r>
          <rPr>
            <b/>
            <sz val="9"/>
            <color indexed="81"/>
            <rFont val="Tahoma"/>
            <family val="2"/>
          </rPr>
          <t>Reshelle Fleming:</t>
        </r>
        <r>
          <rPr>
            <sz val="9"/>
            <color indexed="81"/>
            <rFont val="Tahoma"/>
            <family val="2"/>
          </rPr>
          <t xml:space="preserve">
13mins sensor malfunction on packer</t>
        </r>
      </text>
    </comment>
    <comment ref="Z29" authorId="2" shapeId="0" xr:uid="{109082E9-6897-46D8-8F49-07AF1A98A132}">
      <text>
        <r>
          <rPr>
            <b/>
            <sz val="9"/>
            <color indexed="81"/>
            <rFont val="Tahoma"/>
            <family val="2"/>
          </rPr>
          <t>Tyrell Bartholomew:</t>
        </r>
        <r>
          <rPr>
            <sz val="9"/>
            <color indexed="81"/>
            <rFont val="Tahoma"/>
            <family val="2"/>
          </rPr>
          <t xml:space="preserve">
2mins waiting on palletiser, 5mins slow packing </t>
        </r>
      </text>
    </comment>
    <comment ref="AB29" authorId="2" shapeId="0" xr:uid="{AFF571AC-2E11-4791-9864-2AAFA40C511D}">
      <text>
        <r>
          <rPr>
            <b/>
            <sz val="9"/>
            <color indexed="81"/>
            <rFont val="Tahoma"/>
            <family val="2"/>
          </rPr>
          <t>Tyrell Bartholomew:</t>
        </r>
        <r>
          <rPr>
            <sz val="9"/>
            <color indexed="81"/>
            <rFont val="Tahoma"/>
            <family val="2"/>
          </rPr>
          <t xml:space="preserve">
31mins waiting on crates- damage crates on line</t>
        </r>
      </text>
    </comment>
    <comment ref="Z30" authorId="1" shapeId="0" xr:uid="{E8298380-2270-41DB-B6CA-EECDA7B31760}">
      <text>
        <r>
          <rPr>
            <b/>
            <sz val="9"/>
            <color indexed="81"/>
            <rFont val="Tahoma"/>
            <family val="2"/>
          </rPr>
          <t>Micah Noel:</t>
        </r>
        <r>
          <rPr>
            <sz val="9"/>
            <color indexed="81"/>
            <rFont val="Tahoma"/>
            <family val="2"/>
          </rPr>
          <t xml:space="preserve">
Planned "no bottling"</t>
        </r>
      </text>
    </comment>
    <comment ref="J31" authorId="1" shapeId="0" xr:uid="{BCE3B8FA-0BBB-453D-8645-17B2D1DC77EC}">
      <text>
        <r>
          <rPr>
            <b/>
            <sz val="9"/>
            <color indexed="81"/>
            <rFont val="Tahoma"/>
            <family val="2"/>
          </rPr>
          <t>Micah Noel:</t>
        </r>
        <r>
          <rPr>
            <sz val="9"/>
            <color indexed="81"/>
            <rFont val="Tahoma"/>
            <family val="2"/>
          </rPr>
          <t xml:space="preserve">
11mins low filler bowl level, 6 mins removing low fills from pasteurizer discharge caused by bad BBT change over</t>
        </r>
      </text>
    </comment>
    <comment ref="O31" authorId="0" shapeId="0" xr:uid="{F91E8BAF-8613-4DA8-B6EF-F1D2053CB2C5}">
      <text>
        <r>
          <rPr>
            <b/>
            <sz val="9"/>
            <color indexed="81"/>
            <rFont val="Tahoma"/>
            <family val="2"/>
          </rPr>
          <t>Kaylil Baptiste:</t>
        </r>
        <r>
          <rPr>
            <sz val="9"/>
            <color indexed="81"/>
            <rFont val="Tahoma"/>
            <family val="2"/>
          </rPr>
          <t xml:space="preserve">
49mins uncaser belt stuttering, 17mins crate stopper on uncaser malfunction</t>
        </r>
      </text>
    </comment>
    <comment ref="P31" authorId="0" shapeId="0" xr:uid="{830E9224-12DC-4B8D-9FAA-486FAE25CE20}">
      <text>
        <r>
          <rPr>
            <b/>
            <sz val="9"/>
            <color indexed="81"/>
            <rFont val="Tahoma"/>
            <family val="2"/>
          </rPr>
          <t>Kaylil Baptiste:</t>
        </r>
        <r>
          <rPr>
            <sz val="9"/>
            <color indexed="81"/>
            <rFont val="Tahoma"/>
            <family val="2"/>
          </rPr>
          <t xml:space="preserve">
45mins delayed start due to low temp on washer, 21mins high rejection due to labels, 10mins bottles jam at washer discharge flap </t>
        </r>
      </text>
    </comment>
    <comment ref="R31" authorId="0" shapeId="0" xr:uid="{763DC8BE-29D9-4B13-8255-6F7449F9CF38}">
      <text>
        <r>
          <rPr>
            <b/>
            <sz val="9"/>
            <color indexed="81"/>
            <rFont val="Tahoma"/>
            <family val="2"/>
          </rPr>
          <t>Kaylil Baptiste:</t>
        </r>
        <r>
          <rPr>
            <sz val="9"/>
            <color indexed="81"/>
            <rFont val="Tahoma"/>
            <family val="2"/>
          </rPr>
          <t xml:space="preserve">
60mins not releasing crown, 50mins communication fault on filler, 26mins sensor on filler malfunction, 9mins crowner stuck in chute, 5mins crowner adjustments</t>
        </r>
      </text>
    </comment>
    <comment ref="U31" authorId="0" shapeId="0" xr:uid="{14B64DDD-242F-437A-B06E-FCC0118E4802}">
      <text>
        <r>
          <rPr>
            <b/>
            <sz val="9"/>
            <color indexed="81"/>
            <rFont val="Tahoma"/>
            <family val="2"/>
          </rPr>
          <t>Kaylil Baptiste:</t>
        </r>
        <r>
          <rPr>
            <sz val="9"/>
            <color indexed="81"/>
            <rFont val="Tahoma"/>
            <family val="2"/>
          </rPr>
          <t xml:space="preserve">
7mins videojet not printing properly</t>
        </r>
      </text>
    </comment>
    <comment ref="V31" authorId="0" shapeId="0" xr:uid="{C7EEA1EB-6DE7-4F05-87D1-06AB446C53C6}">
      <text>
        <r>
          <rPr>
            <b/>
            <sz val="9"/>
            <color indexed="81"/>
            <rFont val="Tahoma"/>
            <family val="2"/>
          </rPr>
          <t>Kaylil Baptiste:</t>
        </r>
        <r>
          <rPr>
            <sz val="9"/>
            <color indexed="81"/>
            <rFont val="Tahoma"/>
            <family val="2"/>
          </rPr>
          <t xml:space="preserve">
19mins packer discharge conveyor chain detached, 9mins fallen bottles inside shuffler, 5mins cover for uncaser discharge motor fell off </t>
        </r>
      </text>
    </comment>
    <comment ref="Z31" authorId="5" shapeId="0" xr:uid="{874DAA9C-0FCB-4A28-ACAC-4CFEB2586775}">
      <text>
        <r>
          <rPr>
            <b/>
            <sz val="9"/>
            <color indexed="81"/>
            <rFont val="Tahoma"/>
            <family val="2"/>
          </rPr>
          <t>Dorien Andrew:</t>
        </r>
        <r>
          <rPr>
            <sz val="9"/>
            <color indexed="81"/>
            <rFont val="Tahoma"/>
            <family val="2"/>
          </rPr>
          <t xml:space="preserve">
55mins washer loading, 32mins lunch break, 45mins product preparation, 7 mins waiting for palletizer (shift change + palletizer absent)</t>
        </r>
      </text>
    </comment>
    <comment ref="I32" authorId="1" shapeId="0" xr:uid="{C2707D3B-B09C-44FB-B916-AE19FAD6606B}">
      <text>
        <r>
          <rPr>
            <b/>
            <sz val="9"/>
            <color indexed="81"/>
            <rFont val="Tahoma"/>
            <family val="2"/>
          </rPr>
          <t>Micah Noel:</t>
        </r>
        <r>
          <rPr>
            <sz val="9"/>
            <color indexed="81"/>
            <rFont val="Tahoma"/>
            <family val="2"/>
          </rPr>
          <t xml:space="preserve">
48 mins filler change over from Carib to Star Malt 17 mins waiting for pasteurizer empty 48 mins waiitng for dry run</t>
        </r>
      </text>
    </comment>
    <comment ref="S32" authorId="0" shapeId="0" xr:uid="{F6DA168C-05DA-44AF-BA5C-B1D13AA07113}">
      <text>
        <r>
          <rPr>
            <b/>
            <sz val="9"/>
            <color indexed="81"/>
            <rFont val="Tahoma"/>
            <family val="2"/>
          </rPr>
          <t>Kaylil Baptiste:</t>
        </r>
        <r>
          <rPr>
            <sz val="9"/>
            <color indexed="81"/>
            <rFont val="Tahoma"/>
            <family val="2"/>
          </rPr>
          <t xml:space="preserve">
8mins low temp on pasteurizer</t>
        </r>
      </text>
    </comment>
    <comment ref="U32" authorId="0" shapeId="0" xr:uid="{CFAFC955-3DB2-4BEB-B5EB-5A98B5DAB420}">
      <text>
        <r>
          <rPr>
            <b/>
            <sz val="9"/>
            <color indexed="81"/>
            <rFont val="Tahoma"/>
            <family val="2"/>
          </rPr>
          <t>Kaylil Baptiste:</t>
        </r>
        <r>
          <rPr>
            <sz val="9"/>
            <color indexed="81"/>
            <rFont val="Tahoma"/>
            <family val="2"/>
          </rPr>
          <t xml:space="preserve">
24mins videojet not printing properly</t>
        </r>
      </text>
    </comment>
    <comment ref="V32" authorId="0" shapeId="0" xr:uid="{78579AC3-A08E-4B0F-98B9-B557704C0E1C}">
      <text>
        <r>
          <rPr>
            <b/>
            <sz val="9"/>
            <color indexed="81"/>
            <rFont val="Tahoma"/>
            <family val="2"/>
          </rPr>
          <t>Kaylil Baptiste:</t>
        </r>
        <r>
          <rPr>
            <sz val="9"/>
            <color indexed="81"/>
            <rFont val="Tahoma"/>
            <family val="2"/>
          </rPr>
          <t xml:space="preserve">
22mins burnt motor on washer discharge, 15mins washer infeed conveyor conveyor cut off</t>
        </r>
      </text>
    </comment>
    <comment ref="O33" authorId="0" shapeId="0" xr:uid="{34ACCE13-0053-42D6-9150-0BE500DE551F}">
      <text>
        <r>
          <rPr>
            <b/>
            <sz val="9"/>
            <color indexed="81"/>
            <rFont val="Tahoma"/>
            <family val="2"/>
          </rPr>
          <t>Kaylil Baptiste:</t>
        </r>
        <r>
          <rPr>
            <sz val="9"/>
            <color indexed="81"/>
            <rFont val="Tahoma"/>
            <family val="2"/>
          </rPr>
          <t xml:space="preserve">
6mins crate stopper malfunction</t>
        </r>
      </text>
    </comment>
    <comment ref="P33" authorId="0" shapeId="0" xr:uid="{C38E4B2D-47AF-4A5B-AC5E-20CA296BB71D}">
      <text>
        <r>
          <rPr>
            <b/>
            <sz val="9"/>
            <color indexed="81"/>
            <rFont val="Tahoma"/>
            <family val="2"/>
          </rPr>
          <t>Kaylil Baptiste:</t>
        </r>
        <r>
          <rPr>
            <sz val="9"/>
            <color indexed="81"/>
            <rFont val="Tahoma"/>
            <family val="2"/>
          </rPr>
          <t xml:space="preserve">
10mins high rejection due to labels</t>
        </r>
      </text>
    </comment>
    <comment ref="Q33" authorId="0" shapeId="0" xr:uid="{45D97335-0B65-45F7-9BFE-FABDE4862E11}">
      <text>
        <r>
          <rPr>
            <b/>
            <sz val="9"/>
            <color indexed="81"/>
            <rFont val="Tahoma"/>
            <family val="2"/>
          </rPr>
          <t>Kaylil Baptiste:</t>
        </r>
        <r>
          <rPr>
            <sz val="9"/>
            <color indexed="81"/>
            <rFont val="Tahoma"/>
            <family val="2"/>
          </rPr>
          <t xml:space="preserve">
8mins fallen bottles on EBI starwheel</t>
        </r>
      </text>
    </comment>
    <comment ref="R33" authorId="0" shapeId="0" xr:uid="{C84A8EA4-1484-4764-8A90-68B1DE5D74BF}">
      <text>
        <r>
          <rPr>
            <b/>
            <sz val="9"/>
            <color indexed="81"/>
            <rFont val="Tahoma"/>
            <family val="2"/>
          </rPr>
          <t>Kaylil Baptiste:</t>
        </r>
        <r>
          <rPr>
            <sz val="9"/>
            <color indexed="81"/>
            <rFont val="Tahoma"/>
            <family val="2"/>
          </rPr>
          <t xml:space="preserve">
13mins crown sticking in chute </t>
        </r>
      </text>
    </comment>
    <comment ref="S33" authorId="0" shapeId="0" xr:uid="{055A6A83-C3F6-47C8-9F9D-C657A24880A3}">
      <text>
        <r>
          <rPr>
            <b/>
            <sz val="9"/>
            <color indexed="81"/>
            <rFont val="Tahoma"/>
            <family val="2"/>
          </rPr>
          <t>Kaylil Baptiste:</t>
        </r>
        <r>
          <rPr>
            <sz val="9"/>
            <color indexed="81"/>
            <rFont val="Tahoma"/>
            <family val="2"/>
          </rPr>
          <t xml:space="preserve">
84mins pump #4 &amp; #5 cut off (flap jammed) on pasteurizer, 78mins flap jamming on pasteurizer, 13mins low temp on pasteurizer</t>
        </r>
      </text>
    </comment>
    <comment ref="V33" authorId="0" shapeId="0" xr:uid="{3DC48D0E-E68B-4594-BA5D-3765DCD3D4FB}">
      <text>
        <r>
          <rPr>
            <b/>
            <sz val="9"/>
            <color indexed="81"/>
            <rFont val="Tahoma"/>
            <family val="2"/>
          </rPr>
          <t>Kaylil Baptiste:</t>
        </r>
        <r>
          <rPr>
            <sz val="9"/>
            <color indexed="81"/>
            <rFont val="Tahoma"/>
            <family val="2"/>
          </rPr>
          <t xml:space="preserve">
31mins uncaser infeed conveyor repairs plus lack of good crates to keep line fluid, 5mins PU monitor stuck on pasteurizer conveyor</t>
        </r>
      </text>
    </comment>
    <comment ref="Z33" authorId="0" shapeId="0" xr:uid="{69AC6A46-AF57-4108-A06A-6EF5F492AC50}">
      <text>
        <r>
          <rPr>
            <b/>
            <sz val="9"/>
            <color indexed="81"/>
            <rFont val="Tahoma"/>
            <family val="2"/>
          </rPr>
          <t>Kaylil Baptiste:</t>
        </r>
        <r>
          <rPr>
            <sz val="9"/>
            <color indexed="81"/>
            <rFont val="Tahoma"/>
            <family val="2"/>
          </rPr>
          <t xml:space="preserve">
7mins taking midnight reading, 11mins creating space to switch over to need day </t>
        </r>
      </text>
    </comment>
    <comment ref="AB33" authorId="1" shapeId="0" xr:uid="{82E9D435-7307-4CEE-9898-1B7EF41F0962}">
      <text>
        <r>
          <rPr>
            <b/>
            <sz val="9"/>
            <color indexed="81"/>
            <rFont val="Tahoma"/>
            <family val="2"/>
          </rPr>
          <t>Micah Noel:</t>
        </r>
        <r>
          <rPr>
            <sz val="9"/>
            <color indexed="81"/>
            <rFont val="Tahoma"/>
            <family val="2"/>
          </rPr>
          <t xml:space="preserve">
36 Mins high rejection caused by pre-washed bottles</t>
        </r>
      </text>
    </comment>
    <comment ref="I34" authorId="0" shapeId="0" xr:uid="{85D74FFC-E948-4CD5-9AE9-D4FC9AEB6511}">
      <text>
        <r>
          <rPr>
            <b/>
            <sz val="9"/>
            <color indexed="81"/>
            <rFont val="Tahoma"/>
            <family val="2"/>
          </rPr>
          <t>Kaylil Baptiste:</t>
        </r>
        <r>
          <rPr>
            <sz val="9"/>
            <color indexed="81"/>
            <rFont val="Tahoma"/>
            <family val="2"/>
          </rPr>
          <t xml:space="preserve">
21mins product change over</t>
        </r>
      </text>
    </comment>
    <comment ref="J34" authorId="0" shapeId="0" xr:uid="{B5A44B65-C703-4262-A0FD-E07DA6373D84}">
      <text>
        <r>
          <rPr>
            <b/>
            <sz val="9"/>
            <color indexed="81"/>
            <rFont val="Tahoma"/>
            <family val="2"/>
          </rPr>
          <t>Kaylil Baptiste:</t>
        </r>
        <r>
          <rPr>
            <sz val="9"/>
            <color indexed="81"/>
            <rFont val="Tahoma"/>
            <family val="2"/>
          </rPr>
          <t xml:space="preserve">
206mins waiting on product</t>
        </r>
      </text>
    </comment>
    <comment ref="Z34" authorId="0" shapeId="0" xr:uid="{C832B3F9-BB3F-4484-B79B-B564630E41CB}">
      <text>
        <r>
          <rPr>
            <b/>
            <sz val="9"/>
            <color indexed="81"/>
            <rFont val="Tahoma"/>
            <family val="2"/>
          </rPr>
          <t>Kaylil Baptiste:</t>
        </r>
        <r>
          <rPr>
            <sz val="9"/>
            <color indexed="81"/>
            <rFont val="Tahoma"/>
            <family val="2"/>
          </rPr>
          <t xml:space="preserve">
12mins product preparation</t>
        </r>
      </text>
    </comment>
    <comment ref="J35" authorId="1" shapeId="0" xr:uid="{BAB2A298-BF46-40A7-AE4C-FDB42AAAB6C4}">
      <text>
        <r>
          <rPr>
            <b/>
            <sz val="9"/>
            <color indexed="81"/>
            <rFont val="Tahoma"/>
            <family val="2"/>
          </rPr>
          <t>Micah Noel:</t>
        </r>
        <r>
          <rPr>
            <sz val="9"/>
            <color indexed="81"/>
            <rFont val="Tahoma"/>
            <family val="2"/>
          </rPr>
          <t xml:space="preserve">
76mins awaiting product from filtration (finish filter + analyze), 15 mins removing low fills from pasteurizer discharge (happened at restart after long wait for product)</t>
        </r>
      </text>
    </comment>
    <comment ref="O35" authorId="0" shapeId="0" xr:uid="{00DCBEFC-0FA7-4EAE-BC50-CC06C7F06509}">
      <text>
        <r>
          <rPr>
            <b/>
            <sz val="9"/>
            <color indexed="81"/>
            <rFont val="Tahoma"/>
            <family val="2"/>
          </rPr>
          <t>Kaylil Baptiste:</t>
        </r>
        <r>
          <rPr>
            <sz val="9"/>
            <color indexed="81"/>
            <rFont val="Tahoma"/>
            <family val="2"/>
          </rPr>
          <t xml:space="preserve">
10mins changing suction cups on uncaser </t>
        </r>
      </text>
    </comment>
    <comment ref="P35" authorId="0" shapeId="0" xr:uid="{D43E4C90-E7FD-4A10-AF15-C4CC8EC2ABC4}">
      <text>
        <r>
          <rPr>
            <b/>
            <sz val="9"/>
            <color indexed="81"/>
            <rFont val="Tahoma"/>
            <family val="2"/>
          </rPr>
          <t>Kaylil Baptiste:</t>
        </r>
        <r>
          <rPr>
            <sz val="9"/>
            <color indexed="81"/>
            <rFont val="Tahoma"/>
            <family val="2"/>
          </rPr>
          <t xml:space="preserve">
43mins high EBI rejectiion due to labels, 34mins rinse water pump pump trip off, 6mins fallen bottles on discharge flap</t>
        </r>
      </text>
    </comment>
    <comment ref="Q35" authorId="0" shapeId="0" xr:uid="{FC55AFA8-9EBD-4911-A260-B9FFE5E1276E}">
      <text>
        <r>
          <rPr>
            <b/>
            <sz val="9"/>
            <color indexed="81"/>
            <rFont val="Tahoma"/>
            <family val="2"/>
          </rPr>
          <t>Kaylil Baptiste:</t>
        </r>
        <r>
          <rPr>
            <sz val="9"/>
            <color indexed="81"/>
            <rFont val="Tahoma"/>
            <family val="2"/>
          </rPr>
          <t xml:space="preserve">
46mins high EBI rejection, 28mins rotating glass fell out of EBI, 23mins sonic gap detection malfunction, 16mins fallen bottles on EBI starwheel </t>
        </r>
      </text>
    </comment>
    <comment ref="R35" authorId="0" shapeId="0" xr:uid="{A1D023EB-02E2-4FDA-A621-BC6AA9F48407}">
      <text>
        <r>
          <rPr>
            <b/>
            <sz val="9"/>
            <color indexed="81"/>
            <rFont val="Tahoma"/>
            <family val="2"/>
          </rPr>
          <t>Kaylil Baptiste:</t>
        </r>
        <r>
          <rPr>
            <sz val="9"/>
            <color indexed="81"/>
            <rFont val="Tahoma"/>
            <family val="2"/>
          </rPr>
          <t xml:space="preserve">
5mins crowner self flushing</t>
        </r>
      </text>
    </comment>
    <comment ref="S35" authorId="0" shapeId="0" xr:uid="{FC22D39C-8C60-48B4-A7BE-B80CAB7E04E1}">
      <text>
        <r>
          <rPr>
            <b/>
            <sz val="9"/>
            <color indexed="81"/>
            <rFont val="Tahoma"/>
            <family val="2"/>
          </rPr>
          <t>Kaylil Baptiste:</t>
        </r>
        <r>
          <rPr>
            <sz val="9"/>
            <color indexed="81"/>
            <rFont val="Tahoma"/>
            <family val="2"/>
          </rPr>
          <t xml:space="preserve">
20mins pumps 3&amp; 4 tripped off on pasteurizer </t>
        </r>
      </text>
    </comment>
    <comment ref="T35" authorId="0" shapeId="0" xr:uid="{5D9D179D-DC66-4FA6-A84E-7F41F9FE3588}">
      <text>
        <r>
          <rPr>
            <b/>
            <sz val="9"/>
            <color indexed="81"/>
            <rFont val="Tahoma"/>
            <family val="2"/>
          </rPr>
          <t>Kaylil Baptiste:</t>
        </r>
        <r>
          <rPr>
            <sz val="9"/>
            <color indexed="81"/>
            <rFont val="Tahoma"/>
            <family val="2"/>
          </rPr>
          <t xml:space="preserve">
5mins missing labels</t>
        </r>
      </text>
    </comment>
    <comment ref="V35" authorId="0" shapeId="0" xr:uid="{C055C300-917F-4070-BA79-A60B31114B33}">
      <text>
        <r>
          <rPr>
            <b/>
            <sz val="9"/>
            <color indexed="81"/>
            <rFont val="Tahoma"/>
            <family val="2"/>
          </rPr>
          <t>Kaylil Baptiste:</t>
        </r>
        <r>
          <rPr>
            <sz val="9"/>
            <color indexed="81"/>
            <rFont val="Tahoma"/>
            <family val="2"/>
          </rPr>
          <t xml:space="preserve">
15mins fallen bottles inside shuffler </t>
        </r>
      </text>
    </comment>
    <comment ref="Z35" authorId="1" shapeId="0" xr:uid="{F64EC0AF-BF9E-42B5-AAE3-FCD121762AFF}">
      <text>
        <r>
          <rPr>
            <b/>
            <sz val="9"/>
            <color indexed="81"/>
            <rFont val="Tahoma"/>
            <family val="2"/>
          </rPr>
          <t>Micah Noel:</t>
        </r>
        <r>
          <rPr>
            <sz val="9"/>
            <color indexed="81"/>
            <rFont val="Tahoma"/>
            <family val="2"/>
          </rPr>
          <t xml:space="preserve">
10mins stop for midnight reading ,10 mins Line was stopped by outgoing sighter (change of shift) 15 mins removing low fills from pasteurizer discharge (happened at restart after long wait for product)</t>
        </r>
      </text>
    </comment>
    <comment ref="AB35" authorId="1" shapeId="0" xr:uid="{DE69EBF0-36EF-4900-ACAA-8E65460FC2B7}">
      <text>
        <r>
          <rPr>
            <b/>
            <sz val="9"/>
            <color indexed="81"/>
            <rFont val="Tahoma"/>
            <family val="2"/>
          </rPr>
          <t>Micah Noel:</t>
        </r>
        <r>
          <rPr>
            <sz val="9"/>
            <color indexed="81"/>
            <rFont val="Tahoma"/>
            <family val="2"/>
          </rPr>
          <t xml:space="preserve">
high EBI rejection caused by pre-washed bottles</t>
        </r>
      </text>
    </comment>
    <comment ref="I36" authorId="4" shapeId="0" xr:uid="{98DE5425-27E3-48BE-9558-3B9FD42F4F3E}">
      <text>
        <r>
          <rPr>
            <b/>
            <sz val="9"/>
            <color indexed="81"/>
            <rFont val="Tahoma"/>
            <family val="2"/>
          </rPr>
          <t>Michael Julien:</t>
        </r>
        <r>
          <rPr>
            <sz val="9"/>
            <color indexed="81"/>
            <rFont val="Tahoma"/>
            <family val="2"/>
          </rPr>
          <t xml:space="preserve">
change over from guinness to carib.</t>
        </r>
      </text>
    </comment>
    <comment ref="Z36" authorId="4" shapeId="0" xr:uid="{F7ECF193-4C56-4543-9CA8-8472B6BA5B30}">
      <text>
        <r>
          <rPr>
            <b/>
            <sz val="9"/>
            <color indexed="81"/>
            <rFont val="Tahoma"/>
            <family val="2"/>
          </rPr>
          <t>Michael Julien:</t>
        </r>
        <r>
          <rPr>
            <sz val="9"/>
            <color indexed="81"/>
            <rFont val="Tahoma"/>
            <family val="2"/>
          </rPr>
          <t xml:space="preserve">
21 mins waiting for pasteurizer to empty.10 mins adjusting temperature, 9mins product preparation</t>
        </r>
      </text>
    </comment>
    <comment ref="G37" authorId="1" shapeId="0" xr:uid="{03278C95-7851-49A3-A2AE-87E18A563C1C}">
      <text>
        <r>
          <rPr>
            <b/>
            <sz val="9"/>
            <color indexed="81"/>
            <rFont val="Tahoma"/>
            <family val="2"/>
          </rPr>
          <t>Micah Noel:</t>
        </r>
        <r>
          <rPr>
            <sz val="9"/>
            <color indexed="81"/>
            <rFont val="Tahoma"/>
            <family val="2"/>
          </rPr>
          <t xml:space="preserve">
stop for crates and + accendental emergency button pressed on pasteurizer extended the time took to empty unit</t>
        </r>
      </text>
    </comment>
    <comment ref="I37" authorId="5" shapeId="0" xr:uid="{967A7E76-B8A6-480E-8207-2396B05EFFB7}">
      <text>
        <r>
          <rPr>
            <b/>
            <sz val="9"/>
            <color indexed="81"/>
            <rFont val="Tahoma"/>
            <family val="2"/>
          </rPr>
          <t>Dorien Andrew:</t>
        </r>
        <r>
          <rPr>
            <sz val="9"/>
            <color indexed="81"/>
            <rFont val="Tahoma"/>
            <family val="2"/>
          </rPr>
          <t xml:space="preserve">
12 mins stop to change from short to tall amber .</t>
        </r>
      </text>
    </comment>
    <comment ref="J37" authorId="0" shapeId="0" xr:uid="{655EA52D-C6C6-49AB-AD70-AD48C920EEA4}">
      <text>
        <r>
          <rPr>
            <b/>
            <sz val="9"/>
            <color indexed="81"/>
            <rFont val="Tahoma"/>
            <family val="2"/>
          </rPr>
          <t>Kaylil Baptiste:</t>
        </r>
        <r>
          <rPr>
            <sz val="9"/>
            <color indexed="81"/>
            <rFont val="Tahoma"/>
            <family val="2"/>
          </rPr>
          <t xml:space="preserve">
6mins filler bowl level drop</t>
        </r>
      </text>
    </comment>
    <comment ref="O37" authorId="0" shapeId="0" xr:uid="{D54F043D-CCB9-4B64-8300-A6D040196C58}">
      <text>
        <r>
          <rPr>
            <b/>
            <sz val="9"/>
            <color indexed="81"/>
            <rFont val="Tahoma"/>
            <family val="2"/>
          </rPr>
          <t>Kaylil Baptiste:</t>
        </r>
        <r>
          <rPr>
            <sz val="9"/>
            <color indexed="81"/>
            <rFont val="Tahoma"/>
            <family val="2"/>
          </rPr>
          <t xml:space="preserve">
17mins crate stopper malfunction, 16mins reounding crates, 8mins uncaser head hitting crates</t>
        </r>
      </text>
    </comment>
    <comment ref="P37" authorId="0" shapeId="0" xr:uid="{C673244E-0C76-46C1-8D37-4B0FC2324010}">
      <text>
        <r>
          <rPr>
            <b/>
            <sz val="9"/>
            <color indexed="81"/>
            <rFont val="Tahoma"/>
            <family val="2"/>
          </rPr>
          <t>Kaylil Baptiste:</t>
        </r>
        <r>
          <rPr>
            <sz val="9"/>
            <color indexed="81"/>
            <rFont val="Tahoma"/>
            <family val="2"/>
          </rPr>
          <t xml:space="preserve">
12mins fallen bottles at EBI discharege</t>
        </r>
      </text>
    </comment>
    <comment ref="Q37" authorId="0" shapeId="0" xr:uid="{52D7CD4D-EEC5-4F51-9FC2-CC1CAC382E58}">
      <text>
        <r>
          <rPr>
            <b/>
            <sz val="9"/>
            <color indexed="81"/>
            <rFont val="Tahoma"/>
            <family val="2"/>
          </rPr>
          <t>Kaylil Baptiste:</t>
        </r>
        <r>
          <rPr>
            <sz val="9"/>
            <color indexed="81"/>
            <rFont val="Tahoma"/>
            <family val="2"/>
          </rPr>
          <t xml:space="preserve">
5mins high EBI rejection </t>
        </r>
      </text>
    </comment>
    <comment ref="R37" authorId="0" shapeId="0" xr:uid="{63399E85-B733-4D1B-827A-68433B2454B4}">
      <text>
        <r>
          <rPr>
            <b/>
            <sz val="9"/>
            <color indexed="81"/>
            <rFont val="Tahoma"/>
            <family val="2"/>
          </rPr>
          <t>Kaylil Baptiste:</t>
        </r>
        <r>
          <rPr>
            <sz val="9"/>
            <color indexed="81"/>
            <rFont val="Tahoma"/>
            <family val="2"/>
          </rPr>
          <t xml:space="preserve">
5mins crowner self flushing</t>
        </r>
      </text>
    </comment>
    <comment ref="V37" authorId="0" shapeId="0" xr:uid="{6EA68B05-18DB-449B-AC32-86AFD84FA79C}">
      <text>
        <r>
          <rPr>
            <b/>
            <sz val="9"/>
            <color indexed="81"/>
            <rFont val="Tahoma"/>
            <family val="2"/>
          </rPr>
          <t>Kaylil Baptiste:</t>
        </r>
        <r>
          <rPr>
            <sz val="9"/>
            <color indexed="81"/>
            <rFont val="Tahoma"/>
            <family val="2"/>
          </rPr>
          <t xml:space="preserve">
24mins uncaser infeed conveyor cut off, 19mins fallen bottles inside shuffler </t>
        </r>
      </text>
    </comment>
    <comment ref="Z37" authorId="1" shapeId="0" xr:uid="{67B7DCBB-A116-4B7A-A462-D9EBBDEB98AE}">
      <text>
        <r>
          <rPr>
            <b/>
            <sz val="9"/>
            <color indexed="81"/>
            <rFont val="Tahoma"/>
            <family val="2"/>
          </rPr>
          <t>Micah Noel:</t>
        </r>
        <r>
          <rPr>
            <sz val="9"/>
            <color indexed="81"/>
            <rFont val="Tahoma"/>
            <family val="2"/>
          </rPr>
          <t xml:space="preserve">
10 mins stop for midnight reading , 3 mins switching palletizer</t>
        </r>
      </text>
    </comment>
    <comment ref="AB37" authorId="5" shapeId="0" xr:uid="{64CD07C3-0E9C-4A99-8F91-2C53570D52F4}">
      <text>
        <r>
          <rPr>
            <b/>
            <sz val="9"/>
            <color indexed="81"/>
            <rFont val="Tahoma"/>
            <family val="2"/>
          </rPr>
          <t>Dorien Andrew:</t>
        </r>
        <r>
          <rPr>
            <sz val="9"/>
            <color indexed="81"/>
            <rFont val="Tahoma"/>
            <family val="2"/>
          </rPr>
          <t xml:space="preserve">
50mins wiaitng on bottles 
10mins incorrect bottle jamming starwheel</t>
        </r>
      </text>
    </comment>
    <comment ref="I38" authorId="0" shapeId="0" xr:uid="{D2B3E7B3-243F-4973-803B-009A5329E531}">
      <text>
        <r>
          <rPr>
            <b/>
            <sz val="9"/>
            <color indexed="81"/>
            <rFont val="Tahoma"/>
            <family val="2"/>
          </rPr>
          <t>Kaylil Baptiste:</t>
        </r>
        <r>
          <rPr>
            <sz val="9"/>
            <color indexed="81"/>
            <rFont val="Tahoma"/>
            <family val="2"/>
          </rPr>
          <t xml:space="preserve">
95mins CIP and filler change over </t>
        </r>
      </text>
    </comment>
    <comment ref="M38" authorId="0" shapeId="0" xr:uid="{0A0B634B-AB25-41EB-BB5F-B08491E1ECB1}">
      <text>
        <r>
          <rPr>
            <b/>
            <sz val="9"/>
            <color indexed="81"/>
            <rFont val="Tahoma"/>
            <family val="2"/>
          </rPr>
          <t>Kaylil Baptiste:</t>
        </r>
        <r>
          <rPr>
            <sz val="9"/>
            <color indexed="81"/>
            <rFont val="Tahoma"/>
            <family val="2"/>
          </rPr>
          <t xml:space="preserve">
49mins low water level in softdrink plant</t>
        </r>
      </text>
    </comment>
    <comment ref="W38" authorId="0" shapeId="0" xr:uid="{EB68CBC8-C4A1-47D6-BA98-103BB09983AE}">
      <text>
        <r>
          <rPr>
            <b/>
            <sz val="9"/>
            <color indexed="81"/>
            <rFont val="Tahoma"/>
            <family val="2"/>
          </rPr>
          <t>Kaylil Baptiste:</t>
        </r>
        <r>
          <rPr>
            <sz val="9"/>
            <color indexed="81"/>
            <rFont val="Tahoma"/>
            <family val="2"/>
          </rPr>
          <t xml:space="preserve">
13mins packer sensor malfunction</t>
        </r>
      </text>
    </comment>
    <comment ref="Z38" authorId="4" shapeId="0" xr:uid="{5AE7960D-C3DC-432E-969C-9D046A4C3E88}">
      <text>
        <r>
          <rPr>
            <b/>
            <sz val="9"/>
            <color indexed="81"/>
            <rFont val="Tahoma"/>
            <family val="2"/>
          </rPr>
          <t>Michael Julien:</t>
        </r>
        <r>
          <rPr>
            <sz val="9"/>
            <color indexed="81"/>
            <rFont val="Tahoma"/>
            <family val="2"/>
          </rPr>
          <t xml:space="preserve">
26 mins rinsing caustic from filler, 20mins midweek clean, 19 mins lab tech swabbing filler.</t>
        </r>
      </text>
    </comment>
    <comment ref="I39" authorId="4" shapeId="0" xr:uid="{BB0E2BA5-FCEB-4073-B7E9-2D24C84F4B78}">
      <text>
        <r>
          <rPr>
            <b/>
            <sz val="9"/>
            <color indexed="81"/>
            <rFont val="Tahoma"/>
            <family val="2"/>
          </rPr>
          <t>Michael Julien:</t>
        </r>
        <r>
          <rPr>
            <sz val="9"/>
            <color indexed="81"/>
            <rFont val="Tahoma"/>
            <family val="2"/>
          </rPr>
          <t xml:space="preserve">
10 mins change from club soda to kola champ
</t>
        </r>
      </text>
    </comment>
    <comment ref="J39" authorId="4" shapeId="0" xr:uid="{390ACCD6-46D9-4832-A542-E99CEC9CD891}">
      <text>
        <r>
          <rPr>
            <b/>
            <sz val="9"/>
            <color indexed="81"/>
            <rFont val="Tahoma"/>
            <family val="2"/>
          </rPr>
          <t>Michael Julien:</t>
        </r>
        <r>
          <rPr>
            <sz val="9"/>
            <color indexed="81"/>
            <rFont val="Tahoma"/>
            <family val="2"/>
          </rPr>
          <t xml:space="preserve">
20 mins waiting for product from soft drink plant.</t>
        </r>
      </text>
    </comment>
    <comment ref="Q39" authorId="0" shapeId="0" xr:uid="{A8A6692A-F38F-4F74-964B-6C8D92BB258C}">
      <text>
        <r>
          <rPr>
            <b/>
            <sz val="9"/>
            <color indexed="81"/>
            <rFont val="Tahoma"/>
            <family val="2"/>
          </rPr>
          <t>Kaylil Baptiste:</t>
        </r>
        <r>
          <rPr>
            <sz val="9"/>
            <color indexed="81"/>
            <rFont val="Tahoma"/>
            <family val="2"/>
          </rPr>
          <t xml:space="preserve">
9mins malfunction on EBI</t>
        </r>
      </text>
    </comment>
    <comment ref="Z39" authorId="4" shapeId="0" xr:uid="{DFC53220-5E41-4F5B-9DCF-C297E9DF3376}">
      <text>
        <r>
          <rPr>
            <b/>
            <sz val="9"/>
            <color indexed="81"/>
            <rFont val="Tahoma"/>
            <family val="2"/>
          </rPr>
          <t>Michael Julien:</t>
        </r>
        <r>
          <rPr>
            <sz val="9"/>
            <color indexed="81"/>
            <rFont val="Tahoma"/>
            <family val="2"/>
          </rPr>
          <t xml:space="preserve">
27 mins high product temperature forcing a slow run.</t>
        </r>
      </text>
    </comment>
    <comment ref="I40" authorId="0" shapeId="0" xr:uid="{6C4D21AC-8BE8-40BA-923A-A3EDEC4A2E53}">
      <text>
        <r>
          <rPr>
            <b/>
            <sz val="9"/>
            <color indexed="81"/>
            <rFont val="Tahoma"/>
            <family val="2"/>
          </rPr>
          <t>Kaylil Baptiste:</t>
        </r>
        <r>
          <rPr>
            <sz val="9"/>
            <color indexed="81"/>
            <rFont val="Tahoma"/>
            <family val="2"/>
          </rPr>
          <t xml:space="preserve">
43mins filler change over </t>
        </r>
      </text>
    </comment>
    <comment ref="K40" authorId="5" shapeId="0" xr:uid="{FEC1A528-256E-454C-8B94-4950BAA89662}">
      <text>
        <r>
          <rPr>
            <b/>
            <sz val="9"/>
            <color indexed="81"/>
            <rFont val="Tahoma"/>
            <family val="2"/>
          </rPr>
          <t>Dorien Andrew:</t>
        </r>
        <r>
          <rPr>
            <sz val="9"/>
            <color indexed="81"/>
            <rFont val="Tahoma"/>
            <family val="2"/>
          </rPr>
          <t xml:space="preserve">
Low air pressure in soft drink plant </t>
        </r>
      </text>
    </comment>
    <comment ref="V40" authorId="0" shapeId="0" xr:uid="{2104AEDE-9195-4342-9F1B-492898C98C52}">
      <text>
        <r>
          <rPr>
            <b/>
            <sz val="9"/>
            <color indexed="81"/>
            <rFont val="Tahoma"/>
            <family val="2"/>
          </rPr>
          <t>Kaylil Baptiste:</t>
        </r>
        <r>
          <rPr>
            <sz val="9"/>
            <color indexed="81"/>
            <rFont val="Tahoma"/>
            <family val="2"/>
          </rPr>
          <t xml:space="preserve">
46mins replacing damaged sensor on EBI discharge, 11mins EBI discharge sensor malfunction</t>
        </r>
      </text>
    </comment>
    <comment ref="Z40" authorId="5" shapeId="0" xr:uid="{F6E40303-B9B3-4A98-B6DB-A72AED67AED2}">
      <text>
        <r>
          <rPr>
            <b/>
            <sz val="9"/>
            <color indexed="81"/>
            <rFont val="Tahoma"/>
            <family val="2"/>
          </rPr>
          <t>Dorien Andrew:</t>
        </r>
        <r>
          <rPr>
            <sz val="9"/>
            <color indexed="81"/>
            <rFont val="Tahoma"/>
            <family val="2"/>
          </rPr>
          <t xml:space="preserve">
36mins stop for lunch, 5mins lack of man power at uncaser</t>
        </r>
      </text>
    </comment>
    <comment ref="I41" authorId="5" shapeId="0" xr:uid="{FFAC1332-4ED0-4082-BB70-4BF1C19DB912}">
      <text>
        <r>
          <rPr>
            <b/>
            <sz val="9"/>
            <color indexed="81"/>
            <rFont val="Tahoma"/>
            <family val="2"/>
          </rPr>
          <t>Dorien Andrew:</t>
        </r>
        <r>
          <rPr>
            <sz val="9"/>
            <color indexed="81"/>
            <rFont val="Tahoma"/>
            <family val="2"/>
          </rPr>
          <t xml:space="preserve">
25mins change over from cream to banana</t>
        </r>
      </text>
    </comment>
    <comment ref="R41" authorId="0" shapeId="0" xr:uid="{D62838E8-4E38-45A7-86DD-8454228C420C}">
      <text>
        <r>
          <rPr>
            <b/>
            <sz val="9"/>
            <color indexed="81"/>
            <rFont val="Tahoma"/>
            <family val="2"/>
          </rPr>
          <t>Kaylil Baptiste:</t>
        </r>
        <r>
          <rPr>
            <sz val="9"/>
            <color indexed="81"/>
            <rFont val="Tahoma"/>
            <family val="2"/>
          </rPr>
          <t xml:space="preserve">
6mins cleaning filler base</t>
        </r>
      </text>
    </comment>
    <comment ref="U41" authorId="0" shapeId="0" xr:uid="{D7417385-B3E8-45A0-BE8A-647227CBB821}">
      <text>
        <r>
          <rPr>
            <b/>
            <sz val="9"/>
            <color indexed="81"/>
            <rFont val="Tahoma"/>
            <family val="2"/>
          </rPr>
          <t>Kaylil Baptiste:</t>
        </r>
        <r>
          <rPr>
            <sz val="9"/>
            <color indexed="81"/>
            <rFont val="Tahoma"/>
            <family val="2"/>
          </rPr>
          <t xml:space="preserve">
11mins videojet not printing properly</t>
        </r>
      </text>
    </comment>
    <comment ref="I42" authorId="1" shapeId="0" xr:uid="{6523510B-C36C-41BE-94D9-95DFF89F068A}">
      <text>
        <r>
          <rPr>
            <b/>
            <sz val="9"/>
            <color indexed="81"/>
            <rFont val="Tahoma"/>
            <family val="2"/>
          </rPr>
          <t>Micah Noel:</t>
        </r>
        <r>
          <rPr>
            <sz val="9"/>
            <color indexed="81"/>
            <rFont val="Tahoma"/>
            <family val="2"/>
          </rPr>
          <t xml:space="preserve">
35mins filler change over from Banana to grape J.Cool  </t>
        </r>
      </text>
    </comment>
    <comment ref="R42" authorId="0" shapeId="0" xr:uid="{4C413F15-7E79-4641-B3C3-2DEB536B9627}">
      <text>
        <r>
          <rPr>
            <b/>
            <sz val="9"/>
            <color indexed="81"/>
            <rFont val="Tahoma"/>
            <family val="2"/>
          </rPr>
          <t>Kaylil Baptiste:</t>
        </r>
        <r>
          <rPr>
            <sz val="9"/>
            <color indexed="81"/>
            <rFont val="Tahoma"/>
            <family val="2"/>
          </rPr>
          <t xml:space="preserve">
15mins CO2 flushing problem on filler</t>
        </r>
      </text>
    </comment>
    <comment ref="V42" authorId="0" shapeId="0" xr:uid="{C93CA4C0-9485-4FD8-9652-A8F3DDCF26BB}">
      <text>
        <r>
          <rPr>
            <b/>
            <sz val="9"/>
            <color indexed="81"/>
            <rFont val="Tahoma"/>
            <family val="2"/>
          </rPr>
          <t>Kaylil Baptiste:</t>
        </r>
        <r>
          <rPr>
            <sz val="9"/>
            <color indexed="81"/>
            <rFont val="Tahoma"/>
            <family val="2"/>
          </rPr>
          <t xml:space="preserve">
6 mins EBI infeed conveyor cut off</t>
        </r>
      </text>
    </comment>
    <comment ref="I43" authorId="0" shapeId="0" xr:uid="{0B0AF1B8-27AB-4A09-896D-848E9D8FE5FA}">
      <text>
        <r>
          <rPr>
            <b/>
            <sz val="9"/>
            <color indexed="81"/>
            <rFont val="Tahoma"/>
            <family val="2"/>
          </rPr>
          <t>Kaylil Baptiste:</t>
        </r>
        <r>
          <rPr>
            <sz val="9"/>
            <color indexed="81"/>
            <rFont val="Tahoma"/>
            <family val="2"/>
          </rPr>
          <t xml:space="preserve">
105mins filler change over from J.Cool to vita Malt </t>
        </r>
      </text>
    </comment>
    <comment ref="Q43" authorId="0" shapeId="0" xr:uid="{21CCCD19-40DB-4ADB-B590-75217DFA045A}">
      <text>
        <r>
          <rPr>
            <b/>
            <sz val="9"/>
            <color indexed="81"/>
            <rFont val="Tahoma"/>
            <family val="2"/>
          </rPr>
          <t>Kaylil Baptiste:</t>
        </r>
        <r>
          <rPr>
            <sz val="9"/>
            <color indexed="81"/>
            <rFont val="Tahoma"/>
            <family val="2"/>
          </rPr>
          <t xml:space="preserve">
8mis fallen bottles at EBI starwheel</t>
        </r>
      </text>
    </comment>
    <comment ref="R43" authorId="0" shapeId="0" xr:uid="{9FE0F4CF-0931-489A-B4B6-20C30248F8BC}">
      <text>
        <r>
          <rPr>
            <b/>
            <sz val="9"/>
            <color indexed="81"/>
            <rFont val="Tahoma"/>
            <family val="2"/>
          </rPr>
          <t>Kaylil Baptiste:</t>
        </r>
        <r>
          <rPr>
            <sz val="9"/>
            <color indexed="81"/>
            <rFont val="Tahoma"/>
            <family val="2"/>
          </rPr>
          <t xml:space="preserve">
43 mins refitting filling tube </t>
        </r>
      </text>
    </comment>
    <comment ref="S43" authorId="0" shapeId="0" xr:uid="{3D930A39-0C2A-4B26-9326-F8E834B1BE07}">
      <text>
        <r>
          <rPr>
            <b/>
            <sz val="9"/>
            <color indexed="81"/>
            <rFont val="Tahoma"/>
            <family val="2"/>
          </rPr>
          <t>Kaylil Baptiste:</t>
        </r>
        <r>
          <rPr>
            <sz val="9"/>
            <color indexed="81"/>
            <rFont val="Tahoma"/>
            <family val="2"/>
          </rPr>
          <t xml:space="preserve">
67mins waiting for dry run results (apparently monitor got stuck at the infeed of the pasteurizer), 8mins low temperature on pasteurizer</t>
        </r>
      </text>
    </comment>
    <comment ref="V43" authorId="0" shapeId="0" xr:uid="{C426EA05-4FFF-460B-ABDD-B20DEA50670B}">
      <text>
        <r>
          <rPr>
            <b/>
            <sz val="9"/>
            <color indexed="81"/>
            <rFont val="Tahoma"/>
            <family val="2"/>
          </rPr>
          <t>Kaylil Baptiste:</t>
        </r>
        <r>
          <rPr>
            <sz val="9"/>
            <color indexed="81"/>
            <rFont val="Tahoma"/>
            <family val="2"/>
          </rPr>
          <t xml:space="preserve">
186mins EBI infeed conveyor malfunction </t>
        </r>
      </text>
    </comment>
    <comment ref="P44" authorId="0" shapeId="0" xr:uid="{28E981BB-5195-485C-BEDC-B9BF68AF1163}">
      <text>
        <r>
          <rPr>
            <b/>
            <sz val="9"/>
            <color indexed="81"/>
            <rFont val="Tahoma"/>
            <family val="2"/>
          </rPr>
          <t>Kaylil Baptiste:</t>
        </r>
        <r>
          <rPr>
            <sz val="9"/>
            <color indexed="81"/>
            <rFont val="Tahoma"/>
            <family val="2"/>
          </rPr>
          <t xml:space="preserve">
12mins high rejection due to labels, 7mins cleaning flow meter on washer</t>
        </r>
      </text>
    </comment>
    <comment ref="T44" authorId="0" shapeId="0" xr:uid="{C17918DC-F8B8-4333-AECE-0941D3717FAF}">
      <text>
        <r>
          <rPr>
            <b/>
            <sz val="9"/>
            <color indexed="81"/>
            <rFont val="Tahoma"/>
            <family val="2"/>
          </rPr>
          <t>Kaylil Baptiste:</t>
        </r>
        <r>
          <rPr>
            <sz val="9"/>
            <color indexed="81"/>
            <rFont val="Tahoma"/>
            <family val="2"/>
          </rPr>
          <t xml:space="preserve">
556mins damaged card on labeller</t>
        </r>
      </text>
    </comment>
    <comment ref="V44" authorId="0" shapeId="0" xr:uid="{1E785543-1FAA-4C3F-B303-0FE5DD3551BF}">
      <text>
        <r>
          <rPr>
            <b/>
            <sz val="9"/>
            <color indexed="81"/>
            <rFont val="Tahoma"/>
            <family val="2"/>
          </rPr>
          <t>Kaylil Baptiste:</t>
        </r>
        <r>
          <rPr>
            <sz val="9"/>
            <color indexed="81"/>
            <rFont val="Tahoma"/>
            <family val="2"/>
          </rPr>
          <t xml:space="preserve">
10mins fallen bottles inside shuffler, 5mins bottles falling at pasteuriser discharge</t>
        </r>
      </text>
    </comment>
    <comment ref="Z44" authorId="5" shapeId="0" xr:uid="{F6C50197-896A-4F77-AF20-030C060A3115}">
      <text>
        <r>
          <rPr>
            <b/>
            <sz val="9"/>
            <color indexed="81"/>
            <rFont val="Tahoma"/>
            <family val="2"/>
          </rPr>
          <t>Dorien Andrew:</t>
        </r>
        <r>
          <rPr>
            <sz val="9"/>
            <color indexed="81"/>
            <rFont val="Tahoma"/>
            <family val="2"/>
          </rPr>
          <t xml:space="preserve">
48 mins space in washer from empting 3 mins removing low filled bottles from pasteurizer  discharge 30 mins lunch</t>
        </r>
      </text>
    </comment>
    <comment ref="AB44" authorId="5" shapeId="0" xr:uid="{548EC3B1-B539-4A80-A768-63B6EEBC5574}">
      <text>
        <r>
          <rPr>
            <b/>
            <sz val="9"/>
            <color indexed="81"/>
            <rFont val="Tahoma"/>
            <family val="2"/>
          </rPr>
          <t>Dorien Andrew:</t>
        </r>
        <r>
          <rPr>
            <sz val="9"/>
            <color indexed="81"/>
            <rFont val="Tahoma"/>
            <family val="2"/>
          </rPr>
          <t xml:space="preserve">
27mins incorrect bottles jamming EBI </t>
        </r>
      </text>
    </comment>
    <comment ref="N74" authorId="6" shapeId="0" xr:uid="{00000000-0006-0000-1900-00001A00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4" authorId="6" shapeId="0" xr:uid="{00000000-0006-0000-1900-00001B00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Audlyn Andrews</author>
    <author>Royd</author>
    <author>Kaylil Baptiste</author>
  </authors>
  <commentList>
    <comment ref="AE5" authorId="0" shapeId="0" xr:uid="{00000000-0006-0000-1C00-000001000000}">
      <text>
        <r>
          <rPr>
            <b/>
            <sz val="9"/>
            <rFont val="Tahoma"/>
            <family val="2"/>
          </rPr>
          <t>Audlyn Andrews:</t>
        </r>
        <r>
          <rPr>
            <sz val="9"/>
            <rFont val="Tahoma"/>
            <family val="2"/>
          </rPr>
          <t xml:space="preserve">
Packer end- Washer start time </t>
        </r>
      </text>
    </comment>
    <comment ref="N77" authorId="1" shapeId="0" xr:uid="{00000000-0006-0000-1C00-00001F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77" authorId="1" shapeId="0" xr:uid="{00000000-0006-0000-1C00-00002001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 ref="R110" authorId="2" shapeId="0" xr:uid="{0D87DFE1-51B5-45F9-8722-87229F994F46}">
      <text>
        <r>
          <rPr>
            <b/>
            <sz val="9"/>
            <color indexed="81"/>
            <rFont val="Tahoma"/>
            <family val="2"/>
          </rPr>
          <t>Kaylil Baptiste:</t>
        </r>
        <r>
          <rPr>
            <sz val="9"/>
            <color indexed="81"/>
            <rFont val="Tahoma"/>
            <family val="2"/>
          </rPr>
          <t xml:space="preserve">
mid day start up planned after EBI ovehaul</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Royd</author>
  </authors>
  <commentList>
    <comment ref="N65" authorId="0" shapeId="0" xr:uid="{00000000-0006-0000-1D00-000028010000}">
      <text>
        <r>
          <rPr>
            <b/>
            <sz val="9"/>
            <rFont val="Tahoma"/>
            <family val="2"/>
          </rPr>
          <t>Royd:</t>
        </r>
        <r>
          <rPr>
            <sz val="9"/>
            <rFont val="Tahoma"/>
            <family val="2"/>
          </rPr>
          <t xml:space="preserve">
RULES:
1. Actual Fill time and End time must be used to calculate Filling Time.
2. All Utility and other foreign related related downtime (meetings change-overs) must be substracted from Fill Time.
3. Always remember to </t>
        </r>
        <r>
          <rPr>
            <u/>
            <sz val="9"/>
            <rFont val="Tahoma"/>
            <family val="2"/>
          </rPr>
          <t>NOT</t>
        </r>
        <r>
          <rPr>
            <sz val="9"/>
            <rFont val="Tahoma"/>
            <family val="2"/>
          </rPr>
          <t xml:space="preserve"> minus downtime for late starts because you are already using  the actual start time.
4. Always remember to minus change-over time only when it's a change within the same product (eg. Stag local to Stag Exports).</t>
        </r>
      </text>
    </comment>
    <comment ref="T65" authorId="0" shapeId="0" xr:uid="{00000000-0006-0000-1D00-000029010000}">
      <text>
        <r>
          <rPr>
            <b/>
            <sz val="9"/>
            <rFont val="Tahoma"/>
            <family val="2"/>
          </rPr>
          <t>Royd:</t>
        </r>
        <r>
          <rPr>
            <sz val="9"/>
            <rFont val="Tahoma"/>
            <family val="2"/>
          </rPr>
          <t xml:space="preserve">
RULES:
1. Available time always starts at 7:50am.
2. End time should be 17:00/22:00 Mon-Thu &amp; 16:00/21:00 Fri. 
3. Actual end time is used once time goes past 17:00 on single shift and 22:00 on double shift.</t>
        </r>
      </text>
    </comment>
  </commentList>
</comments>
</file>

<file path=xl/sharedStrings.xml><?xml version="1.0" encoding="utf-8"?>
<sst xmlns="http://schemas.openxmlformats.org/spreadsheetml/2006/main" count="1807" uniqueCount="504">
  <si>
    <t>PRINT BUTTONS (click to print)</t>
  </si>
  <si>
    <t>Mthly Report</t>
  </si>
  <si>
    <t>Pareto Charts</t>
  </si>
  <si>
    <t>Monthly Operating Report</t>
  </si>
  <si>
    <t>Month</t>
  </si>
  <si>
    <t>Delays(hours)</t>
  </si>
  <si>
    <t>Operator Errors</t>
  </si>
  <si>
    <t>Change Over</t>
  </si>
  <si>
    <t>Product Delay</t>
  </si>
  <si>
    <t>Low Air Pressure</t>
  </si>
  <si>
    <r>
      <rPr>
        <b/>
        <sz val="10"/>
        <rFont val="Arial"/>
        <family val="2"/>
      </rPr>
      <t>Low CO</t>
    </r>
    <r>
      <rPr>
        <b/>
        <vertAlign val="subscript"/>
        <sz val="10"/>
        <rFont val="Arial"/>
        <family val="2"/>
      </rPr>
      <t xml:space="preserve">2 </t>
    </r>
    <r>
      <rPr>
        <b/>
        <sz val="10"/>
        <rFont val="Arial"/>
        <family val="2"/>
      </rPr>
      <t>Pressure</t>
    </r>
  </si>
  <si>
    <t>Low Water Pressure</t>
  </si>
  <si>
    <t>Low Steam Pressure</t>
  </si>
  <si>
    <t>Uncaser</t>
  </si>
  <si>
    <t>Washer</t>
  </si>
  <si>
    <t>EBI</t>
  </si>
  <si>
    <t>Filler</t>
  </si>
  <si>
    <t>Pasteuriser</t>
  </si>
  <si>
    <t>Labeller</t>
  </si>
  <si>
    <t>Videojet (Coder)</t>
  </si>
  <si>
    <t>Conveyors</t>
  </si>
  <si>
    <t>Packer</t>
  </si>
  <si>
    <t>Carton Errector</t>
  </si>
  <si>
    <t>Crate Rinser</t>
  </si>
  <si>
    <t>Other Explained</t>
  </si>
  <si>
    <t>Other Unexplained</t>
  </si>
  <si>
    <t>Bottle Supply</t>
  </si>
  <si>
    <t>Space Availability</t>
  </si>
  <si>
    <t>Total Downtime</t>
  </si>
  <si>
    <t>Avg. monthly downtime (YTD)</t>
  </si>
  <si>
    <t>Hls Bottled</t>
  </si>
  <si>
    <t>Jan</t>
  </si>
  <si>
    <t>Feb</t>
  </si>
  <si>
    <t>Mar</t>
  </si>
  <si>
    <t>Apr</t>
  </si>
  <si>
    <t>May</t>
  </si>
  <si>
    <t>Jun</t>
  </si>
  <si>
    <t>Jul</t>
  </si>
  <si>
    <t>Aug</t>
  </si>
  <si>
    <t>Sep</t>
  </si>
  <si>
    <t>Oct</t>
  </si>
  <si>
    <t>Nov</t>
  </si>
  <si>
    <t>Dec</t>
  </si>
  <si>
    <t>YTD</t>
  </si>
  <si>
    <t>YTD%</t>
  </si>
  <si>
    <t>Notes</t>
  </si>
  <si>
    <t>- 1 bottling  is 300 hl</t>
  </si>
  <si>
    <t>-Stops in excess of 5 minutes must be recorded</t>
  </si>
  <si>
    <t>-All downtimes are relative to the filler</t>
  </si>
  <si>
    <t>January</t>
  </si>
  <si>
    <t>February</t>
  </si>
  <si>
    <t>March</t>
  </si>
  <si>
    <t>April</t>
  </si>
  <si>
    <t>Machines</t>
  </si>
  <si>
    <t>Percent</t>
  </si>
  <si>
    <t xml:space="preserve">Cumulative Percent </t>
  </si>
  <si>
    <t>Logistics Supply (bottles, crowns)</t>
  </si>
  <si>
    <t>Pasteuiser</t>
  </si>
  <si>
    <t xml:space="preserve">Low Air Pressure </t>
  </si>
  <si>
    <t>VideoJet (Coder)</t>
  </si>
  <si>
    <r>
      <rPr>
        <b/>
        <sz val="10"/>
        <rFont val="Arial"/>
        <family val="2"/>
      </rPr>
      <t>Low CO</t>
    </r>
    <r>
      <rPr>
        <b/>
        <vertAlign val="subscript"/>
        <sz val="10"/>
        <rFont val="Arial"/>
        <family val="2"/>
      </rPr>
      <t>2</t>
    </r>
    <r>
      <rPr>
        <b/>
        <sz val="10"/>
        <rFont val="Arial"/>
        <family val="2"/>
      </rPr>
      <t xml:space="preserve"> Pressure</t>
    </r>
  </si>
  <si>
    <t>Low CO2 Pressure</t>
  </si>
  <si>
    <t>June</t>
  </si>
  <si>
    <t>July</t>
  </si>
  <si>
    <t>August</t>
  </si>
  <si>
    <t>September</t>
  </si>
  <si>
    <t>October</t>
  </si>
  <si>
    <t>November</t>
  </si>
  <si>
    <t>December</t>
  </si>
  <si>
    <t>Year To Date</t>
  </si>
  <si>
    <t>Cumulative Percent</t>
  </si>
  <si>
    <t>Machine</t>
  </si>
  <si>
    <t>Frequency</t>
  </si>
  <si>
    <t>Cum. Frequency</t>
  </si>
  <si>
    <t>Other Un-explained</t>
  </si>
  <si>
    <t>Other Explained Explained</t>
  </si>
  <si>
    <t>Uncaser/ Bottle Supply</t>
  </si>
  <si>
    <t>Low Air Pressure Pressure</t>
  </si>
  <si>
    <t>Pre Production Delays</t>
  </si>
  <si>
    <t>Convey/s</t>
  </si>
  <si>
    <t>Past.</t>
  </si>
  <si>
    <t>Date</t>
  </si>
  <si>
    <t xml:space="preserve">Crate Stopper </t>
  </si>
  <si>
    <t>Infeed Belt</t>
  </si>
  <si>
    <t>Discharge line (Motor)</t>
  </si>
  <si>
    <t>Infeed line (Motor)</t>
  </si>
  <si>
    <t>Plunger</t>
  </si>
  <si>
    <t>Start/ Stop</t>
  </si>
  <si>
    <t>Restart</t>
  </si>
  <si>
    <t>Interface Screen</t>
  </si>
  <si>
    <t>Lockout (marching crates)</t>
  </si>
  <si>
    <t>Head (hitting crates) / (Damaged crates)</t>
  </si>
  <si>
    <t>Rebounding crates</t>
  </si>
  <si>
    <t>Emergency stop Button</t>
  </si>
  <si>
    <t xml:space="preserve">Programming Issues </t>
  </si>
  <si>
    <t xml:space="preserve">Fingers (hitting crates) </t>
  </si>
  <si>
    <t>Head Malfunction</t>
  </si>
  <si>
    <t xml:space="preserve">Sprocket </t>
  </si>
  <si>
    <t>Spacer</t>
  </si>
  <si>
    <t>Suction cups</t>
  </si>
  <si>
    <t>Sensor Malfunction</t>
  </si>
  <si>
    <t>Case Guiding rail</t>
  </si>
  <si>
    <t>Reflectors</t>
  </si>
  <si>
    <t>Tensioner</t>
  </si>
  <si>
    <t>Transport belt</t>
  </si>
  <si>
    <t>Low air pressure (Pressure switch adjustment)</t>
  </si>
  <si>
    <t>piston (air leak on on second base)</t>
  </si>
  <si>
    <t>Centering device</t>
  </si>
  <si>
    <t>Centering Cup</t>
  </si>
  <si>
    <t>Air Regulator</t>
  </si>
  <si>
    <t>Electrical issues</t>
  </si>
  <si>
    <t>Head Adjustments&amp; Misalignment</t>
  </si>
  <si>
    <t>Drive Belt</t>
  </si>
  <si>
    <t>Total MTD</t>
  </si>
  <si>
    <t>Washer Downtime Issues</t>
  </si>
  <si>
    <t>Cam</t>
  </si>
  <si>
    <t>VLT</t>
  </si>
  <si>
    <t xml:space="preserve">Kidney </t>
  </si>
  <si>
    <t>Pockets</t>
  </si>
  <si>
    <t>New Washer Com.</t>
  </si>
  <si>
    <t xml:space="preserve">Washer load table area. </t>
  </si>
  <si>
    <t>In-feed (bottle jam/ bend)</t>
  </si>
  <si>
    <t>Discharge Flap (bottle jam/ bend)</t>
  </si>
  <si>
    <t>Discharge Clutch</t>
  </si>
  <si>
    <t>Discharge Chain Drive</t>
  </si>
  <si>
    <t>Arm</t>
  </si>
  <si>
    <t>Cups</t>
  </si>
  <si>
    <t>In-feed Clutch</t>
  </si>
  <si>
    <t>Main Drive Motor</t>
  </si>
  <si>
    <t>Filter/Strainer</t>
  </si>
  <si>
    <t>Partitions</t>
  </si>
  <si>
    <t>In-feed/ discharge re-timing</t>
  </si>
  <si>
    <t>Label Extractor</t>
  </si>
  <si>
    <t>Infeed Guide</t>
  </si>
  <si>
    <t>Discharge Guides</t>
  </si>
  <si>
    <t xml:space="preserve">Tensioner/Plate/Sprockets </t>
  </si>
  <si>
    <t>Discharge Guide (Knock out Bar)</t>
  </si>
  <si>
    <t>Bottles (Discharge)</t>
  </si>
  <si>
    <t xml:space="preserve">Washer infeed sensor </t>
  </si>
  <si>
    <t xml:space="preserve">Washer discharge sensor </t>
  </si>
  <si>
    <t>Gear Box</t>
  </si>
  <si>
    <t>Infeed Carriers</t>
  </si>
  <si>
    <t xml:space="preserve">Start Up issues </t>
  </si>
  <si>
    <t xml:space="preserve">Caustic Hose </t>
  </si>
  <si>
    <t>Tank 5 (Rinse)</t>
  </si>
  <si>
    <t>Tank 4</t>
  </si>
  <si>
    <t>Breaker</t>
  </si>
  <si>
    <t>Washer Panel/Display</t>
  </si>
  <si>
    <t>Start/Stop Switch</t>
  </si>
  <si>
    <t>Washer Infeed (Finger)</t>
  </si>
  <si>
    <t xml:space="preserve">Rinse Jet </t>
  </si>
  <si>
    <t>Broken Starwheel chain</t>
  </si>
  <si>
    <t>Final Rinse sensor</t>
  </si>
  <si>
    <t xml:space="preserve">Rollers </t>
  </si>
  <si>
    <t>Rinse Water Pump</t>
  </si>
  <si>
    <t xml:space="preserve">Electrical </t>
  </si>
  <si>
    <t>Low Temp</t>
  </si>
  <si>
    <t>Steam Leak</t>
  </si>
  <si>
    <t>Caustic Carry-Over</t>
  </si>
  <si>
    <t xml:space="preserve">Caustic Pump </t>
  </si>
  <si>
    <t>Pump 1, 2,3</t>
  </si>
  <si>
    <t>Caustic Check</t>
  </si>
  <si>
    <t>Tank #6</t>
  </si>
  <si>
    <t>Water Line</t>
  </si>
  <si>
    <t>drain pipe</t>
  </si>
  <si>
    <t xml:space="preserve">Late Chemical Addition </t>
  </si>
  <si>
    <t>Methylene Blue</t>
  </si>
  <si>
    <t>Tank #1&amp; 2</t>
  </si>
  <si>
    <t>Tank #3</t>
  </si>
  <si>
    <t xml:space="preserve">Label Basket </t>
  </si>
  <si>
    <t>Carriers</t>
  </si>
  <si>
    <t>High Rejection (labels,glue)</t>
  </si>
  <si>
    <t>Jet Adjustments/ clean</t>
  </si>
  <si>
    <t>Total</t>
  </si>
  <si>
    <t>MTD</t>
  </si>
  <si>
    <t>Filler Downtime Issues</t>
  </si>
  <si>
    <t>Stuck Crowns (Chute/Hopper)</t>
  </si>
  <si>
    <t>Transfer plate</t>
  </si>
  <si>
    <t>Hopper Plate closed in</t>
  </si>
  <si>
    <t>VFD</t>
  </si>
  <si>
    <t>Crowner Flush</t>
  </si>
  <si>
    <t>Air Dryer Fault</t>
  </si>
  <si>
    <t xml:space="preserve">Fobber </t>
  </si>
  <si>
    <t xml:space="preserve">Crown conveyor) Transport Belt </t>
  </si>
  <si>
    <t>Nipples</t>
  </si>
  <si>
    <t xml:space="preserve">Crowner Sorter </t>
  </si>
  <si>
    <t>Bottle stop</t>
  </si>
  <si>
    <t>Bottle burst</t>
  </si>
  <si>
    <t xml:space="preserve">Start Up Adj. </t>
  </si>
  <si>
    <t>Low Air</t>
  </si>
  <si>
    <t xml:space="preserve">Fill Volume </t>
  </si>
  <si>
    <t>Plunger for bottle type</t>
  </si>
  <si>
    <t>Bottle Pads</t>
  </si>
  <si>
    <t>Software/ Electrical issue</t>
  </si>
  <si>
    <t xml:space="preserve"> Cleaning/Adjustments</t>
  </si>
  <si>
    <t>Starwheel (bottle jam)</t>
  </si>
  <si>
    <t>Filling Valves (Actuated Diaphragm)</t>
  </si>
  <si>
    <t>Filling tubes / Centering cups</t>
  </si>
  <si>
    <t>CO2 Valve</t>
  </si>
  <si>
    <t>Sensor Malfunction/ Cleaning</t>
  </si>
  <si>
    <t>Centering bell</t>
  </si>
  <si>
    <t xml:space="preserve">Crown chute screw adjustment  </t>
  </si>
  <si>
    <t>Crowner adjustments</t>
  </si>
  <si>
    <t xml:space="preserve">Gas Needle </t>
  </si>
  <si>
    <t>Leg</t>
  </si>
  <si>
    <t>Height Adjustment</t>
  </si>
  <si>
    <t>Crimp Test (Adjustment)</t>
  </si>
  <si>
    <t>Vacuum pump</t>
  </si>
  <si>
    <t xml:space="preserve">Filler Infeed  </t>
  </si>
  <si>
    <t xml:space="preserve"> </t>
  </si>
  <si>
    <t xml:space="preserve">                                                                                                                                                                                                                                                                                                                                                                                                                                                                                                                                                                                                                                                                                                                                                                                                                                                                                                                                                                                                                                                                                                                                                                                                                                                                                                                                                                        </t>
  </si>
  <si>
    <t>Pasteurizer Downtime Issues</t>
  </si>
  <si>
    <t>Hydraulics Malfunction</t>
  </si>
  <si>
    <t>Seal</t>
  </si>
  <si>
    <t>Cut off</t>
  </si>
  <si>
    <t>Teperature Gauge</t>
  </si>
  <si>
    <t>Pump Malfunction</t>
  </si>
  <si>
    <t>High PU</t>
  </si>
  <si>
    <t>Low PU</t>
  </si>
  <si>
    <t xml:space="preserve"> Dry Run</t>
  </si>
  <si>
    <t>Burnt Fuse</t>
  </si>
  <si>
    <t>Low Temperature</t>
  </si>
  <si>
    <t>Sensor</t>
  </si>
  <si>
    <t xml:space="preserve">Main Valve wheel </t>
  </si>
  <si>
    <t xml:space="preserve">Steam line regulator flow </t>
  </si>
  <si>
    <t>Filter</t>
  </si>
  <si>
    <t>Air Leak</t>
  </si>
  <si>
    <t xml:space="preserve">Nozzle/ Spray Jets </t>
  </si>
  <si>
    <t>Steam Leak (gasket, line)</t>
  </si>
  <si>
    <t>High Temperature</t>
  </si>
  <si>
    <t>Temperature Display Unit</t>
  </si>
  <si>
    <t>Man Hole</t>
  </si>
  <si>
    <t>Dead Plate</t>
  </si>
  <si>
    <t>Air Quality/ Moisture</t>
  </si>
  <si>
    <t>Videojet Downtime Issues</t>
  </si>
  <si>
    <t>Not Printing Properly</t>
  </si>
  <si>
    <t>Date Code Adjustment</t>
  </si>
  <si>
    <t>Time</t>
  </si>
  <si>
    <t>Height</t>
  </si>
  <si>
    <t>Switching Videojet</t>
  </si>
  <si>
    <t>Colour</t>
  </si>
  <si>
    <t>Make up fluid</t>
  </si>
  <si>
    <t xml:space="preserve"> Adjustment</t>
  </si>
  <si>
    <t>Head</t>
  </si>
  <si>
    <t xml:space="preserve">Alignment </t>
  </si>
  <si>
    <t>Date Code Change</t>
  </si>
  <si>
    <t>TOTAL MTD</t>
  </si>
  <si>
    <t xml:space="preserve">Bent Fingers </t>
  </si>
  <si>
    <t>Motor</t>
  </si>
  <si>
    <t>Packer head adjustments</t>
  </si>
  <si>
    <t>PLC</t>
  </si>
  <si>
    <t xml:space="preserve">Lift Mechanism </t>
  </si>
  <si>
    <t>Inverter Alarm</t>
  </si>
  <si>
    <t xml:space="preserve">Case Packer </t>
  </si>
  <si>
    <t xml:space="preserve">Fingers hitting crates edges </t>
  </si>
  <si>
    <t>Centering cup</t>
  </si>
  <si>
    <t xml:space="preserve">Bottles/ labels Block sensor </t>
  </si>
  <si>
    <t xml:space="preserve">Broken bottles inside Packer </t>
  </si>
  <si>
    <t>Sliding Arm</t>
  </si>
  <si>
    <t xml:space="preserve">Shuffler </t>
  </si>
  <si>
    <t>Crate Stopper</t>
  </si>
  <si>
    <t xml:space="preserve">Bolts </t>
  </si>
  <si>
    <t>Air regulator</t>
  </si>
  <si>
    <t>Bottle guide</t>
  </si>
  <si>
    <t>Crate guide</t>
  </si>
  <si>
    <t>Spring Adjustments</t>
  </si>
  <si>
    <t>Suction Cups</t>
  </si>
  <si>
    <t xml:space="preserve">Coupling </t>
  </si>
  <si>
    <t>Stuck crate/carton</t>
  </si>
  <si>
    <t>Leaking Cups</t>
  </si>
  <si>
    <t xml:space="preserve">Not Taping Properly </t>
  </si>
  <si>
    <t>Glue</t>
  </si>
  <si>
    <t>creation</t>
  </si>
  <si>
    <t>Date Set up</t>
  </si>
  <si>
    <t xml:space="preserve">Suction Cup spring </t>
  </si>
  <si>
    <t>Moist boxes</t>
  </si>
  <si>
    <t>Programme Malfunction</t>
  </si>
  <si>
    <t>Destroying boxes</t>
  </si>
  <si>
    <t>Changing tape</t>
  </si>
  <si>
    <t>Bending flats</t>
  </si>
  <si>
    <t>jamming</t>
  </si>
  <si>
    <t>Sealing</t>
  </si>
  <si>
    <t xml:space="preserve">boxes not sliding in </t>
  </si>
  <si>
    <t xml:space="preserve">Malfunction </t>
  </si>
  <si>
    <t>Labeler Downtime Issues</t>
  </si>
  <si>
    <t>Missing Labels</t>
  </si>
  <si>
    <t>Flagging/Twisted Labels</t>
  </si>
  <si>
    <t>Label Misalignment adjust</t>
  </si>
  <si>
    <t xml:space="preserve">Timing Issues </t>
  </si>
  <si>
    <t>Startup Adjustments</t>
  </si>
  <si>
    <t>Oil line</t>
  </si>
  <si>
    <t>Grease</t>
  </si>
  <si>
    <t>Starwheel</t>
  </si>
  <si>
    <t>Air Knife</t>
  </si>
  <si>
    <t>Krones Tech</t>
  </si>
  <si>
    <t>Neck fingers</t>
  </si>
  <si>
    <t>Neck Sponge</t>
  </si>
  <si>
    <t>Encoder</t>
  </si>
  <si>
    <t>New Dimension</t>
  </si>
  <si>
    <t>Carousel</t>
  </si>
  <si>
    <t>Aggregate</t>
  </si>
  <si>
    <t>Glue Pump</t>
  </si>
  <si>
    <t>Back Station Adjustments</t>
  </si>
  <si>
    <t>Glue Scrapper</t>
  </si>
  <si>
    <t>Glue Roller</t>
  </si>
  <si>
    <t>Magazine</t>
  </si>
  <si>
    <t xml:space="preserve">Pallet </t>
  </si>
  <si>
    <t xml:space="preserve"> Fine clock pulse issue</t>
  </si>
  <si>
    <t>Air hose</t>
  </si>
  <si>
    <t>Gripper Cylinder</t>
  </si>
  <si>
    <t>Cam Follower</t>
  </si>
  <si>
    <t xml:space="preserve"> air guage </t>
  </si>
  <si>
    <t>Labeller Infeed</t>
  </si>
  <si>
    <t>Brush</t>
  </si>
  <si>
    <t>Cleaning</t>
  </si>
  <si>
    <t xml:space="preserve">In-feed worm </t>
  </si>
  <si>
    <t>EBI Downtime Issues</t>
  </si>
  <si>
    <t xml:space="preserve">Programming </t>
  </si>
  <si>
    <t>Software Malfunction (Reboot)</t>
  </si>
  <si>
    <t>EBI Screen</t>
  </si>
  <si>
    <t>Shaft</t>
  </si>
  <si>
    <t xml:space="preserve">Down/up Bottle Sensor </t>
  </si>
  <si>
    <t>Sonic gap detection</t>
  </si>
  <si>
    <t>Neck Finish Adjustments</t>
  </si>
  <si>
    <t xml:space="preserve">Base Camera </t>
  </si>
  <si>
    <t>EBI Rejection table</t>
  </si>
  <si>
    <t>Servo Controller</t>
  </si>
  <si>
    <t>EBI Infeed fault</t>
  </si>
  <si>
    <t>Parameter Fault/Adjustment</t>
  </si>
  <si>
    <t>High Rejection</t>
  </si>
  <si>
    <t>False Rejection</t>
  </si>
  <si>
    <t>Belt</t>
  </si>
  <si>
    <t>Safety Door</t>
  </si>
  <si>
    <t>EBI Speed</t>
  </si>
  <si>
    <t>Alignment Issues</t>
  </si>
  <si>
    <t>Fallen/ jam bottles EBI Starwheel</t>
  </si>
  <si>
    <t>Trouble shooting</t>
  </si>
  <si>
    <t>Vacuum Pressure</t>
  </si>
  <si>
    <t>OSW glass</t>
  </si>
  <si>
    <t xml:space="preserve">Fallen/ jam bottles OSW </t>
  </si>
  <si>
    <t>Rail Adjustments</t>
  </si>
  <si>
    <t>Stuck Labels</t>
  </si>
  <si>
    <t>LCM</t>
  </si>
  <si>
    <t>Base Inspector</t>
  </si>
  <si>
    <t>EBI Base Camera</t>
  </si>
  <si>
    <t>Test bottles failure</t>
  </si>
  <si>
    <t xml:space="preserve">Bolt </t>
  </si>
  <si>
    <t xml:space="preserve">Cleaning </t>
  </si>
  <si>
    <t>Faulty bottles passing EBI</t>
  </si>
  <si>
    <t>Uncaser Infeed</t>
  </si>
  <si>
    <t>Uncaser Combiner</t>
  </si>
  <si>
    <t>uncaser empty crates</t>
  </si>
  <si>
    <t>uncaser discharge 1</t>
  </si>
  <si>
    <t>crate washer infeed</t>
  </si>
  <si>
    <t>crate rinser infeed 1</t>
  </si>
  <si>
    <t>crate rinser infeed 2</t>
  </si>
  <si>
    <t>crate rinser infeed 3</t>
  </si>
  <si>
    <t>crate rinser discharge 1</t>
  </si>
  <si>
    <t>crate rinser discharge 2</t>
  </si>
  <si>
    <t>soft crates</t>
  </si>
  <si>
    <t xml:space="preserve">washer infeed </t>
  </si>
  <si>
    <t>washer discharge 1</t>
  </si>
  <si>
    <t>washer discharge 2</t>
  </si>
  <si>
    <t>washer discharge 3</t>
  </si>
  <si>
    <t>washer discharge 4</t>
  </si>
  <si>
    <t>EBI infeed 1</t>
  </si>
  <si>
    <t>EBI infeed (Shuffler)</t>
  </si>
  <si>
    <t>EBI infeed 2</t>
  </si>
  <si>
    <t>EBI infeed 3</t>
  </si>
  <si>
    <t>EBI discharge 1</t>
  </si>
  <si>
    <t>EBI discharge 2</t>
  </si>
  <si>
    <t>EBI discharge 3</t>
  </si>
  <si>
    <t>Filler Infeed 1</t>
  </si>
  <si>
    <t>Filler Discharge 1</t>
  </si>
  <si>
    <t>Filler Discharge 2</t>
  </si>
  <si>
    <t>Filler Discharge 3</t>
  </si>
  <si>
    <t>Pasteuriser Infeed</t>
  </si>
  <si>
    <t>Pasteuriser Discharge 1</t>
  </si>
  <si>
    <t>Pasteuriser Discharge 2</t>
  </si>
  <si>
    <t>Pasteuriser Discharge 3</t>
  </si>
  <si>
    <t>Pasteuriser Discharge 4</t>
  </si>
  <si>
    <t xml:space="preserve">Labeler Infeed </t>
  </si>
  <si>
    <t>Labeler Discharge 1</t>
  </si>
  <si>
    <t>Labeler Discharge 2</t>
  </si>
  <si>
    <t>Packer Accumulation infeed 1</t>
  </si>
  <si>
    <t>Packer Accumulation infeed 2</t>
  </si>
  <si>
    <t>Packer Accumulation table</t>
  </si>
  <si>
    <t>Packer Accumulation discharge</t>
  </si>
  <si>
    <t xml:space="preserve">Packer Infeed </t>
  </si>
  <si>
    <t>Packer Infeed (crates/cartons)</t>
  </si>
  <si>
    <t>Packer Infeed (guide rail)</t>
  </si>
  <si>
    <t>Packer Crate Combiner</t>
  </si>
  <si>
    <t>Packer discharge (roller)</t>
  </si>
  <si>
    <t>Packer discharge (chain 1)</t>
  </si>
  <si>
    <t>Packer discharge (chain 2)</t>
  </si>
  <si>
    <t>Downtime Losses (Mins.)</t>
  </si>
  <si>
    <t>Change Over Downtime</t>
  </si>
  <si>
    <t>Organizational Loss</t>
  </si>
  <si>
    <t>External Downtime</t>
  </si>
  <si>
    <t>Planned Downtime</t>
  </si>
  <si>
    <t>Breakdown</t>
  </si>
  <si>
    <t>Technical Loss</t>
  </si>
  <si>
    <t>Minor Stops</t>
  </si>
  <si>
    <t>TOTAL</t>
  </si>
  <si>
    <t>Downtime Losses (%)</t>
  </si>
  <si>
    <t>Change Over Downtime %</t>
  </si>
  <si>
    <t>External Downtime %</t>
  </si>
  <si>
    <t>Planned Downtime %</t>
  </si>
  <si>
    <t>Breakdown %</t>
  </si>
  <si>
    <t>Minor Stops %</t>
  </si>
  <si>
    <t>Line Downtime for December 2014</t>
  </si>
  <si>
    <t>Day</t>
  </si>
  <si>
    <t>Product</t>
  </si>
  <si>
    <t>Washer Start Time</t>
  </si>
  <si>
    <t>Filler Start Time</t>
  </si>
  <si>
    <t>Filler End Time</t>
  </si>
  <si>
    <t>Packer End Time</t>
  </si>
  <si>
    <t>Delays (Minutes)</t>
  </si>
  <si>
    <r>
      <rPr>
        <b/>
        <sz val="10"/>
        <color theme="0"/>
        <rFont val="Arial"/>
        <family val="2"/>
      </rPr>
      <t>Low CO</t>
    </r>
    <r>
      <rPr>
        <b/>
        <vertAlign val="subscript"/>
        <sz val="10"/>
        <color indexed="9"/>
        <rFont val="Arial"/>
        <family val="2"/>
      </rPr>
      <t>2</t>
    </r>
    <r>
      <rPr>
        <b/>
        <sz val="10"/>
        <color indexed="9"/>
        <rFont val="Arial"/>
        <family val="2"/>
      </rPr>
      <t xml:space="preserve"> Pressure</t>
    </r>
  </si>
  <si>
    <t>Past-euriser</t>
  </si>
  <si>
    <t>VideoJet/ Coder</t>
  </si>
  <si>
    <t>Crate Washer</t>
  </si>
  <si>
    <t>Total Minutes</t>
  </si>
  <si>
    <t>Total Available Bottling Time</t>
  </si>
  <si>
    <t>Comments/info</t>
  </si>
  <si>
    <t>on other section</t>
  </si>
  <si>
    <t>etc.</t>
  </si>
  <si>
    <t>Totals</t>
  </si>
  <si>
    <t>Change-overs</t>
  </si>
  <si>
    <t>Change-Overs</t>
  </si>
  <si>
    <t>Actual Starts</t>
  </si>
  <si>
    <t>1 Start</t>
  </si>
  <si>
    <t>Ratio</t>
  </si>
  <si>
    <t>FILL TIME</t>
  </si>
  <si>
    <t>AVAILABLE TIME</t>
  </si>
  <si>
    <t>Brand</t>
  </si>
  <si>
    <t>Start</t>
  </si>
  <si>
    <t>End</t>
  </si>
  <si>
    <t>Minutes (Format)</t>
  </si>
  <si>
    <t>Fill Time (Actual)</t>
  </si>
  <si>
    <t>Fill Time (Diff.)</t>
  </si>
  <si>
    <t>Avail. Time</t>
  </si>
  <si>
    <t>TWO WEEKS</t>
  </si>
  <si>
    <t>Percentage</t>
  </si>
  <si>
    <t>Downtime</t>
  </si>
  <si>
    <t>YTD Percentage</t>
  </si>
  <si>
    <t xml:space="preserve">YTD Cumulative Percent </t>
  </si>
  <si>
    <t>GBL Downtime Trend</t>
  </si>
  <si>
    <t>DAILY TOTAL</t>
  </si>
  <si>
    <t>Contributor</t>
  </si>
  <si>
    <t>Downtime (Minutes)</t>
  </si>
  <si>
    <t>Downtime (%) 2 WEEKS</t>
  </si>
  <si>
    <r>
      <rPr>
        <b/>
        <sz val="13"/>
        <rFont val="Arial"/>
        <family val="2"/>
      </rPr>
      <t>Low CO</t>
    </r>
    <r>
      <rPr>
        <b/>
        <vertAlign val="subscript"/>
        <sz val="13"/>
        <rFont val="Arial"/>
        <family val="2"/>
      </rPr>
      <t>2</t>
    </r>
    <r>
      <rPr>
        <b/>
        <sz val="13"/>
        <rFont val="Arial"/>
        <family val="2"/>
      </rPr>
      <t xml:space="preserve"> Pressure</t>
    </r>
  </si>
  <si>
    <t>Hours</t>
  </si>
  <si>
    <t>:</t>
  </si>
  <si>
    <t>\</t>
  </si>
  <si>
    <t>Operator/ Sup. Errors</t>
  </si>
  <si>
    <r>
      <rPr>
        <b/>
        <sz val="10"/>
        <rFont val="Arial"/>
        <family val="2"/>
      </rPr>
      <t>Low/High CO</t>
    </r>
    <r>
      <rPr>
        <b/>
        <vertAlign val="subscript"/>
        <sz val="10"/>
        <color theme="1"/>
        <rFont val="Arial"/>
        <family val="2"/>
      </rPr>
      <t>2</t>
    </r>
    <r>
      <rPr>
        <b/>
        <sz val="10"/>
        <color theme="1"/>
        <rFont val="Arial"/>
        <family val="2"/>
      </rPr>
      <t xml:space="preserve"> Pressure</t>
    </r>
  </si>
  <si>
    <t>Carton Errector/Box Sealer</t>
  </si>
  <si>
    <r>
      <rPr>
        <b/>
        <sz val="10"/>
        <color theme="1"/>
        <rFont val="Arial"/>
        <family val="2"/>
      </rPr>
      <t>Low CO</t>
    </r>
    <r>
      <rPr>
        <b/>
        <vertAlign val="subscript"/>
        <sz val="10"/>
        <color theme="1"/>
        <rFont val="Arial"/>
        <family val="2"/>
      </rPr>
      <t>2</t>
    </r>
    <r>
      <rPr>
        <b/>
        <sz val="10"/>
        <color theme="1"/>
        <rFont val="Arial"/>
        <family val="2"/>
      </rPr>
      <t xml:space="preserve"> Pressure</t>
    </r>
  </si>
  <si>
    <t>Logistics Supply</t>
  </si>
  <si>
    <t>SHANDY GINGER LOCAL/ EXPORT</t>
  </si>
  <si>
    <t>CIP Plant</t>
  </si>
  <si>
    <t>````````````````````````````````````````````````</t>
  </si>
  <si>
    <t>CARIB AMBER</t>
  </si>
  <si>
    <t>Total YTD</t>
  </si>
  <si>
    <t>Line Downtime for January 2026</t>
  </si>
  <si>
    <t>Bottling Line Downtime - Monthly Summary 2026</t>
  </si>
  <si>
    <t>Line Downtime for February 2026</t>
  </si>
  <si>
    <t>Communication Fault (Unit)</t>
  </si>
  <si>
    <t>CIDER ROSE (EXPORT)/ LOCAL</t>
  </si>
  <si>
    <t>Line Downtime for March 2026</t>
  </si>
  <si>
    <t>x</t>
  </si>
  <si>
    <t xml:space="preserve">                                                                          </t>
  </si>
  <si>
    <t xml:space="preserve">  </t>
  </si>
  <si>
    <t>Line Downtime for May 2026</t>
  </si>
  <si>
    <t>1 WEEK</t>
  </si>
  <si>
    <t>2 WEEK</t>
  </si>
  <si>
    <t>ONE WEEKS</t>
  </si>
  <si>
    <t xml:space="preserve">CARIB </t>
  </si>
  <si>
    <t>CARIB</t>
  </si>
  <si>
    <t>Line Downtime for April 2026</t>
  </si>
  <si>
    <t>WL</t>
  </si>
  <si>
    <t>AB</t>
  </si>
  <si>
    <t>PP</t>
  </si>
  <si>
    <t>STARMALT</t>
  </si>
  <si>
    <t>Line Downtime for June 2026</t>
  </si>
  <si>
    <t>Line Downtime for July 2026</t>
  </si>
  <si>
    <t>Line Downtime for August 2026</t>
  </si>
  <si>
    <t>Line Downtime for December 2026</t>
  </si>
  <si>
    <t>Line Downtime for November 2026</t>
  </si>
  <si>
    <t>Line Downtime for October 2026</t>
  </si>
  <si>
    <t>Line Downtime for September 2026</t>
  </si>
  <si>
    <t>rejects</t>
  </si>
  <si>
    <t>crates</t>
  </si>
  <si>
    <t>bottles</t>
  </si>
  <si>
    <t>lunch</t>
  </si>
  <si>
    <t>pp</t>
  </si>
  <si>
    <t>MWC</t>
  </si>
  <si>
    <t>STAG</t>
  </si>
  <si>
    <t>Tank 3/ 5</t>
  </si>
  <si>
    <t>Product Change Over</t>
  </si>
  <si>
    <t>SHANDY LIME EXPORT/ LOCAL</t>
  </si>
  <si>
    <t>SHANDY GINGER EXPORT/ LOCAL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</si>
</sst>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m]"/>
    <numFmt numFmtId="166" formatCode="[mm]"/>
    <numFmt numFmtId="167" formatCode="0.0%"/>
    <numFmt numFmtId="168" formatCode="0.000"/>
    <numFmt numFmtId="169" formatCode="0.0000"/>
    <numFmt numFmtId="170" formatCode="0.00000"/>
  </numFmts>
  <fonts count="49">
    <font>
      <sz val="10"/>
      <name val="Arial"/>
      <charset val="134"/>
    </font>
    <font>
      <b/>
      <sz val="22"/>
      <name val="Arial"/>
      <family val="2"/>
    </font>
    <font>
      <u/>
      <sz val="10"/>
      <name val="Arial"/>
      <family val="2"/>
    </font>
    <font>
      <b/>
      <sz val="12"/>
      <color theme="0"/>
      <name val="Arial"/>
      <family val="2"/>
    </font>
    <font>
      <b/>
      <sz val="10"/>
      <color theme="0"/>
      <name val="Arial"/>
      <family val="2"/>
    </font>
    <font>
      <b/>
      <sz val="11"/>
      <color theme="0"/>
      <name val="Arial"/>
      <family val="2"/>
    </font>
    <font>
      <b/>
      <sz val="10"/>
      <name val="Arial"/>
      <family val="2"/>
    </font>
    <font>
      <sz val="10"/>
      <name val="Arial"/>
      <family val="2"/>
    </font>
    <font>
      <b/>
      <sz val="11"/>
      <name val="Arial"/>
      <family val="2"/>
    </font>
    <font>
      <sz val="11"/>
      <name val="Arial"/>
      <family val="2"/>
    </font>
    <font>
      <sz val="9"/>
      <name val="Arial"/>
      <family val="2"/>
    </font>
    <font>
      <b/>
      <u/>
      <sz val="10"/>
      <name val="Arial"/>
      <family val="2"/>
    </font>
    <font>
      <sz val="10"/>
      <color theme="0"/>
      <name val="Arial"/>
      <family val="2"/>
    </font>
    <font>
      <sz val="11"/>
      <color theme="0"/>
      <name val="Arial"/>
      <family val="2"/>
    </font>
    <font>
      <b/>
      <sz val="13"/>
      <name val="Arial"/>
      <family val="2"/>
    </font>
    <font>
      <sz val="13"/>
      <name val="Arial"/>
      <family val="2"/>
    </font>
    <font>
      <b/>
      <sz val="10"/>
      <color theme="1"/>
      <name val="Arial"/>
      <family val="2"/>
    </font>
    <font>
      <sz val="10"/>
      <color theme="1"/>
      <name val="Arial"/>
      <family val="2"/>
    </font>
    <font>
      <sz val="8"/>
      <name val="Arial"/>
      <family val="2"/>
    </font>
    <font>
      <sz val="12"/>
      <name val="Arial"/>
      <family val="2"/>
    </font>
    <font>
      <u/>
      <sz val="13"/>
      <name val="Arial"/>
      <family val="2"/>
    </font>
    <font>
      <b/>
      <sz val="13"/>
      <color theme="0"/>
      <name val="Arial"/>
      <family val="2"/>
    </font>
    <font>
      <b/>
      <u/>
      <sz val="12"/>
      <name val="Arial"/>
      <family val="2"/>
    </font>
    <font>
      <u/>
      <sz val="12"/>
      <name val="Arial"/>
      <family val="2"/>
    </font>
    <font>
      <b/>
      <sz val="12"/>
      <name val="Arial"/>
      <family val="2"/>
    </font>
    <font>
      <sz val="11"/>
      <color rgb="FF000000"/>
      <name val="Calibri"/>
      <family val="2"/>
    </font>
    <font>
      <b/>
      <sz val="20"/>
      <color rgb="FFFFFF00"/>
      <name val="Arial"/>
      <family val="2"/>
    </font>
    <font>
      <u/>
      <sz val="10"/>
      <color theme="10"/>
      <name val="Arial"/>
      <family val="2"/>
    </font>
    <font>
      <b/>
      <sz val="12"/>
      <name val="Script MT Bold"/>
      <family val="4"/>
    </font>
    <font>
      <sz val="12"/>
      <name val="Script MT Bold"/>
      <family val="4"/>
    </font>
    <font>
      <b/>
      <sz val="10"/>
      <color theme="1" tint="4.9989318521683403E-2"/>
      <name val="Arial"/>
      <family val="2"/>
    </font>
    <font>
      <sz val="12"/>
      <color theme="0"/>
      <name val="Arial Rounded MT Bold"/>
      <family val="2"/>
    </font>
    <font>
      <sz val="10"/>
      <color theme="0"/>
      <name val="Arial Rounded MT Bold"/>
      <family val="2"/>
    </font>
    <font>
      <b/>
      <sz val="9"/>
      <name val="Arial"/>
      <family val="2"/>
    </font>
    <font>
      <sz val="10"/>
      <color indexed="10"/>
      <name val="Arial"/>
      <family val="2"/>
    </font>
    <font>
      <b/>
      <vertAlign val="subscript"/>
      <sz val="10"/>
      <color theme="1"/>
      <name val="Arial"/>
      <family val="2"/>
    </font>
    <font>
      <b/>
      <vertAlign val="subscript"/>
      <sz val="13"/>
      <name val="Arial"/>
      <family val="2"/>
    </font>
    <font>
      <b/>
      <vertAlign val="subscript"/>
      <sz val="10"/>
      <color indexed="9"/>
      <name val="Arial"/>
      <family val="2"/>
    </font>
    <font>
      <b/>
      <sz val="10"/>
      <color indexed="9"/>
      <name val="Arial"/>
      <family val="2"/>
    </font>
    <font>
      <b/>
      <vertAlign val="subscript"/>
      <sz val="10"/>
      <name val="Arial"/>
      <family val="2"/>
    </font>
    <font>
      <b/>
      <sz val="9"/>
      <name val="Tahoma"/>
      <family val="2"/>
    </font>
    <font>
      <sz val="9"/>
      <name val="Tahoma"/>
      <family val="2"/>
    </font>
    <font>
      <u/>
      <sz val="9"/>
      <name val="Tahoma"/>
      <family val="2"/>
    </font>
    <font>
      <sz val="9"/>
      <color indexed="81"/>
      <name val="Tahoma"/>
      <family val="2"/>
    </font>
    <font>
      <b/>
      <sz val="9"/>
      <color indexed="81"/>
      <name val="Tahoma"/>
      <family val="2"/>
    </font>
    <font>
      <b/>
      <sz val="10"/>
      <color indexed="81"/>
      <name val="Tahoma"/>
      <family val="2"/>
    </font>
    <font>
      <sz val="10"/>
      <color indexed="81"/>
      <name val="Tahoma"/>
      <family val="2"/>
    </font>
    <font>
      <sz val="9"/>
      <color indexed="81"/>
      <name val="Tahoma"/>
      <charset val="1"/>
    </font>
    <font>
      <b/>
      <sz val="9"/>
      <color indexed="81"/>
      <name val="Tahoma"/>
      <charset val="1"/>
    </font>
  </fonts>
  <fills count="43">
    <fill>
      <patternFill patternType="none"/>
    </fill>
    <fill>
      <patternFill patternType="gray125"/>
    </fill>
    <fill>
      <patternFill patternType="solid">
        <fgColor theme="8" tint="0.39988402966399123"/>
        <bgColor indexed="64"/>
      </patternFill>
    </fill>
    <fill>
      <patternFill patternType="solid">
        <fgColor theme="1"/>
        <bgColor indexed="64"/>
      </patternFill>
    </fill>
    <fill>
      <patternFill patternType="solid">
        <fgColor rgb="FF92D050"/>
        <bgColor indexed="64"/>
      </patternFill>
    </fill>
    <fill>
      <patternFill patternType="solid">
        <fgColor theme="0" tint="-0.14990691854609822"/>
        <bgColor indexed="64"/>
      </patternFill>
    </fill>
    <fill>
      <patternFill patternType="solid">
        <fgColor rgb="FFFFC000"/>
        <bgColor indexed="64"/>
      </patternFill>
    </fill>
    <fill>
      <patternFill patternType="solid">
        <fgColor theme="9" tint="0.39988402966399123"/>
        <bgColor indexed="64"/>
      </patternFill>
    </fill>
    <fill>
      <patternFill patternType="solid">
        <fgColor rgb="FFFFFF00"/>
        <bgColor indexed="64"/>
      </patternFill>
    </fill>
    <fill>
      <patternFill patternType="solid">
        <fgColor theme="0"/>
        <bgColor indexed="64"/>
      </patternFill>
    </fill>
    <fill>
      <patternFill patternType="solid">
        <fgColor theme="9" tint="-0.249977111117893"/>
        <bgColor indexed="64"/>
      </patternFill>
    </fill>
    <fill>
      <patternFill patternType="solid">
        <fgColor rgb="FFC00000"/>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6" tint="0.39988402966399123"/>
        <bgColor indexed="64"/>
      </patternFill>
    </fill>
    <fill>
      <patternFill patternType="solid">
        <fgColor theme="2" tint="-0.499984740745262"/>
        <bgColor indexed="64"/>
      </patternFill>
    </fill>
    <fill>
      <patternFill patternType="solid">
        <fgColor theme="3" tint="0.59999389629810485"/>
        <bgColor indexed="64"/>
      </patternFill>
    </fill>
    <fill>
      <patternFill patternType="solid">
        <fgColor theme="5" tint="0.79989013336588644"/>
        <bgColor indexed="64"/>
      </patternFill>
    </fill>
    <fill>
      <patternFill patternType="solid">
        <fgColor theme="8" tint="0.59999389629810485"/>
        <bgColor indexed="64"/>
      </patternFill>
    </fill>
    <fill>
      <patternFill patternType="solid">
        <fgColor theme="6" tint="-0.249977111117893"/>
        <bgColor indexed="64"/>
      </patternFill>
    </fill>
    <fill>
      <patternFill patternType="solid">
        <fgColor rgb="FF00B0F0"/>
        <bgColor indexed="64"/>
      </patternFill>
    </fill>
    <fill>
      <patternFill patternType="solid">
        <fgColor theme="7" tint="0.79989013336588644"/>
        <bgColor indexed="64"/>
      </patternFill>
    </fill>
    <fill>
      <patternFill patternType="solid">
        <fgColor theme="7" tint="0.39988402966399123"/>
        <bgColor indexed="64"/>
      </patternFill>
    </fill>
    <fill>
      <patternFill patternType="solid">
        <fgColor theme="3" tint="0.39988402966399123"/>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7" tint="-0.249977111117893"/>
        <bgColor indexed="64"/>
      </patternFill>
    </fill>
    <fill>
      <patternFill patternType="solid">
        <fgColor rgb="FFFF0000"/>
        <bgColor indexed="64"/>
      </patternFill>
    </fill>
    <fill>
      <patternFill patternType="solid">
        <fgColor theme="6"/>
        <bgColor indexed="64"/>
      </patternFill>
    </fill>
    <fill>
      <patternFill patternType="solid">
        <fgColor rgb="FF009900"/>
        <bgColor indexed="64"/>
      </patternFill>
    </fill>
    <fill>
      <patternFill patternType="solid">
        <fgColor indexed="9"/>
        <bgColor indexed="64"/>
      </patternFill>
    </fill>
    <fill>
      <patternFill patternType="solid">
        <fgColor theme="9" tint="0.39991454817346722"/>
        <bgColor indexed="64"/>
      </patternFill>
    </fill>
    <fill>
      <patternFill patternType="solid">
        <fgColor theme="9"/>
        <bgColor indexed="64"/>
      </patternFill>
    </fill>
    <fill>
      <patternFill patternType="solid">
        <fgColor rgb="FF00B050"/>
        <bgColor indexed="64"/>
      </patternFill>
    </fill>
    <fill>
      <patternFill patternType="solid">
        <fgColor theme="4" tint="-0.499984740745262"/>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rgb="FF5EEF53"/>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2" tint="-0.249977111117893"/>
        <bgColor indexed="64"/>
      </patternFill>
    </fill>
  </fills>
  <borders count="95">
    <border>
      <left/>
      <right/>
      <top/>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medium">
        <color auto="1"/>
      </right>
      <top style="thick">
        <color auto="1"/>
      </top>
      <bottom/>
      <diagonal/>
    </border>
    <border>
      <left style="medium">
        <color auto="1"/>
      </left>
      <right/>
      <top/>
      <bottom/>
      <diagonal/>
    </border>
    <border>
      <left style="thick">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thin">
        <color auto="1"/>
      </right>
      <top/>
      <bottom/>
      <diagonal/>
    </border>
    <border>
      <left style="thick">
        <color auto="1"/>
      </left>
      <right style="thin">
        <color auto="1"/>
      </right>
      <top/>
      <bottom style="thick">
        <color auto="1"/>
      </bottom>
      <diagonal/>
    </border>
    <border>
      <left style="thin">
        <color auto="1"/>
      </left>
      <right style="thin">
        <color auto="1"/>
      </right>
      <top/>
      <bottom style="thick">
        <color auto="1"/>
      </bottom>
      <diagonal/>
    </border>
    <border>
      <left style="thin">
        <color auto="1"/>
      </left>
      <right style="medium">
        <color auto="1"/>
      </right>
      <top/>
      <bottom style="thick">
        <color auto="1"/>
      </bottom>
      <diagonal/>
    </border>
    <border>
      <left style="medium">
        <color auto="1"/>
      </left>
      <right style="thin">
        <color auto="1"/>
      </right>
      <top/>
      <bottom style="thick">
        <color auto="1"/>
      </bottom>
      <diagonal/>
    </border>
    <border>
      <left style="thin">
        <color auto="1"/>
      </left>
      <right/>
      <top/>
      <bottom/>
      <diagonal/>
    </border>
    <border>
      <left style="thick">
        <color auto="1"/>
      </left>
      <right style="thin">
        <color auto="1"/>
      </right>
      <top style="thin">
        <color auto="1"/>
      </top>
      <bottom/>
      <diagonal/>
    </border>
    <border>
      <left/>
      <right/>
      <top style="thin">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right style="thin">
        <color auto="1"/>
      </right>
      <top/>
      <bottom/>
      <diagonal/>
    </border>
    <border>
      <left/>
      <right style="thick">
        <color auto="1"/>
      </right>
      <top/>
      <bottom/>
      <diagonal/>
    </border>
    <border>
      <left/>
      <right style="thin">
        <color auto="1"/>
      </right>
      <top style="thin">
        <color auto="1"/>
      </top>
      <bottom/>
      <diagonal/>
    </border>
    <border>
      <left style="medium">
        <color auto="1"/>
      </left>
      <right style="medium">
        <color auto="1"/>
      </right>
      <top/>
      <bottom/>
      <diagonal/>
    </border>
    <border>
      <left style="medium">
        <color auto="1"/>
      </left>
      <right style="thick">
        <color auto="1"/>
      </right>
      <top/>
      <bottom/>
      <diagonal/>
    </border>
    <border>
      <left style="thick">
        <color auto="1"/>
      </left>
      <right style="thick">
        <color auto="1"/>
      </right>
      <top style="thin">
        <color auto="1"/>
      </top>
      <bottom/>
      <diagonal/>
    </border>
    <border>
      <left style="thick">
        <color auto="1"/>
      </left>
      <right style="thick">
        <color auto="1"/>
      </right>
      <top/>
      <bottom/>
      <diagonal/>
    </border>
    <border>
      <left style="medium">
        <color auto="1"/>
      </left>
      <right style="medium">
        <color auto="1"/>
      </right>
      <top/>
      <bottom style="thick">
        <color auto="1"/>
      </bottom>
      <diagonal/>
    </border>
    <border>
      <left style="medium">
        <color auto="1"/>
      </left>
      <right style="thick">
        <color auto="1"/>
      </right>
      <top/>
      <bottom style="thick">
        <color auto="1"/>
      </bottom>
      <diagonal/>
    </border>
    <border>
      <left style="thick">
        <color auto="1"/>
      </left>
      <right style="thick">
        <color auto="1"/>
      </right>
      <top/>
      <bottom style="thick">
        <color auto="1"/>
      </bottom>
      <diagonal/>
    </border>
    <border>
      <left/>
      <right style="thin">
        <color auto="1"/>
      </right>
      <top/>
      <bottom style="thin">
        <color auto="1"/>
      </bottom>
      <diagonal/>
    </border>
    <border>
      <left style="thin">
        <color auto="1"/>
      </left>
      <right style="thick">
        <color auto="1"/>
      </right>
      <top style="thin">
        <color auto="1"/>
      </top>
      <bottom/>
      <diagonal/>
    </border>
    <border>
      <left style="thick">
        <color auto="1"/>
      </left>
      <right style="thick">
        <color auto="1"/>
      </right>
      <top style="thin">
        <color auto="1"/>
      </top>
      <bottom style="thick">
        <color auto="1"/>
      </bottom>
      <diagonal/>
    </border>
    <border>
      <left/>
      <right/>
      <top style="thick">
        <color auto="1"/>
      </top>
      <bottom/>
      <diagonal/>
    </border>
    <border>
      <left style="thick">
        <color auto="1"/>
      </left>
      <right style="medium">
        <color auto="1"/>
      </right>
      <top/>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right style="medium">
        <color auto="1"/>
      </right>
      <top/>
      <bottom/>
      <diagonal/>
    </border>
    <border>
      <left style="thin">
        <color auto="1"/>
      </left>
      <right/>
      <top style="thick">
        <color auto="1"/>
      </top>
      <bottom/>
      <diagonal/>
    </border>
    <border>
      <left style="thin">
        <color auto="1"/>
      </left>
      <right/>
      <top style="thin">
        <color auto="1"/>
      </top>
      <bottom/>
      <diagonal/>
    </border>
    <border>
      <left style="thin">
        <color auto="1"/>
      </left>
      <right style="thin">
        <color auto="1"/>
      </right>
      <top style="thin">
        <color auto="1"/>
      </top>
      <bottom/>
      <diagonal/>
    </border>
    <border>
      <left style="medium">
        <color auto="1"/>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diagonal/>
    </border>
    <border>
      <left style="thin">
        <color auto="1"/>
      </left>
      <right/>
      <top/>
      <bottom style="medium">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style="medium">
        <color auto="1"/>
      </bottom>
      <diagonal/>
    </border>
    <border>
      <left style="medium">
        <color auto="1"/>
      </left>
      <right/>
      <top style="medium">
        <color auto="1"/>
      </top>
      <bottom/>
      <diagonal/>
    </border>
    <border>
      <left style="medium">
        <color auto="1"/>
      </left>
      <right style="thick">
        <color auto="1"/>
      </right>
      <top style="thick">
        <color auto="1"/>
      </top>
      <bottom/>
      <diagonal/>
    </border>
    <border>
      <left/>
      <right/>
      <top/>
      <bottom style="thick">
        <color auto="1"/>
      </bottom>
      <diagonal/>
    </border>
    <border>
      <left style="medium">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style="thick">
        <color auto="1"/>
      </right>
      <top style="thin">
        <color auto="1"/>
      </top>
      <bottom/>
      <diagonal/>
    </border>
    <border>
      <left style="thin">
        <color theme="1" tint="0.24994659260841701"/>
      </left>
      <right style="thin">
        <color theme="1" tint="0.24994659260841701"/>
      </right>
      <top style="medium">
        <color theme="1" tint="0.24994659260841701"/>
      </top>
      <bottom/>
      <diagonal/>
    </border>
    <border>
      <left style="thin">
        <color theme="1" tint="0.24994659260841701"/>
      </left>
      <right/>
      <top style="medium">
        <color theme="1" tint="0.24994659260841701"/>
      </top>
      <bottom style="medium">
        <color theme="1" tint="0.24994659260841701"/>
      </bottom>
      <diagonal/>
    </border>
    <border>
      <left/>
      <right/>
      <top/>
      <bottom style="hair">
        <color theme="0" tint="-0.34998626667073579"/>
      </bottom>
      <diagonal/>
    </border>
    <border>
      <left/>
      <right/>
      <top style="hair">
        <color theme="0" tint="-0.34998626667073579"/>
      </top>
      <bottom style="hair">
        <color theme="0" tint="-0.34998626667073579"/>
      </bottom>
      <diagonal/>
    </border>
    <border>
      <left style="medium">
        <color auto="1"/>
      </left>
      <right style="thin">
        <color theme="1" tint="0.24994659260841701"/>
      </right>
      <top/>
      <bottom style="medium">
        <color auto="1"/>
      </bottom>
      <diagonal/>
    </border>
    <border>
      <left style="thin">
        <color theme="1" tint="0.24994659260841701"/>
      </left>
      <right style="thin">
        <color theme="1" tint="0.24994659260841701"/>
      </right>
      <top/>
      <bottom style="medium">
        <color auto="1"/>
      </bottom>
      <diagonal/>
    </border>
    <border>
      <left style="thin">
        <color theme="1" tint="0.24994659260841701"/>
      </left>
      <right style="medium">
        <color auto="1"/>
      </right>
      <top/>
      <bottom style="medium">
        <color auto="1"/>
      </bottom>
      <diagonal/>
    </border>
    <border>
      <left style="thin">
        <color theme="1" tint="0.24994659260841701"/>
      </left>
      <right style="thin">
        <color theme="1" tint="0.24994659260841701"/>
      </right>
      <top style="medium">
        <color theme="1" tint="0.24994659260841701"/>
      </top>
      <bottom style="medium">
        <color theme="1" tint="0.2499465926084170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style="medium">
        <color auto="1"/>
      </right>
      <top style="medium">
        <color auto="1"/>
      </top>
      <bottom style="hair">
        <color theme="0" tint="-0.34998626667073579"/>
      </bottom>
      <diagonal/>
    </border>
    <border>
      <left style="medium">
        <color auto="1"/>
      </left>
      <right style="medium">
        <color auto="1"/>
      </right>
      <top style="hair">
        <color theme="0" tint="-0.34998626667073579"/>
      </top>
      <bottom style="hair">
        <color theme="0" tint="-0.34998626667073579"/>
      </bottom>
      <diagonal/>
    </border>
    <border>
      <left style="medium">
        <color auto="1"/>
      </left>
      <right style="medium">
        <color auto="1"/>
      </right>
      <top style="medium">
        <color theme="1" tint="0.24994659260841701"/>
      </top>
      <bottom style="medium">
        <color auto="1"/>
      </bottom>
      <diagonal/>
    </border>
    <border>
      <left style="thin">
        <color auto="1"/>
      </left>
      <right style="thin">
        <color auto="1"/>
      </right>
      <top style="thin">
        <color auto="1"/>
      </top>
      <bottom style="medium">
        <color auto="1"/>
      </bottom>
      <diagonal/>
    </border>
    <border>
      <left style="hair">
        <color auto="1"/>
      </left>
      <right style="hair">
        <color auto="1"/>
      </right>
      <top style="hair">
        <color auto="1"/>
      </top>
      <bottom style="hair">
        <color auto="1"/>
      </bottom>
      <diagonal/>
    </border>
    <border>
      <left style="thin">
        <color auto="1"/>
      </left>
      <right/>
      <top style="thin">
        <color auto="1"/>
      </top>
      <bottom style="thin">
        <color auto="1"/>
      </bottom>
      <diagonal/>
    </border>
    <border>
      <left style="dashed">
        <color auto="1"/>
      </left>
      <right/>
      <top style="dashed">
        <color auto="1"/>
      </top>
      <bottom/>
      <diagonal/>
    </border>
    <border>
      <left style="dashed">
        <color auto="1"/>
      </left>
      <right/>
      <top/>
      <bottom/>
      <diagonal/>
    </border>
    <border>
      <left style="thin">
        <color auto="1"/>
      </left>
      <right/>
      <top style="thin">
        <color auto="1"/>
      </top>
      <bottom style="medium">
        <color auto="1"/>
      </bottom>
      <diagonal/>
    </border>
    <border>
      <left style="dashed">
        <color auto="1"/>
      </left>
      <right/>
      <top/>
      <bottom style="medium">
        <color auto="1"/>
      </bottom>
      <diagonal/>
    </border>
    <border>
      <left style="dashed">
        <color auto="1"/>
      </left>
      <right/>
      <top/>
      <bottom style="dashed">
        <color auto="1"/>
      </bottom>
      <diagonal/>
    </border>
    <border>
      <left/>
      <right/>
      <top style="dashed">
        <color auto="1"/>
      </top>
      <bottom/>
      <diagonal/>
    </border>
    <border>
      <left/>
      <right style="dashed">
        <color auto="1"/>
      </right>
      <top style="dashed">
        <color auto="1"/>
      </top>
      <bottom/>
      <diagonal/>
    </border>
    <border>
      <left/>
      <right style="dashed">
        <color auto="1"/>
      </right>
      <top/>
      <bottom/>
      <diagonal/>
    </border>
    <border>
      <left/>
      <right/>
      <top/>
      <bottom style="medium">
        <color auto="1"/>
      </bottom>
      <diagonal/>
    </border>
    <border>
      <left/>
      <right style="dashed">
        <color auto="1"/>
      </right>
      <top/>
      <bottom style="medium">
        <color auto="1"/>
      </bottom>
      <diagonal/>
    </border>
    <border>
      <left/>
      <right/>
      <top/>
      <bottom style="dashed">
        <color auto="1"/>
      </bottom>
      <diagonal/>
    </border>
    <border>
      <left/>
      <right style="dashed">
        <color auto="1"/>
      </right>
      <top/>
      <bottom style="dashed">
        <color auto="1"/>
      </bottom>
      <diagonal/>
    </border>
    <border>
      <left style="double">
        <color auto="1"/>
      </left>
      <right style="double">
        <color auto="1"/>
      </right>
      <top style="hair">
        <color indexed="22"/>
      </top>
      <bottom/>
      <diagonal/>
    </border>
    <border>
      <left/>
      <right/>
      <top style="double">
        <color auto="1"/>
      </top>
      <bottom style="double">
        <color auto="1"/>
      </bottom>
      <diagonal/>
    </border>
    <border>
      <left/>
      <right/>
      <top style="thin">
        <color auto="1"/>
      </top>
      <bottom style="double">
        <color auto="1"/>
      </bottom>
      <diagonal/>
    </border>
    <border>
      <left/>
      <right/>
      <top style="thin">
        <color auto="1"/>
      </top>
      <bottom style="thin">
        <color auto="1"/>
      </bottom>
      <diagonal/>
    </border>
    <border>
      <left style="medium">
        <color auto="1"/>
      </left>
      <right style="thick">
        <color auto="1"/>
      </right>
      <top/>
      <bottom style="thin">
        <color indexed="64"/>
      </bottom>
      <diagonal/>
    </border>
    <border>
      <left/>
      <right style="thick">
        <color auto="1"/>
      </right>
      <top/>
      <bottom style="thin">
        <color indexed="64"/>
      </bottom>
      <diagonal/>
    </border>
    <border>
      <left style="thick">
        <color auto="1"/>
      </left>
      <right style="thick">
        <color auto="1"/>
      </right>
      <top/>
      <bottom style="thin">
        <color indexed="64"/>
      </bottom>
      <diagonal/>
    </border>
    <border>
      <left/>
      <right style="thin">
        <color theme="1" tint="0.24994659260841701"/>
      </right>
      <top/>
      <bottom style="medium">
        <color auto="1"/>
      </bottom>
      <diagonal/>
    </border>
  </borders>
  <cellStyleXfs count="7">
    <xf numFmtId="0" fontId="0" fillId="0" borderId="0"/>
    <xf numFmtId="9" fontId="7" fillId="0" borderId="0" applyFont="0" applyFill="0" applyBorder="0" applyAlignment="0" applyProtection="0"/>
    <xf numFmtId="0" fontId="27" fillId="0" borderId="0" applyNumberFormat="0" applyFill="0" applyBorder="0" applyAlignment="0" applyProtection="0"/>
    <xf numFmtId="0" fontId="7" fillId="0" borderId="0"/>
    <xf numFmtId="0" fontId="7" fillId="0" borderId="0"/>
    <xf numFmtId="9" fontId="7" fillId="0" borderId="0" applyFont="0" applyFill="0" applyBorder="0" applyAlignment="0" applyProtection="0"/>
    <xf numFmtId="9" fontId="7" fillId="0" borderId="0" applyFont="0" applyFill="0" applyBorder="0" applyAlignment="0" applyProtection="0"/>
  </cellStyleXfs>
  <cellXfs count="824">
    <xf numFmtId="0" fontId="0" fillId="0" borderId="0" xfId="0"/>
    <xf numFmtId="0" fontId="0" fillId="0" borderId="0" xfId="0" applyAlignment="1">
      <alignment horizontal="center" vertical="center"/>
    </xf>
    <xf numFmtId="0" fontId="0" fillId="2" borderId="0" xfId="0" applyFill="1"/>
    <xf numFmtId="0" fontId="0" fillId="0" borderId="0" xfId="0" applyAlignment="1">
      <alignment horizontal="center"/>
    </xf>
    <xf numFmtId="20" fontId="0" fillId="0" borderId="0" xfId="0" applyNumberFormat="1" applyAlignment="1">
      <alignment horizontal="center" vertical="center"/>
    </xf>
    <xf numFmtId="20" fontId="0" fillId="0" borderId="0" xfId="0" applyNumberFormat="1"/>
    <xf numFmtId="0" fontId="2" fillId="0" borderId="0" xfId="0" applyFont="1"/>
    <xf numFmtId="0" fontId="6" fillId="0" borderId="5" xfId="0" applyFont="1" applyBorder="1" applyAlignment="1">
      <alignment horizontal="center" vertical="center"/>
    </xf>
    <xf numFmtId="16" fontId="6" fillId="0" borderId="6" xfId="0" applyNumberFormat="1" applyFont="1" applyBorder="1" applyAlignment="1">
      <alignment horizontal="center" vertical="center"/>
    </xf>
    <xf numFmtId="0" fontId="6" fillId="0" borderId="13" xfId="0" applyFont="1" applyBorder="1" applyAlignment="1">
      <alignment horizontal="center" vertical="center"/>
    </xf>
    <xf numFmtId="20" fontId="6" fillId="0" borderId="13" xfId="0" applyNumberFormat="1" applyFont="1" applyBorder="1" applyAlignment="1">
      <alignment horizontal="center" vertical="center"/>
    </xf>
    <xf numFmtId="20" fontId="0" fillId="0" borderId="13" xfId="0" applyNumberFormat="1" applyBorder="1" applyAlignment="1">
      <alignment horizontal="center" vertical="center"/>
    </xf>
    <xf numFmtId="0" fontId="7" fillId="0" borderId="4" xfId="3" applyBorder="1" applyAlignment="1">
      <alignment horizontal="center" vertical="center"/>
    </xf>
    <xf numFmtId="20" fontId="6" fillId="0" borderId="6" xfId="0" applyNumberFormat="1" applyFont="1" applyBorder="1" applyAlignment="1">
      <alignment horizontal="center" vertical="center"/>
    </xf>
    <xf numFmtId="0" fontId="7" fillId="5" borderId="4" xfId="3" applyFill="1" applyBorder="1" applyAlignment="1">
      <alignment horizontal="center" vertical="center"/>
    </xf>
    <xf numFmtId="0" fontId="4" fillId="3" borderId="14"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15" xfId="0" applyFont="1" applyFill="1" applyBorder="1" applyAlignment="1">
      <alignment horizontal="center"/>
    </xf>
    <xf numFmtId="2" fontId="5" fillId="3" borderId="15" xfId="0" applyNumberFormat="1" applyFont="1" applyFill="1" applyBorder="1" applyAlignment="1">
      <alignment horizontal="center" vertical="center"/>
    </xf>
    <xf numFmtId="20" fontId="5" fillId="3" borderId="15" xfId="0" applyNumberFormat="1" applyFont="1" applyFill="1" applyBorder="1" applyAlignment="1">
      <alignment horizontal="center" vertical="center"/>
    </xf>
    <xf numFmtId="0" fontId="0" fillId="0" borderId="13" xfId="0" applyBorder="1" applyAlignment="1">
      <alignment horizontal="center" vertical="center"/>
    </xf>
    <xf numFmtId="10" fontId="6" fillId="0" borderId="0" xfId="0" applyNumberFormat="1" applyFont="1" applyAlignment="1">
      <alignment horizontal="center"/>
    </xf>
    <xf numFmtId="16" fontId="0" fillId="0" borderId="0" xfId="0" applyNumberFormat="1" applyAlignment="1">
      <alignment horizontal="center" vertical="center"/>
    </xf>
    <xf numFmtId="20" fontId="0" fillId="0" borderId="0" xfId="0" applyNumberFormat="1"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0" fontId="6" fillId="0" borderId="0" xfId="0" applyFont="1" applyAlignment="1">
      <alignment horizontal="center" vertical="center"/>
    </xf>
    <xf numFmtId="16" fontId="8" fillId="5" borderId="0" xfId="0" applyNumberFormat="1" applyFont="1" applyFill="1" applyAlignment="1">
      <alignment horizontal="center" vertical="center"/>
    </xf>
    <xf numFmtId="164" fontId="9" fillId="5" borderId="0" xfId="0" applyNumberFormat="1" applyFont="1" applyFill="1" applyAlignment="1">
      <alignment horizontal="center"/>
    </xf>
    <xf numFmtId="0" fontId="6" fillId="0" borderId="0" xfId="0" applyFont="1" applyAlignment="1">
      <alignment horizontal="center"/>
    </xf>
    <xf numFmtId="0" fontId="6" fillId="6" borderId="0" xfId="0" applyFont="1" applyFill="1" applyAlignment="1">
      <alignment horizontal="center" vertical="center"/>
    </xf>
    <xf numFmtId="0" fontId="5" fillId="3" borderId="0" xfId="0" applyFont="1" applyFill="1" applyAlignment="1">
      <alignment horizontal="center"/>
    </xf>
    <xf numFmtId="0" fontId="7" fillId="0" borderId="0" xfId="3" applyAlignment="1">
      <alignment horizontal="center" vertical="center"/>
    </xf>
    <xf numFmtId="0" fontId="7" fillId="0" borderId="18" xfId="3" applyBorder="1" applyAlignment="1">
      <alignment horizontal="center" vertical="center"/>
    </xf>
    <xf numFmtId="0" fontId="7" fillId="5" borderId="0" xfId="3" applyFill="1" applyAlignment="1">
      <alignment horizontal="center" vertical="center"/>
    </xf>
    <xf numFmtId="0" fontId="7" fillId="5" borderId="18" xfId="3" applyFill="1" applyBorder="1" applyAlignment="1">
      <alignment horizontal="center" vertical="center"/>
    </xf>
    <xf numFmtId="165" fontId="8" fillId="0" borderId="0" xfId="0" applyNumberFormat="1" applyFont="1" applyAlignment="1">
      <alignment horizontal="center"/>
    </xf>
    <xf numFmtId="0" fontId="0" fillId="0" borderId="0" xfId="0" applyAlignment="1">
      <alignment horizontal="left"/>
    </xf>
    <xf numFmtId="0" fontId="8" fillId="0" borderId="0" xfId="0" applyFont="1" applyAlignment="1">
      <alignment horizontal="center" vertical="center"/>
    </xf>
    <xf numFmtId="0" fontId="6" fillId="4" borderId="0" xfId="0" applyFont="1" applyFill="1" applyAlignment="1">
      <alignment horizontal="center" vertical="center"/>
    </xf>
    <xf numFmtId="0" fontId="0" fillId="0" borderId="20" xfId="0" applyBorder="1"/>
    <xf numFmtId="0" fontId="0" fillId="0" borderId="18" xfId="0" applyBorder="1" applyAlignment="1">
      <alignment horizontal="center"/>
    </xf>
    <xf numFmtId="0" fontId="0" fillId="0" borderId="28" xfId="0" applyBorder="1" applyAlignment="1">
      <alignment horizontal="center"/>
    </xf>
    <xf numFmtId="0" fontId="7" fillId="0" borderId="13" xfId="3" applyBorder="1" applyAlignment="1">
      <alignment horizontal="center" vertical="center"/>
    </xf>
    <xf numFmtId="0" fontId="6" fillId="0" borderId="4" xfId="3" applyFont="1" applyBorder="1" applyAlignment="1">
      <alignment horizontal="center"/>
    </xf>
    <xf numFmtId="166" fontId="0" fillId="0" borderId="22" xfId="0" applyNumberFormat="1" applyBorder="1" applyAlignment="1">
      <alignment horizontal="center" vertical="center"/>
    </xf>
    <xf numFmtId="0" fontId="10" fillId="5" borderId="0" xfId="3" applyFont="1" applyFill="1" applyAlignment="1">
      <alignment horizontal="center" vertical="center"/>
    </xf>
    <xf numFmtId="3" fontId="5" fillId="3" borderId="29" xfId="0" applyNumberFormat="1" applyFont="1" applyFill="1" applyBorder="1" applyAlignment="1">
      <alignment horizontal="center"/>
    </xf>
    <xf numFmtId="166" fontId="5" fillId="3" borderId="30" xfId="0" applyNumberFormat="1" applyFont="1" applyFill="1" applyBorder="1" applyAlignment="1">
      <alignment horizontal="center"/>
    </xf>
    <xf numFmtId="0" fontId="0" fillId="0" borderId="31" xfId="0" applyBorder="1"/>
    <xf numFmtId="0" fontId="11" fillId="0" borderId="0" xfId="0" applyFont="1"/>
    <xf numFmtId="0" fontId="11" fillId="0" borderId="0" xfId="0" applyFont="1" applyAlignment="1">
      <alignment horizontal="center"/>
    </xf>
    <xf numFmtId="0" fontId="2" fillId="0" borderId="0" xfId="0" applyFont="1" applyAlignment="1">
      <alignment horizontal="center"/>
    </xf>
    <xf numFmtId="2" fontId="0" fillId="0" borderId="0" xfId="0" applyNumberFormat="1" applyAlignment="1">
      <alignment horizontal="center" vertical="center"/>
    </xf>
    <xf numFmtId="2" fontId="0" fillId="0" borderId="0" xfId="0" applyNumberFormat="1" applyAlignment="1">
      <alignment horizontal="center"/>
    </xf>
    <xf numFmtId="0" fontId="0" fillId="2" borderId="0" xfId="0" applyFill="1" applyAlignment="1">
      <alignment horizontal="center"/>
    </xf>
    <xf numFmtId="0" fontId="12" fillId="0" borderId="0" xfId="0" applyFont="1" applyAlignment="1">
      <alignment horizontal="center"/>
    </xf>
    <xf numFmtId="0" fontId="12" fillId="0" borderId="0" xfId="0" applyFont="1" applyAlignment="1">
      <alignment horizontal="center" vertical="center"/>
    </xf>
    <xf numFmtId="0" fontId="12" fillId="0" borderId="0" xfId="0" applyFont="1"/>
    <xf numFmtId="0" fontId="4" fillId="0" borderId="0" xfId="0" applyFont="1"/>
    <xf numFmtId="1" fontId="12" fillId="0" borderId="0" xfId="0" applyNumberFormat="1" applyFont="1" applyAlignment="1">
      <alignment horizontal="center"/>
    </xf>
    <xf numFmtId="2" fontId="12" fillId="0" borderId="0" xfId="0" applyNumberFormat="1" applyFont="1"/>
    <xf numFmtId="164" fontId="12" fillId="0" borderId="0" xfId="0" applyNumberFormat="1" applyFont="1" applyAlignment="1">
      <alignment horizontal="center"/>
    </xf>
    <xf numFmtId="16" fontId="5" fillId="0" borderId="0" xfId="0" applyNumberFormat="1" applyFont="1" applyAlignment="1">
      <alignment horizontal="center" vertical="center"/>
    </xf>
    <xf numFmtId="164" fontId="13" fillId="0" borderId="0" xfId="0" applyNumberFormat="1" applyFont="1" applyAlignment="1">
      <alignment horizontal="center"/>
    </xf>
    <xf numFmtId="16" fontId="0" fillId="0" borderId="0" xfId="0" applyNumberFormat="1" applyAlignment="1">
      <alignment horizontal="center"/>
    </xf>
    <xf numFmtId="0" fontId="6" fillId="6" borderId="0" xfId="0" applyFont="1" applyFill="1" applyAlignment="1">
      <alignment vertical="center" wrapText="1"/>
    </xf>
    <xf numFmtId="0" fontId="6" fillId="4" borderId="0" xfId="0" applyFont="1" applyFill="1" applyAlignment="1">
      <alignment vertical="center"/>
    </xf>
    <xf numFmtId="166" fontId="0" fillId="0" borderId="22" xfId="0" applyNumberFormat="1" applyBorder="1" applyAlignment="1">
      <alignment horizontal="center"/>
    </xf>
    <xf numFmtId="0" fontId="6" fillId="6" borderId="21" xfId="0" applyFont="1" applyFill="1" applyBorder="1" applyAlignment="1">
      <alignment horizontal="center"/>
    </xf>
    <xf numFmtId="0" fontId="7" fillId="0" borderId="0" xfId="3"/>
    <xf numFmtId="0" fontId="7" fillId="0" borderId="0" xfId="3" applyAlignment="1">
      <alignment horizontal="center"/>
    </xf>
    <xf numFmtId="0" fontId="0" fillId="0" borderId="32" xfId="0" applyBorder="1" applyAlignment="1">
      <alignment horizontal="center" vertical="center"/>
    </xf>
    <xf numFmtId="0" fontId="6" fillId="4" borderId="0" xfId="0" applyFont="1" applyFill="1" applyAlignment="1">
      <alignment vertical="center" wrapText="1"/>
    </xf>
    <xf numFmtId="166" fontId="0" fillId="0" borderId="0" xfId="0" applyNumberFormat="1" applyAlignment="1">
      <alignment horizontal="center"/>
    </xf>
    <xf numFmtId="166" fontId="6" fillId="4" borderId="21" xfId="0" applyNumberFormat="1" applyFont="1" applyFill="1" applyBorder="1" applyAlignment="1">
      <alignment horizontal="center" vertical="center"/>
    </xf>
    <xf numFmtId="20" fontId="0" fillId="8" borderId="0" xfId="0" applyNumberFormat="1" applyFill="1" applyAlignment="1">
      <alignment horizontal="center"/>
    </xf>
    <xf numFmtId="0" fontId="0" fillId="8" borderId="0" xfId="0" applyFill="1"/>
    <xf numFmtId="0" fontId="6" fillId="0" borderId="13" xfId="0" applyFont="1" applyBorder="1" applyAlignment="1">
      <alignment horizontal="center"/>
    </xf>
    <xf numFmtId="20" fontId="6" fillId="0" borderId="2" xfId="0" applyNumberFormat="1" applyFont="1" applyBorder="1" applyAlignment="1">
      <alignment horizontal="center" vertical="center"/>
    </xf>
    <xf numFmtId="20" fontId="6" fillId="0" borderId="13" xfId="0" applyNumberFormat="1" applyFont="1" applyBorder="1" applyAlignment="1">
      <alignment horizontal="center"/>
    </xf>
    <xf numFmtId="20" fontId="0" fillId="0" borderId="13" xfId="0" applyNumberFormat="1" applyBorder="1" applyAlignment="1">
      <alignment horizontal="center"/>
    </xf>
    <xf numFmtId="0" fontId="7" fillId="0" borderId="4" xfId="3" applyBorder="1" applyAlignment="1">
      <alignment horizontal="center"/>
    </xf>
    <xf numFmtId="20" fontId="6" fillId="8" borderId="13" xfId="0" applyNumberFormat="1" applyFont="1" applyFill="1" applyBorder="1" applyAlignment="1">
      <alignment horizontal="center"/>
    </xf>
    <xf numFmtId="20" fontId="0" fillId="8" borderId="13" xfId="0" applyNumberFormat="1" applyFill="1" applyBorder="1" applyAlignment="1">
      <alignment horizontal="center"/>
    </xf>
    <xf numFmtId="20" fontId="0" fillId="0" borderId="6" xfId="0" applyNumberFormat="1" applyBorder="1" applyAlignment="1">
      <alignment vertical="center"/>
    </xf>
    <xf numFmtId="0" fontId="7" fillId="0" borderId="18" xfId="3" applyBorder="1" applyAlignment="1">
      <alignment horizontal="center"/>
    </xf>
    <xf numFmtId="0" fontId="7" fillId="8" borderId="0" xfId="3" applyFill="1" applyAlignment="1">
      <alignment horizontal="center" vertical="center"/>
    </xf>
    <xf numFmtId="0" fontId="7" fillId="0" borderId="35" xfId="3" applyBorder="1" applyAlignment="1">
      <alignment horizontal="center"/>
    </xf>
    <xf numFmtId="0" fontId="7" fillId="5" borderId="0" xfId="3" applyFill="1" applyAlignment="1">
      <alignment horizontal="center"/>
    </xf>
    <xf numFmtId="0" fontId="7" fillId="5" borderId="35" xfId="3" applyFill="1" applyBorder="1" applyAlignment="1">
      <alignment horizontal="center"/>
    </xf>
    <xf numFmtId="166" fontId="0" fillId="0" borderId="22" xfId="0" applyNumberFormat="1" applyBorder="1" applyAlignment="1">
      <alignment vertical="center"/>
    </xf>
    <xf numFmtId="0" fontId="0" fillId="8" borderId="0" xfId="0" applyFill="1" applyAlignment="1">
      <alignment horizontal="center"/>
    </xf>
    <xf numFmtId="20" fontId="0" fillId="0" borderId="6" xfId="0" applyNumberFormat="1" applyBorder="1" applyAlignment="1">
      <alignment horizontal="center" vertical="center"/>
    </xf>
    <xf numFmtId="20" fontId="0" fillId="0" borderId="7" xfId="0" applyNumberFormat="1" applyBorder="1" applyAlignment="1">
      <alignment horizontal="center" vertical="center"/>
    </xf>
    <xf numFmtId="16" fontId="6" fillId="0" borderId="0" xfId="0" applyNumberFormat="1" applyFont="1" applyAlignment="1">
      <alignment horizontal="center" vertical="center"/>
    </xf>
    <xf numFmtId="0" fontId="5" fillId="3" borderId="15" xfId="0" applyFont="1" applyFill="1" applyBorder="1" applyAlignment="1">
      <alignment horizontal="right" vertical="center"/>
    </xf>
    <xf numFmtId="0" fontId="6" fillId="4" borderId="0" xfId="0" applyFont="1" applyFill="1" applyAlignment="1">
      <alignment horizontal="center"/>
    </xf>
    <xf numFmtId="3" fontId="5" fillId="3" borderId="15" xfId="0" applyNumberFormat="1" applyFont="1" applyFill="1" applyBorder="1" applyAlignment="1">
      <alignment horizontal="center" vertical="center"/>
    </xf>
    <xf numFmtId="3" fontId="6" fillId="4" borderId="0" xfId="0" applyNumberFormat="1" applyFont="1" applyFill="1" applyAlignment="1">
      <alignment horizontal="center"/>
    </xf>
    <xf numFmtId="3" fontId="0" fillId="0" borderId="0" xfId="0" applyNumberFormat="1" applyAlignment="1">
      <alignment horizontal="center"/>
    </xf>
    <xf numFmtId="166" fontId="0" fillId="0" borderId="19" xfId="0" applyNumberFormat="1" applyBorder="1" applyAlignment="1">
      <alignment horizontal="center"/>
    </xf>
    <xf numFmtId="0" fontId="6" fillId="0" borderId="0" xfId="3" applyFont="1" applyAlignment="1">
      <alignment horizontal="center"/>
    </xf>
    <xf numFmtId="166" fontId="5" fillId="10" borderId="30" xfId="0" applyNumberFormat="1" applyFont="1" applyFill="1" applyBorder="1" applyAlignment="1">
      <alignment horizontal="center"/>
    </xf>
    <xf numFmtId="20" fontId="14" fillId="0" borderId="40" xfId="0" applyNumberFormat="1" applyFont="1" applyBorder="1" applyAlignment="1">
      <alignment horizontal="center" vertical="center"/>
    </xf>
    <xf numFmtId="20" fontId="15" fillId="0" borderId="40" xfId="0" applyNumberFormat="1" applyFont="1" applyBorder="1" applyAlignment="1">
      <alignment horizontal="center" vertical="center"/>
    </xf>
    <xf numFmtId="20" fontId="14" fillId="0" borderId="40" xfId="0" applyNumberFormat="1" applyFont="1" applyBorder="1" applyAlignment="1">
      <alignment vertical="center"/>
    </xf>
    <xf numFmtId="0" fontId="7" fillId="0" borderId="41" xfId="3" applyBorder="1" applyAlignment="1">
      <alignment horizontal="center"/>
    </xf>
    <xf numFmtId="0" fontId="6" fillId="0" borderId="8" xfId="0" applyFont="1" applyBorder="1" applyAlignment="1">
      <alignment horizontal="center" vertical="center"/>
    </xf>
    <xf numFmtId="3" fontId="6" fillId="0" borderId="13" xfId="0" applyNumberFormat="1" applyFont="1" applyBorder="1" applyAlignment="1">
      <alignment horizontal="center"/>
    </xf>
    <xf numFmtId="20" fontId="14" fillId="0" borderId="6" xfId="0" applyNumberFormat="1" applyFont="1" applyBorder="1" applyAlignment="1">
      <alignment horizontal="center" vertical="center"/>
    </xf>
    <xf numFmtId="20" fontId="14" fillId="0" borderId="13" xfId="0" applyNumberFormat="1" applyFont="1" applyBorder="1" applyAlignment="1">
      <alignment horizontal="center" vertical="center"/>
    </xf>
    <xf numFmtId="20" fontId="15" fillId="0" borderId="13" xfId="0" applyNumberFormat="1" applyFont="1" applyBorder="1" applyAlignment="1">
      <alignment horizontal="center" vertical="center"/>
    </xf>
    <xf numFmtId="20" fontId="14" fillId="0" borderId="13" xfId="0" applyNumberFormat="1" applyFont="1" applyBorder="1" applyAlignment="1">
      <alignment vertical="center"/>
    </xf>
    <xf numFmtId="0" fontId="7" fillId="0" borderId="42" xfId="3" applyBorder="1" applyAlignment="1">
      <alignment horizontal="center"/>
    </xf>
    <xf numFmtId="0" fontId="7" fillId="5" borderId="35" xfId="3" applyFill="1" applyBorder="1" applyAlignment="1">
      <alignment horizontal="center" vertical="center"/>
    </xf>
    <xf numFmtId="0" fontId="7" fillId="5" borderId="0" xfId="4" applyFill="1" applyAlignment="1">
      <alignment horizontal="center" vertical="center"/>
    </xf>
    <xf numFmtId="0" fontId="7" fillId="0" borderId="44" xfId="3" applyBorder="1" applyAlignment="1">
      <alignment horizontal="center"/>
    </xf>
    <xf numFmtId="0" fontId="6" fillId="0" borderId="18" xfId="3" applyFont="1" applyBorder="1" applyAlignment="1">
      <alignment horizontal="center"/>
    </xf>
    <xf numFmtId="166" fontId="8" fillId="0" borderId="18" xfId="0" applyNumberFormat="1" applyFont="1" applyBorder="1" applyAlignment="1">
      <alignment horizontal="center"/>
    </xf>
    <xf numFmtId="0" fontId="7" fillId="5" borderId="21" xfId="3" applyFill="1" applyBorder="1" applyAlignment="1">
      <alignment horizontal="center" vertical="center"/>
    </xf>
    <xf numFmtId="166" fontId="8" fillId="0" borderId="6" xfId="0" applyNumberFormat="1" applyFont="1" applyBorder="1" applyAlignment="1">
      <alignment horizontal="center" vertical="center"/>
    </xf>
    <xf numFmtId="0" fontId="7" fillId="0" borderId="21" xfId="3" applyBorder="1" applyAlignment="1">
      <alignment horizontal="center"/>
    </xf>
    <xf numFmtId="0" fontId="7" fillId="5" borderId="21" xfId="4" applyFill="1" applyBorder="1" applyAlignment="1">
      <alignment horizontal="center" vertical="center"/>
    </xf>
    <xf numFmtId="20" fontId="14" fillId="0" borderId="45" xfId="0" applyNumberFormat="1" applyFont="1" applyBorder="1" applyAlignment="1">
      <alignment horizontal="center" vertical="center"/>
    </xf>
    <xf numFmtId="0" fontId="4" fillId="3" borderId="5" xfId="0" applyFont="1" applyFill="1" applyBorder="1" applyAlignment="1">
      <alignment horizontal="center" vertical="center"/>
    </xf>
    <xf numFmtId="0" fontId="5" fillId="3" borderId="0" xfId="0" applyFont="1" applyFill="1" applyAlignment="1">
      <alignment horizontal="center" vertical="center"/>
    </xf>
    <xf numFmtId="2" fontId="5" fillId="3" borderId="0" xfId="0" applyNumberFormat="1" applyFont="1" applyFill="1" applyAlignment="1">
      <alignment horizontal="center" vertical="center"/>
    </xf>
    <xf numFmtId="20" fontId="5" fillId="3" borderId="0" xfId="0" applyNumberFormat="1" applyFont="1" applyFill="1" applyAlignment="1">
      <alignment horizontal="center" vertical="center"/>
    </xf>
    <xf numFmtId="0" fontId="5" fillId="3" borderId="46" xfId="0" applyFont="1" applyFill="1" applyBorder="1" applyAlignment="1">
      <alignment horizontal="center" vertical="center"/>
    </xf>
    <xf numFmtId="3" fontId="5" fillId="3" borderId="47" xfId="0" applyNumberFormat="1" applyFont="1" applyFill="1" applyBorder="1" applyAlignment="1">
      <alignment horizontal="center" vertical="center"/>
    </xf>
    <xf numFmtId="3" fontId="5" fillId="12" borderId="47" xfId="0" applyNumberFormat="1" applyFont="1" applyFill="1" applyBorder="1" applyAlignment="1">
      <alignment horizontal="center" vertical="center"/>
    </xf>
    <xf numFmtId="9" fontId="0" fillId="0" borderId="0" xfId="6" applyFont="1" applyBorder="1" applyAlignment="1">
      <alignment horizontal="center" vertical="center"/>
    </xf>
    <xf numFmtId="3" fontId="5" fillId="3" borderId="17" xfId="0" applyNumberFormat="1" applyFont="1" applyFill="1" applyBorder="1" applyAlignment="1">
      <alignment horizontal="center"/>
    </xf>
    <xf numFmtId="166" fontId="0" fillId="0" borderId="0" xfId="0" applyNumberFormat="1"/>
    <xf numFmtId="166" fontId="6" fillId="4" borderId="21" xfId="0" applyNumberFormat="1" applyFont="1" applyFill="1" applyBorder="1" applyAlignment="1">
      <alignment vertical="center"/>
    </xf>
    <xf numFmtId="0" fontId="0" fillId="13" borderId="0" xfId="0" applyFill="1"/>
    <xf numFmtId="0" fontId="0" fillId="10" borderId="0" xfId="0" applyFill="1"/>
    <xf numFmtId="0" fontId="0" fillId="14" borderId="0" xfId="0" applyFill="1"/>
    <xf numFmtId="16" fontId="6" fillId="0" borderId="6" xfId="0" applyNumberFormat="1" applyFont="1" applyBorder="1" applyAlignment="1">
      <alignment vertical="center"/>
    </xf>
    <xf numFmtId="0" fontId="0" fillId="0" borderId="4" xfId="0" applyBorder="1" applyAlignment="1">
      <alignment horizontal="center"/>
    </xf>
    <xf numFmtId="9" fontId="0" fillId="0" borderId="0" xfId="6" applyFont="1" applyBorder="1" applyAlignment="1">
      <alignment horizontal="center"/>
    </xf>
    <xf numFmtId="3" fontId="5" fillId="3" borderId="37" xfId="0" applyNumberFormat="1" applyFont="1" applyFill="1" applyBorder="1" applyAlignment="1">
      <alignment horizontal="center"/>
    </xf>
    <xf numFmtId="3" fontId="0" fillId="0" borderId="0" xfId="0" applyNumberFormat="1"/>
    <xf numFmtId="16" fontId="6" fillId="0" borderId="6" xfId="0" applyNumberFormat="1" applyFont="1" applyBorder="1" applyAlignment="1">
      <alignment horizontal="right" vertical="center"/>
    </xf>
    <xf numFmtId="20" fontId="0" fillId="0" borderId="2" xfId="0" applyNumberFormat="1" applyBorder="1" applyAlignment="1">
      <alignment horizontal="center" vertical="center"/>
    </xf>
    <xf numFmtId="0" fontId="6" fillId="0" borderId="5" xfId="0" applyFont="1" applyBorder="1" applyAlignment="1">
      <alignment horizontal="right" vertical="center"/>
    </xf>
    <xf numFmtId="20" fontId="0" fillId="0" borderId="48" xfId="0" applyNumberFormat="1" applyBorder="1" applyAlignment="1">
      <alignment horizontal="center" vertical="center"/>
    </xf>
    <xf numFmtId="20" fontId="0" fillId="0" borderId="6" xfId="0" applyNumberFormat="1" applyBorder="1"/>
    <xf numFmtId="0" fontId="7" fillId="8" borderId="13" xfId="3" applyFill="1" applyBorder="1" applyAlignment="1">
      <alignment horizontal="center" vertical="center"/>
    </xf>
    <xf numFmtId="46" fontId="0" fillId="0" borderId="0" xfId="0" applyNumberFormat="1" applyAlignment="1">
      <alignment horizontal="center"/>
    </xf>
    <xf numFmtId="0" fontId="6" fillId="6" borderId="0" xfId="0" applyFont="1" applyFill="1"/>
    <xf numFmtId="46" fontId="0" fillId="0" borderId="0" xfId="0" applyNumberFormat="1"/>
    <xf numFmtId="0" fontId="5" fillId="3" borderId="4" xfId="0" applyFont="1" applyFill="1" applyBorder="1"/>
    <xf numFmtId="20" fontId="0" fillId="0" borderId="7" xfId="0" applyNumberFormat="1" applyBorder="1" applyAlignment="1">
      <alignment horizontal="center"/>
    </xf>
    <xf numFmtId="0" fontId="5" fillId="3" borderId="0" xfId="0" applyFont="1" applyFill="1"/>
    <xf numFmtId="0" fontId="4" fillId="3" borderId="0" xfId="0" applyFont="1" applyFill="1" applyAlignment="1">
      <alignment horizontal="center" vertical="center" wrapText="1"/>
    </xf>
    <xf numFmtId="0" fontId="5" fillId="3" borderId="19" xfId="0" applyFont="1" applyFill="1" applyBorder="1"/>
    <xf numFmtId="0" fontId="0" fillId="0" borderId="32" xfId="0" applyBorder="1" applyAlignment="1">
      <alignment horizontal="center"/>
    </xf>
    <xf numFmtId="20" fontId="0" fillId="8" borderId="6" xfId="0" applyNumberFormat="1" applyFill="1" applyBorder="1" applyAlignment="1">
      <alignment horizontal="center" vertical="center"/>
    </xf>
    <xf numFmtId="0" fontId="7" fillId="0" borderId="4" xfId="4" applyBorder="1" applyAlignment="1">
      <alignment horizontal="center"/>
    </xf>
    <xf numFmtId="0" fontId="7" fillId="5" borderId="4" xfId="4" applyFill="1" applyBorder="1" applyAlignment="1">
      <alignment horizontal="center" vertical="center"/>
    </xf>
    <xf numFmtId="20" fontId="0" fillId="8" borderId="7" xfId="0" applyNumberFormat="1" applyFill="1" applyBorder="1" applyAlignment="1">
      <alignment horizontal="center" vertical="center"/>
    </xf>
    <xf numFmtId="20" fontId="0" fillId="0" borderId="13" xfId="0" applyNumberFormat="1" applyBorder="1" applyAlignment="1">
      <alignment vertical="center"/>
    </xf>
    <xf numFmtId="20" fontId="0" fillId="0" borderId="53" xfId="0" applyNumberFormat="1" applyBorder="1" applyAlignment="1">
      <alignment horizontal="center"/>
    </xf>
    <xf numFmtId="16" fontId="6" fillId="0" borderId="0" xfId="0" applyNumberFormat="1" applyFont="1" applyAlignment="1">
      <alignment vertical="center"/>
    </xf>
    <xf numFmtId="20" fontId="0" fillId="0" borderId="17" xfId="0" applyNumberFormat="1" applyBorder="1" applyAlignment="1">
      <alignment horizontal="center"/>
    </xf>
    <xf numFmtId="0" fontId="7" fillId="0" borderId="0" xfId="4" applyAlignment="1">
      <alignment horizontal="center"/>
    </xf>
    <xf numFmtId="0" fontId="7" fillId="0" borderId="0" xfId="4" applyAlignment="1">
      <alignment horizontal="center" vertical="center"/>
    </xf>
    <xf numFmtId="0" fontId="7" fillId="5" borderId="35" xfId="4" applyFill="1" applyBorder="1" applyAlignment="1">
      <alignment horizontal="center"/>
    </xf>
    <xf numFmtId="0" fontId="7" fillId="0" borderId="13" xfId="4" applyBorder="1" applyAlignment="1">
      <alignment horizontal="center" vertical="center"/>
    </xf>
    <xf numFmtId="0" fontId="7" fillId="0" borderId="35" xfId="4" applyBorder="1" applyAlignment="1">
      <alignment horizontal="center"/>
    </xf>
    <xf numFmtId="0" fontId="0" fillId="0" borderId="32" xfId="0" applyBorder="1" applyAlignment="1">
      <alignment vertical="center"/>
    </xf>
    <xf numFmtId="20" fontId="0" fillId="0" borderId="35" xfId="0" applyNumberFormat="1" applyBorder="1"/>
    <xf numFmtId="20" fontId="0" fillId="0" borderId="3" xfId="0" applyNumberFormat="1" applyBorder="1" applyAlignment="1">
      <alignment horizontal="center" vertical="center"/>
    </xf>
    <xf numFmtId="10" fontId="8" fillId="16" borderId="0" xfId="0" applyNumberFormat="1" applyFont="1" applyFill="1" applyAlignment="1">
      <alignment horizontal="center"/>
    </xf>
    <xf numFmtId="0" fontId="6" fillId="0" borderId="4" xfId="0" applyFont="1" applyBorder="1" applyAlignment="1">
      <alignment horizontal="center"/>
    </xf>
    <xf numFmtId="16" fontId="6" fillId="0" borderId="35" xfId="0" applyNumberFormat="1" applyFont="1" applyBorder="1" applyAlignment="1">
      <alignment horizontal="center" vertical="center"/>
    </xf>
    <xf numFmtId="20" fontId="0" fillId="8" borderId="13" xfId="0" applyNumberFormat="1" applyFill="1" applyBorder="1" applyAlignment="1">
      <alignment horizontal="center" vertical="center"/>
    </xf>
    <xf numFmtId="0" fontId="4" fillId="3" borderId="0" xfId="0" applyFont="1" applyFill="1" applyAlignment="1">
      <alignment horizontal="center" wrapText="1"/>
    </xf>
    <xf numFmtId="16" fontId="0" fillId="0" borderId="0" xfId="0" applyNumberFormat="1" applyAlignment="1">
      <alignment vertical="center"/>
    </xf>
    <xf numFmtId="0" fontId="6" fillId="8" borderId="21" xfId="0" applyFont="1" applyFill="1" applyBorder="1" applyAlignment="1">
      <alignment horizontal="center"/>
    </xf>
    <xf numFmtId="0" fontId="0" fillId="0" borderId="0" xfId="0" applyAlignment="1">
      <alignment vertical="center"/>
    </xf>
    <xf numFmtId="0" fontId="0" fillId="17" borderId="0" xfId="0" applyFill="1"/>
    <xf numFmtId="0" fontId="0" fillId="18" borderId="0" xfId="0" applyFill="1"/>
    <xf numFmtId="16" fontId="6" fillId="0" borderId="35" xfId="0" applyNumberFormat="1" applyFont="1" applyBorder="1" applyAlignment="1">
      <alignment vertical="center"/>
    </xf>
    <xf numFmtId="0" fontId="0" fillId="0" borderId="18" xfId="0" applyBorder="1"/>
    <xf numFmtId="0" fontId="6" fillId="0" borderId="0" xfId="0" applyFont="1"/>
    <xf numFmtId="2" fontId="0" fillId="0" borderId="0" xfId="0" applyNumberFormat="1"/>
    <xf numFmtId="0" fontId="18" fillId="0" borderId="0" xfId="0" applyFont="1"/>
    <xf numFmtId="20" fontId="0" fillId="0" borderId="35" xfId="0" applyNumberFormat="1" applyBorder="1" applyAlignment="1">
      <alignment horizontal="center" vertical="center"/>
    </xf>
    <xf numFmtId="20" fontId="0" fillId="0" borderId="0" xfId="0" applyNumberFormat="1" applyAlignment="1">
      <alignment vertical="center"/>
    </xf>
    <xf numFmtId="0" fontId="0" fillId="0" borderId="4" xfId="0" applyBorder="1" applyAlignment="1">
      <alignment vertical="center"/>
    </xf>
    <xf numFmtId="0" fontId="19" fillId="0" borderId="0" xfId="0" applyFont="1"/>
    <xf numFmtId="0" fontId="15" fillId="0" borderId="0" xfId="0" applyFont="1"/>
    <xf numFmtId="0" fontId="15" fillId="0" borderId="0" xfId="0" applyFont="1" applyAlignment="1">
      <alignment horizontal="center"/>
    </xf>
    <xf numFmtId="0" fontId="14" fillId="0" borderId="0" xfId="0" applyFont="1" applyAlignment="1">
      <alignment horizontal="center" vertical="center"/>
    </xf>
    <xf numFmtId="20" fontId="15" fillId="0" borderId="0" xfId="0" applyNumberFormat="1" applyFont="1"/>
    <xf numFmtId="0" fontId="20" fillId="0" borderId="0" xfId="0" applyFont="1"/>
    <xf numFmtId="16" fontId="14" fillId="0" borderId="5" xfId="0" applyNumberFormat="1" applyFont="1" applyBorder="1" applyAlignment="1">
      <alignment horizontal="center" vertical="center"/>
    </xf>
    <xf numFmtId="0" fontId="14" fillId="0" borderId="13" xfId="0" applyFont="1" applyBorder="1" applyAlignment="1">
      <alignment horizontal="center"/>
    </xf>
    <xf numFmtId="0" fontId="15" fillId="0" borderId="4" xfId="3" applyFont="1" applyBorder="1" applyAlignment="1">
      <alignment horizontal="center"/>
    </xf>
    <xf numFmtId="0" fontId="15" fillId="5" borderId="4" xfId="3" applyFont="1" applyFill="1" applyBorder="1" applyAlignment="1">
      <alignment horizontal="center" vertical="center"/>
    </xf>
    <xf numFmtId="20" fontId="15" fillId="0" borderId="6" xfId="0" applyNumberFormat="1" applyFont="1" applyBorder="1" applyAlignment="1">
      <alignment horizontal="center" vertical="center"/>
    </xf>
    <xf numFmtId="20" fontId="15" fillId="0" borderId="6" xfId="0" applyNumberFormat="1" applyFont="1" applyBorder="1" applyAlignment="1">
      <alignment vertical="center"/>
    </xf>
    <xf numFmtId="20" fontId="15" fillId="0" borderId="17" xfId="0" applyNumberFormat="1" applyFont="1" applyBorder="1" applyAlignment="1">
      <alignment vertical="center"/>
    </xf>
    <xf numFmtId="20" fontId="14" fillId="0" borderId="13" xfId="0" applyNumberFormat="1" applyFont="1" applyBorder="1" applyAlignment="1">
      <alignment horizontal="center"/>
    </xf>
    <xf numFmtId="20" fontId="15" fillId="0" borderId="13" xfId="0" applyNumberFormat="1" applyFont="1" applyBorder="1" applyAlignment="1">
      <alignment horizontal="center"/>
    </xf>
    <xf numFmtId="0" fontId="21" fillId="3" borderId="14" xfId="0" applyFont="1" applyFill="1" applyBorder="1" applyAlignment="1">
      <alignment horizontal="center" vertical="center"/>
    </xf>
    <xf numFmtId="0" fontId="21" fillId="3" borderId="15" xfId="0" applyFont="1" applyFill="1" applyBorder="1" applyAlignment="1">
      <alignment horizontal="center" vertical="center"/>
    </xf>
    <xf numFmtId="0" fontId="21" fillId="3" borderId="15" xfId="0" applyFont="1" applyFill="1" applyBorder="1" applyAlignment="1">
      <alignment horizontal="center"/>
    </xf>
    <xf numFmtId="2" fontId="21" fillId="3" borderId="15" xfId="0" applyNumberFormat="1" applyFont="1" applyFill="1" applyBorder="1" applyAlignment="1">
      <alignment horizontal="center" vertical="center"/>
    </xf>
    <xf numFmtId="20" fontId="21" fillId="3" borderId="15" xfId="0" applyNumberFormat="1" applyFont="1" applyFill="1" applyBorder="1" applyAlignment="1">
      <alignment horizontal="center" vertical="center"/>
    </xf>
    <xf numFmtId="0" fontId="15" fillId="0" borderId="13" xfId="0" applyFont="1" applyBorder="1" applyAlignment="1">
      <alignment horizontal="center" vertical="center"/>
    </xf>
    <xf numFmtId="0" fontId="15" fillId="0" borderId="0" xfId="0" applyFont="1" applyAlignment="1">
      <alignment horizontal="center" vertical="center"/>
    </xf>
    <xf numFmtId="10" fontId="14" fillId="0" borderId="0" xfId="0" applyNumberFormat="1" applyFont="1" applyAlignment="1">
      <alignment horizontal="center"/>
    </xf>
    <xf numFmtId="16" fontId="15" fillId="0" borderId="0" xfId="0" applyNumberFormat="1" applyFont="1" applyAlignment="1">
      <alignment horizontal="center" vertical="center"/>
    </xf>
    <xf numFmtId="20" fontId="15" fillId="0" borderId="0" xfId="0" applyNumberFormat="1" applyFont="1" applyAlignment="1">
      <alignment horizontal="center"/>
    </xf>
    <xf numFmtId="0" fontId="15" fillId="0" borderId="0" xfId="3" applyFont="1" applyAlignment="1">
      <alignment horizontal="center" vertical="center"/>
    </xf>
    <xf numFmtId="0" fontId="15" fillId="0" borderId="18" xfId="3" applyFont="1" applyBorder="1" applyAlignment="1">
      <alignment horizontal="center"/>
    </xf>
    <xf numFmtId="0" fontId="15" fillId="5" borderId="0" xfId="3" applyFont="1" applyFill="1" applyAlignment="1">
      <alignment horizontal="center" vertical="center"/>
    </xf>
    <xf numFmtId="0" fontId="15" fillId="5" borderId="18" xfId="3" applyFont="1" applyFill="1" applyBorder="1" applyAlignment="1">
      <alignment horizontal="center" vertical="center"/>
    </xf>
    <xf numFmtId="0" fontId="15" fillId="0" borderId="0" xfId="3" applyFont="1" applyAlignment="1">
      <alignment horizontal="center"/>
    </xf>
    <xf numFmtId="3" fontId="21" fillId="3" borderId="15" xfId="0" applyNumberFormat="1" applyFont="1" applyFill="1" applyBorder="1" applyAlignment="1">
      <alignment horizontal="center" vertical="center"/>
    </xf>
    <xf numFmtId="165" fontId="14" fillId="0" borderId="0" xfId="0" applyNumberFormat="1" applyFont="1" applyAlignment="1">
      <alignment horizontal="center"/>
    </xf>
    <xf numFmtId="0" fontId="15" fillId="0" borderId="0" xfId="0" applyFont="1" applyAlignment="1">
      <alignment horizontal="left"/>
    </xf>
    <xf numFmtId="1" fontId="15" fillId="0" borderId="0" xfId="0" applyNumberFormat="1" applyFont="1" applyAlignment="1">
      <alignment horizontal="center"/>
    </xf>
    <xf numFmtId="0" fontId="21" fillId="3" borderId="0" xfId="0" applyFont="1" applyFill="1" applyAlignment="1">
      <alignment horizontal="center" wrapText="1"/>
    </xf>
    <xf numFmtId="0" fontId="21" fillId="3" borderId="0" xfId="0" applyFont="1" applyFill="1"/>
    <xf numFmtId="0" fontId="21" fillId="3" borderId="19" xfId="0" applyFont="1" applyFill="1" applyBorder="1"/>
    <xf numFmtId="0" fontId="15" fillId="0" borderId="20" xfId="0" applyFont="1" applyBorder="1"/>
    <xf numFmtId="0" fontId="15" fillId="0" borderId="18" xfId="0" applyFont="1" applyBorder="1" applyAlignment="1">
      <alignment horizontal="center"/>
    </xf>
    <xf numFmtId="0" fontId="15" fillId="0" borderId="28" xfId="0" applyFont="1" applyBorder="1" applyAlignment="1">
      <alignment horizontal="center"/>
    </xf>
    <xf numFmtId="0" fontId="15" fillId="0" borderId="13" xfId="3" applyFont="1" applyBorder="1" applyAlignment="1">
      <alignment horizontal="center" vertical="center"/>
    </xf>
    <xf numFmtId="0" fontId="15" fillId="0" borderId="35" xfId="3" applyFont="1" applyBorder="1" applyAlignment="1">
      <alignment horizontal="center"/>
    </xf>
    <xf numFmtId="0" fontId="14" fillId="0" borderId="4" xfId="3" applyFont="1" applyBorder="1" applyAlignment="1">
      <alignment horizontal="center"/>
    </xf>
    <xf numFmtId="166" fontId="15" fillId="0" borderId="22" xfId="0" applyNumberFormat="1" applyFont="1" applyBorder="1" applyAlignment="1">
      <alignment horizontal="center" vertical="center"/>
    </xf>
    <xf numFmtId="0" fontId="15" fillId="5" borderId="35" xfId="3" applyFont="1" applyFill="1" applyBorder="1" applyAlignment="1">
      <alignment horizontal="center"/>
    </xf>
    <xf numFmtId="0" fontId="15" fillId="5" borderId="0" xfId="3" applyFont="1" applyFill="1" applyAlignment="1">
      <alignment horizontal="center"/>
    </xf>
    <xf numFmtId="0" fontId="15" fillId="0" borderId="18" xfId="3" applyFont="1" applyBorder="1" applyAlignment="1">
      <alignment horizontal="center" vertical="center"/>
    </xf>
    <xf numFmtId="166" fontId="15" fillId="0" borderId="22" xfId="0" applyNumberFormat="1" applyFont="1" applyBorder="1" applyAlignment="1">
      <alignment vertical="center"/>
    </xf>
    <xf numFmtId="3" fontId="21" fillId="3" borderId="29" xfId="0" applyNumberFormat="1" applyFont="1" applyFill="1" applyBorder="1" applyAlignment="1">
      <alignment horizontal="center"/>
    </xf>
    <xf numFmtId="166" fontId="21" fillId="3" borderId="30" xfId="0" applyNumberFormat="1" applyFont="1" applyFill="1" applyBorder="1" applyAlignment="1">
      <alignment horizontal="center"/>
    </xf>
    <xf numFmtId="0" fontId="15" fillId="0" borderId="18" xfId="0" applyFont="1" applyBorder="1"/>
    <xf numFmtId="0" fontId="15" fillId="0" borderId="28" xfId="0" applyFont="1" applyBorder="1"/>
    <xf numFmtId="0" fontId="22" fillId="0" borderId="0" xfId="0" applyFont="1" applyAlignment="1">
      <alignment horizontal="center"/>
    </xf>
    <xf numFmtId="0" fontId="19" fillId="0" borderId="0" xfId="0" applyFont="1" applyAlignment="1">
      <alignment horizontal="center"/>
    </xf>
    <xf numFmtId="0" fontId="23" fillId="0" borderId="0" xfId="0" applyFont="1" applyAlignment="1">
      <alignment horizontal="center"/>
    </xf>
    <xf numFmtId="2" fontId="15" fillId="0" borderId="0" xfId="0" applyNumberFormat="1" applyFont="1" applyAlignment="1">
      <alignment horizontal="center"/>
    </xf>
    <xf numFmtId="164" fontId="15" fillId="0" borderId="0" xfId="0" applyNumberFormat="1" applyFont="1" applyAlignment="1">
      <alignment horizontal="center"/>
    </xf>
    <xf numFmtId="16" fontId="14" fillId="5" borderId="0" xfId="0" applyNumberFormat="1" applyFont="1" applyFill="1" applyAlignment="1">
      <alignment horizontal="center" vertical="center"/>
    </xf>
    <xf numFmtId="164" fontId="15" fillId="5" borderId="0" xfId="0" applyNumberFormat="1" applyFont="1" applyFill="1" applyAlignment="1">
      <alignment horizontal="center"/>
    </xf>
    <xf numFmtId="0" fontId="14" fillId="0" borderId="0" xfId="0" applyFont="1" applyAlignment="1">
      <alignment horizontal="center"/>
    </xf>
    <xf numFmtId="0" fontId="14" fillId="6" borderId="0" xfId="0" applyFont="1" applyFill="1" applyAlignment="1">
      <alignment horizontal="center" vertical="center"/>
    </xf>
    <xf numFmtId="16" fontId="15" fillId="0" borderId="0" xfId="0" applyNumberFormat="1" applyFont="1" applyAlignment="1">
      <alignment horizontal="center"/>
    </xf>
    <xf numFmtId="0" fontId="14" fillId="0" borderId="0" xfId="0" applyFont="1"/>
    <xf numFmtId="2" fontId="15" fillId="0" borderId="0" xfId="0" applyNumberFormat="1" applyFont="1"/>
    <xf numFmtId="0" fontId="14" fillId="4" borderId="0" xfId="0" applyFont="1" applyFill="1" applyAlignment="1">
      <alignment horizontal="center" vertical="center"/>
    </xf>
    <xf numFmtId="0" fontId="14" fillId="6" borderId="0" xfId="0" applyFont="1" applyFill="1" applyAlignment="1">
      <alignment vertical="center" wrapText="1"/>
    </xf>
    <xf numFmtId="0" fontId="14" fillId="4" borderId="0" xfId="0" applyFont="1" applyFill="1" applyAlignment="1">
      <alignment vertical="center"/>
    </xf>
    <xf numFmtId="166" fontId="15" fillId="0" borderId="22" xfId="0" applyNumberFormat="1" applyFont="1" applyBorder="1" applyAlignment="1">
      <alignment horizontal="center"/>
    </xf>
    <xf numFmtId="0" fontId="14" fillId="6" borderId="21" xfId="0" applyFont="1" applyFill="1" applyBorder="1" applyAlignment="1">
      <alignment horizontal="center"/>
    </xf>
    <xf numFmtId="20" fontId="15" fillId="0" borderId="0" xfId="0" applyNumberFormat="1" applyFont="1" applyAlignment="1">
      <alignment horizontal="center" vertical="center"/>
    </xf>
    <xf numFmtId="20" fontId="15" fillId="0" borderId="35" xfId="0" applyNumberFormat="1" applyFont="1" applyBorder="1" applyAlignment="1">
      <alignment horizontal="center" vertical="center"/>
    </xf>
    <xf numFmtId="0" fontId="15" fillId="0" borderId="32" xfId="0" applyFont="1" applyBorder="1" applyAlignment="1">
      <alignment horizontal="center" vertical="center"/>
    </xf>
    <xf numFmtId="0" fontId="15" fillId="0" borderId="32" xfId="3" applyFont="1" applyBorder="1" applyAlignment="1">
      <alignment horizontal="center" vertical="center"/>
    </xf>
    <xf numFmtId="0" fontId="15" fillId="0" borderId="0" xfId="3" applyFont="1"/>
    <xf numFmtId="0" fontId="14" fillId="4" borderId="0" xfId="0" applyFont="1" applyFill="1" applyAlignment="1">
      <alignment vertical="center" wrapText="1"/>
    </xf>
    <xf numFmtId="166" fontId="15" fillId="0" borderId="0" xfId="0" applyNumberFormat="1" applyFont="1" applyAlignment="1">
      <alignment horizontal="center"/>
    </xf>
    <xf numFmtId="166" fontId="14" fillId="4" borderId="21" xfId="0" applyNumberFormat="1" applyFont="1" applyFill="1" applyBorder="1" applyAlignment="1">
      <alignment horizontal="center" vertical="center"/>
    </xf>
    <xf numFmtId="166" fontId="14" fillId="4" borderId="21" xfId="0" applyNumberFormat="1" applyFont="1" applyFill="1" applyBorder="1" applyAlignment="1">
      <alignment vertical="center"/>
    </xf>
    <xf numFmtId="0" fontId="0" fillId="0" borderId="0" xfId="0" applyAlignment="1">
      <alignment horizontal="right"/>
    </xf>
    <xf numFmtId="16" fontId="24" fillId="0" borderId="55" xfId="0" applyNumberFormat="1" applyFont="1" applyBorder="1"/>
    <xf numFmtId="16" fontId="24" fillId="0" borderId="56" xfId="0" applyNumberFormat="1" applyFont="1" applyBorder="1"/>
    <xf numFmtId="0" fontId="8" fillId="21" borderId="49" xfId="0" applyFont="1" applyFill="1" applyBorder="1"/>
    <xf numFmtId="0" fontId="8" fillId="21" borderId="41" xfId="0" applyFont="1" applyFill="1" applyBorder="1"/>
    <xf numFmtId="0" fontId="8" fillId="21" borderId="42" xfId="0" applyFont="1" applyFill="1" applyBorder="1"/>
    <xf numFmtId="0" fontId="9" fillId="21" borderId="57" xfId="0" applyFont="1" applyFill="1" applyBorder="1"/>
    <xf numFmtId="0" fontId="8" fillId="0" borderId="4" xfId="0" applyFont="1" applyBorder="1"/>
    <xf numFmtId="0" fontId="8" fillId="0" borderId="0" xfId="0" applyFont="1"/>
    <xf numFmtId="0" fontId="8" fillId="0" borderId="35" xfId="0" applyFont="1" applyBorder="1"/>
    <xf numFmtId="1" fontId="9" fillId="0" borderId="58" xfId="0" applyNumberFormat="1" applyFont="1" applyBorder="1"/>
    <xf numFmtId="0" fontId="8" fillId="21" borderId="4" xfId="0" applyFont="1" applyFill="1" applyBorder="1"/>
    <xf numFmtId="0" fontId="8" fillId="21" borderId="0" xfId="0" applyFont="1" applyFill="1"/>
    <xf numFmtId="0" fontId="8" fillId="21" borderId="35" xfId="0" applyFont="1" applyFill="1" applyBorder="1"/>
    <xf numFmtId="1" fontId="9" fillId="21" borderId="58" xfId="0" applyNumberFormat="1" applyFont="1" applyFill="1" applyBorder="1"/>
    <xf numFmtId="0" fontId="24" fillId="22" borderId="62" xfId="0" applyFont="1" applyFill="1" applyBorder="1"/>
    <xf numFmtId="0" fontId="24" fillId="0" borderId="0" xfId="0" applyFont="1" applyAlignment="1">
      <alignment horizontal="left" vertical="center" wrapText="1"/>
    </xf>
    <xf numFmtId="0" fontId="24" fillId="0" borderId="0" xfId="0" applyFont="1"/>
    <xf numFmtId="0" fontId="8" fillId="22" borderId="63" xfId="0" applyFont="1" applyFill="1" applyBorder="1"/>
    <xf numFmtId="0" fontId="8" fillId="22" borderId="64" xfId="0" applyFont="1" applyFill="1" applyBorder="1"/>
    <xf numFmtId="0" fontId="8" fillId="22" borderId="65" xfId="0" applyFont="1" applyFill="1" applyBorder="1" applyAlignment="1">
      <alignment wrapText="1"/>
    </xf>
    <xf numFmtId="0" fontId="6" fillId="0" borderId="66" xfId="0" applyFont="1" applyBorder="1"/>
    <xf numFmtId="0" fontId="6" fillId="0" borderId="67" xfId="0" applyFont="1" applyBorder="1"/>
    <xf numFmtId="0" fontId="6" fillId="0" borderId="65" xfId="0" applyFont="1" applyBorder="1"/>
    <xf numFmtId="9" fontId="6" fillId="0" borderId="65" xfId="1" applyFont="1" applyFill="1" applyBorder="1"/>
    <xf numFmtId="0" fontId="6" fillId="0" borderId="68" xfId="0" applyFont="1" applyBorder="1"/>
    <xf numFmtId="0" fontId="6" fillId="21" borderId="67" xfId="0" applyFont="1" applyFill="1" applyBorder="1"/>
    <xf numFmtId="0" fontId="6" fillId="21" borderId="68" xfId="0" applyFont="1" applyFill="1" applyBorder="1"/>
    <xf numFmtId="0" fontId="6" fillId="21" borderId="18" xfId="0" applyFont="1" applyFill="1" applyBorder="1"/>
    <xf numFmtId="0" fontId="8" fillId="22" borderId="0" xfId="0" applyFont="1" applyFill="1"/>
    <xf numFmtId="0" fontId="24" fillId="0" borderId="69" xfId="0" applyFont="1" applyBorder="1" applyAlignment="1">
      <alignment horizontal="center"/>
    </xf>
    <xf numFmtId="1" fontId="24" fillId="21" borderId="70" xfId="0" applyNumberFormat="1" applyFont="1" applyFill="1" applyBorder="1" applyAlignment="1">
      <alignment horizontal="right"/>
    </xf>
    <xf numFmtId="1" fontId="24" fillId="22" borderId="71" xfId="0" applyNumberFormat="1" applyFont="1" applyFill="1" applyBorder="1" applyAlignment="1">
      <alignment horizontal="right"/>
    </xf>
    <xf numFmtId="0" fontId="6" fillId="21" borderId="0" xfId="0" applyFont="1" applyFill="1"/>
    <xf numFmtId="0" fontId="6" fillId="21" borderId="0" xfId="0" applyFont="1" applyFill="1" applyAlignment="1">
      <alignment horizontal="center" wrapText="1"/>
    </xf>
    <xf numFmtId="0" fontId="6" fillId="12" borderId="0" xfId="0" applyFont="1" applyFill="1"/>
    <xf numFmtId="0" fontId="6" fillId="12" borderId="0" xfId="0" applyFont="1" applyFill="1" applyAlignment="1">
      <alignment wrapText="1"/>
    </xf>
    <xf numFmtId="2" fontId="0" fillId="21" borderId="0" xfId="0" applyNumberFormat="1" applyFill="1"/>
    <xf numFmtId="0" fontId="0" fillId="21" borderId="0" xfId="0" applyFill="1"/>
    <xf numFmtId="0" fontId="0" fillId="12" borderId="0" xfId="0" applyFill="1"/>
    <xf numFmtId="167" fontId="0" fillId="12" borderId="0" xfId="1" applyNumberFormat="1" applyFont="1" applyFill="1"/>
    <xf numFmtId="0" fontId="6" fillId="21" borderId="0" xfId="0" applyFont="1" applyFill="1" applyAlignment="1">
      <alignment horizontal="left"/>
    </xf>
    <xf numFmtId="0" fontId="6" fillId="24" borderId="0" xfId="0" applyFont="1" applyFill="1"/>
    <xf numFmtId="0" fontId="0" fillId="24" borderId="0" xfId="0" applyFill="1"/>
    <xf numFmtId="0" fontId="7" fillId="5" borderId="18" xfId="4" applyFill="1" applyBorder="1" applyAlignment="1">
      <alignment horizontal="center" vertical="center"/>
    </xf>
    <xf numFmtId="0" fontId="7" fillId="0" borderId="0" xfId="4"/>
    <xf numFmtId="3" fontId="7" fillId="0" borderId="53" xfId="4" applyNumberFormat="1" applyBorder="1"/>
    <xf numFmtId="0" fontId="24" fillId="0" borderId="0" xfId="4" applyFont="1"/>
    <xf numFmtId="0" fontId="24" fillId="25" borderId="53" xfId="4" applyFont="1" applyFill="1" applyBorder="1"/>
    <xf numFmtId="17" fontId="8" fillId="25" borderId="53" xfId="4" applyNumberFormat="1" applyFont="1" applyFill="1" applyBorder="1"/>
    <xf numFmtId="0" fontId="19" fillId="0" borderId="53" xfId="4" applyFont="1" applyBorder="1"/>
    <xf numFmtId="3" fontId="7" fillId="9" borderId="53" xfId="4" applyNumberFormat="1" applyFill="1" applyBorder="1"/>
    <xf numFmtId="0" fontId="19" fillId="0" borderId="72" xfId="4" applyFont="1" applyBorder="1"/>
    <xf numFmtId="0" fontId="7" fillId="0" borderId="72" xfId="4" applyBorder="1"/>
    <xf numFmtId="0" fontId="19" fillId="0" borderId="17" xfId="4" applyFont="1" applyBorder="1"/>
    <xf numFmtId="1" fontId="7" fillId="0" borderId="17" xfId="4" applyNumberFormat="1" applyBorder="1"/>
    <xf numFmtId="3" fontId="7" fillId="0" borderId="17" xfId="4" applyNumberFormat="1" applyBorder="1"/>
    <xf numFmtId="0" fontId="25" fillId="0" borderId="73" xfId="0" applyFont="1" applyBorder="1" applyAlignment="1">
      <alignment horizontal="right" vertical="center"/>
    </xf>
    <xf numFmtId="0" fontId="4" fillId="26" borderId="0" xfId="4" applyFont="1" applyFill="1"/>
    <xf numFmtId="3" fontId="4" fillId="26" borderId="0" xfId="4" applyNumberFormat="1" applyFont="1" applyFill="1"/>
    <xf numFmtId="3" fontId="7" fillId="0" borderId="0" xfId="4" applyNumberFormat="1"/>
    <xf numFmtId="167" fontId="0" fillId="0" borderId="53" xfId="5" applyNumberFormat="1" applyFont="1" applyBorder="1"/>
    <xf numFmtId="167" fontId="0" fillId="0" borderId="72" xfId="5" applyNumberFormat="1" applyFont="1" applyBorder="1"/>
    <xf numFmtId="167" fontId="0" fillId="0" borderId="17" xfId="5" applyNumberFormat="1" applyFont="1" applyBorder="1"/>
    <xf numFmtId="0" fontId="6" fillId="25" borderId="53" xfId="4" applyFont="1" applyFill="1" applyBorder="1" applyAlignment="1">
      <alignment horizontal="center"/>
    </xf>
    <xf numFmtId="3" fontId="6" fillId="0" borderId="74" xfId="4" applyNumberFormat="1" applyFont="1" applyBorder="1"/>
    <xf numFmtId="3" fontId="6" fillId="0" borderId="77" xfId="4" applyNumberFormat="1" applyFont="1" applyBorder="1"/>
    <xf numFmtId="3" fontId="6" fillId="0" borderId="46" xfId="4" applyNumberFormat="1" applyFont="1" applyBorder="1"/>
    <xf numFmtId="0" fontId="6" fillId="25" borderId="53" xfId="4" applyFont="1" applyFill="1" applyBorder="1"/>
    <xf numFmtId="167" fontId="6" fillId="0" borderId="53" xfId="5" applyNumberFormat="1" applyFont="1" applyBorder="1"/>
    <xf numFmtId="167" fontId="6" fillId="0" borderId="72" xfId="5" applyNumberFormat="1" applyFont="1" applyBorder="1"/>
    <xf numFmtId="167" fontId="6" fillId="0" borderId="17" xfId="5" applyNumberFormat="1" applyFont="1" applyBorder="1"/>
    <xf numFmtId="0" fontId="8" fillId="0" borderId="0" xfId="0" applyFont="1" applyAlignment="1">
      <alignment horizontal="center"/>
    </xf>
    <xf numFmtId="0" fontId="6" fillId="0" borderId="0" xfId="0" applyFont="1" applyAlignment="1">
      <alignment wrapText="1"/>
    </xf>
    <xf numFmtId="0" fontId="6" fillId="27" borderId="0" xfId="0" applyFont="1" applyFill="1" applyAlignment="1">
      <alignment wrapText="1"/>
    </xf>
    <xf numFmtId="0" fontId="0" fillId="5" borderId="0" xfId="0" applyFill="1"/>
    <xf numFmtId="0" fontId="8" fillId="28" borderId="0" xfId="3" applyFont="1" applyFill="1"/>
    <xf numFmtId="9" fontId="8" fillId="13" borderId="83" xfId="1" applyFont="1" applyFill="1" applyBorder="1"/>
    <xf numFmtId="0" fontId="4" fillId="11" borderId="0" xfId="0" applyFont="1" applyFill="1" applyAlignment="1">
      <alignment horizontal="left" wrapText="1"/>
    </xf>
    <xf numFmtId="0" fontId="4" fillId="29" borderId="0" xfId="0" applyFont="1" applyFill="1" applyAlignment="1">
      <alignment horizontal="left" wrapText="1"/>
    </xf>
    <xf numFmtId="9" fontId="0" fillId="0" borderId="0" xfId="1" applyFont="1"/>
    <xf numFmtId="9" fontId="0" fillId="0" borderId="0" xfId="1" applyFont="1" applyBorder="1"/>
    <xf numFmtId="0" fontId="7" fillId="5" borderId="0" xfId="3" applyFill="1"/>
    <xf numFmtId="16" fontId="6" fillId="0" borderId="0" xfId="3" applyNumberFormat="1" applyFont="1"/>
    <xf numFmtId="0" fontId="6" fillId="0" borderId="0" xfId="3" applyFont="1"/>
    <xf numFmtId="0" fontId="27" fillId="0" borderId="0" xfId="2"/>
    <xf numFmtId="16" fontId="28" fillId="30" borderId="87" xfId="0" applyNumberFormat="1" applyFont="1" applyFill="1" applyBorder="1" applyAlignment="1">
      <alignment horizontal="center" vertical="center"/>
    </xf>
    <xf numFmtId="0" fontId="7" fillId="0" borderId="0" xfId="0" applyFont="1"/>
    <xf numFmtId="16" fontId="28" fillId="0" borderId="87" xfId="0" applyNumberFormat="1" applyFont="1" applyBorder="1" applyAlignment="1">
      <alignment horizontal="center" vertical="center"/>
    </xf>
    <xf numFmtId="9" fontId="0" fillId="0" borderId="0" xfId="1" applyFont="1" applyFill="1"/>
    <xf numFmtId="0" fontId="6" fillId="5" borderId="0" xfId="0" applyFont="1" applyFill="1"/>
    <xf numFmtId="0" fontId="17" fillId="0" borderId="0" xfId="0" applyFont="1"/>
    <xf numFmtId="0" fontId="0" fillId="9" borderId="0" xfId="0" applyFill="1"/>
    <xf numFmtId="0" fontId="0" fillId="11" borderId="0" xfId="0" applyFill="1"/>
    <xf numFmtId="0" fontId="8" fillId="0" borderId="0" xfId="0" applyFont="1" applyAlignment="1">
      <alignment horizontal="left"/>
    </xf>
    <xf numFmtId="0" fontId="6" fillId="8" borderId="0" xfId="0" applyFont="1" applyFill="1" applyAlignment="1">
      <alignment horizontal="left"/>
    </xf>
    <xf numFmtId="0" fontId="6" fillId="0" borderId="0" xfId="0" applyFont="1" applyAlignment="1">
      <alignment horizontal="left" wrapText="1"/>
    </xf>
    <xf numFmtId="0" fontId="6" fillId="0" borderId="0" xfId="0" applyFont="1" applyAlignment="1">
      <alignment horizontal="left"/>
    </xf>
    <xf numFmtId="0" fontId="26" fillId="11" borderId="0" xfId="0" applyFont="1" applyFill="1"/>
    <xf numFmtId="0" fontId="6" fillId="8" borderId="0" xfId="0" applyFont="1" applyFill="1" applyAlignment="1">
      <alignment horizontal="left" wrapText="1"/>
    </xf>
    <xf numFmtId="0" fontId="6" fillId="8" borderId="0" xfId="0" applyFont="1" applyFill="1"/>
    <xf numFmtId="0" fontId="4" fillId="4" borderId="0" xfId="0" applyFont="1" applyFill="1" applyAlignment="1">
      <alignment horizontal="left" wrapText="1"/>
    </xf>
    <xf numFmtId="0" fontId="6" fillId="0" borderId="0" xfId="0" applyFont="1" applyAlignment="1">
      <alignment horizontal="center" wrapText="1"/>
    </xf>
    <xf numFmtId="0" fontId="4" fillId="20" borderId="0" xfId="0" applyFont="1" applyFill="1" applyAlignment="1">
      <alignment horizontal="left" wrapText="1"/>
    </xf>
    <xf numFmtId="0" fontId="8" fillId="0" borderId="0" xfId="3" applyFont="1"/>
    <xf numFmtId="9" fontId="8" fillId="0" borderId="0" xfId="1" applyFont="1" applyFill="1" applyBorder="1"/>
    <xf numFmtId="1" fontId="0" fillId="5" borderId="0" xfId="0" applyNumberFormat="1" applyFill="1"/>
    <xf numFmtId="0" fontId="0" fillId="27" borderId="0" xfId="0" applyFill="1"/>
    <xf numFmtId="0" fontId="26" fillId="27" borderId="0" xfId="0" applyFont="1" applyFill="1"/>
    <xf numFmtId="0" fontId="6" fillId="8" borderId="0" xfId="0" applyFont="1" applyFill="1" applyAlignment="1">
      <alignment horizontal="center" wrapText="1"/>
    </xf>
    <xf numFmtId="0" fontId="6" fillId="0" borderId="0" xfId="0" applyFont="1" applyAlignment="1">
      <alignment vertical="center" wrapText="1"/>
    </xf>
    <xf numFmtId="0" fontId="6" fillId="31" borderId="0" xfId="0" applyFont="1" applyFill="1" applyAlignment="1">
      <alignment wrapText="1"/>
    </xf>
    <xf numFmtId="9" fontId="0" fillId="27" borderId="0" xfId="1" applyFont="1" applyFill="1"/>
    <xf numFmtId="0" fontId="0" fillId="5" borderId="0" xfId="0" applyFill="1" applyAlignment="1">
      <alignment horizontal="center"/>
    </xf>
    <xf numFmtId="9" fontId="0" fillId="8" borderId="0" xfId="1" applyFont="1" applyFill="1"/>
    <xf numFmtId="168" fontId="0" fillId="0" borderId="0" xfId="0" applyNumberFormat="1"/>
    <xf numFmtId="16" fontId="29" fillId="30" borderId="87" xfId="0" applyNumberFormat="1" applyFont="1" applyFill="1" applyBorder="1" applyAlignment="1">
      <alignment horizontal="center" vertical="center"/>
    </xf>
    <xf numFmtId="0" fontId="8" fillId="0" borderId="0" xfId="0" applyFont="1" applyAlignment="1">
      <alignment vertical="center"/>
    </xf>
    <xf numFmtId="0" fontId="4" fillId="11" borderId="0" xfId="0" applyFont="1" applyFill="1" applyAlignment="1">
      <alignment horizontal="center" wrapText="1"/>
    </xf>
    <xf numFmtId="0" fontId="16" fillId="0" borderId="0" xfId="0" applyFont="1" applyAlignment="1">
      <alignment horizontal="left" wrapText="1"/>
    </xf>
    <xf numFmtId="0" fontId="4" fillId="11" borderId="0" xfId="0" applyFont="1" applyFill="1" applyAlignment="1">
      <alignment vertical="center" wrapText="1"/>
    </xf>
    <xf numFmtId="0" fontId="0" fillId="32" borderId="0" xfId="0" applyFill="1"/>
    <xf numFmtId="0" fontId="16" fillId="29" borderId="0" xfId="0" applyFont="1" applyFill="1" applyAlignment="1">
      <alignment horizontal="left" wrapText="1"/>
    </xf>
    <xf numFmtId="0" fontId="6" fillId="8" borderId="0" xfId="0" applyFont="1" applyFill="1" applyAlignment="1">
      <alignment wrapText="1"/>
    </xf>
    <xf numFmtId="0" fontId="6" fillId="27" borderId="0" xfId="0" applyFont="1" applyFill="1" applyAlignment="1">
      <alignment vertical="center" wrapText="1"/>
    </xf>
    <xf numFmtId="0" fontId="6" fillId="20" borderId="0" xfId="0" applyFont="1" applyFill="1" applyAlignment="1">
      <alignment wrapText="1"/>
    </xf>
    <xf numFmtId="9" fontId="8" fillId="28" borderId="0" xfId="3" applyNumberFormat="1" applyFont="1" applyFill="1"/>
    <xf numFmtId="0" fontId="0" fillId="4" borderId="0" xfId="0" applyFill="1"/>
    <xf numFmtId="9" fontId="0" fillId="5" borderId="0" xfId="1" applyFont="1" applyFill="1"/>
    <xf numFmtId="0" fontId="30" fillId="0" borderId="0" xfId="0" applyFont="1" applyAlignment="1">
      <alignment horizontal="left" wrapText="1"/>
    </xf>
    <xf numFmtId="0" fontId="6" fillId="10" borderId="0" xfId="0" applyFont="1" applyFill="1" applyAlignment="1">
      <alignment vertical="center" wrapText="1"/>
    </xf>
    <xf numFmtId="0" fontId="4" fillId="11" borderId="0" xfId="0" applyFont="1" applyFill="1" applyAlignment="1">
      <alignment wrapText="1"/>
    </xf>
    <xf numFmtId="0" fontId="16" fillId="7" borderId="0" xfId="0" applyFont="1" applyFill="1" applyAlignment="1">
      <alignment horizontal="left" wrapText="1"/>
    </xf>
    <xf numFmtId="0" fontId="4" fillId="27" borderId="0" xfId="0" applyFont="1" applyFill="1" applyAlignment="1">
      <alignment horizontal="left" wrapText="1"/>
    </xf>
    <xf numFmtId="0" fontId="6" fillId="20" borderId="0" xfId="0" applyFont="1" applyFill="1" applyAlignment="1">
      <alignment horizontal="left" wrapText="1"/>
    </xf>
    <xf numFmtId="0" fontId="6" fillId="33" borderId="0" xfId="0" applyFont="1" applyFill="1" applyAlignment="1">
      <alignment wrapText="1"/>
    </xf>
    <xf numFmtId="0" fontId="6" fillId="0" borderId="0" xfId="0" applyFont="1" applyAlignment="1">
      <alignment vertical="center"/>
    </xf>
    <xf numFmtId="0" fontId="6" fillId="8" borderId="0" xfId="0" applyFont="1" applyFill="1" applyAlignment="1">
      <alignment vertical="center" wrapText="1"/>
    </xf>
    <xf numFmtId="16" fontId="0" fillId="0" borderId="0" xfId="0" applyNumberFormat="1"/>
    <xf numFmtId="0" fontId="4" fillId="34" borderId="0" xfId="0" applyFont="1" applyFill="1" applyAlignment="1">
      <alignment horizontal="left" vertical="center"/>
    </xf>
    <xf numFmtId="0" fontId="4" fillId="34" borderId="0" xfId="0" applyFont="1" applyFill="1" applyAlignment="1">
      <alignment horizontal="center" vertical="center"/>
    </xf>
    <xf numFmtId="0" fontId="4" fillId="34" borderId="0" xfId="0" applyFont="1" applyFill="1" applyAlignment="1">
      <alignment horizontal="center" vertical="center" wrapText="1"/>
    </xf>
    <xf numFmtId="0" fontId="6" fillId="9" borderId="13" xfId="0" applyFont="1" applyFill="1" applyBorder="1"/>
    <xf numFmtId="2" fontId="0" fillId="9" borderId="0" xfId="0" applyNumberFormat="1" applyFill="1"/>
    <xf numFmtId="2" fontId="0" fillId="9" borderId="18" xfId="0" applyNumberFormat="1" applyFill="1" applyBorder="1"/>
    <xf numFmtId="0" fontId="6" fillId="9" borderId="46" xfId="0" applyFont="1" applyFill="1" applyBorder="1"/>
    <xf numFmtId="2" fontId="0" fillId="9" borderId="47" xfId="0" applyNumberFormat="1" applyFill="1" applyBorder="1"/>
    <xf numFmtId="2" fontId="0" fillId="9" borderId="28" xfId="0" applyNumberFormat="1" applyFill="1" applyBorder="1"/>
    <xf numFmtId="0" fontId="4" fillId="34" borderId="0" xfId="0" applyFont="1" applyFill="1" applyAlignment="1">
      <alignment vertical="center"/>
    </xf>
    <xf numFmtId="0" fontId="4" fillId="34" borderId="0" xfId="0" applyFont="1" applyFill="1" applyAlignment="1">
      <alignment vertical="center" wrapText="1"/>
    </xf>
    <xf numFmtId="169" fontId="0" fillId="9" borderId="0" xfId="0" applyNumberFormat="1" applyFill="1"/>
    <xf numFmtId="169" fontId="0" fillId="9" borderId="18" xfId="0" applyNumberFormat="1" applyFill="1" applyBorder="1"/>
    <xf numFmtId="170" fontId="0" fillId="9" borderId="0" xfId="0" applyNumberFormat="1" applyFill="1"/>
    <xf numFmtId="169" fontId="0" fillId="9" borderId="47" xfId="0" applyNumberFormat="1" applyFill="1" applyBorder="1"/>
    <xf numFmtId="169" fontId="0" fillId="9" borderId="28" xfId="0" applyNumberFormat="1" applyFill="1" applyBorder="1"/>
    <xf numFmtId="170" fontId="0" fillId="9" borderId="47" xfId="0" applyNumberFormat="1" applyFill="1" applyBorder="1"/>
    <xf numFmtId="170" fontId="0" fillId="9" borderId="18" xfId="0" applyNumberFormat="1" applyFill="1" applyBorder="1"/>
    <xf numFmtId="168" fontId="0" fillId="9" borderId="0" xfId="0" applyNumberFormat="1" applyFill="1"/>
    <xf numFmtId="168" fontId="0" fillId="9" borderId="47" xfId="0" applyNumberFormat="1" applyFill="1" applyBorder="1"/>
    <xf numFmtId="170" fontId="0" fillId="9" borderId="28" xfId="0" applyNumberFormat="1" applyFill="1" applyBorder="1"/>
    <xf numFmtId="0" fontId="32" fillId="34" borderId="0" xfId="0" applyFont="1" applyFill="1" applyAlignment="1">
      <alignment horizontal="center" vertical="center"/>
    </xf>
    <xf numFmtId="0" fontId="32" fillId="34" borderId="0" xfId="0" applyFont="1" applyFill="1" applyAlignment="1">
      <alignment horizontal="center" vertical="center" wrapText="1"/>
    </xf>
    <xf numFmtId="0" fontId="6" fillId="0" borderId="37" xfId="0" applyFont="1" applyBorder="1"/>
    <xf numFmtId="2" fontId="0" fillId="0" borderId="15" xfId="0" applyNumberFormat="1" applyBorder="1"/>
    <xf numFmtId="2" fontId="0" fillId="0" borderId="20" xfId="0" applyNumberFormat="1" applyBorder="1"/>
    <xf numFmtId="0" fontId="6" fillId="0" borderId="13" xfId="0" applyFont="1" applyBorder="1"/>
    <xf numFmtId="2" fontId="0" fillId="0" borderId="18" xfId="0" applyNumberFormat="1" applyBorder="1"/>
    <xf numFmtId="0" fontId="0" fillId="0" borderId="88" xfId="0" applyBorder="1"/>
    <xf numFmtId="0" fontId="0" fillId="0" borderId="0" xfId="0" applyAlignment="1">
      <alignment vertical="center" wrapText="1"/>
    </xf>
    <xf numFmtId="10" fontId="0" fillId="0" borderId="0" xfId="0" applyNumberFormat="1"/>
    <xf numFmtId="0" fontId="0" fillId="0" borderId="89" xfId="0" applyBorder="1"/>
    <xf numFmtId="0" fontId="0" fillId="0" borderId="0" xfId="0" applyAlignment="1">
      <alignment wrapText="1"/>
    </xf>
    <xf numFmtId="0" fontId="0" fillId="0" borderId="0" xfId="0" applyAlignment="1">
      <alignment horizontal="center" wrapText="1"/>
    </xf>
    <xf numFmtId="0" fontId="6" fillId="0" borderId="38" xfId="0" applyFont="1" applyBorder="1" applyAlignment="1">
      <alignment horizontal="center" vertical="center" wrapText="1"/>
    </xf>
    <xf numFmtId="0" fontId="0" fillId="0" borderId="74" xfId="0" applyBorder="1"/>
    <xf numFmtId="0" fontId="0" fillId="0" borderId="90" xfId="0" applyBorder="1"/>
    <xf numFmtId="0" fontId="6" fillId="0" borderId="6" xfId="0" applyFont="1" applyBorder="1" applyAlignment="1">
      <alignment horizontal="center" vertical="center" wrapText="1"/>
    </xf>
    <xf numFmtId="0" fontId="33" fillId="0" borderId="37" xfId="0" applyFont="1" applyBorder="1" applyAlignment="1">
      <alignment horizontal="center" vertical="center" wrapText="1"/>
    </xf>
    <xf numFmtId="0" fontId="6" fillId="0" borderId="6" xfId="0" applyFont="1" applyBorder="1" applyAlignment="1">
      <alignment horizontal="center"/>
    </xf>
    <xf numFmtId="2" fontId="0" fillId="0" borderId="6" xfId="0" applyNumberFormat="1" applyBorder="1" applyAlignment="1">
      <alignment horizontal="center"/>
    </xf>
    <xf numFmtId="169" fontId="0" fillId="0" borderId="6" xfId="0" applyNumberFormat="1" applyBorder="1" applyAlignment="1">
      <alignment horizontal="center"/>
    </xf>
    <xf numFmtId="0" fontId="6" fillId="0" borderId="38" xfId="0" applyFont="1" applyBorder="1" applyAlignment="1">
      <alignment horizontal="center"/>
    </xf>
    <xf numFmtId="2" fontId="6" fillId="0" borderId="53" xfId="0" applyNumberFormat="1" applyFont="1" applyBorder="1" applyAlignment="1">
      <alignment horizontal="center"/>
    </xf>
    <xf numFmtId="0" fontId="0" fillId="0" borderId="37" xfId="0" applyBorder="1" applyAlignment="1">
      <alignment horizontal="center"/>
    </xf>
    <xf numFmtId="0" fontId="0" fillId="0" borderId="15" xfId="0" applyBorder="1" applyAlignment="1">
      <alignment horizontal="center"/>
    </xf>
    <xf numFmtId="0" fontId="8" fillId="0" borderId="17" xfId="0" applyFont="1" applyBorder="1" applyAlignment="1">
      <alignment horizontal="center"/>
    </xf>
    <xf numFmtId="10" fontId="8" fillId="0" borderId="47" xfId="0" applyNumberFormat="1" applyFont="1" applyBorder="1" applyAlignment="1">
      <alignment horizontal="center"/>
    </xf>
    <xf numFmtId="0" fontId="0" fillId="0" borderId="13" xfId="0" applyBorder="1"/>
    <xf numFmtId="9" fontId="6" fillId="0" borderId="0" xfId="1" applyFont="1" applyBorder="1"/>
    <xf numFmtId="0" fontId="0" fillId="0" borderId="13" xfId="0" applyBorder="1" applyAlignment="1">
      <alignment horizontal="center"/>
    </xf>
    <xf numFmtId="0" fontId="0" fillId="0" borderId="46" xfId="0" applyBorder="1" applyAlignment="1">
      <alignment horizontal="center"/>
    </xf>
    <xf numFmtId="0" fontId="0" fillId="0" borderId="47" xfId="0" applyBorder="1" applyAlignment="1">
      <alignment horizontal="left"/>
    </xf>
    <xf numFmtId="0" fontId="0" fillId="0" borderId="47" xfId="0" applyBorder="1" applyAlignment="1">
      <alignment horizontal="center"/>
    </xf>
    <xf numFmtId="0" fontId="0" fillId="0" borderId="47" xfId="0" applyBorder="1"/>
    <xf numFmtId="0" fontId="6" fillId="0" borderId="20" xfId="0" applyFont="1" applyBorder="1" applyAlignment="1">
      <alignment horizontal="center"/>
    </xf>
    <xf numFmtId="0" fontId="0" fillId="0" borderId="38" xfId="0" applyBorder="1" applyAlignment="1">
      <alignment horizontal="center"/>
    </xf>
    <xf numFmtId="0" fontId="6" fillId="0" borderId="20" xfId="0" applyFont="1" applyBorder="1" applyAlignment="1">
      <alignment horizontal="center" vertical="center" wrapText="1"/>
    </xf>
    <xf numFmtId="2" fontId="6" fillId="8" borderId="53" xfId="0" applyNumberFormat="1" applyFont="1" applyFill="1" applyBorder="1" applyAlignment="1">
      <alignment horizontal="center"/>
    </xf>
    <xf numFmtId="0" fontId="0" fillId="0" borderId="38" xfId="0" applyBorder="1"/>
    <xf numFmtId="0" fontId="6" fillId="0" borderId="6" xfId="0" applyFont="1" applyBorder="1" applyAlignment="1">
      <alignment horizontal="center" wrapText="1"/>
    </xf>
    <xf numFmtId="164" fontId="0" fillId="0" borderId="6" xfId="0" applyNumberFormat="1" applyBorder="1" applyAlignment="1">
      <alignment horizontal="center"/>
    </xf>
    <xf numFmtId="2" fontId="0" fillId="0" borderId="53" xfId="0" applyNumberFormat="1" applyBorder="1" applyAlignment="1">
      <alignment horizontal="center"/>
    </xf>
    <xf numFmtId="164" fontId="6" fillId="0" borderId="53" xfId="0" applyNumberFormat="1" applyFont="1" applyBorder="1" applyAlignment="1">
      <alignment horizontal="center"/>
    </xf>
    <xf numFmtId="0" fontId="0" fillId="0" borderId="6" xfId="0" applyBorder="1" applyAlignment="1">
      <alignment horizontal="center"/>
    </xf>
    <xf numFmtId="0" fontId="0" fillId="0" borderId="17" xfId="0" applyBorder="1" applyAlignment="1">
      <alignment horizontal="center"/>
    </xf>
    <xf numFmtId="0" fontId="0" fillId="0" borderId="28" xfId="0" applyBorder="1"/>
    <xf numFmtId="0" fontId="34" fillId="0" borderId="0" xfId="0" applyFont="1"/>
    <xf numFmtId="0" fontId="0" fillId="0" borderId="0" xfId="0" quotePrefix="1"/>
    <xf numFmtId="0" fontId="0" fillId="0" borderId="0" xfId="0" quotePrefix="1" applyAlignment="1">
      <alignment horizontal="left"/>
    </xf>
    <xf numFmtId="0" fontId="0" fillId="0" borderId="47" xfId="0" quotePrefix="1" applyBorder="1" applyAlignment="1">
      <alignment horizontal="left"/>
    </xf>
    <xf numFmtId="1" fontId="6" fillId="0" borderId="5" xfId="0" applyNumberFormat="1" applyFont="1" applyBorder="1" applyAlignment="1">
      <alignment horizontal="center" vertical="center"/>
    </xf>
    <xf numFmtId="1" fontId="7" fillId="0" borderId="0" xfId="3" applyNumberFormat="1" applyAlignment="1">
      <alignment horizontal="center" vertical="center"/>
    </xf>
    <xf numFmtId="9" fontId="8" fillId="13" borderId="0" xfId="1" applyFont="1" applyFill="1" applyBorder="1"/>
    <xf numFmtId="0" fontId="0" fillId="35" borderId="0" xfId="0" applyFill="1"/>
    <xf numFmtId="0" fontId="6" fillId="6" borderId="0" xfId="0" applyFont="1" applyFill="1" applyAlignment="1">
      <alignment horizontal="center"/>
    </xf>
    <xf numFmtId="0" fontId="6" fillId="36" borderId="5" xfId="0" applyFont="1" applyFill="1" applyBorder="1" applyAlignment="1">
      <alignment horizontal="center" vertical="center"/>
    </xf>
    <xf numFmtId="16" fontId="6" fillId="36" borderId="6" xfId="0" applyNumberFormat="1" applyFont="1" applyFill="1" applyBorder="1" applyAlignment="1">
      <alignment horizontal="center" vertical="center"/>
    </xf>
    <xf numFmtId="20" fontId="6" fillId="36" borderId="13" xfId="0" applyNumberFormat="1" applyFont="1" applyFill="1" applyBorder="1" applyAlignment="1">
      <alignment horizontal="center"/>
    </xf>
    <xf numFmtId="20" fontId="0" fillId="36" borderId="7" xfId="0" applyNumberFormat="1" applyFill="1" applyBorder="1" applyAlignment="1">
      <alignment horizontal="center" vertical="center"/>
    </xf>
    <xf numFmtId="0" fontId="7" fillId="36" borderId="4" xfId="3" applyFill="1" applyBorder="1" applyAlignment="1">
      <alignment horizontal="center" vertical="center"/>
    </xf>
    <xf numFmtId="0" fontId="7" fillId="36" borderId="0" xfId="3" applyFill="1" applyAlignment="1">
      <alignment horizontal="center" vertical="center"/>
    </xf>
    <xf numFmtId="0" fontId="7" fillId="36" borderId="18" xfId="3" applyFill="1" applyBorder="1" applyAlignment="1">
      <alignment horizontal="center" vertical="center"/>
    </xf>
    <xf numFmtId="0" fontId="7" fillId="36" borderId="35" xfId="3" applyFill="1" applyBorder="1" applyAlignment="1">
      <alignment horizontal="center"/>
    </xf>
    <xf numFmtId="0" fontId="7" fillId="36" borderId="0" xfId="3" applyFill="1" applyAlignment="1">
      <alignment horizontal="center"/>
    </xf>
    <xf numFmtId="0" fontId="6" fillId="36" borderId="4" xfId="3" applyFont="1" applyFill="1" applyBorder="1" applyAlignment="1">
      <alignment horizontal="center"/>
    </xf>
    <xf numFmtId="166" fontId="0" fillId="36" borderId="22" xfId="0" applyNumberFormat="1" applyFill="1" applyBorder="1" applyAlignment="1">
      <alignment horizontal="center" vertical="center"/>
    </xf>
    <xf numFmtId="0" fontId="0" fillId="36" borderId="0" xfId="0" applyFill="1"/>
    <xf numFmtId="0" fontId="0" fillId="36" borderId="0" xfId="0" applyFill="1" applyAlignment="1">
      <alignment horizontal="center"/>
    </xf>
    <xf numFmtId="0" fontId="0" fillId="0" borderId="15" xfId="0" applyBorder="1"/>
    <xf numFmtId="20" fontId="6" fillId="0" borderId="6" xfId="0" applyNumberFormat="1" applyFont="1" applyBorder="1" applyAlignment="1">
      <alignment vertical="center"/>
    </xf>
    <xf numFmtId="0" fontId="7" fillId="5" borderId="0" xfId="0" applyFont="1" applyFill="1"/>
    <xf numFmtId="0" fontId="6" fillId="36" borderId="13" xfId="0" applyFont="1" applyFill="1" applyBorder="1" applyAlignment="1">
      <alignment horizontal="center"/>
    </xf>
    <xf numFmtId="166" fontId="0" fillId="36" borderId="22" xfId="0" applyNumberFormat="1" applyFill="1" applyBorder="1" applyAlignment="1">
      <alignment vertical="center"/>
    </xf>
    <xf numFmtId="20" fontId="0" fillId="36" borderId="0" xfId="0" applyNumberFormat="1" applyFill="1" applyAlignment="1">
      <alignment horizontal="center"/>
    </xf>
    <xf numFmtId="2" fontId="0" fillId="36" borderId="0" xfId="0" applyNumberFormat="1" applyFill="1" applyAlignment="1">
      <alignment horizontal="center"/>
    </xf>
    <xf numFmtId="0" fontId="7" fillId="36" borderId="4" xfId="3" applyFill="1" applyBorder="1" applyAlignment="1">
      <alignment horizontal="center"/>
    </xf>
    <xf numFmtId="0" fontId="7" fillId="36" borderId="18" xfId="3" applyFill="1" applyBorder="1" applyAlignment="1">
      <alignment horizontal="center"/>
    </xf>
    <xf numFmtId="0" fontId="7" fillId="36" borderId="13" xfId="3" applyFill="1" applyBorder="1" applyAlignment="1">
      <alignment horizontal="center" vertical="center"/>
    </xf>
    <xf numFmtId="0" fontId="6" fillId="37" borderId="0" xfId="0" applyFont="1" applyFill="1" applyAlignment="1">
      <alignment horizontal="left" wrapText="1"/>
    </xf>
    <xf numFmtId="16" fontId="6" fillId="36" borderId="6" xfId="0" applyNumberFormat="1" applyFont="1" applyFill="1" applyBorder="1" applyAlignment="1">
      <alignment vertical="center"/>
    </xf>
    <xf numFmtId="20" fontId="0" fillId="36" borderId="6" xfId="0" applyNumberFormat="1" applyFill="1" applyBorder="1" applyAlignment="1">
      <alignment vertical="center"/>
    </xf>
    <xf numFmtId="20" fontId="0" fillId="36" borderId="13" xfId="0" applyNumberFormat="1" applyFill="1" applyBorder="1" applyAlignment="1">
      <alignment horizontal="center" vertical="center"/>
    </xf>
    <xf numFmtId="166" fontId="8" fillId="0" borderId="6" xfId="0" applyNumberFormat="1" applyFont="1" applyBorder="1" applyAlignment="1">
      <alignment vertical="center"/>
    </xf>
    <xf numFmtId="20" fontId="14" fillId="0" borderId="6" xfId="0" applyNumberFormat="1" applyFont="1" applyBorder="1" applyAlignment="1">
      <alignment vertical="center"/>
    </xf>
    <xf numFmtId="20" fontId="15" fillId="8" borderId="13" xfId="0" applyNumberFormat="1" applyFont="1" applyFill="1" applyBorder="1" applyAlignment="1">
      <alignment horizontal="center" vertical="center"/>
    </xf>
    <xf numFmtId="166" fontId="7" fillId="0" borderId="22" xfId="0" applyNumberFormat="1" applyFont="1" applyBorder="1" applyAlignment="1">
      <alignment horizontal="center" vertical="center"/>
    </xf>
    <xf numFmtId="0" fontId="6" fillId="32" borderId="0" xfId="0" applyFont="1" applyFill="1" applyAlignment="1">
      <alignment horizontal="left" wrapText="1"/>
    </xf>
    <xf numFmtId="0" fontId="7" fillId="36" borderId="21" xfId="3" applyFill="1" applyBorder="1" applyAlignment="1">
      <alignment horizontal="center" vertical="center"/>
    </xf>
    <xf numFmtId="0" fontId="8" fillId="18" borderId="0" xfId="3" applyFont="1" applyFill="1"/>
    <xf numFmtId="9" fontId="0" fillId="18" borderId="0" xfId="1" applyFont="1" applyFill="1"/>
    <xf numFmtId="9" fontId="8" fillId="18" borderId="83" xfId="1" applyFont="1" applyFill="1" applyBorder="1"/>
    <xf numFmtId="9" fontId="0" fillId="18" borderId="0" xfId="1" applyFont="1" applyFill="1" applyBorder="1"/>
    <xf numFmtId="9" fontId="8" fillId="18" borderId="0" xfId="1" applyFont="1" applyFill="1" applyBorder="1"/>
    <xf numFmtId="0" fontId="7" fillId="18" borderId="0" xfId="3" applyFill="1"/>
    <xf numFmtId="20" fontId="14" fillId="0" borderId="2" xfId="0" applyNumberFormat="1" applyFont="1" applyBorder="1" applyAlignment="1">
      <alignment horizontal="center" vertical="center"/>
    </xf>
    <xf numFmtId="20" fontId="15" fillId="8" borderId="0" xfId="0" applyNumberFormat="1" applyFont="1" applyFill="1" applyAlignment="1">
      <alignment horizontal="center"/>
    </xf>
    <xf numFmtId="16" fontId="14" fillId="36" borderId="5" xfId="0" applyNumberFormat="1" applyFont="1" applyFill="1" applyBorder="1" applyAlignment="1">
      <alignment horizontal="center" vertical="center"/>
    </xf>
    <xf numFmtId="0" fontId="14" fillId="36" borderId="13" xfId="0" applyFont="1" applyFill="1" applyBorder="1" applyAlignment="1">
      <alignment horizontal="center"/>
    </xf>
    <xf numFmtId="20" fontId="15" fillId="36" borderId="6" xfId="0" applyNumberFormat="1" applyFont="1" applyFill="1" applyBorder="1" applyAlignment="1">
      <alignment horizontal="center" vertical="center"/>
    </xf>
    <xf numFmtId="20" fontId="14" fillId="36" borderId="13" xfId="0" applyNumberFormat="1" applyFont="1" applyFill="1" applyBorder="1" applyAlignment="1">
      <alignment horizontal="center" vertical="center"/>
    </xf>
    <xf numFmtId="20" fontId="15" fillId="36" borderId="13" xfId="0" applyNumberFormat="1" applyFont="1" applyFill="1" applyBorder="1" applyAlignment="1">
      <alignment horizontal="center" vertical="center"/>
    </xf>
    <xf numFmtId="0" fontId="15" fillId="36" borderId="4" xfId="3" applyFont="1" applyFill="1" applyBorder="1" applyAlignment="1">
      <alignment horizontal="center"/>
    </xf>
    <xf numFmtId="0" fontId="15" fillId="36" borderId="0" xfId="3" applyFont="1" applyFill="1" applyAlignment="1">
      <alignment horizontal="center" vertical="center"/>
    </xf>
    <xf numFmtId="0" fontId="15" fillId="36" borderId="18" xfId="3" applyFont="1" applyFill="1" applyBorder="1" applyAlignment="1">
      <alignment horizontal="center"/>
    </xf>
    <xf numFmtId="0" fontId="15" fillId="36" borderId="0" xfId="3" applyFont="1" applyFill="1" applyAlignment="1">
      <alignment horizontal="center"/>
    </xf>
    <xf numFmtId="0" fontId="15" fillId="36" borderId="13" xfId="3" applyFont="1" applyFill="1" applyBorder="1" applyAlignment="1">
      <alignment horizontal="center" vertical="center"/>
    </xf>
    <xf numFmtId="0" fontId="15" fillId="36" borderId="35" xfId="3" applyFont="1" applyFill="1" applyBorder="1" applyAlignment="1">
      <alignment horizontal="center"/>
    </xf>
    <xf numFmtId="0" fontId="14" fillId="36" borderId="4" xfId="3" applyFont="1" applyFill="1" applyBorder="1" applyAlignment="1">
      <alignment horizontal="center"/>
    </xf>
    <xf numFmtId="166" fontId="15" fillId="36" borderId="22" xfId="0" applyNumberFormat="1" applyFont="1" applyFill="1" applyBorder="1" applyAlignment="1">
      <alignment horizontal="center" vertical="center"/>
    </xf>
    <xf numFmtId="0" fontId="15" fillId="36" borderId="0" xfId="0" applyFont="1" applyFill="1"/>
    <xf numFmtId="16" fontId="14" fillId="38" borderId="5" xfId="0" applyNumberFormat="1" applyFont="1" applyFill="1" applyBorder="1" applyAlignment="1">
      <alignment horizontal="center" vertical="center"/>
    </xf>
    <xf numFmtId="0" fontId="14" fillId="38" borderId="13" xfId="0" applyFont="1" applyFill="1" applyBorder="1" applyAlignment="1">
      <alignment horizontal="center"/>
    </xf>
    <xf numFmtId="20" fontId="14" fillId="38" borderId="13" xfId="0" applyNumberFormat="1" applyFont="1" applyFill="1" applyBorder="1" applyAlignment="1">
      <alignment horizontal="center" vertical="center"/>
    </xf>
    <xf numFmtId="20" fontId="15" fillId="38" borderId="13" xfId="0" applyNumberFormat="1" applyFont="1" applyFill="1" applyBorder="1" applyAlignment="1">
      <alignment horizontal="center" vertical="center"/>
    </xf>
    <xf numFmtId="0" fontId="15" fillId="38" borderId="4" xfId="3" applyFont="1" applyFill="1" applyBorder="1" applyAlignment="1">
      <alignment horizontal="center" vertical="center"/>
    </xf>
    <xf numFmtId="0" fontId="15" fillId="38" borderId="0" xfId="3" applyFont="1" applyFill="1" applyAlignment="1">
      <alignment horizontal="center" vertical="center"/>
    </xf>
    <xf numFmtId="0" fontId="15" fillId="38" borderId="18" xfId="3" applyFont="1" applyFill="1" applyBorder="1" applyAlignment="1">
      <alignment horizontal="center" vertical="center"/>
    </xf>
    <xf numFmtId="0" fontId="15" fillId="38" borderId="35" xfId="3" applyFont="1" applyFill="1" applyBorder="1" applyAlignment="1">
      <alignment horizontal="center"/>
    </xf>
    <xf numFmtId="0" fontId="15" fillId="38" borderId="0" xfId="3" applyFont="1" applyFill="1" applyAlignment="1">
      <alignment horizontal="center"/>
    </xf>
    <xf numFmtId="0" fontId="14" fillId="38" borderId="4" xfId="3" applyFont="1" applyFill="1" applyBorder="1" applyAlignment="1">
      <alignment horizontal="center"/>
    </xf>
    <xf numFmtId="0" fontId="15" fillId="38" borderId="0" xfId="0" applyFont="1" applyFill="1"/>
    <xf numFmtId="0" fontId="0" fillId="38" borderId="0" xfId="0" applyFill="1"/>
    <xf numFmtId="0" fontId="0" fillId="38" borderId="0" xfId="0" applyFill="1" applyAlignment="1">
      <alignment horizontal="center"/>
    </xf>
    <xf numFmtId="20" fontId="0" fillId="38" borderId="0" xfId="0" applyNumberFormat="1" applyFill="1" applyAlignment="1">
      <alignment horizontal="center"/>
    </xf>
    <xf numFmtId="2" fontId="0" fillId="38" borderId="0" xfId="0" applyNumberFormat="1" applyFill="1" applyAlignment="1">
      <alignment horizontal="center"/>
    </xf>
    <xf numFmtId="20" fontId="15" fillId="38" borderId="6" xfId="0" applyNumberFormat="1" applyFont="1" applyFill="1" applyBorder="1" applyAlignment="1">
      <alignment horizontal="center" vertical="center"/>
    </xf>
    <xf numFmtId="166" fontId="15" fillId="38" borderId="22" xfId="0" applyNumberFormat="1" applyFont="1" applyFill="1" applyBorder="1" applyAlignment="1">
      <alignment horizontal="center" vertical="center"/>
    </xf>
    <xf numFmtId="0" fontId="14" fillId="0" borderId="92" xfId="0" applyFont="1" applyBorder="1" applyAlignment="1">
      <alignment horizontal="center" vertical="center"/>
    </xf>
    <xf numFmtId="16" fontId="6" fillId="0" borderId="5" xfId="0" applyNumberFormat="1" applyFont="1" applyBorder="1" applyAlignment="1">
      <alignment horizontal="center" vertical="center"/>
    </xf>
    <xf numFmtId="0" fontId="6" fillId="39" borderId="0" xfId="0" applyFont="1" applyFill="1" applyAlignment="1">
      <alignment vertical="center" wrapText="1"/>
    </xf>
    <xf numFmtId="0" fontId="6" fillId="4" borderId="0" xfId="0" applyFont="1" applyFill="1" applyAlignment="1">
      <alignment horizontal="left" wrapText="1"/>
    </xf>
    <xf numFmtId="0" fontId="4" fillId="37" borderId="0" xfId="0" applyFont="1" applyFill="1" applyAlignment="1">
      <alignment horizontal="left" wrapText="1"/>
    </xf>
    <xf numFmtId="0" fontId="6" fillId="38" borderId="5" xfId="0" applyFont="1" applyFill="1" applyBorder="1" applyAlignment="1">
      <alignment horizontal="center" vertical="center"/>
    </xf>
    <xf numFmtId="16" fontId="6" fillId="38" borderId="5" xfId="0" applyNumberFormat="1" applyFont="1" applyFill="1" applyBorder="1" applyAlignment="1">
      <alignment horizontal="center" vertical="center"/>
    </xf>
    <xf numFmtId="20" fontId="0" fillId="38" borderId="6" xfId="0" applyNumberFormat="1" applyFill="1" applyBorder="1" applyAlignment="1">
      <alignment vertical="center"/>
    </xf>
    <xf numFmtId="20" fontId="6" fillId="38" borderId="13" xfId="0" applyNumberFormat="1" applyFont="1" applyFill="1" applyBorder="1" applyAlignment="1">
      <alignment horizontal="center"/>
    </xf>
    <xf numFmtId="20" fontId="0" fillId="38" borderId="13" xfId="0" applyNumberFormat="1" applyFill="1" applyBorder="1" applyAlignment="1">
      <alignment horizontal="center" vertical="center"/>
    </xf>
    <xf numFmtId="0" fontId="7" fillId="38" borderId="4" xfId="3" applyFill="1" applyBorder="1" applyAlignment="1">
      <alignment horizontal="center" vertical="center"/>
    </xf>
    <xf numFmtId="0" fontId="7" fillId="38" borderId="0" xfId="3" applyFill="1" applyAlignment="1">
      <alignment horizontal="center" vertical="center"/>
    </xf>
    <xf numFmtId="0" fontId="7" fillId="38" borderId="18" xfId="3" applyFill="1" applyBorder="1" applyAlignment="1">
      <alignment horizontal="center" vertical="center"/>
    </xf>
    <xf numFmtId="0" fontId="7" fillId="38" borderId="35" xfId="3" applyFill="1" applyBorder="1" applyAlignment="1">
      <alignment horizontal="center"/>
    </xf>
    <xf numFmtId="0" fontId="7" fillId="38" borderId="0" xfId="3" applyFill="1" applyAlignment="1">
      <alignment horizontal="center"/>
    </xf>
    <xf numFmtId="0" fontId="6" fillId="38" borderId="4" xfId="3" applyFont="1" applyFill="1" applyBorder="1" applyAlignment="1">
      <alignment horizontal="center"/>
    </xf>
    <xf numFmtId="166" fontId="0" fillId="38" borderId="22" xfId="0" applyNumberFormat="1" applyFill="1" applyBorder="1" applyAlignment="1">
      <alignment vertical="center"/>
    </xf>
    <xf numFmtId="16" fontId="0" fillId="38" borderId="0" xfId="0" applyNumberFormat="1" applyFill="1" applyAlignment="1">
      <alignment horizontal="center"/>
    </xf>
    <xf numFmtId="0" fontId="0" fillId="38" borderId="0" xfId="0" applyFill="1" applyAlignment="1">
      <alignment horizontal="center" vertical="center"/>
    </xf>
    <xf numFmtId="166" fontId="0" fillId="38" borderId="22" xfId="0" applyNumberFormat="1" applyFill="1" applyBorder="1" applyAlignment="1">
      <alignment horizontal="center"/>
    </xf>
    <xf numFmtId="0" fontId="0" fillId="38" borderId="32" xfId="0" applyFill="1" applyBorder="1" applyAlignment="1">
      <alignment horizontal="center" vertical="center"/>
    </xf>
    <xf numFmtId="0" fontId="6" fillId="38" borderId="21" xfId="0" applyFont="1" applyFill="1" applyBorder="1" applyAlignment="1">
      <alignment horizontal="center"/>
    </xf>
    <xf numFmtId="166" fontId="0" fillId="38" borderId="0" xfId="0" applyNumberFormat="1" applyFill="1" applyAlignment="1">
      <alignment horizontal="center"/>
    </xf>
    <xf numFmtId="166" fontId="6" fillId="38" borderId="21" xfId="0" applyNumberFormat="1" applyFont="1" applyFill="1" applyBorder="1" applyAlignment="1">
      <alignment vertical="center"/>
    </xf>
    <xf numFmtId="0" fontId="6" fillId="40" borderId="0" xfId="0" applyFont="1" applyFill="1" applyAlignment="1">
      <alignment vertical="center" wrapText="1"/>
    </xf>
    <xf numFmtId="16" fontId="6" fillId="36" borderId="5" xfId="0" applyNumberFormat="1" applyFont="1" applyFill="1" applyBorder="1" applyAlignment="1">
      <alignment horizontal="center" vertical="center"/>
    </xf>
    <xf numFmtId="0" fontId="6" fillId="9" borderId="5" xfId="0" applyFont="1" applyFill="1" applyBorder="1" applyAlignment="1">
      <alignment horizontal="center" vertical="center"/>
    </xf>
    <xf numFmtId="0" fontId="6" fillId="36" borderId="93" xfId="0" applyFont="1" applyFill="1" applyBorder="1" applyAlignment="1">
      <alignment horizontal="center" vertical="center"/>
    </xf>
    <xf numFmtId="0" fontId="4" fillId="41" borderId="0" xfId="0" applyFont="1" applyFill="1" applyAlignment="1">
      <alignment vertical="center" wrapText="1"/>
    </xf>
    <xf numFmtId="0" fontId="7" fillId="42" borderId="0" xfId="3" applyFill="1" applyAlignment="1">
      <alignment horizontal="center" vertical="center"/>
    </xf>
    <xf numFmtId="20" fontId="6" fillId="0" borderId="7" xfId="0" applyNumberFormat="1" applyFont="1" applyBorder="1" applyAlignment="1">
      <alignment horizontal="center" vertical="center"/>
    </xf>
    <xf numFmtId="1" fontId="9" fillId="0" borderId="0" xfId="0" applyNumberFormat="1" applyFont="1"/>
    <xf numFmtId="20" fontId="0" fillId="0" borderId="35" xfId="0" applyNumberFormat="1" applyBorder="1" applyAlignment="1">
      <alignment horizontal="center"/>
    </xf>
    <xf numFmtId="1" fontId="6" fillId="0" borderId="65" xfId="0" applyNumberFormat="1" applyFont="1" applyBorder="1"/>
    <xf numFmtId="1" fontId="0" fillId="21" borderId="0" xfId="0" applyNumberFormat="1" applyFill="1"/>
    <xf numFmtId="166" fontId="9" fillId="0" borderId="22" xfId="0" applyNumberFormat="1" applyFont="1" applyBorder="1" applyAlignment="1">
      <alignment horizontal="center" vertical="center"/>
    </xf>
    <xf numFmtId="20" fontId="0" fillId="8" borderId="35" xfId="0" applyNumberFormat="1" applyFill="1" applyBorder="1" applyAlignment="1">
      <alignment horizontal="center"/>
    </xf>
    <xf numFmtId="20" fontId="0" fillId="0" borderId="6" xfId="0" applyNumberFormat="1" applyBorder="1" applyAlignment="1">
      <alignment horizontal="center" vertical="center" wrapText="1"/>
    </xf>
    <xf numFmtId="0" fontId="7" fillId="0" borderId="0" xfId="0" applyFont="1" applyAlignment="1">
      <alignment horizontal="center"/>
    </xf>
    <xf numFmtId="20" fontId="7" fillId="0" borderId="13" xfId="0" applyNumberFormat="1" applyFont="1" applyBorder="1" applyAlignment="1">
      <alignment horizontal="center"/>
    </xf>
    <xf numFmtId="0" fontId="6" fillId="37" borderId="0" xfId="0" applyFont="1" applyFill="1" applyAlignment="1">
      <alignment wrapText="1"/>
    </xf>
    <xf numFmtId="0" fontId="6" fillId="0" borderId="1" xfId="0" applyFont="1" applyBorder="1" applyAlignment="1">
      <alignment horizontal="center" vertical="center"/>
    </xf>
    <xf numFmtId="16" fontId="6" fillId="0" borderId="2" xfId="0" applyNumberFormat="1" applyFont="1" applyBorder="1" applyAlignment="1">
      <alignment horizontal="center" vertical="center"/>
    </xf>
    <xf numFmtId="20" fontId="14" fillId="0" borderId="16" xfId="0" applyNumberFormat="1" applyFont="1" applyBorder="1" applyAlignment="1">
      <alignment vertical="center"/>
    </xf>
    <xf numFmtId="20" fontId="6" fillId="0" borderId="2" xfId="0" applyNumberFormat="1" applyFont="1" applyBorder="1" applyAlignment="1">
      <alignment vertical="center"/>
    </xf>
    <xf numFmtId="20" fontId="7" fillId="0" borderId="13" xfId="0" applyNumberFormat="1" applyFont="1" applyBorder="1" applyAlignment="1">
      <alignment horizontal="center" vertical="center"/>
    </xf>
    <xf numFmtId="166" fontId="7" fillId="0" borderId="54" xfId="0" applyNumberFormat="1" applyFont="1" applyBorder="1" applyAlignment="1">
      <alignment vertical="center"/>
    </xf>
    <xf numFmtId="166" fontId="7" fillId="0" borderId="91" xfId="0" applyNumberFormat="1" applyFont="1" applyBorder="1" applyAlignment="1">
      <alignment vertical="center"/>
    </xf>
    <xf numFmtId="166" fontId="7" fillId="0" borderId="22" xfId="0" applyNumberFormat="1" applyFont="1" applyBorder="1" applyAlignment="1">
      <alignment vertical="center"/>
    </xf>
    <xf numFmtId="166" fontId="7" fillId="0" borderId="50" xfId="0" applyNumberFormat="1" applyFont="1" applyBorder="1" applyAlignment="1">
      <alignment vertical="center"/>
    </xf>
    <xf numFmtId="16" fontId="6" fillId="0" borderId="8" xfId="0" applyNumberFormat="1" applyFont="1" applyBorder="1" applyAlignment="1">
      <alignment horizontal="center" vertical="center"/>
    </xf>
    <xf numFmtId="20" fontId="0" fillId="8" borderId="2" xfId="0" applyNumberFormat="1" applyFill="1" applyBorder="1" applyAlignment="1">
      <alignment horizontal="center" vertical="center"/>
    </xf>
    <xf numFmtId="1" fontId="6" fillId="8" borderId="5" xfId="0" applyNumberFormat="1" applyFont="1" applyFill="1" applyBorder="1" applyAlignment="1">
      <alignment horizontal="center" vertical="center"/>
    </xf>
    <xf numFmtId="16" fontId="6" fillId="8" borderId="6" xfId="0" applyNumberFormat="1" applyFont="1" applyFill="1" applyBorder="1" applyAlignment="1">
      <alignment vertical="center"/>
    </xf>
    <xf numFmtId="0" fontId="6" fillId="8" borderId="13" xfId="0" applyFont="1" applyFill="1" applyBorder="1" applyAlignment="1">
      <alignment horizontal="center"/>
    </xf>
    <xf numFmtId="0" fontId="7" fillId="8" borderId="4" xfId="3" applyFill="1" applyBorder="1" applyAlignment="1">
      <alignment horizontal="center"/>
    </xf>
    <xf numFmtId="0" fontId="7" fillId="8" borderId="18" xfId="3" applyFill="1" applyBorder="1" applyAlignment="1">
      <alignment horizontal="center"/>
    </xf>
    <xf numFmtId="0" fontId="7" fillId="8" borderId="0" xfId="3" applyFill="1" applyAlignment="1">
      <alignment horizontal="center"/>
    </xf>
    <xf numFmtId="0" fontId="7" fillId="8" borderId="35" xfId="3" applyFill="1" applyBorder="1" applyAlignment="1">
      <alignment horizontal="center"/>
    </xf>
    <xf numFmtId="0" fontId="6" fillId="8" borderId="4" xfId="3" applyFont="1" applyFill="1" applyBorder="1" applyAlignment="1">
      <alignment horizontal="center"/>
    </xf>
    <xf numFmtId="2" fontId="0" fillId="8" borderId="0" xfId="0" applyNumberFormat="1" applyFill="1" applyAlignment="1">
      <alignment horizontal="center"/>
    </xf>
    <xf numFmtId="20" fontId="6" fillId="0" borderId="6" xfId="0" applyNumberFormat="1" applyFont="1" applyBorder="1" applyAlignment="1">
      <alignment horizontal="center"/>
    </xf>
    <xf numFmtId="0" fontId="7" fillId="35" borderId="0" xfId="3" applyFill="1" applyAlignment="1">
      <alignment horizontal="center"/>
    </xf>
    <xf numFmtId="16" fontId="0" fillId="36" borderId="0" xfId="0" applyNumberFormat="1" applyFill="1" applyAlignment="1">
      <alignment horizontal="center"/>
    </xf>
    <xf numFmtId="0" fontId="0" fillId="36" borderId="0" xfId="0" applyFill="1" applyAlignment="1">
      <alignment horizontal="center" vertical="center"/>
    </xf>
    <xf numFmtId="166" fontId="0" fillId="36" borderId="22" xfId="0" applyNumberFormat="1" applyFill="1" applyBorder="1" applyAlignment="1">
      <alignment horizontal="center"/>
    </xf>
    <xf numFmtId="166" fontId="0" fillId="36" borderId="0" xfId="0" applyNumberFormat="1" applyFill="1" applyAlignment="1">
      <alignment horizontal="center"/>
    </xf>
    <xf numFmtId="20" fontId="0" fillId="36" borderId="13" xfId="0" applyNumberFormat="1" applyFill="1" applyBorder="1" applyAlignment="1">
      <alignment horizontal="center"/>
    </xf>
    <xf numFmtId="166" fontId="0" fillId="0" borderId="19" xfId="0" applyNumberFormat="1" applyBorder="1" applyAlignment="1">
      <alignment horizontal="center" vertical="center"/>
    </xf>
    <xf numFmtId="0" fontId="4" fillId="28" borderId="0" xfId="0" applyFont="1" applyFill="1" applyAlignment="1">
      <alignment wrapText="1"/>
    </xf>
    <xf numFmtId="16" fontId="6" fillId="9" borderId="0" xfId="0" applyNumberFormat="1" applyFont="1" applyFill="1" applyAlignment="1">
      <alignment vertical="center"/>
    </xf>
    <xf numFmtId="9" fontId="0" fillId="9" borderId="0" xfId="1" applyFont="1" applyFill="1"/>
    <xf numFmtId="46" fontId="7" fillId="0" borderId="0" xfId="3" applyNumberFormat="1" applyAlignment="1">
      <alignment horizontal="center"/>
    </xf>
    <xf numFmtId="0" fontId="6" fillId="8" borderId="5" xfId="0" applyFont="1" applyFill="1" applyBorder="1" applyAlignment="1">
      <alignment horizontal="center" vertical="center"/>
    </xf>
    <xf numFmtId="20" fontId="0" fillId="8" borderId="6" xfId="0" applyNumberFormat="1" applyFill="1" applyBorder="1" applyAlignment="1">
      <alignment vertical="center"/>
    </xf>
    <xf numFmtId="0" fontId="7" fillId="8" borderId="4" xfId="3" applyFill="1" applyBorder="1" applyAlignment="1">
      <alignment horizontal="center" vertical="center"/>
    </xf>
    <xf numFmtId="0" fontId="7" fillId="8" borderId="18" xfId="3" applyFill="1" applyBorder="1" applyAlignment="1">
      <alignment horizontal="center" vertical="center"/>
    </xf>
    <xf numFmtId="166" fontId="0" fillId="8" borderId="22" xfId="0" applyNumberFormat="1" applyFill="1" applyBorder="1" applyAlignment="1">
      <alignment vertical="center"/>
    </xf>
    <xf numFmtId="20" fontId="7" fillId="0" borderId="6" xfId="0" applyNumberFormat="1" applyFont="1" applyBorder="1" applyAlignment="1">
      <alignment horizontal="center" vertical="center"/>
    </xf>
    <xf numFmtId="0" fontId="24" fillId="23" borderId="0" xfId="0" applyFont="1" applyFill="1" applyAlignment="1">
      <alignment horizontal="center"/>
    </xf>
    <xf numFmtId="0" fontId="6" fillId="0" borderId="15" xfId="0" applyFont="1" applyBorder="1" applyAlignment="1">
      <alignment horizontal="center"/>
    </xf>
    <xf numFmtId="0" fontId="6" fillId="0" borderId="20" xfId="0" applyFont="1" applyBorder="1" applyAlignment="1">
      <alignment horizontal="center"/>
    </xf>
    <xf numFmtId="0" fontId="6" fillId="0" borderId="38" xfId="0" applyFont="1" applyBorder="1" applyAlignment="1">
      <alignment horizontal="center" vertical="center" wrapText="1"/>
    </xf>
    <xf numFmtId="0" fontId="6" fillId="0" borderId="6" xfId="0" applyFont="1" applyBorder="1" applyAlignment="1">
      <alignment horizontal="center" vertical="center" wrapText="1"/>
    </xf>
    <xf numFmtId="0" fontId="3" fillId="34" borderId="0" xfId="0" applyFont="1" applyFill="1" applyAlignment="1">
      <alignment horizontal="center"/>
    </xf>
    <xf numFmtId="0" fontId="31" fillId="34" borderId="0" xfId="0" applyFont="1" applyFill="1" applyAlignment="1">
      <alignment horizontal="center" vertical="center"/>
    </xf>
    <xf numFmtId="0" fontId="8" fillId="0" borderId="0" xfId="0" applyFont="1" applyAlignment="1">
      <alignment horizontal="center"/>
    </xf>
    <xf numFmtId="16" fontId="6" fillId="4" borderId="44" xfId="0" applyNumberFormat="1" applyFont="1" applyFill="1" applyBorder="1" applyAlignment="1">
      <alignment horizontal="center" vertical="center"/>
    </xf>
    <xf numFmtId="16" fontId="6" fillId="4" borderId="52" xfId="0" applyNumberFormat="1" applyFont="1" applyFill="1" applyBorder="1" applyAlignment="1">
      <alignment horizontal="center" vertical="center"/>
    </xf>
    <xf numFmtId="0" fontId="26" fillId="11" borderId="0" xfId="0" applyFont="1" applyFill="1" applyAlignment="1">
      <alignment horizontal="center"/>
    </xf>
    <xf numFmtId="0" fontId="26" fillId="11" borderId="0" xfId="0" applyFont="1" applyFill="1" applyAlignment="1">
      <alignment horizontal="left"/>
    </xf>
    <xf numFmtId="0" fontId="0" fillId="0" borderId="0" xfId="0"/>
    <xf numFmtId="0" fontId="8" fillId="18" borderId="44" xfId="3" applyFont="1" applyFill="1" applyBorder="1" applyAlignment="1">
      <alignment horizontal="center" wrapText="1"/>
    </xf>
    <xf numFmtId="0" fontId="8" fillId="18" borderId="52" xfId="3" applyFont="1" applyFill="1" applyBorder="1" applyAlignment="1">
      <alignment horizontal="center" wrapText="1"/>
    </xf>
    <xf numFmtId="16" fontId="6" fillId="4" borderId="44" xfId="0" applyNumberFormat="1" applyFont="1" applyFill="1" applyBorder="1" applyAlignment="1">
      <alignment horizontal="center" vertical="center" wrapText="1"/>
    </xf>
    <xf numFmtId="16" fontId="6" fillId="4" borderId="52" xfId="0" applyNumberFormat="1" applyFont="1" applyFill="1" applyBorder="1" applyAlignment="1">
      <alignment horizontal="center" vertical="center" wrapText="1"/>
    </xf>
    <xf numFmtId="0" fontId="8" fillId="28" borderId="44" xfId="3" applyFont="1" applyFill="1" applyBorder="1" applyAlignment="1">
      <alignment horizontal="center" wrapText="1"/>
    </xf>
    <xf numFmtId="0" fontId="8" fillId="28" borderId="52" xfId="3" applyFont="1" applyFill="1" applyBorder="1" applyAlignment="1">
      <alignment horizontal="center" wrapText="1"/>
    </xf>
    <xf numFmtId="0" fontId="8" fillId="0" borderId="75" xfId="4" applyFont="1" applyBorder="1" applyAlignment="1">
      <alignment horizontal="center" vertical="center"/>
    </xf>
    <xf numFmtId="0" fontId="8" fillId="0" borderId="80" xfId="4" applyFont="1" applyBorder="1" applyAlignment="1">
      <alignment horizontal="center" vertical="center"/>
    </xf>
    <xf numFmtId="0" fontId="8" fillId="0" borderId="81" xfId="4" applyFont="1" applyBorder="1" applyAlignment="1">
      <alignment horizontal="center" vertical="center"/>
    </xf>
    <xf numFmtId="0" fontId="8" fillId="0" borderId="76" xfId="4" applyFont="1" applyBorder="1" applyAlignment="1">
      <alignment horizontal="center" vertical="center"/>
    </xf>
    <xf numFmtId="0" fontId="8" fillId="0" borderId="0" xfId="4" applyFont="1" applyAlignment="1">
      <alignment horizontal="center" vertical="center"/>
    </xf>
    <xf numFmtId="0" fontId="8" fillId="0" borderId="82" xfId="4" applyFont="1" applyBorder="1" applyAlignment="1">
      <alignment horizontal="center" vertical="center"/>
    </xf>
    <xf numFmtId="0" fontId="8" fillId="0" borderId="78" xfId="4" applyFont="1" applyBorder="1" applyAlignment="1">
      <alignment horizontal="center" vertical="center"/>
    </xf>
    <xf numFmtId="0" fontId="8" fillId="0" borderId="83" xfId="4" applyFont="1" applyBorder="1" applyAlignment="1">
      <alignment horizontal="center" vertical="center"/>
    </xf>
    <xf numFmtId="0" fontId="8" fillId="0" borderId="84" xfId="4" applyFont="1" applyBorder="1" applyAlignment="1">
      <alignment horizontal="center" vertical="center"/>
    </xf>
    <xf numFmtId="0" fontId="8" fillId="0" borderId="79" xfId="4" applyFont="1" applyBorder="1" applyAlignment="1">
      <alignment horizontal="center" vertical="center"/>
    </xf>
    <xf numFmtId="0" fontId="8" fillId="0" borderId="85" xfId="4" applyFont="1" applyBorder="1" applyAlignment="1">
      <alignment horizontal="center" vertical="center"/>
    </xf>
    <xf numFmtId="0" fontId="8" fillId="0" borderId="86" xfId="4" applyFont="1" applyBorder="1" applyAlignment="1">
      <alignment horizontal="center" vertical="center"/>
    </xf>
    <xf numFmtId="166" fontId="6" fillId="4" borderId="21" xfId="0" applyNumberFormat="1" applyFont="1" applyFill="1" applyBorder="1" applyAlignment="1">
      <alignment horizontal="center" vertical="center"/>
    </xf>
    <xf numFmtId="166" fontId="15" fillId="0" borderId="22" xfId="0" applyNumberFormat="1" applyFont="1" applyBorder="1" applyAlignment="1">
      <alignment horizontal="center" vertical="center"/>
    </xf>
    <xf numFmtId="0" fontId="1" fillId="0" borderId="0" xfId="0" applyFont="1" applyAlignment="1">
      <alignment horizontal="center" vertical="center"/>
    </xf>
    <xf numFmtId="0" fontId="5" fillId="3" borderId="4" xfId="0" applyFont="1" applyFill="1" applyBorder="1" applyAlignment="1">
      <alignment horizontal="center"/>
    </xf>
    <xf numFmtId="0" fontId="5" fillId="3" borderId="0" xfId="0" applyFont="1" applyFill="1" applyAlignment="1">
      <alignment horizontal="center"/>
    </xf>
    <xf numFmtId="0" fontId="5" fillId="3" borderId="19" xfId="0" applyFont="1" applyFill="1" applyBorder="1" applyAlignment="1">
      <alignment horizontal="center"/>
    </xf>
    <xf numFmtId="0" fontId="4" fillId="11" borderId="6" xfId="0" applyFont="1" applyFill="1" applyBorder="1" applyAlignment="1">
      <alignment horizontal="center" vertical="center" wrapText="1"/>
    </xf>
    <xf numFmtId="0" fontId="4" fillId="11" borderId="10"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6" fillId="6" borderId="12" xfId="0" applyFont="1" applyFill="1" applyBorder="1" applyAlignment="1">
      <alignment horizontal="center" vertical="center" wrapText="1"/>
    </xf>
    <xf numFmtId="0" fontId="11" fillId="0" borderId="0" xfId="0" applyFont="1" applyAlignment="1">
      <alignment horizontal="center"/>
    </xf>
    <xf numFmtId="0" fontId="6" fillId="6" borderId="0" xfId="0" applyFont="1" applyFill="1" applyAlignment="1">
      <alignment horizontal="center" vertical="center"/>
    </xf>
    <xf numFmtId="0" fontId="6" fillId="4" borderId="0" xfId="0" applyFont="1" applyFill="1" applyAlignment="1">
      <alignment horizontal="center" vertical="center"/>
    </xf>
    <xf numFmtId="20" fontId="0" fillId="0" borderId="6" xfId="0" applyNumberFormat="1" applyBorder="1" applyAlignment="1">
      <alignment horizontal="center" vertical="center"/>
    </xf>
    <xf numFmtId="0" fontId="3" fillId="3" borderId="1" xfId="0" applyFont="1" applyFill="1" applyBorder="1" applyAlignment="1">
      <alignment horizontal="center" vertical="center"/>
    </xf>
    <xf numFmtId="0" fontId="3" fillId="3" borderId="5"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6" xfId="0" applyFont="1" applyFill="1" applyBorder="1" applyAlignment="1">
      <alignment horizontal="center" vertical="center"/>
    </xf>
    <xf numFmtId="0" fontId="3" fillId="3" borderId="10" xfId="0" applyFont="1" applyFill="1" applyBorder="1" applyAlignment="1">
      <alignment horizontal="center" vertical="center"/>
    </xf>
    <xf numFmtId="0" fontId="4" fillId="3" borderId="2"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10" xfId="0" applyFont="1" applyFill="1" applyBorder="1" applyAlignment="1">
      <alignment horizontal="center" vertical="center" wrapText="1"/>
    </xf>
    <xf numFmtId="20" fontId="0" fillId="0" borderId="2" xfId="0" applyNumberFormat="1" applyBorder="1" applyAlignment="1">
      <alignment horizontal="center" vertical="center"/>
    </xf>
    <xf numFmtId="0" fontId="4" fillId="3" borderId="3" xfId="0" applyFont="1" applyFill="1" applyBorder="1" applyAlignment="1">
      <alignment horizontal="center" vertical="center" wrapText="1"/>
    </xf>
    <xf numFmtId="0" fontId="4" fillId="3" borderId="7"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4" fillId="3" borderId="22" xfId="0" applyFont="1" applyFill="1" applyBorder="1" applyAlignment="1">
      <alignment horizontal="center" vertical="center" wrapText="1"/>
    </xf>
    <xf numFmtId="0" fontId="4" fillId="3" borderId="26" xfId="0" applyFont="1" applyFill="1" applyBorder="1" applyAlignment="1">
      <alignment horizontal="center" vertical="center" wrapText="1"/>
    </xf>
    <xf numFmtId="0" fontId="4" fillId="3" borderId="23" xfId="0" applyFont="1" applyFill="1" applyBorder="1" applyAlignment="1">
      <alignment horizontal="center" vertical="center" wrapText="1"/>
    </xf>
    <xf numFmtId="0" fontId="4" fillId="3" borderId="24" xfId="0" applyFont="1" applyFill="1" applyBorder="1" applyAlignment="1">
      <alignment horizontal="center" vertical="center" wrapText="1"/>
    </xf>
    <xf numFmtId="0" fontId="8" fillId="22" borderId="15" xfId="0" applyFont="1" applyFill="1" applyBorder="1" applyAlignment="1">
      <alignment horizontal="left"/>
    </xf>
    <xf numFmtId="0" fontId="24" fillId="22" borderId="59" xfId="0" applyFont="1" applyFill="1" applyBorder="1" applyAlignment="1">
      <alignment horizontal="left" vertical="center" wrapText="1"/>
    </xf>
    <xf numFmtId="0" fontId="24" fillId="22" borderId="60" xfId="0" applyFont="1" applyFill="1" applyBorder="1" applyAlignment="1">
      <alignment horizontal="left" vertical="center" wrapText="1"/>
    </xf>
    <xf numFmtId="0" fontId="24" fillId="22" borderId="61" xfId="0" applyFont="1" applyFill="1" applyBorder="1" applyAlignment="1">
      <alignment horizontal="left" vertical="center" wrapText="1"/>
    </xf>
    <xf numFmtId="0" fontId="24" fillId="20" borderId="0" xfId="0" applyFont="1" applyFill="1" applyAlignment="1">
      <alignment horizontal="center" vertical="center"/>
    </xf>
    <xf numFmtId="0" fontId="6" fillId="0" borderId="83" xfId="0" applyFont="1" applyBorder="1" applyAlignment="1">
      <alignment horizontal="center"/>
    </xf>
    <xf numFmtId="0" fontId="6" fillId="0" borderId="94" xfId="0" applyFont="1" applyBorder="1" applyAlignment="1">
      <alignment horizontal="center"/>
    </xf>
    <xf numFmtId="0" fontId="14" fillId="0" borderId="0" xfId="0" applyFont="1" applyAlignment="1">
      <alignment horizontal="center" vertical="center"/>
    </xf>
    <xf numFmtId="0" fontId="21" fillId="3" borderId="4" xfId="0" applyFont="1" applyFill="1" applyBorder="1" applyAlignment="1">
      <alignment horizontal="center"/>
    </xf>
    <xf numFmtId="0" fontId="21" fillId="3" borderId="0" xfId="0" applyFont="1" applyFill="1" applyAlignment="1">
      <alignment horizontal="center"/>
    </xf>
    <xf numFmtId="20" fontId="15" fillId="0" borderId="6" xfId="0" applyNumberFormat="1" applyFont="1" applyBorder="1" applyAlignment="1">
      <alignment horizontal="center" vertical="center"/>
    </xf>
    <xf numFmtId="0" fontId="21" fillId="3" borderId="6" xfId="0" applyFont="1" applyFill="1" applyBorder="1" applyAlignment="1">
      <alignment horizontal="center" vertical="center" wrapText="1"/>
    </xf>
    <xf numFmtId="0" fontId="21" fillId="3" borderId="10" xfId="0" applyFont="1" applyFill="1" applyBorder="1" applyAlignment="1">
      <alignment horizontal="center" vertical="center" wrapText="1"/>
    </xf>
    <xf numFmtId="0" fontId="14" fillId="4" borderId="6" xfId="0" applyFont="1" applyFill="1" applyBorder="1" applyAlignment="1">
      <alignment horizontal="center" vertical="center" wrapText="1"/>
    </xf>
    <xf numFmtId="0" fontId="14" fillId="4" borderId="10" xfId="0" applyFont="1" applyFill="1" applyBorder="1" applyAlignment="1">
      <alignment horizontal="center" vertical="center" wrapText="1"/>
    </xf>
    <xf numFmtId="0" fontId="14" fillId="4" borderId="16" xfId="0" applyFont="1" applyFill="1" applyBorder="1" applyAlignment="1">
      <alignment horizontal="center" vertical="center" wrapText="1"/>
    </xf>
    <xf numFmtId="0" fontId="21" fillId="3" borderId="2" xfId="0" applyFont="1" applyFill="1" applyBorder="1" applyAlignment="1">
      <alignment horizontal="center" vertical="center" wrapText="1"/>
    </xf>
    <xf numFmtId="0" fontId="21" fillId="3" borderId="3" xfId="0" applyFont="1" applyFill="1" applyBorder="1" applyAlignment="1">
      <alignment horizontal="center" vertical="center" wrapText="1"/>
    </xf>
    <xf numFmtId="0" fontId="21" fillId="3" borderId="7" xfId="0" applyFont="1" applyFill="1" applyBorder="1" applyAlignment="1">
      <alignment horizontal="center" vertical="center" wrapText="1"/>
    </xf>
    <xf numFmtId="0" fontId="21" fillId="3" borderId="11"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4" fillId="4" borderId="12" xfId="0" applyFont="1" applyFill="1" applyBorder="1" applyAlignment="1">
      <alignment horizontal="center" vertical="center" wrapText="1"/>
    </xf>
    <xf numFmtId="166" fontId="14" fillId="4" borderId="21" xfId="0" applyNumberFormat="1" applyFont="1" applyFill="1" applyBorder="1" applyAlignment="1">
      <alignment horizontal="center" vertical="center"/>
    </xf>
    <xf numFmtId="0" fontId="14" fillId="6" borderId="0" xfId="0" applyFont="1" applyFill="1" applyAlignment="1">
      <alignment horizontal="center" vertical="center"/>
    </xf>
    <xf numFmtId="0" fontId="22" fillId="0" borderId="0" xfId="0" applyFont="1" applyAlignment="1">
      <alignment horizontal="center"/>
    </xf>
    <xf numFmtId="0" fontId="14" fillId="4" borderId="7" xfId="0" applyFont="1" applyFill="1" applyBorder="1" applyAlignment="1">
      <alignment horizontal="center" vertical="center" wrapText="1"/>
    </xf>
    <xf numFmtId="0" fontId="14" fillId="4" borderId="11" xfId="0" applyFont="1" applyFill="1" applyBorder="1" applyAlignment="1">
      <alignment horizontal="center" vertical="center" wrapText="1"/>
    </xf>
    <xf numFmtId="0" fontId="14" fillId="4" borderId="0" xfId="0" applyFont="1" applyFill="1" applyAlignment="1">
      <alignment horizontal="center" wrapText="1"/>
    </xf>
    <xf numFmtId="0" fontId="14" fillId="4" borderId="51" xfId="0" applyFont="1" applyFill="1" applyBorder="1" applyAlignment="1">
      <alignment horizontal="center" wrapText="1"/>
    </xf>
    <xf numFmtId="0" fontId="14" fillId="4" borderId="21" xfId="0" applyFont="1" applyFill="1" applyBorder="1" applyAlignment="1">
      <alignment horizontal="center" vertical="center" wrapText="1"/>
    </xf>
    <xf numFmtId="0" fontId="14" fillId="4" borderId="25" xfId="0" applyFont="1" applyFill="1" applyBorder="1" applyAlignment="1">
      <alignment horizontal="center" vertical="center" wrapText="1"/>
    </xf>
    <xf numFmtId="0" fontId="21" fillId="3" borderId="22" xfId="0" applyFont="1" applyFill="1" applyBorder="1" applyAlignment="1">
      <alignment horizontal="center" vertical="center" wrapText="1"/>
    </xf>
    <xf numFmtId="0" fontId="21" fillId="3" borderId="26" xfId="0" applyFont="1" applyFill="1" applyBorder="1" applyAlignment="1">
      <alignment horizontal="center" vertical="center" wrapText="1"/>
    </xf>
    <xf numFmtId="0" fontId="21" fillId="3" borderId="23" xfId="0" applyFont="1" applyFill="1" applyBorder="1" applyAlignment="1">
      <alignment horizontal="center" vertical="center" wrapText="1"/>
    </xf>
    <xf numFmtId="0" fontId="21" fillId="3" borderId="24" xfId="0" applyFont="1" applyFill="1" applyBorder="1" applyAlignment="1">
      <alignment horizontal="center" vertical="center" wrapText="1"/>
    </xf>
    <xf numFmtId="0" fontId="21" fillId="3" borderId="27" xfId="0" applyFont="1" applyFill="1" applyBorder="1" applyAlignment="1">
      <alignment horizontal="center" vertical="center" wrapText="1"/>
    </xf>
    <xf numFmtId="0" fontId="21" fillId="3" borderId="1" xfId="0" applyFont="1" applyFill="1" applyBorder="1" applyAlignment="1">
      <alignment horizontal="center" vertical="center"/>
    </xf>
    <xf numFmtId="0" fontId="21" fillId="3" borderId="5"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6" xfId="0" applyFont="1" applyFill="1" applyBorder="1" applyAlignment="1">
      <alignment horizontal="center" vertical="center"/>
    </xf>
    <xf numFmtId="0" fontId="21" fillId="3" borderId="10" xfId="0" applyFont="1" applyFill="1" applyBorder="1" applyAlignment="1">
      <alignment horizontal="center" vertical="center"/>
    </xf>
    <xf numFmtId="0" fontId="14" fillId="4" borderId="0" xfId="0" applyFont="1" applyFill="1" applyAlignment="1">
      <alignment horizontal="center" vertical="center"/>
    </xf>
    <xf numFmtId="0" fontId="4" fillId="19" borderId="8" xfId="0" applyFont="1" applyFill="1" applyBorder="1" applyAlignment="1">
      <alignment horizontal="center" vertical="center" wrapText="1"/>
    </xf>
    <xf numFmtId="0" fontId="4" fillId="19" borderId="12" xfId="0" applyFont="1" applyFill="1" applyBorder="1" applyAlignment="1">
      <alignment horizontal="center" vertical="center" wrapText="1"/>
    </xf>
    <xf numFmtId="0" fontId="4" fillId="19" borderId="6" xfId="0" applyFont="1" applyFill="1" applyBorder="1" applyAlignment="1">
      <alignment horizontal="center" vertical="center" wrapText="1"/>
    </xf>
    <xf numFmtId="0" fontId="4" fillId="19" borderId="10" xfId="0" applyFont="1" applyFill="1" applyBorder="1" applyAlignment="1">
      <alignment horizontal="center" vertical="center" wrapText="1"/>
    </xf>
    <xf numFmtId="0" fontId="4" fillId="3" borderId="16" xfId="0" applyFont="1" applyFill="1" applyBorder="1" applyAlignment="1">
      <alignment horizontal="center" vertical="center" wrapText="1"/>
    </xf>
    <xf numFmtId="0" fontId="4" fillId="19" borderId="7" xfId="0" applyFont="1" applyFill="1" applyBorder="1" applyAlignment="1">
      <alignment horizontal="center" vertical="center" wrapText="1"/>
    </xf>
    <xf numFmtId="0" fontId="4" fillId="19" borderId="11" xfId="0" applyFont="1" applyFill="1" applyBorder="1" applyAlignment="1">
      <alignment horizontal="center" vertical="center" wrapText="1"/>
    </xf>
    <xf numFmtId="0" fontId="3" fillId="3" borderId="6" xfId="0" applyFont="1" applyFill="1" applyBorder="1" applyAlignment="1">
      <alignment horizontal="center" vertical="center" wrapText="1"/>
    </xf>
    <xf numFmtId="0" fontId="3" fillId="3" borderId="10" xfId="0" applyFont="1" applyFill="1" applyBorder="1" applyAlignment="1">
      <alignment horizontal="center" vertical="center" wrapText="1"/>
    </xf>
    <xf numFmtId="0" fontId="4" fillId="3" borderId="0" xfId="0" applyFont="1" applyFill="1" applyAlignment="1">
      <alignment horizontal="center" wrapText="1"/>
    </xf>
    <xf numFmtId="0" fontId="4" fillId="3" borderId="51" xfId="0" applyFont="1" applyFill="1" applyBorder="1" applyAlignment="1">
      <alignment horizontal="center" wrapText="1"/>
    </xf>
    <xf numFmtId="0" fontId="6" fillId="4" borderId="21" xfId="0" applyFont="1" applyFill="1" applyBorder="1" applyAlignment="1">
      <alignment horizontal="center" vertical="center" wrapText="1"/>
    </xf>
    <xf numFmtId="0" fontId="6" fillId="4" borderId="25" xfId="0" applyFont="1" applyFill="1" applyBorder="1" applyAlignment="1">
      <alignment horizontal="center" vertical="center" wrapText="1"/>
    </xf>
    <xf numFmtId="166" fontId="0" fillId="0" borderId="22" xfId="0" applyNumberFormat="1" applyBorder="1" applyAlignment="1">
      <alignment horizontal="center" vertical="center"/>
    </xf>
    <xf numFmtId="20" fontId="0" fillId="8" borderId="6" xfId="0" applyNumberFormat="1" applyFill="1" applyBorder="1" applyAlignment="1">
      <alignment horizontal="center" vertical="center"/>
    </xf>
    <xf numFmtId="0" fontId="4" fillId="4" borderId="6" xfId="0" applyFont="1" applyFill="1" applyBorder="1" applyAlignment="1">
      <alignment horizontal="center" vertical="center" wrapText="1"/>
    </xf>
    <xf numFmtId="0" fontId="4" fillId="4" borderId="10" xfId="0" applyFont="1" applyFill="1" applyBorder="1" applyAlignment="1">
      <alignment horizontal="center" vertical="center" wrapText="1"/>
    </xf>
    <xf numFmtId="0" fontId="4" fillId="4" borderId="7" xfId="0" applyFont="1" applyFill="1" applyBorder="1" applyAlignment="1">
      <alignment horizontal="center" vertical="center" wrapText="1"/>
    </xf>
    <xf numFmtId="0" fontId="4" fillId="4" borderId="11" xfId="0" applyFont="1" applyFill="1" applyBorder="1" applyAlignment="1">
      <alignment horizontal="center" vertical="center" wrapText="1"/>
    </xf>
    <xf numFmtId="0" fontId="4" fillId="4" borderId="0" xfId="0" applyFont="1" applyFill="1" applyAlignment="1">
      <alignment horizontal="center" wrapText="1"/>
    </xf>
    <xf numFmtId="0" fontId="4" fillId="4" borderId="51" xfId="0" applyFont="1" applyFill="1" applyBorder="1" applyAlignment="1">
      <alignment horizontal="center" wrapText="1"/>
    </xf>
    <xf numFmtId="0" fontId="4" fillId="4" borderId="8" xfId="0" applyFont="1" applyFill="1" applyBorder="1" applyAlignment="1">
      <alignment horizontal="center" vertical="center" wrapText="1"/>
    </xf>
    <xf numFmtId="0" fontId="4" fillId="4" borderId="12" xfId="0" applyFont="1" applyFill="1" applyBorder="1" applyAlignment="1">
      <alignment horizontal="center" vertical="center" wrapText="1"/>
    </xf>
    <xf numFmtId="0" fontId="4" fillId="3" borderId="27" xfId="0" applyFont="1" applyFill="1" applyBorder="1" applyAlignment="1">
      <alignment horizontal="center" vertical="center" wrapText="1"/>
    </xf>
    <xf numFmtId="0" fontId="4" fillId="15" borderId="6" xfId="0" applyFont="1" applyFill="1" applyBorder="1" applyAlignment="1">
      <alignment horizontal="center" vertical="center" wrapText="1"/>
    </xf>
    <xf numFmtId="0" fontId="4" fillId="15" borderId="10" xfId="0" applyFont="1" applyFill="1" applyBorder="1" applyAlignment="1">
      <alignment horizontal="center" vertical="center" wrapText="1"/>
    </xf>
    <xf numFmtId="0" fontId="4" fillId="15" borderId="7" xfId="0" applyFont="1" applyFill="1" applyBorder="1" applyAlignment="1">
      <alignment horizontal="center" vertical="center" wrapText="1"/>
    </xf>
    <xf numFmtId="0" fontId="4" fillId="15" borderId="11" xfId="0" applyFont="1" applyFill="1" applyBorder="1" applyAlignment="1">
      <alignment horizontal="center" vertical="center" wrapText="1"/>
    </xf>
    <xf numFmtId="0" fontId="4" fillId="15" borderId="0" xfId="0" applyFont="1" applyFill="1" applyAlignment="1">
      <alignment horizontal="center" vertical="center" wrapText="1"/>
    </xf>
    <xf numFmtId="0" fontId="4" fillId="15" borderId="51" xfId="0" applyFont="1" applyFill="1" applyBorder="1" applyAlignment="1">
      <alignment horizontal="center" vertical="center" wrapText="1"/>
    </xf>
    <xf numFmtId="0" fontId="4" fillId="15" borderId="16" xfId="0" applyFont="1" applyFill="1" applyBorder="1" applyAlignment="1">
      <alignment horizontal="center" vertical="center" wrapText="1"/>
    </xf>
    <xf numFmtId="0" fontId="6" fillId="15" borderId="21" xfId="0" applyFont="1" applyFill="1" applyBorder="1" applyAlignment="1">
      <alignment horizontal="center" vertical="center" wrapText="1"/>
    </xf>
    <xf numFmtId="0" fontId="6" fillId="15" borderId="25" xfId="0" applyFont="1" applyFill="1" applyBorder="1" applyAlignment="1">
      <alignment horizontal="center" vertical="center" wrapText="1"/>
    </xf>
    <xf numFmtId="0" fontId="4" fillId="15" borderId="8" xfId="0" applyFont="1" applyFill="1" applyBorder="1" applyAlignment="1">
      <alignment horizontal="center" vertical="center" wrapText="1"/>
    </xf>
    <xf numFmtId="0" fontId="4" fillId="15" borderId="12" xfId="0" applyFont="1" applyFill="1" applyBorder="1" applyAlignment="1">
      <alignment horizontal="center" vertical="center" wrapText="1"/>
    </xf>
    <xf numFmtId="166" fontId="0" fillId="0" borderId="50" xfId="0" applyNumberFormat="1" applyBorder="1" applyAlignment="1">
      <alignment horizontal="center" vertical="center"/>
    </xf>
    <xf numFmtId="0" fontId="4" fillId="3" borderId="8" xfId="0" applyFont="1" applyFill="1" applyBorder="1" applyAlignment="1">
      <alignment horizontal="center" vertical="center" wrapText="1"/>
    </xf>
    <xf numFmtId="0" fontId="4" fillId="3" borderId="12" xfId="0" applyFont="1" applyFill="1" applyBorder="1" applyAlignment="1">
      <alignment horizontal="center" vertical="center" wrapText="1"/>
    </xf>
    <xf numFmtId="20" fontId="0" fillId="0" borderId="6" xfId="0" applyNumberFormat="1" applyBorder="1" applyAlignment="1">
      <alignment horizontal="center" vertical="center" wrapText="1"/>
    </xf>
    <xf numFmtId="166" fontId="9" fillId="0" borderId="22" xfId="0" applyNumberFormat="1" applyFont="1" applyBorder="1" applyAlignment="1">
      <alignment horizontal="center" vertical="center"/>
    </xf>
    <xf numFmtId="0" fontId="4" fillId="3" borderId="0" xfId="0" applyFont="1" applyFill="1" applyAlignment="1">
      <alignment horizontal="center" vertical="center" wrapText="1"/>
    </xf>
    <xf numFmtId="0" fontId="4" fillId="3" borderId="51" xfId="0" applyFont="1" applyFill="1" applyBorder="1" applyAlignment="1">
      <alignment horizontal="center" vertical="center" wrapText="1"/>
    </xf>
    <xf numFmtId="166" fontId="7" fillId="0" borderId="22" xfId="0" applyNumberFormat="1" applyFont="1" applyBorder="1" applyAlignment="1">
      <alignment horizontal="center" vertical="center"/>
    </xf>
    <xf numFmtId="0" fontId="0" fillId="0" borderId="32" xfId="0" applyBorder="1" applyAlignment="1">
      <alignment horizontal="center"/>
    </xf>
    <xf numFmtId="166" fontId="0" fillId="0" borderId="22" xfId="0" applyNumberFormat="1" applyBorder="1" applyAlignment="1">
      <alignment horizontal="center"/>
    </xf>
    <xf numFmtId="0" fontId="6" fillId="6" borderId="21" xfId="0" applyFont="1" applyFill="1" applyBorder="1" applyAlignment="1">
      <alignment horizontal="center"/>
    </xf>
    <xf numFmtId="0" fontId="6" fillId="6" borderId="21" xfId="0" applyFont="1" applyFill="1" applyBorder="1" applyAlignment="1">
      <alignment horizontal="center" vertical="center" wrapText="1"/>
    </xf>
    <xf numFmtId="0" fontId="6" fillId="6" borderId="6" xfId="0" applyFont="1" applyFill="1" applyBorder="1" applyAlignment="1">
      <alignment horizontal="center" vertical="center" wrapText="1"/>
    </xf>
    <xf numFmtId="0" fontId="6" fillId="6" borderId="10" xfId="0" applyFont="1" applyFill="1" applyBorder="1" applyAlignment="1">
      <alignment horizontal="center" vertical="center" wrapText="1"/>
    </xf>
    <xf numFmtId="0" fontId="6" fillId="6" borderId="16" xfId="0" applyFont="1" applyFill="1" applyBorder="1" applyAlignment="1">
      <alignment horizontal="center" vertical="center" wrapText="1"/>
    </xf>
    <xf numFmtId="0" fontId="3" fillId="11" borderId="6" xfId="0" applyFont="1" applyFill="1" applyBorder="1" applyAlignment="1">
      <alignment horizontal="center" vertical="center" wrapText="1"/>
    </xf>
    <xf numFmtId="0" fontId="3" fillId="11" borderId="10" xfId="0" applyFont="1" applyFill="1" applyBorder="1" applyAlignment="1">
      <alignment horizontal="center" vertical="center" wrapText="1"/>
    </xf>
    <xf numFmtId="0" fontId="4" fillId="11" borderId="16" xfId="0" applyFont="1" applyFill="1" applyBorder="1" applyAlignment="1">
      <alignment horizontal="center" vertical="center" wrapText="1"/>
    </xf>
    <xf numFmtId="0" fontId="6" fillId="4" borderId="0" xfId="0" applyFont="1" applyFill="1" applyAlignment="1">
      <alignment horizontal="center" vertical="center" wrapText="1"/>
    </xf>
    <xf numFmtId="0" fontId="4" fillId="3" borderId="20" xfId="0" applyFont="1" applyFill="1" applyBorder="1" applyAlignment="1">
      <alignment horizontal="center" vertical="center" wrapText="1"/>
    </xf>
    <xf numFmtId="0" fontId="4" fillId="3" borderId="18" xfId="0" applyFont="1" applyFill="1" applyBorder="1" applyAlignment="1">
      <alignment horizontal="center" vertical="center" wrapText="1"/>
    </xf>
    <xf numFmtId="0" fontId="4" fillId="11" borderId="43" xfId="0" applyFont="1" applyFill="1" applyBorder="1" applyAlignment="1">
      <alignment horizontal="center" vertical="center" wrapText="1"/>
    </xf>
    <xf numFmtId="0" fontId="4" fillId="11" borderId="7" xfId="0" applyFont="1" applyFill="1" applyBorder="1" applyAlignment="1">
      <alignment horizontal="center" vertical="center" wrapText="1"/>
    </xf>
    <xf numFmtId="0" fontId="4" fillId="11" borderId="11" xfId="0" applyFont="1" applyFill="1" applyBorder="1" applyAlignment="1">
      <alignment horizontal="center" vertical="center" wrapText="1"/>
    </xf>
    <xf numFmtId="0" fontId="6" fillId="4" borderId="44" xfId="0" applyFont="1" applyFill="1" applyBorder="1" applyAlignment="1">
      <alignment horizontal="center" vertical="center" wrapText="1"/>
    </xf>
    <xf numFmtId="0" fontId="6" fillId="4" borderId="4" xfId="0" applyFont="1" applyFill="1" applyBorder="1" applyAlignment="1">
      <alignment horizontal="center" vertical="center" wrapText="1"/>
    </xf>
    <xf numFmtId="0" fontId="5" fillId="3" borderId="37" xfId="0" applyFont="1" applyFill="1" applyBorder="1" applyAlignment="1">
      <alignment horizontal="center"/>
    </xf>
    <xf numFmtId="0" fontId="5" fillId="3" borderId="15" xfId="0" applyFont="1" applyFill="1" applyBorder="1" applyAlignment="1">
      <alignment horizontal="center"/>
    </xf>
    <xf numFmtId="0" fontId="5" fillId="3" borderId="20" xfId="0" applyFont="1" applyFill="1" applyBorder="1" applyAlignment="1">
      <alignment horizontal="center"/>
    </xf>
    <xf numFmtId="0" fontId="4" fillId="3" borderId="36" xfId="0" applyFont="1" applyFill="1" applyBorder="1" applyAlignment="1">
      <alignment horizontal="center" vertical="center" wrapText="1"/>
    </xf>
    <xf numFmtId="0" fontId="4" fillId="3" borderId="13" xfId="0" applyFont="1" applyFill="1" applyBorder="1" applyAlignment="1">
      <alignment horizontal="center" vertical="center" wrapText="1"/>
    </xf>
    <xf numFmtId="0" fontId="6" fillId="4" borderId="38"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6" fillId="4" borderId="37" xfId="0" applyFont="1" applyFill="1" applyBorder="1" applyAlignment="1">
      <alignment horizontal="center" vertical="center" wrapText="1"/>
    </xf>
    <xf numFmtId="0" fontId="6" fillId="4" borderId="13" xfId="0" applyFont="1" applyFill="1" applyBorder="1" applyAlignment="1">
      <alignment horizontal="center" vertical="center" wrapText="1"/>
    </xf>
    <xf numFmtId="0" fontId="16" fillId="4" borderId="39" xfId="0" applyFont="1" applyFill="1" applyBorder="1" applyAlignment="1">
      <alignment horizontal="center" vertical="center" wrapText="1"/>
    </xf>
    <xf numFmtId="0" fontId="16" fillId="4" borderId="8" xfId="0" applyFont="1" applyFill="1" applyBorder="1" applyAlignment="1">
      <alignment horizontal="center" vertical="center" wrapText="1"/>
    </xf>
    <xf numFmtId="0" fontId="16" fillId="4" borderId="12"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4" borderId="6" xfId="0" applyFont="1" applyFill="1" applyBorder="1" applyAlignment="1">
      <alignment horizontal="center" vertical="center" wrapText="1"/>
    </xf>
    <xf numFmtId="0" fontId="16" fillId="4" borderId="10" xfId="0" applyFont="1" applyFill="1" applyBorder="1" applyAlignment="1">
      <alignment horizontal="center" vertical="center" wrapText="1"/>
    </xf>
    <xf numFmtId="0" fontId="4" fillId="3" borderId="38"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6" fillId="4" borderId="8" xfId="0" applyFont="1" applyFill="1" applyBorder="1" applyAlignment="1">
      <alignment horizontal="center" vertical="center" wrapText="1"/>
    </xf>
    <xf numFmtId="0" fontId="6" fillId="4" borderId="1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6" fillId="4" borderId="16" xfId="0" applyFont="1" applyFill="1" applyBorder="1" applyAlignment="1">
      <alignment horizontal="center" vertical="center" wrapText="1"/>
    </xf>
  </cellXfs>
  <cellStyles count="7">
    <cellStyle name="Hyperlink" xfId="2" builtinId="8"/>
    <cellStyle name="Normal" xfId="0" builtinId="0"/>
    <cellStyle name="Normal 2" xfId="3" xr:uid="{00000000-0005-0000-0000-000031000000}"/>
    <cellStyle name="Normal 2 2" xfId="4" xr:uid="{00000000-0005-0000-0000-000032000000}"/>
    <cellStyle name="Percent" xfId="1" builtinId="5"/>
    <cellStyle name="Percent 2 3" xfId="5" xr:uid="{00000000-0005-0000-0000-000033000000}"/>
    <cellStyle name="Percent 3" xfId="6" xr:uid="{00000000-0005-0000-0000-000034000000}"/>
  </cellStyles>
  <dxfs count="39">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font>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strike val="0"/>
      </font>
      <fill>
        <patternFill patternType="none"/>
      </fill>
    </dxf>
    <dxf>
      <font>
        <b/>
        <i val="0"/>
      </font>
    </dxf>
    <dxf>
      <font>
        <b/>
        <i val="0"/>
      </font>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
      <font>
        <b/>
        <i val="0"/>
      </font>
    </dxf>
    <dxf>
      <font>
        <b/>
        <i val="0"/>
        <strike val="0"/>
      </font>
      <fill>
        <patternFill patternType="none"/>
      </fill>
    </dxf>
    <dxf>
      <font>
        <b/>
        <i val="0"/>
        <strike val="0"/>
      </font>
      <fill>
        <patternFill patternType="none"/>
      </fill>
    </dxf>
  </dxfs>
  <tableStyles count="0" defaultTableStyle="TableStyleMedium9" defaultPivotStyle="PivotStyleLight16"/>
  <colors>
    <mruColors>
      <color rgb="FF5EEF53"/>
      <color rgb="FFDE0AA6"/>
      <color rgb="FFFF0000"/>
      <color rgb="FF00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xml"/><Relationship Id="rId44"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20" Type="http://schemas.openxmlformats.org/officeDocument/2006/relationships/worksheet" Target="worksheets/sheet20.xml"/><Relationship Id="rId41" Type="http://schemas.openxmlformats.org/officeDocument/2006/relationships/theme" Target="theme/theme1.xml"/></Relationships>
</file>

<file path=xl/charts/_rels/chart18.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4.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50" b="1" i="0" u="none" strike="noStrike" kern="1200" baseline="0">
                <a:solidFill>
                  <a:srgbClr val="000000"/>
                </a:solidFill>
                <a:latin typeface="Arial" panose="020B0604020202020204"/>
                <a:ea typeface="Arial" panose="020B0604020202020204"/>
                <a:cs typeface="Arial" panose="020B0604020202020204"/>
              </a:defRPr>
            </a:pPr>
            <a:r>
              <a:rPr lang="en-US"/>
              <a:t>Time loss mth and  ave. per mth ytd</a:t>
            </a:r>
          </a:p>
        </c:rich>
      </c:tx>
      <c:layout>
        <c:manualLayout>
          <c:xMode val="edge"/>
          <c:yMode val="edge"/>
          <c:x val="0.214953384348083"/>
          <c:y val="3.5842372850246898E-2"/>
        </c:manualLayout>
      </c:layout>
      <c:overlay val="0"/>
      <c:spPr>
        <a:noFill/>
        <a:ln w="25400">
          <a:noFill/>
        </a:ln>
      </c:spPr>
    </c:title>
    <c:autoTitleDeleted val="0"/>
    <c:plotArea>
      <c:layout>
        <c:manualLayout>
          <c:layoutTarget val="inner"/>
          <c:xMode val="edge"/>
          <c:yMode val="edge"/>
          <c:x val="0.17890520694258999"/>
          <c:y val="0.25448117747948001"/>
          <c:w val="0.55407209612817099"/>
          <c:h val="0.33691874201508598"/>
        </c:manualLayout>
      </c:layout>
      <c:lineChart>
        <c:grouping val="standard"/>
        <c:varyColors val="0"/>
        <c:ser>
          <c:idx val="0"/>
          <c:order val="0"/>
          <c:tx>
            <c:v>Time loss this month</c:v>
          </c:tx>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'Monthly summary loss'!$A$7:$A$18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summary loss'!$X$7:$X$18</c:f>
              <c:numCache>
                <c:formatCode>0.00</c:formatCode>
                <c:ptCount val="12"/>
                <c:pt idx="0">
                  <c:v>250.36666666666667</c:v>
                </c:pt>
                <c:pt idx="1">
                  <c:v>234.76666666666671</c:v>
                </c:pt>
                <c:pt idx="2">
                  <c:v>227.2</c:v>
                </c:pt>
                <c:pt idx="3">
                  <c:v>208.18333333333337</c:v>
                </c:pt>
                <c:pt idx="4">
                  <c:v>141.23333333333332</c:v>
                </c:pt>
                <c:pt idx="5">
                  <c:v>95.816666666666663</c:v>
                </c:pt>
                <c:pt idx="6">
                  <c:v>264.51666666666671</c:v>
                </c:pt>
                <c:pt idx="7">
                  <c:v>156.0833333333334</c:v>
                </c:pt>
                <c:pt idx="8">
                  <c:v>129.63333333333335</c:v>
                </c:pt>
                <c:pt idx="9">
                  <c:v>0.45</c:v>
                </c:pt>
                <c:pt idx="10">
                  <c:v>0</c:v>
                </c:pt>
                <c:pt idx="11">
                  <c:v>0</c:v>
                </c:pt>
              </c:numCache>
            </c:numRef>
          </c:val>
          <c:smooth val="0"/>
          <c:extLst>
            <c:ext xmlns:c16="http://schemas.microsoft.com/office/drawing/2014/chart" uri="{C3380CC4-5D6E-409C-BE32-E72D297353CC}">
              <c16:uniqueId val="{00000000-6AF5-4026-93EF-A959AB8658C4}"/>
            </c:ext>
          </c:extLst>
        </c:ser>
        <c:ser>
          <c:idx val="1"/>
          <c:order val="1"/>
          <c:tx>
            <c:v>Ave loss per mth. ytd</c:v>
          </c:tx>
          <c:spPr>
            <a:ln w="12700" cap="rnd" cmpd="sng" algn="ctr">
              <a:solidFill>
                <a:srgbClr val="FF00FF"/>
              </a:solidFill>
              <a:prstDash val="solid"/>
              <a:round/>
            </a:ln>
          </c:spPr>
          <c:marker>
            <c:symbol val="square"/>
            <c:size val="5"/>
            <c:spPr>
              <a:solidFill>
                <a:srgbClr val="FF00FF"/>
              </a:solidFill>
              <a:ln w="9525" cap="flat" cmpd="sng" algn="ctr">
                <a:solidFill>
                  <a:srgbClr val="FF00FF"/>
                </a:solidFill>
                <a:prstDash val="solid"/>
                <a:round/>
              </a:ln>
            </c:spPr>
          </c:marker>
          <c:cat>
            <c:strRef>
              <c:f>'Monthly summary loss'!$A$7:$A$18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summary loss'!$Y$7:$Y$18</c:f>
              <c:numCache>
                <c:formatCode>0.00</c:formatCode>
                <c:ptCount val="12"/>
                <c:pt idx="0">
                  <c:v>250.36666666666667</c:v>
                </c:pt>
                <c:pt idx="1">
                  <c:v>242.56666666666669</c:v>
                </c:pt>
                <c:pt idx="2">
                  <c:v>237.44444444444446</c:v>
                </c:pt>
                <c:pt idx="3">
                  <c:v>230.12916666666669</c:v>
                </c:pt>
                <c:pt idx="4">
                  <c:v>212.35</c:v>
                </c:pt>
                <c:pt idx="5">
                  <c:v>192.92777777777778</c:v>
                </c:pt>
                <c:pt idx="6">
                  <c:v>203.1547619047619</c:v>
                </c:pt>
                <c:pt idx="7">
                  <c:v>197.27083333333334</c:v>
                </c:pt>
                <c:pt idx="8">
                  <c:v>189.75555555555559</c:v>
                </c:pt>
                <c:pt idx="9">
                  <c:v>170.82500000000002</c:v>
                </c:pt>
                <c:pt idx="10">
                  <c:v>155.29545454545456</c:v>
                </c:pt>
                <c:pt idx="11">
                  <c:v>142.35416666666669</c:v>
                </c:pt>
              </c:numCache>
            </c:numRef>
          </c:val>
          <c:smooth val="0"/>
          <c:extLst>
            <c:ext xmlns:c16="http://schemas.microsoft.com/office/drawing/2014/chart" uri="{C3380CC4-5D6E-409C-BE32-E72D297353CC}">
              <c16:uniqueId val="{00000001-6AF5-4026-93EF-A959AB8658C4}"/>
            </c:ext>
          </c:extLst>
        </c:ser>
        <c:dLbls>
          <c:showLegendKey val="0"/>
          <c:showVal val="0"/>
          <c:showCatName val="0"/>
          <c:showSerName val="0"/>
          <c:showPercent val="0"/>
          <c:showBubbleSize val="0"/>
        </c:dLbls>
        <c:marker val="1"/>
        <c:smooth val="0"/>
        <c:axId val="232135296"/>
        <c:axId val="118960896"/>
      </c:lineChart>
      <c:catAx>
        <c:axId val="232135296"/>
        <c:scaling>
          <c:orientation val="minMax"/>
        </c:scaling>
        <c:delete val="0"/>
        <c:axPos val="b"/>
        <c:title>
          <c:tx>
            <c:rich>
              <a:bodyPr rot="0" spcFirstLastPara="0" vertOverflow="ellipsis" vert="horz" wrap="square" anchor="ctr" anchorCtr="1"/>
              <a:lstStyle/>
              <a:p>
                <a:pPr>
                  <a:defRPr lang="en-US" sz="1825" b="1" i="0" u="none" strike="noStrike" kern="1200" baseline="0">
                    <a:solidFill>
                      <a:srgbClr val="000000"/>
                    </a:solidFill>
                    <a:latin typeface="Arial" panose="020B0604020202020204"/>
                    <a:ea typeface="Arial" panose="020B0604020202020204"/>
                    <a:cs typeface="Arial" panose="020B0604020202020204"/>
                  </a:defRPr>
                </a:pPr>
                <a:r>
                  <a:rPr lang="en-US"/>
                  <a:t>Month</a:t>
                </a:r>
              </a:p>
            </c:rich>
          </c:tx>
          <c:layout>
            <c:manualLayout>
              <c:xMode val="edge"/>
              <c:yMode val="edge"/>
              <c:x val="0.39481290894976201"/>
              <c:y val="0.83154415138667104"/>
            </c:manualLayout>
          </c:layout>
          <c:overlay val="0"/>
          <c:spPr>
            <a:noFill/>
            <a:ln w="25400">
              <a:noFill/>
            </a:ln>
          </c:spPr>
        </c:title>
        <c:numFmt formatCode="General" sourceLinked="1"/>
        <c:majorTickMark val="out"/>
        <c:minorTickMark val="none"/>
        <c:tickLblPos val="nextTo"/>
        <c:spPr>
          <a:ln w="3175" cap="flat" cmpd="sng" algn="ctr">
            <a:solidFill>
              <a:srgbClr val="000000"/>
            </a:solidFill>
            <a:prstDash val="solid"/>
            <a:round/>
          </a:ln>
        </c:spPr>
        <c:txPr>
          <a:bodyPr rot="-2700000" spcFirstLastPara="0" vertOverflow="ellipsis" vert="horz" wrap="square" anchor="ctr" anchorCtr="1"/>
          <a:lstStyle/>
          <a:p>
            <a:pPr>
              <a:defRPr lang="en-US" sz="1825"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118960896"/>
        <c:crosses val="autoZero"/>
        <c:auto val="1"/>
        <c:lblAlgn val="ctr"/>
        <c:lblOffset val="100"/>
        <c:tickLblSkip val="2"/>
        <c:noMultiLvlLbl val="0"/>
      </c:catAx>
      <c:valAx>
        <c:axId val="118960896"/>
        <c:scaling>
          <c:orientation val="minMax"/>
        </c:scaling>
        <c:delete val="0"/>
        <c:axPos val="l"/>
        <c:majorGridlines>
          <c:spPr>
            <a:ln w="3175" cap="flat" cmpd="sng" algn="ctr">
              <a:solidFill>
                <a:srgbClr val="000000"/>
              </a:solidFill>
              <a:prstDash val="solid"/>
              <a:round/>
            </a:ln>
          </c:spPr>
        </c:majorGridlines>
        <c:title>
          <c:tx>
            <c:rich>
              <a:bodyPr rot="-5400000" spcFirstLastPara="0" vertOverflow="ellipsis" vert="horz" wrap="square" anchor="ctr" anchorCtr="1"/>
              <a:lstStyle/>
              <a:p>
                <a:pPr>
                  <a:defRPr lang="en-US" sz="1425" b="1" i="0" u="none" strike="noStrike" kern="1200" baseline="0">
                    <a:solidFill>
                      <a:srgbClr val="000000"/>
                    </a:solidFill>
                    <a:latin typeface="Arial" panose="020B0604020202020204"/>
                    <a:ea typeface="Arial" panose="020B0604020202020204"/>
                    <a:cs typeface="Arial" panose="020B0604020202020204"/>
                  </a:defRPr>
                </a:pPr>
                <a:r>
                  <a:rPr lang="en-US"/>
                  <a:t>Time loss(Hrs)</a:t>
                </a:r>
              </a:p>
            </c:rich>
          </c:tx>
          <c:layout>
            <c:manualLayout>
              <c:xMode val="edge"/>
              <c:yMode val="edge"/>
              <c:x val="7.2044656389782299E-3"/>
              <c:y val="0.168459519483142"/>
            </c:manualLayout>
          </c:layout>
          <c:overlay val="0"/>
          <c:spPr>
            <a:noFill/>
            <a:ln w="25400">
              <a:noFill/>
            </a:ln>
          </c:spPr>
        </c:title>
        <c:numFmt formatCode="0.00" sourceLinked="1"/>
        <c:majorTickMark val="out"/>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825"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32135296"/>
        <c:crosses val="autoZero"/>
        <c:crossBetween val="between"/>
      </c:valAx>
      <c:spPr>
        <a:solidFill>
          <a:srgbClr val="C0C0C0"/>
        </a:solidFill>
        <a:ln w="12700">
          <a:solidFill>
            <a:srgbClr val="808080"/>
          </a:solidFill>
          <a:prstDash val="solid"/>
        </a:ln>
      </c:spPr>
    </c:plotArea>
    <c:legend>
      <c:legendPos val="r"/>
      <c:layout>
        <c:manualLayout>
          <c:xMode val="edge"/>
          <c:yMode val="edge"/>
          <c:x val="0.72957746478873198"/>
          <c:y val="0.53763632692766505"/>
          <c:w val="0.240845070422535"/>
          <c:h val="0.430109208376925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05"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56366cef-2eb8-4f98-a613-b9cbd985a5bd}"/>
      </c:ext>
    </c:extLst>
  </c:chart>
  <c:spPr>
    <a:solidFill>
      <a:srgbClr val="FFFFFF"/>
    </a:solidFill>
    <a:ln w="3175" cap="flat" cmpd="sng" algn="ctr">
      <a:solidFill>
        <a:srgbClr val="000000"/>
      </a:solidFill>
      <a:prstDash val="solid"/>
      <a:round/>
    </a:ln>
  </c:spPr>
  <c:txPr>
    <a:bodyPr/>
    <a:lstStyle/>
    <a:p>
      <a:pPr>
        <a:defRPr lang="en-US" sz="145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800" b="1" i="0" u="sng" strike="noStrike" kern="1200" baseline="0">
                <a:solidFill>
                  <a:srgbClr val="000000"/>
                </a:solidFill>
                <a:latin typeface="Baskerville Old Face" panose="02020602080505020303"/>
                <a:ea typeface="Baskerville Old Face" panose="02020602080505020303"/>
                <a:cs typeface="Baskerville Old Face" panose="02020602080505020303"/>
              </a:defRPr>
            </a:pPr>
            <a:r>
              <a:rPr lang="en-US"/>
              <a:t>Pareto: Bottling Hall Downtime - Year to Date</a:t>
            </a:r>
          </a:p>
        </c:rich>
      </c:tx>
      <c:overlay val="0"/>
    </c:title>
    <c:autoTitleDeleted val="0"/>
    <c:plotArea>
      <c:layout>
        <c:manualLayout>
          <c:layoutTarget val="inner"/>
          <c:xMode val="edge"/>
          <c:yMode val="edge"/>
          <c:x val="0.13838878895268"/>
          <c:y val="8.6906099011743398E-2"/>
          <c:w val="0.71704406969380696"/>
          <c:h val="0.61418467172203906"/>
        </c:manualLayout>
      </c:layout>
      <c:barChart>
        <c:barDir val="col"/>
        <c:grouping val="clustered"/>
        <c:varyColors val="0"/>
        <c:ser>
          <c:idx val="0"/>
          <c:order val="0"/>
          <c:tx>
            <c:strRef>
              <c:f>'Pareto Data'!$D$76</c:f>
              <c:strCache>
                <c:ptCount val="1"/>
                <c:pt idx="0">
                  <c:v>Percent</c:v>
                </c:pt>
              </c:strCache>
            </c:strRef>
          </c:tx>
          <c:invertIfNegative val="0"/>
          <c:cat>
            <c:strRef>
              <c:f>'Pareto Data'!$C$77:$C$98</c:f>
              <c:strCache>
                <c:ptCount val="22"/>
                <c:pt idx="0">
                  <c:v>Operator Errors</c:v>
                </c:pt>
                <c:pt idx="1">
                  <c:v>Change Over</c:v>
                </c:pt>
                <c:pt idx="2">
                  <c:v>Product Delay</c:v>
                </c:pt>
                <c:pt idx="3">
                  <c:v>Low Air Pressure</c:v>
                </c:pt>
                <c:pt idx="4">
                  <c:v>Low CO2 Pressure</c:v>
                </c:pt>
                <c:pt idx="5">
                  <c:v>Low Water Pressure</c:v>
                </c:pt>
                <c:pt idx="6">
                  <c:v>Low Steam Pressure</c:v>
                </c:pt>
                <c:pt idx="7">
                  <c:v>Uncaser</c:v>
                </c:pt>
                <c:pt idx="8">
                  <c:v>Washer</c:v>
                </c:pt>
                <c:pt idx="9">
                  <c:v>EBI</c:v>
                </c:pt>
                <c:pt idx="10">
                  <c:v>Filler</c:v>
                </c:pt>
                <c:pt idx="11">
                  <c:v>Pasteuriser</c:v>
                </c:pt>
                <c:pt idx="12">
                  <c:v>Labeller</c:v>
                </c:pt>
                <c:pt idx="13">
                  <c:v>Videojet (Coder)</c:v>
                </c:pt>
                <c:pt idx="14">
                  <c:v>Conveyors</c:v>
                </c:pt>
                <c:pt idx="15">
                  <c:v>Packer</c:v>
                </c:pt>
                <c:pt idx="16">
                  <c:v>Carton Errector</c:v>
                </c:pt>
                <c:pt idx="17">
                  <c:v>Crate Rinser</c:v>
                </c:pt>
                <c:pt idx="18">
                  <c:v>Other Explained</c:v>
                </c:pt>
                <c:pt idx="19">
                  <c:v>Other Unexplained</c:v>
                </c:pt>
                <c:pt idx="20">
                  <c:v>Bottle Supply</c:v>
                </c:pt>
                <c:pt idx="21">
                  <c:v>Space Availability</c:v>
                </c:pt>
              </c:strCache>
            </c:strRef>
          </c:cat>
          <c:val>
            <c:numRef>
              <c:f>'Pareto Data'!$D$77:$D$98</c:f>
              <c:numCache>
                <c:formatCode>0.00</c:formatCode>
                <c:ptCount val="22"/>
                <c:pt idx="0">
                  <c:v>4.4782672325479281E-3</c:v>
                </c:pt>
                <c:pt idx="1">
                  <c:v>0.10470754670959558</c:v>
                </c:pt>
                <c:pt idx="2">
                  <c:v>6.6588614078735536E-2</c:v>
                </c:pt>
                <c:pt idx="3">
                  <c:v>5.2783062588418932E-3</c:v>
                </c:pt>
                <c:pt idx="4">
                  <c:v>5.8637006683252826E-3</c:v>
                </c:pt>
                <c:pt idx="5">
                  <c:v>4.175813454314844E-3</c:v>
                </c:pt>
                <c:pt idx="6">
                  <c:v>6.751548856041757E-3</c:v>
                </c:pt>
                <c:pt idx="7">
                  <c:v>5.0558563832382067E-2</c:v>
                </c:pt>
                <c:pt idx="8">
                  <c:v>0.13493341138592124</c:v>
                </c:pt>
                <c:pt idx="9">
                  <c:v>6.6452022049856077E-2</c:v>
                </c:pt>
                <c:pt idx="10">
                  <c:v>6.4920240011707875E-2</c:v>
                </c:pt>
                <c:pt idx="11">
                  <c:v>7.8803844089955583E-2</c:v>
                </c:pt>
                <c:pt idx="12">
                  <c:v>3.6772525489048247E-2</c:v>
                </c:pt>
                <c:pt idx="13">
                  <c:v>1.5142202058637005E-2</c:v>
                </c:pt>
                <c:pt idx="14">
                  <c:v>0.12778184301673251</c:v>
                </c:pt>
                <c:pt idx="15">
                  <c:v>2.5240255622225472E-2</c:v>
                </c:pt>
                <c:pt idx="16">
                  <c:v>2.12790867847212E-2</c:v>
                </c:pt>
                <c:pt idx="17">
                  <c:v>8.3906532025952458E-4</c:v>
                </c:pt>
                <c:pt idx="18">
                  <c:v>0.14673886531050293</c:v>
                </c:pt>
                <c:pt idx="19">
                  <c:v>1.7269135079759981E-3</c:v>
                </c:pt>
                <c:pt idx="20">
                  <c:v>2.8235523684082147E-2</c:v>
                </c:pt>
                <c:pt idx="21">
                  <c:v>2.7318405775891507E-3</c:v>
                </c:pt>
              </c:numCache>
            </c:numRef>
          </c:val>
          <c:extLst>
            <c:ext xmlns:c16="http://schemas.microsoft.com/office/drawing/2014/chart" uri="{C3380CC4-5D6E-409C-BE32-E72D297353CC}">
              <c16:uniqueId val="{00000000-6B51-404B-A014-1D5EB92EFECE}"/>
            </c:ext>
          </c:extLst>
        </c:ser>
        <c:dLbls>
          <c:showLegendKey val="0"/>
          <c:showVal val="0"/>
          <c:showCatName val="0"/>
          <c:showSerName val="0"/>
          <c:showPercent val="0"/>
          <c:showBubbleSize val="0"/>
        </c:dLbls>
        <c:gapWidth val="150"/>
        <c:axId val="245856896"/>
        <c:axId val="245863168"/>
      </c:barChart>
      <c:lineChart>
        <c:grouping val="stacked"/>
        <c:varyColors val="0"/>
        <c:ser>
          <c:idx val="1"/>
          <c:order val="1"/>
          <c:tx>
            <c:strRef>
              <c:f>'Pareto Data'!$E$76</c:f>
              <c:strCache>
                <c:ptCount val="1"/>
                <c:pt idx="0">
                  <c:v>Cumulative Percent</c:v>
                </c:pt>
              </c:strCache>
            </c:strRef>
          </c:tx>
          <c:cat>
            <c:strRef>
              <c:f>'Pareto Data'!$C$77:$C$98</c:f>
              <c:strCache>
                <c:ptCount val="22"/>
                <c:pt idx="0">
                  <c:v>Operator Errors</c:v>
                </c:pt>
                <c:pt idx="1">
                  <c:v>Change Over</c:v>
                </c:pt>
                <c:pt idx="2">
                  <c:v>Product Delay</c:v>
                </c:pt>
                <c:pt idx="3">
                  <c:v>Low Air Pressure</c:v>
                </c:pt>
                <c:pt idx="4">
                  <c:v>Low CO2 Pressure</c:v>
                </c:pt>
                <c:pt idx="5">
                  <c:v>Low Water Pressure</c:v>
                </c:pt>
                <c:pt idx="6">
                  <c:v>Low Steam Pressure</c:v>
                </c:pt>
                <c:pt idx="7">
                  <c:v>Uncaser</c:v>
                </c:pt>
                <c:pt idx="8">
                  <c:v>Washer</c:v>
                </c:pt>
                <c:pt idx="9">
                  <c:v>EBI</c:v>
                </c:pt>
                <c:pt idx="10">
                  <c:v>Filler</c:v>
                </c:pt>
                <c:pt idx="11">
                  <c:v>Pasteuriser</c:v>
                </c:pt>
                <c:pt idx="12">
                  <c:v>Labeller</c:v>
                </c:pt>
                <c:pt idx="13">
                  <c:v>Videojet (Coder)</c:v>
                </c:pt>
                <c:pt idx="14">
                  <c:v>Conveyors</c:v>
                </c:pt>
                <c:pt idx="15">
                  <c:v>Packer</c:v>
                </c:pt>
                <c:pt idx="16">
                  <c:v>Carton Errector</c:v>
                </c:pt>
                <c:pt idx="17">
                  <c:v>Crate Rinser</c:v>
                </c:pt>
                <c:pt idx="18">
                  <c:v>Other Explained</c:v>
                </c:pt>
                <c:pt idx="19">
                  <c:v>Other Unexplained</c:v>
                </c:pt>
                <c:pt idx="20">
                  <c:v>Bottle Supply</c:v>
                </c:pt>
                <c:pt idx="21">
                  <c:v>Space Availability</c:v>
                </c:pt>
              </c:strCache>
            </c:strRef>
          </c:cat>
          <c:val>
            <c:numRef>
              <c:f>'Pareto Data'!$E$77:$E$98</c:f>
              <c:numCache>
                <c:formatCode>0.00</c:formatCode>
                <c:ptCount val="22"/>
                <c:pt idx="0">
                  <c:v>4.4782672325479281E-3</c:v>
                </c:pt>
                <c:pt idx="1">
                  <c:v>0.10918581394214351</c:v>
                </c:pt>
                <c:pt idx="2">
                  <c:v>0.17577442802087906</c:v>
                </c:pt>
                <c:pt idx="3">
                  <c:v>0.18105273427972096</c:v>
                </c:pt>
                <c:pt idx="4">
                  <c:v>0.18691643494804625</c:v>
                </c:pt>
                <c:pt idx="5">
                  <c:v>0.19109224840236108</c:v>
                </c:pt>
                <c:pt idx="6">
                  <c:v>0.19784379725840284</c:v>
                </c:pt>
                <c:pt idx="7">
                  <c:v>0.2484023610907849</c:v>
                </c:pt>
                <c:pt idx="8">
                  <c:v>0.38333577247670614</c:v>
                </c:pt>
                <c:pt idx="9">
                  <c:v>0.4497877945265622</c:v>
                </c:pt>
                <c:pt idx="10">
                  <c:v>0.51470803453827008</c:v>
                </c:pt>
                <c:pt idx="11">
                  <c:v>0.59351187862822563</c:v>
                </c:pt>
                <c:pt idx="12">
                  <c:v>0.63028440411727393</c:v>
                </c:pt>
                <c:pt idx="13">
                  <c:v>0.64542660617591097</c:v>
                </c:pt>
                <c:pt idx="14">
                  <c:v>0.77320844919264342</c:v>
                </c:pt>
                <c:pt idx="15">
                  <c:v>0.79844870481486885</c:v>
                </c:pt>
                <c:pt idx="16">
                  <c:v>0.81972779159959008</c:v>
                </c:pt>
                <c:pt idx="17">
                  <c:v>0.82056685691984965</c:v>
                </c:pt>
                <c:pt idx="18">
                  <c:v>0.9673057222303526</c:v>
                </c:pt>
                <c:pt idx="19">
                  <c:v>0.96903263573832865</c:v>
                </c:pt>
                <c:pt idx="20">
                  <c:v>0.99726815942241076</c:v>
                </c:pt>
                <c:pt idx="21">
                  <c:v>0.99999999999999989</c:v>
                </c:pt>
              </c:numCache>
            </c:numRef>
          </c:val>
          <c:smooth val="0"/>
          <c:extLst>
            <c:ext xmlns:c16="http://schemas.microsoft.com/office/drawing/2014/chart" uri="{C3380CC4-5D6E-409C-BE32-E72D297353CC}">
              <c16:uniqueId val="{00000001-6B51-404B-A014-1D5EB92EFECE}"/>
            </c:ext>
          </c:extLst>
        </c:ser>
        <c:dLbls>
          <c:showLegendKey val="0"/>
          <c:showVal val="0"/>
          <c:showCatName val="0"/>
          <c:showSerName val="0"/>
          <c:showPercent val="0"/>
          <c:showBubbleSize val="0"/>
        </c:dLbls>
        <c:marker val="1"/>
        <c:smooth val="0"/>
        <c:axId val="245865088"/>
        <c:axId val="245870976"/>
      </c:lineChart>
      <c:catAx>
        <c:axId val="245856896"/>
        <c:scaling>
          <c:orientation val="minMax"/>
        </c:scaling>
        <c:delete val="0"/>
        <c:axPos val="b"/>
        <c:title>
          <c:tx>
            <c:rich>
              <a:bodyPr rot="0" spcFirstLastPara="0" vertOverflow="ellipsis" vert="horz" wrap="square" anchor="ctr" anchorCtr="1"/>
              <a:lstStyle/>
              <a:p>
                <a:pPr>
                  <a:defRPr lang="en-US" sz="14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0004957064108598"/>
              <c:y val="0.89133542642612695"/>
            </c:manualLayout>
          </c:layout>
          <c:overlay val="0"/>
        </c:title>
        <c:numFmt formatCode="General" sourceLinked="1"/>
        <c:majorTickMark val="out"/>
        <c:minorTickMark val="none"/>
        <c:tickLblPos val="nextTo"/>
        <c:txPr>
          <a:bodyPr rot="-270000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245863168"/>
        <c:crosses val="autoZero"/>
        <c:auto val="1"/>
        <c:lblAlgn val="ctr"/>
        <c:lblOffset val="100"/>
        <c:noMultiLvlLbl val="0"/>
      </c:catAx>
      <c:valAx>
        <c:axId val="245863168"/>
        <c:scaling>
          <c:orientation val="minMax"/>
          <c:max val="1.01"/>
          <c:min val="0"/>
        </c:scaling>
        <c:delete val="0"/>
        <c:axPos val="l"/>
        <c:title>
          <c:tx>
            <c:rich>
              <a:bodyPr rot="-5400000" spcFirstLastPara="0" vertOverflow="ellipsis" vert="horz" wrap="square" anchor="ctr" anchorCtr="1"/>
              <a:lstStyle/>
              <a:p>
                <a:pPr>
                  <a:defRPr lang="en-US" sz="1400" b="1" i="0" u="none" strike="noStrike" kern="1200" baseline="0">
                    <a:solidFill>
                      <a:srgbClr val="000000"/>
                    </a:solidFill>
                    <a:latin typeface="Arial" panose="020B0604020202020204"/>
                    <a:ea typeface="Arial" panose="020B0604020202020204"/>
                    <a:cs typeface="Arial" panose="020B0604020202020204"/>
                  </a:defRPr>
                </a:pPr>
                <a:r>
                  <a:rPr lang="en-US"/>
                  <a:t>Percent Time Lost</a:t>
                </a:r>
              </a:p>
            </c:rich>
          </c:tx>
          <c:layout>
            <c:manualLayout>
              <c:xMode val="edge"/>
              <c:yMode val="edge"/>
              <c:x val="5.4825830512834003E-2"/>
              <c:y val="0.27558440479750201"/>
            </c:manualLayout>
          </c:layout>
          <c:overlay val="0"/>
        </c:title>
        <c:numFmt formatCode="0.0" sourceLinked="0"/>
        <c:majorTickMark val="out"/>
        <c:minorTickMark val="none"/>
        <c:tickLblPos val="nextTo"/>
        <c:txPr>
          <a:bodyPr rot="0" spcFirstLastPara="0" vertOverflow="ellipsis" vert="horz" wrap="square" anchor="ctr" anchorCtr="1"/>
          <a:lstStyle/>
          <a:p>
            <a:pPr>
              <a:defRPr lang="en-US" sz="1200" b="1"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245856896"/>
        <c:crosses val="autoZero"/>
        <c:crossBetween val="between"/>
      </c:valAx>
      <c:catAx>
        <c:axId val="245865088"/>
        <c:scaling>
          <c:orientation val="minMax"/>
        </c:scaling>
        <c:delete val="1"/>
        <c:axPos val="b"/>
        <c:numFmt formatCode="General" sourceLinked="1"/>
        <c:majorTickMark val="out"/>
        <c:minorTickMark val="none"/>
        <c:tickLblPos val="nextTo"/>
        <c:crossAx val="245870976"/>
        <c:crosses val="autoZero"/>
        <c:auto val="1"/>
        <c:lblAlgn val="ctr"/>
        <c:lblOffset val="100"/>
        <c:noMultiLvlLbl val="0"/>
      </c:catAx>
      <c:valAx>
        <c:axId val="245870976"/>
        <c:scaling>
          <c:orientation val="minMax"/>
        </c:scaling>
        <c:delete val="1"/>
        <c:axPos val="r"/>
        <c:numFmt formatCode="0.00" sourceLinked="1"/>
        <c:majorTickMark val="out"/>
        <c:minorTickMark val="none"/>
        <c:tickLblPos val="nextTo"/>
        <c:crossAx val="245865088"/>
        <c:crosses val="max"/>
        <c:crossBetween val="between"/>
      </c:valAx>
    </c:plotArea>
    <c:legend>
      <c:legendPos val="r"/>
      <c:layout>
        <c:manualLayout>
          <c:xMode val="edge"/>
          <c:yMode val="edge"/>
          <c:x val="0.79756682975875204"/>
          <c:y val="0.24693262234625701"/>
          <c:w val="0.18030981650679001"/>
          <c:h val="0.17944798830525899"/>
        </c:manualLayout>
      </c:layout>
      <c:overlay val="0"/>
      <c:txPr>
        <a:bodyPr rot="0" spcFirstLastPara="0" vertOverflow="ellipsis" vert="horz" wrap="square" anchor="ctr" anchorCtr="1"/>
        <a:lstStyle/>
        <a:p>
          <a:pPr>
            <a:defRPr lang="en-US" sz="11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zero"/>
    <c:showDLblsOverMax val="0"/>
    <c:extLst>
      <c:ext uri="{0b15fc19-7d7d-44ad-8c2d-2c3a37ce22c3}">
        <chartProps xmlns="https://web.wps.cn/et/2018/main" chartId="{a6132a7e-be07-4de9-9725-a023e7cafae4}"/>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autoTitleDeleted val="1"/>
    <c:plotArea>
      <c:layout>
        <c:manualLayout>
          <c:layoutTarget val="inner"/>
          <c:xMode val="edge"/>
          <c:yMode val="edge"/>
          <c:x val="6.4668769716088301E-2"/>
          <c:y val="3.8043478260869602E-2"/>
          <c:w val="0.68611987381703499"/>
          <c:h val="0.57336956521739102"/>
        </c:manualLayout>
      </c:layout>
      <c:barChart>
        <c:barDir val="col"/>
        <c:grouping val="clustered"/>
        <c:varyColors val="0"/>
        <c:ser>
          <c:idx val="0"/>
          <c:order val="0"/>
          <c:tx>
            <c:strRef>
              <c:f>'Pareto Data'!$D$104</c:f>
              <c:strCache>
                <c:ptCount val="1"/>
                <c:pt idx="0">
                  <c:v>Frequency</c:v>
                </c:pt>
              </c:strCache>
            </c:strRef>
          </c:tx>
          <c:invertIfNegative val="0"/>
          <c:cat>
            <c:strRef>
              <c:f>'Pareto Data'!$C$105:$C$123</c:f>
              <c:strCache>
                <c:ptCount val="19"/>
                <c:pt idx="0">
                  <c:v>EBI</c:v>
                </c:pt>
                <c:pt idx="1">
                  <c:v>Other Un-explained</c:v>
                </c:pt>
                <c:pt idx="2">
                  <c:v>Other Explained Explained</c:v>
                </c:pt>
                <c:pt idx="3">
                  <c:v>Change Over</c:v>
                </c:pt>
                <c:pt idx="4">
                  <c:v>Washer</c:v>
                </c:pt>
                <c:pt idx="5">
                  <c:v>Filler</c:v>
                </c:pt>
                <c:pt idx="6">
                  <c:v>Packer</c:v>
                </c:pt>
                <c:pt idx="7">
                  <c:v>Uncaser/ Bottle Supply</c:v>
                </c:pt>
                <c:pt idx="8">
                  <c:v>Low Air Pressure Pressure</c:v>
                </c:pt>
                <c:pt idx="9">
                  <c:v>VideoJet (Coder)</c:v>
                </c:pt>
                <c:pt idx="10">
                  <c:v>Pre Production Delays</c:v>
                </c:pt>
                <c:pt idx="11">
                  <c:v>Labeller</c:v>
                </c:pt>
                <c:pt idx="12">
                  <c:v>Low Water Pressure</c:v>
                </c:pt>
                <c:pt idx="13">
                  <c:v>Product Delay</c:v>
                </c:pt>
                <c:pt idx="14">
                  <c:v>Low Steam Pressure</c:v>
                </c:pt>
                <c:pt idx="15">
                  <c:v>Convey/s</c:v>
                </c:pt>
                <c:pt idx="16">
                  <c:v>Low CO2 Pressure</c:v>
                </c:pt>
                <c:pt idx="17">
                  <c:v>Crate Rinser</c:v>
                </c:pt>
                <c:pt idx="18">
                  <c:v>Past.</c:v>
                </c:pt>
              </c:strCache>
            </c:strRef>
          </c:cat>
          <c:val>
            <c:numRef>
              <c:f>'Pareto Data'!$D$105:$D$123</c:f>
              <c:numCache>
                <c:formatCode>General</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extLst>
            <c:ext xmlns:c16="http://schemas.microsoft.com/office/drawing/2014/chart" uri="{C3380CC4-5D6E-409C-BE32-E72D297353CC}">
              <c16:uniqueId val="{00000000-2EAB-4CA4-A405-7A70714BCFCF}"/>
            </c:ext>
          </c:extLst>
        </c:ser>
        <c:dLbls>
          <c:showLegendKey val="0"/>
          <c:showVal val="0"/>
          <c:showCatName val="0"/>
          <c:showSerName val="0"/>
          <c:showPercent val="0"/>
          <c:showBubbleSize val="0"/>
        </c:dLbls>
        <c:gapWidth val="150"/>
        <c:axId val="119056256"/>
        <c:axId val="119057792"/>
      </c:barChart>
      <c:lineChart>
        <c:grouping val="standard"/>
        <c:varyColors val="0"/>
        <c:ser>
          <c:idx val="1"/>
          <c:order val="1"/>
          <c:tx>
            <c:strRef>
              <c:f>'Pareto Data'!$F$104</c:f>
              <c:strCache>
                <c:ptCount val="1"/>
                <c:pt idx="0">
                  <c:v>Percent</c:v>
                </c:pt>
              </c:strCache>
            </c:strRef>
          </c:tx>
          <c:cat>
            <c:strRef>
              <c:f>'Pareto Data'!$C$105:$C$123</c:f>
              <c:strCache>
                <c:ptCount val="19"/>
                <c:pt idx="0">
                  <c:v>EBI</c:v>
                </c:pt>
                <c:pt idx="1">
                  <c:v>Other Un-explained</c:v>
                </c:pt>
                <c:pt idx="2">
                  <c:v>Other Explained Explained</c:v>
                </c:pt>
                <c:pt idx="3">
                  <c:v>Change Over</c:v>
                </c:pt>
                <c:pt idx="4">
                  <c:v>Washer</c:v>
                </c:pt>
                <c:pt idx="5">
                  <c:v>Filler</c:v>
                </c:pt>
                <c:pt idx="6">
                  <c:v>Packer</c:v>
                </c:pt>
                <c:pt idx="7">
                  <c:v>Uncaser/ Bottle Supply</c:v>
                </c:pt>
                <c:pt idx="8">
                  <c:v>Low Air Pressure Pressure</c:v>
                </c:pt>
                <c:pt idx="9">
                  <c:v>VideoJet (Coder)</c:v>
                </c:pt>
                <c:pt idx="10">
                  <c:v>Pre Production Delays</c:v>
                </c:pt>
                <c:pt idx="11">
                  <c:v>Labeller</c:v>
                </c:pt>
                <c:pt idx="12">
                  <c:v>Low Water Pressure</c:v>
                </c:pt>
                <c:pt idx="13">
                  <c:v>Product Delay</c:v>
                </c:pt>
                <c:pt idx="14">
                  <c:v>Low Steam Pressure</c:v>
                </c:pt>
                <c:pt idx="15">
                  <c:v>Convey/s</c:v>
                </c:pt>
                <c:pt idx="16">
                  <c:v>Low CO2 Pressure</c:v>
                </c:pt>
                <c:pt idx="17">
                  <c:v>Crate Rinser</c:v>
                </c:pt>
                <c:pt idx="18">
                  <c:v>Past.</c:v>
                </c:pt>
              </c:strCache>
            </c:strRef>
          </c:cat>
          <c:val>
            <c:numRef>
              <c:f>'Pareto Data'!$F$105:$F$123</c:f>
              <c:numCache>
                <c:formatCode>0.00%</c:formatCode>
                <c:ptCount val="19"/>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numCache>
            </c:numRef>
          </c:val>
          <c:smooth val="0"/>
          <c:extLst>
            <c:ext xmlns:c16="http://schemas.microsoft.com/office/drawing/2014/chart" uri="{C3380CC4-5D6E-409C-BE32-E72D297353CC}">
              <c16:uniqueId val="{00000001-2EAB-4CA4-A405-7A70714BCFCF}"/>
            </c:ext>
          </c:extLst>
        </c:ser>
        <c:dLbls>
          <c:showLegendKey val="0"/>
          <c:showVal val="0"/>
          <c:showCatName val="0"/>
          <c:showSerName val="0"/>
          <c:showPercent val="0"/>
          <c:showBubbleSize val="0"/>
        </c:dLbls>
        <c:marker val="1"/>
        <c:smooth val="0"/>
        <c:axId val="119059584"/>
        <c:axId val="119061120"/>
      </c:lineChart>
      <c:catAx>
        <c:axId val="119056256"/>
        <c:scaling>
          <c:orientation val="minMax"/>
        </c:scaling>
        <c:delete val="0"/>
        <c:axPos val="b"/>
        <c:numFmt formatCode="General" sourceLinked="1"/>
        <c:majorTickMark val="out"/>
        <c:minorTickMark val="none"/>
        <c:tickLblPos val="nextTo"/>
        <c:txPr>
          <a:bodyPr rot="-540000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19057792"/>
        <c:crosses val="autoZero"/>
        <c:auto val="1"/>
        <c:lblAlgn val="ctr"/>
        <c:lblOffset val="100"/>
        <c:noMultiLvlLbl val="0"/>
      </c:catAx>
      <c:valAx>
        <c:axId val="119057792"/>
        <c:scaling>
          <c:orientation val="minMax"/>
        </c:scaling>
        <c:delete val="0"/>
        <c:axPos val="l"/>
        <c:majorGridlines/>
        <c:numFmt formatCode="General"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19056256"/>
        <c:crosses val="autoZero"/>
        <c:crossBetween val="between"/>
      </c:valAx>
      <c:catAx>
        <c:axId val="119059584"/>
        <c:scaling>
          <c:orientation val="minMax"/>
        </c:scaling>
        <c:delete val="1"/>
        <c:axPos val="b"/>
        <c:numFmt formatCode="General" sourceLinked="1"/>
        <c:majorTickMark val="out"/>
        <c:minorTickMark val="none"/>
        <c:tickLblPos val="nextTo"/>
        <c:crossAx val="119061120"/>
        <c:crosses val="autoZero"/>
        <c:auto val="1"/>
        <c:lblAlgn val="ctr"/>
        <c:lblOffset val="100"/>
        <c:noMultiLvlLbl val="0"/>
      </c:catAx>
      <c:valAx>
        <c:axId val="119061120"/>
        <c:scaling>
          <c:orientation val="minMax"/>
          <c:max val="1"/>
        </c:scaling>
        <c:delete val="0"/>
        <c:axPos val="r"/>
        <c:numFmt formatCode="0.00%" sourceLinked="1"/>
        <c:majorTickMark val="out"/>
        <c:minorTickMark val="none"/>
        <c:tickLblPos val="nextTo"/>
        <c:txPr>
          <a:bodyPr rot="0" spcFirstLastPara="0" vertOverflow="ellipsis" vert="horz" wrap="square" anchor="ctr" anchorCtr="1"/>
          <a:lstStyle/>
          <a:p>
            <a:pPr>
              <a:defRPr lang="en-US" sz="1000" b="0" i="0" u="none" strike="noStrike" kern="1200" baseline="0">
                <a:solidFill>
                  <a:srgbClr val="000000"/>
                </a:solidFill>
                <a:latin typeface="Calibri" panose="020F0502020204030204"/>
                <a:ea typeface="Calibri" panose="020F0502020204030204"/>
                <a:cs typeface="Calibri" panose="020F0502020204030204"/>
              </a:defRPr>
            </a:pPr>
            <a:endParaRPr lang="en-US"/>
          </a:p>
        </c:txPr>
        <c:crossAx val="119059584"/>
        <c:crosses val="max"/>
        <c:crossBetween val="between"/>
      </c:valAx>
    </c:plotArea>
    <c:legend>
      <c:legendPos val="r"/>
      <c:layout>
        <c:manualLayout>
          <c:xMode val="edge"/>
          <c:yMode val="edge"/>
          <c:x val="0.91482716080048398"/>
          <c:y val="0.48097826086956502"/>
          <c:w val="7.4132492113564694E-2"/>
          <c:h val="5.4347826086956499E-2"/>
        </c:manualLayout>
      </c:layout>
      <c:overlay val="0"/>
      <c:txPr>
        <a:bodyPr rot="0" spcFirstLastPara="0" vertOverflow="ellipsis" vert="horz" wrap="square" anchor="ctr" anchorCtr="1"/>
        <a:lstStyle/>
        <a:p>
          <a:pPr>
            <a:defRPr lang="en-US" sz="110" b="0" i="0" u="none" strike="noStrike" kern="1200" baseline="0">
              <a:solidFill>
                <a:srgbClr val="000000"/>
              </a:solidFill>
              <a:latin typeface="Calibri" panose="020F0502020204030204"/>
              <a:ea typeface="Calibri" panose="020F0502020204030204"/>
              <a:cs typeface="Calibri" panose="020F0502020204030204"/>
            </a:defRPr>
          </a:pPr>
          <a:endParaRPr lang="en-US"/>
        </a:p>
      </c:txPr>
    </c:legend>
    <c:plotVisOnly val="1"/>
    <c:dispBlanksAs val="gap"/>
    <c:showDLblsOverMax val="0"/>
    <c:extLst>
      <c:ext uri="{0b15fc19-7d7d-44ad-8c2d-2c3a37ce22c3}">
        <chartProps xmlns="https://web.wps.cn/et/2018/main" chartId="{2e8a80f6-6fc6-4ec9-bd62-9b099bb32590}"/>
      </c:ext>
    </c:extLst>
  </c:chart>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January</a:t>
            </a:r>
          </a:p>
        </c:rich>
      </c:tx>
      <c:layout>
        <c:manualLayout>
          <c:xMode val="edge"/>
          <c:yMode val="edge"/>
          <c:x val="0.17150423479387"/>
          <c:y val="2.68972683399912E-2"/>
        </c:manualLayout>
      </c:layout>
      <c:overlay val="0"/>
      <c:spPr>
        <a:noFill/>
        <a:ln w="25400">
          <a:noFill/>
        </a:ln>
      </c:spPr>
    </c:title>
    <c:autoTitleDeleted val="0"/>
    <c:plotArea>
      <c:layout>
        <c:manualLayout>
          <c:layoutTarget val="inner"/>
          <c:xMode val="edge"/>
          <c:yMode val="edge"/>
          <c:x val="0.18469680787331999"/>
          <c:y val="0.15273775216138299"/>
          <c:w val="0.60686094015519398"/>
          <c:h val="0.51585014409221897"/>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Data'!$C$4:$C$24</c:f>
              <c:strCache>
                <c:ptCount val="21"/>
                <c:pt idx="0">
                  <c:v>Washer</c:v>
                </c:pt>
                <c:pt idx="1">
                  <c:v>Labeller</c:v>
                </c:pt>
                <c:pt idx="2">
                  <c:v>Filler</c:v>
                </c:pt>
                <c:pt idx="3">
                  <c:v>Change Over</c:v>
                </c:pt>
                <c:pt idx="4">
                  <c:v>Other Explained</c:v>
                </c:pt>
                <c:pt idx="5">
                  <c:v>Product Delay</c:v>
                </c:pt>
                <c:pt idx="6">
                  <c:v>Conveyors</c:v>
                </c:pt>
                <c:pt idx="7">
                  <c:v>EBI</c:v>
                </c:pt>
                <c:pt idx="8">
                  <c:v>Low Water Pressure</c:v>
                </c:pt>
                <c:pt idx="9">
                  <c:v>Packer</c:v>
                </c:pt>
                <c:pt idx="10">
                  <c:v>Pasteuiser</c:v>
                </c:pt>
                <c:pt idx="11">
                  <c:v>Low Air Pressure </c:v>
                </c:pt>
                <c:pt idx="12">
                  <c:v>VideoJet (Coder)</c:v>
                </c:pt>
                <c:pt idx="13">
                  <c:v>Logistics Supply (bottles, crowns)</c:v>
                </c:pt>
                <c:pt idx="14">
                  <c:v>Low Steam Pressure</c:v>
                </c:pt>
                <c:pt idx="15">
                  <c:v>Uncaser</c:v>
                </c:pt>
                <c:pt idx="16">
                  <c:v>Operator Errors</c:v>
                </c:pt>
                <c:pt idx="17">
                  <c:v>Low CO2 Pressure</c:v>
                </c:pt>
                <c:pt idx="18">
                  <c:v>Other Unexplained</c:v>
                </c:pt>
                <c:pt idx="19">
                  <c:v>Carton Errector</c:v>
                </c:pt>
                <c:pt idx="20">
                  <c:v>Crate Rinser</c:v>
                </c:pt>
              </c:strCache>
            </c:strRef>
          </c:cat>
          <c:val>
            <c:numRef>
              <c:f>'Pareto Data'!$D$4:$D$24</c:f>
              <c:numCache>
                <c:formatCode>0.00</c:formatCode>
                <c:ptCount val="21"/>
                <c:pt idx="0">
                  <c:v>8.534149913460258E-2</c:v>
                </c:pt>
                <c:pt idx="1">
                  <c:v>1.3580082545599786E-2</c:v>
                </c:pt>
                <c:pt idx="2">
                  <c:v>1.8439621887897748E-2</c:v>
                </c:pt>
                <c:pt idx="3">
                  <c:v>8.620689655172413E-2</c:v>
                </c:pt>
                <c:pt idx="4">
                  <c:v>0.17547596857941683</c:v>
                </c:pt>
                <c:pt idx="5">
                  <c:v>3.8144055385434694E-2</c:v>
                </c:pt>
                <c:pt idx="6">
                  <c:v>0.40454000798828382</c:v>
                </c:pt>
                <c:pt idx="7">
                  <c:v>2.9689788310477964E-2</c:v>
                </c:pt>
                <c:pt idx="8">
                  <c:v>5.3920915989881506E-3</c:v>
                </c:pt>
                <c:pt idx="9">
                  <c:v>4.8595393422979621E-3</c:v>
                </c:pt>
                <c:pt idx="10">
                  <c:v>5.7582212754626542E-2</c:v>
                </c:pt>
                <c:pt idx="11">
                  <c:v>9.3196644920782849E-4</c:v>
                </c:pt>
                <c:pt idx="12">
                  <c:v>7.6554386899214486E-3</c:v>
                </c:pt>
                <c:pt idx="13">
                  <c:v>0</c:v>
                </c:pt>
                <c:pt idx="14">
                  <c:v>0</c:v>
                </c:pt>
                <c:pt idx="15">
                  <c:v>3.7478365064571958E-2</c:v>
                </c:pt>
                <c:pt idx="16">
                  <c:v>8.7205432033018223E-3</c:v>
                </c:pt>
                <c:pt idx="17">
                  <c:v>1.0651045133803754E-3</c:v>
                </c:pt>
                <c:pt idx="18">
                  <c:v>3.3950206363999465E-3</c:v>
                </c:pt>
                <c:pt idx="19">
                  <c:v>0</c:v>
                </c:pt>
                <c:pt idx="20">
                  <c:v>0</c:v>
                </c:pt>
              </c:numCache>
            </c:numRef>
          </c:val>
          <c:extLst>
            <c:ext xmlns:c16="http://schemas.microsoft.com/office/drawing/2014/chart" uri="{C3380CC4-5D6E-409C-BE32-E72D297353CC}">
              <c16:uniqueId val="{00000000-EB7B-4DE8-B6F6-204E0A02183C}"/>
            </c:ext>
          </c:extLst>
        </c:ser>
        <c:dLbls>
          <c:showLegendKey val="0"/>
          <c:showVal val="0"/>
          <c:showCatName val="0"/>
          <c:showSerName val="0"/>
          <c:showPercent val="0"/>
          <c:showBubbleSize val="0"/>
        </c:dLbls>
        <c:gapWidth val="150"/>
        <c:axId val="246446336"/>
        <c:axId val="24645708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Data'!$C$4:$C$24</c:f>
              <c:strCache>
                <c:ptCount val="21"/>
                <c:pt idx="0">
                  <c:v>Washer</c:v>
                </c:pt>
                <c:pt idx="1">
                  <c:v>Labeller</c:v>
                </c:pt>
                <c:pt idx="2">
                  <c:v>Filler</c:v>
                </c:pt>
                <c:pt idx="3">
                  <c:v>Change Over</c:v>
                </c:pt>
                <c:pt idx="4">
                  <c:v>Other Explained</c:v>
                </c:pt>
                <c:pt idx="5">
                  <c:v>Product Delay</c:v>
                </c:pt>
                <c:pt idx="6">
                  <c:v>Conveyors</c:v>
                </c:pt>
                <c:pt idx="7">
                  <c:v>EBI</c:v>
                </c:pt>
                <c:pt idx="8">
                  <c:v>Low Water Pressure</c:v>
                </c:pt>
                <c:pt idx="9">
                  <c:v>Packer</c:v>
                </c:pt>
                <c:pt idx="10">
                  <c:v>Pasteuiser</c:v>
                </c:pt>
                <c:pt idx="11">
                  <c:v>Low Air Pressure </c:v>
                </c:pt>
                <c:pt idx="12">
                  <c:v>VideoJet (Coder)</c:v>
                </c:pt>
                <c:pt idx="13">
                  <c:v>Logistics Supply (bottles, crowns)</c:v>
                </c:pt>
                <c:pt idx="14">
                  <c:v>Low Steam Pressure</c:v>
                </c:pt>
                <c:pt idx="15">
                  <c:v>Uncaser</c:v>
                </c:pt>
                <c:pt idx="16">
                  <c:v>Operator Errors</c:v>
                </c:pt>
                <c:pt idx="17">
                  <c:v>Low CO2 Pressure</c:v>
                </c:pt>
                <c:pt idx="18">
                  <c:v>Other Unexplained</c:v>
                </c:pt>
                <c:pt idx="19">
                  <c:v>Carton Errector</c:v>
                </c:pt>
                <c:pt idx="20">
                  <c:v>Crate Rinser</c:v>
                </c:pt>
              </c:strCache>
            </c:strRef>
          </c:cat>
          <c:val>
            <c:numRef>
              <c:f>'Pareto Data'!$E$4:$E$24</c:f>
              <c:numCache>
                <c:formatCode>0.00</c:formatCode>
                <c:ptCount val="21"/>
                <c:pt idx="0">
                  <c:v>8.534149913460258E-2</c:v>
                </c:pt>
                <c:pt idx="1">
                  <c:v>9.8921581680202361E-2</c:v>
                </c:pt>
                <c:pt idx="2">
                  <c:v>0.11736120356810011</c:v>
                </c:pt>
                <c:pt idx="3">
                  <c:v>0.20356810011982424</c:v>
                </c:pt>
                <c:pt idx="4">
                  <c:v>0.37904406869924107</c:v>
                </c:pt>
                <c:pt idx="5">
                  <c:v>0.41718812408467576</c:v>
                </c:pt>
                <c:pt idx="6">
                  <c:v>0.82172813207295958</c:v>
                </c:pt>
                <c:pt idx="7">
                  <c:v>0.85141792038343755</c:v>
                </c:pt>
                <c:pt idx="8">
                  <c:v>0.85681001198242568</c:v>
                </c:pt>
                <c:pt idx="9">
                  <c:v>0.86166955132472367</c:v>
                </c:pt>
                <c:pt idx="10">
                  <c:v>0.91925176407935016</c:v>
                </c:pt>
                <c:pt idx="11">
                  <c:v>0.92018373052855795</c:v>
                </c:pt>
                <c:pt idx="12">
                  <c:v>0.92783916921847942</c:v>
                </c:pt>
                <c:pt idx="13">
                  <c:v>0.92783916921847942</c:v>
                </c:pt>
                <c:pt idx="14">
                  <c:v>0.92783916921847942</c:v>
                </c:pt>
                <c:pt idx="15">
                  <c:v>0.96531753428305134</c:v>
                </c:pt>
                <c:pt idx="16">
                  <c:v>0.97403807748635318</c:v>
                </c:pt>
                <c:pt idx="17">
                  <c:v>0.97510318199973356</c:v>
                </c:pt>
                <c:pt idx="18">
                  <c:v>0.97849820263613352</c:v>
                </c:pt>
                <c:pt idx="19">
                  <c:v>0.97849820263613352</c:v>
                </c:pt>
                <c:pt idx="20">
                  <c:v>0.97849820263613352</c:v>
                </c:pt>
              </c:numCache>
            </c:numRef>
          </c:val>
          <c:smooth val="0"/>
          <c:extLst>
            <c:ext xmlns:c16="http://schemas.microsoft.com/office/drawing/2014/chart" uri="{C3380CC4-5D6E-409C-BE32-E72D297353CC}">
              <c16:uniqueId val="{00000001-EB7B-4DE8-B6F6-204E0A02183C}"/>
            </c:ext>
          </c:extLst>
        </c:ser>
        <c:dLbls>
          <c:showLegendKey val="0"/>
          <c:showVal val="0"/>
          <c:showCatName val="0"/>
          <c:showSerName val="0"/>
          <c:showPercent val="0"/>
          <c:showBubbleSize val="0"/>
        </c:dLbls>
        <c:marker val="1"/>
        <c:smooth val="0"/>
        <c:axId val="246459008"/>
        <c:axId val="246464896"/>
      </c:lineChart>
      <c:catAx>
        <c:axId val="246446336"/>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2719969746218402"/>
              <c:y val="0.94478363278238897"/>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457088"/>
        <c:crosses val="autoZero"/>
        <c:auto val="0"/>
        <c:lblAlgn val="ctr"/>
        <c:lblOffset val="100"/>
        <c:tickLblSkip val="1"/>
        <c:noMultiLvlLbl val="0"/>
      </c:catAx>
      <c:valAx>
        <c:axId val="246457088"/>
        <c:scaling>
          <c:orientation val="minMax"/>
          <c:max val="1.1000000000000001"/>
          <c:min val="0"/>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2.6384947264177699E-2"/>
              <c:y val="0.21037461226437601"/>
            </c:manualLayout>
          </c:layout>
          <c:overlay val="0"/>
          <c:spPr>
            <a:noFill/>
            <a:ln w="25400">
              <a:noFill/>
            </a:ln>
          </c:spPr>
        </c:title>
        <c:numFmt formatCode="0.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446336"/>
        <c:crosses val="autoZero"/>
        <c:crossBetween val="between"/>
      </c:valAx>
      <c:catAx>
        <c:axId val="246459008"/>
        <c:scaling>
          <c:orientation val="minMax"/>
        </c:scaling>
        <c:delete val="1"/>
        <c:axPos val="b"/>
        <c:numFmt formatCode="General" sourceLinked="1"/>
        <c:majorTickMark val="out"/>
        <c:minorTickMark val="none"/>
        <c:tickLblPos val="nextTo"/>
        <c:crossAx val="246464896"/>
        <c:crosses val="autoZero"/>
        <c:auto val="0"/>
        <c:lblAlgn val="ctr"/>
        <c:lblOffset val="100"/>
        <c:noMultiLvlLbl val="0"/>
      </c:catAx>
      <c:valAx>
        <c:axId val="246464896"/>
        <c:scaling>
          <c:orientation val="minMax"/>
        </c:scaling>
        <c:delete val="1"/>
        <c:axPos val="l"/>
        <c:numFmt formatCode="0.00" sourceLinked="1"/>
        <c:majorTickMark val="out"/>
        <c:minorTickMark val="none"/>
        <c:tickLblPos val="nextTo"/>
        <c:crossAx val="246459008"/>
        <c:crosses val="autoZero"/>
        <c:crossBetween val="between"/>
      </c:valAx>
      <c:spPr>
        <a:noFill/>
        <a:ln w="25400">
          <a:noFill/>
        </a:ln>
      </c:spPr>
    </c:plotArea>
    <c:legend>
      <c:legendPos val="r"/>
      <c:layout>
        <c:manualLayout>
          <c:xMode val="edge"/>
          <c:yMode val="edge"/>
          <c:x val="0.72823302100430098"/>
          <c:y val="0.35158504013977698"/>
          <c:w val="0.16095014508410699"/>
          <c:h val="6.9164184388974898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f3cda2fb-62f4-486c-b052-fe89b27f5164}"/>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February</a:t>
            </a:r>
          </a:p>
        </c:rich>
      </c:tx>
      <c:layout>
        <c:manualLayout>
          <c:xMode val="edge"/>
          <c:yMode val="edge"/>
          <c:x val="0.16052630855698"/>
          <c:y val="3.4482970330463103E-2"/>
        </c:manualLayout>
      </c:layout>
      <c:overlay val="0"/>
      <c:spPr>
        <a:noFill/>
        <a:ln w="25400">
          <a:noFill/>
        </a:ln>
      </c:spPr>
    </c:title>
    <c:autoTitleDeleted val="0"/>
    <c:plotArea>
      <c:layout>
        <c:manualLayout>
          <c:layoutTarget val="inner"/>
          <c:xMode val="edge"/>
          <c:yMode val="edge"/>
          <c:x val="0.173684210526316"/>
          <c:y val="0.175287848217067"/>
          <c:w val="0.74210526315789505"/>
          <c:h val="0.49425426054648403"/>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Data'!$G$4:$G$24</c:f>
              <c:strCache>
                <c:ptCount val="21"/>
                <c:pt idx="0">
                  <c:v>Washer</c:v>
                </c:pt>
                <c:pt idx="1">
                  <c:v>Change Over</c:v>
                </c:pt>
                <c:pt idx="2">
                  <c:v>Labeller</c:v>
                </c:pt>
                <c:pt idx="3">
                  <c:v>Product Delay</c:v>
                </c:pt>
                <c:pt idx="4">
                  <c:v>Conveyors</c:v>
                </c:pt>
                <c:pt idx="5">
                  <c:v>Filler</c:v>
                </c:pt>
                <c:pt idx="6">
                  <c:v>Low Steam Pressure</c:v>
                </c:pt>
                <c:pt idx="7">
                  <c:v>Other Explained</c:v>
                </c:pt>
                <c:pt idx="8">
                  <c:v>Low Water Pressure</c:v>
                </c:pt>
                <c:pt idx="9">
                  <c:v>Logistics Supply (bottles, crowns)</c:v>
                </c:pt>
                <c:pt idx="10">
                  <c:v>Packer</c:v>
                </c:pt>
                <c:pt idx="11">
                  <c:v>EBI</c:v>
                </c:pt>
                <c:pt idx="12">
                  <c:v>Low Air Pressure</c:v>
                </c:pt>
                <c:pt idx="13">
                  <c:v>Uncaser</c:v>
                </c:pt>
                <c:pt idx="14">
                  <c:v>VideoJet (Coder)</c:v>
                </c:pt>
                <c:pt idx="15">
                  <c:v>Other Unexplained</c:v>
                </c:pt>
                <c:pt idx="16">
                  <c:v>Operator Errors</c:v>
                </c:pt>
                <c:pt idx="17">
                  <c:v>Low CO2 Pressure</c:v>
                </c:pt>
                <c:pt idx="18">
                  <c:v>Crate Rinser</c:v>
                </c:pt>
                <c:pt idx="19">
                  <c:v>Pasteuiser</c:v>
                </c:pt>
                <c:pt idx="20">
                  <c:v>Carton Errector</c:v>
                </c:pt>
              </c:strCache>
            </c:strRef>
          </c:cat>
          <c:val>
            <c:numRef>
              <c:f>'Pareto Data'!$H$4:$H$24</c:f>
              <c:numCache>
                <c:formatCode>0.00</c:formatCode>
                <c:ptCount val="21"/>
                <c:pt idx="0">
                  <c:v>0.26068436745704954</c:v>
                </c:pt>
                <c:pt idx="1">
                  <c:v>7.7807752378247885E-2</c:v>
                </c:pt>
                <c:pt idx="2">
                  <c:v>1.2210705665199486E-2</c:v>
                </c:pt>
                <c:pt idx="3">
                  <c:v>4.8203890387618901E-2</c:v>
                </c:pt>
                <c:pt idx="4">
                  <c:v>8.078943631975008E-2</c:v>
                </c:pt>
                <c:pt idx="5">
                  <c:v>1.7819111174215529E-2</c:v>
                </c:pt>
                <c:pt idx="6">
                  <c:v>2.5557290927161715E-2</c:v>
                </c:pt>
                <c:pt idx="7">
                  <c:v>0.11216811018032086</c:v>
                </c:pt>
                <c:pt idx="8">
                  <c:v>8.4481045009229001E-3</c:v>
                </c:pt>
                <c:pt idx="9">
                  <c:v>0</c:v>
                </c:pt>
                <c:pt idx="10">
                  <c:v>1.3417577736759901E-2</c:v>
                </c:pt>
                <c:pt idx="11">
                  <c:v>0.10805054664205592</c:v>
                </c:pt>
                <c:pt idx="12">
                  <c:v>3.2656538406928863E-3</c:v>
                </c:pt>
                <c:pt idx="13">
                  <c:v>0.13950021297742438</c:v>
                </c:pt>
                <c:pt idx="14">
                  <c:v>4.5435183870509719E-3</c:v>
                </c:pt>
                <c:pt idx="15">
                  <c:v>2.9106914667045287E-3</c:v>
                </c:pt>
                <c:pt idx="16">
                  <c:v>1.0648871219650715E-3</c:v>
                </c:pt>
                <c:pt idx="17">
                  <c:v>2.626721567513843E-3</c:v>
                </c:pt>
                <c:pt idx="18">
                  <c:v>1.5618344455487715E-3</c:v>
                </c:pt>
                <c:pt idx="19">
                  <c:v>4.8558852761607263E-2</c:v>
                </c:pt>
                <c:pt idx="20">
                  <c:v>1.4056510009938943E-2</c:v>
                </c:pt>
              </c:numCache>
            </c:numRef>
          </c:val>
          <c:extLst>
            <c:ext xmlns:c16="http://schemas.microsoft.com/office/drawing/2014/chart" uri="{C3380CC4-5D6E-409C-BE32-E72D297353CC}">
              <c16:uniqueId val="{00000000-5640-47FE-8121-DA4B1CA46438}"/>
            </c:ext>
          </c:extLst>
        </c:ser>
        <c:dLbls>
          <c:showLegendKey val="0"/>
          <c:showVal val="0"/>
          <c:showCatName val="0"/>
          <c:showSerName val="0"/>
          <c:showPercent val="0"/>
          <c:showBubbleSize val="0"/>
        </c:dLbls>
        <c:gapWidth val="150"/>
        <c:axId val="246561792"/>
        <c:axId val="24656435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Data'!$G$4:$G$24</c:f>
              <c:strCache>
                <c:ptCount val="21"/>
                <c:pt idx="0">
                  <c:v>Washer</c:v>
                </c:pt>
                <c:pt idx="1">
                  <c:v>Change Over</c:v>
                </c:pt>
                <c:pt idx="2">
                  <c:v>Labeller</c:v>
                </c:pt>
                <c:pt idx="3">
                  <c:v>Product Delay</c:v>
                </c:pt>
                <c:pt idx="4">
                  <c:v>Conveyors</c:v>
                </c:pt>
                <c:pt idx="5">
                  <c:v>Filler</c:v>
                </c:pt>
                <c:pt idx="6">
                  <c:v>Low Steam Pressure</c:v>
                </c:pt>
                <c:pt idx="7">
                  <c:v>Other Explained</c:v>
                </c:pt>
                <c:pt idx="8">
                  <c:v>Low Water Pressure</c:v>
                </c:pt>
                <c:pt idx="9">
                  <c:v>Logistics Supply (bottles, crowns)</c:v>
                </c:pt>
                <c:pt idx="10">
                  <c:v>Packer</c:v>
                </c:pt>
                <c:pt idx="11">
                  <c:v>EBI</c:v>
                </c:pt>
                <c:pt idx="12">
                  <c:v>Low Air Pressure</c:v>
                </c:pt>
                <c:pt idx="13">
                  <c:v>Uncaser</c:v>
                </c:pt>
                <c:pt idx="14">
                  <c:v>VideoJet (Coder)</c:v>
                </c:pt>
                <c:pt idx="15">
                  <c:v>Other Unexplained</c:v>
                </c:pt>
                <c:pt idx="16">
                  <c:v>Operator Errors</c:v>
                </c:pt>
                <c:pt idx="17">
                  <c:v>Low CO2 Pressure</c:v>
                </c:pt>
                <c:pt idx="18">
                  <c:v>Crate Rinser</c:v>
                </c:pt>
                <c:pt idx="19">
                  <c:v>Pasteuiser</c:v>
                </c:pt>
                <c:pt idx="20">
                  <c:v>Carton Errector</c:v>
                </c:pt>
              </c:strCache>
            </c:strRef>
          </c:cat>
          <c:val>
            <c:numRef>
              <c:f>'Pareto Data'!$I$4:$I$24</c:f>
              <c:numCache>
                <c:formatCode>0.00</c:formatCode>
                <c:ptCount val="21"/>
                <c:pt idx="0">
                  <c:v>0.26068436745704954</c:v>
                </c:pt>
                <c:pt idx="1">
                  <c:v>0.33849211983529742</c:v>
                </c:pt>
                <c:pt idx="2">
                  <c:v>0.35070282550049692</c:v>
                </c:pt>
                <c:pt idx="3">
                  <c:v>0.39890671588811583</c:v>
                </c:pt>
                <c:pt idx="4">
                  <c:v>0.47969615220786588</c:v>
                </c:pt>
                <c:pt idx="5">
                  <c:v>0.49751526338208141</c:v>
                </c:pt>
                <c:pt idx="6">
                  <c:v>0.52307255430924315</c:v>
                </c:pt>
                <c:pt idx="7">
                  <c:v>0.63524066448956407</c:v>
                </c:pt>
                <c:pt idx="8">
                  <c:v>0.64368876899048699</c:v>
                </c:pt>
                <c:pt idx="9">
                  <c:v>0.64368876899048699</c:v>
                </c:pt>
                <c:pt idx="10">
                  <c:v>0.65710634672724688</c:v>
                </c:pt>
                <c:pt idx="11">
                  <c:v>0.76515689336930282</c:v>
                </c:pt>
                <c:pt idx="12">
                  <c:v>0.7684225472099957</c:v>
                </c:pt>
                <c:pt idx="13">
                  <c:v>0.90792276018742002</c:v>
                </c:pt>
                <c:pt idx="14">
                  <c:v>0.91246627857447105</c:v>
                </c:pt>
                <c:pt idx="15">
                  <c:v>0.91537697004117557</c:v>
                </c:pt>
                <c:pt idx="16">
                  <c:v>0.91644185716314064</c:v>
                </c:pt>
                <c:pt idx="17">
                  <c:v>0.91906857873065451</c:v>
                </c:pt>
                <c:pt idx="18">
                  <c:v>0.92063041317620331</c:v>
                </c:pt>
                <c:pt idx="19">
                  <c:v>0.96918926593781052</c:v>
                </c:pt>
                <c:pt idx="20">
                  <c:v>0.98324577594774942</c:v>
                </c:pt>
              </c:numCache>
            </c:numRef>
          </c:val>
          <c:smooth val="0"/>
          <c:extLst>
            <c:ext xmlns:c16="http://schemas.microsoft.com/office/drawing/2014/chart" uri="{C3380CC4-5D6E-409C-BE32-E72D297353CC}">
              <c16:uniqueId val="{00000001-5640-47FE-8121-DA4B1CA46438}"/>
            </c:ext>
          </c:extLst>
        </c:ser>
        <c:dLbls>
          <c:showLegendKey val="0"/>
          <c:showVal val="0"/>
          <c:showCatName val="0"/>
          <c:showSerName val="0"/>
          <c:showPercent val="0"/>
          <c:showBubbleSize val="0"/>
        </c:dLbls>
        <c:marker val="1"/>
        <c:smooth val="0"/>
        <c:axId val="246566272"/>
        <c:axId val="246568064"/>
      </c:lineChart>
      <c:catAx>
        <c:axId val="246561792"/>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3494571073352702"/>
              <c:y val="0.94346967411685201"/>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564352"/>
        <c:crosses val="autoZero"/>
        <c:auto val="0"/>
        <c:lblAlgn val="ctr"/>
        <c:lblOffset val="100"/>
        <c:tickLblSkip val="1"/>
        <c:noMultiLvlLbl val="0"/>
      </c:catAx>
      <c:valAx>
        <c:axId val="246564352"/>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58376276263896E-2"/>
              <c:y val="0.237380239750733"/>
            </c:manualLayout>
          </c:layout>
          <c:overlay val="0"/>
          <c:spPr>
            <a:noFill/>
            <a:ln w="25400">
              <a:noFill/>
            </a:ln>
          </c:spPr>
        </c:title>
        <c:numFmt formatCode="0.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561792"/>
        <c:crosses val="autoZero"/>
        <c:crossBetween val="between"/>
      </c:valAx>
      <c:catAx>
        <c:axId val="246566272"/>
        <c:scaling>
          <c:orientation val="minMax"/>
        </c:scaling>
        <c:delete val="1"/>
        <c:axPos val="b"/>
        <c:numFmt formatCode="General" sourceLinked="1"/>
        <c:majorTickMark val="out"/>
        <c:minorTickMark val="none"/>
        <c:tickLblPos val="nextTo"/>
        <c:crossAx val="246568064"/>
        <c:crosses val="autoZero"/>
        <c:auto val="0"/>
        <c:lblAlgn val="ctr"/>
        <c:lblOffset val="100"/>
        <c:noMultiLvlLbl val="0"/>
      </c:catAx>
      <c:valAx>
        <c:axId val="246568064"/>
        <c:scaling>
          <c:orientation val="minMax"/>
        </c:scaling>
        <c:delete val="1"/>
        <c:axPos val="l"/>
        <c:numFmt formatCode="0.00" sourceLinked="1"/>
        <c:majorTickMark val="out"/>
        <c:minorTickMark val="none"/>
        <c:tickLblPos val="nextTo"/>
        <c:crossAx val="246566272"/>
        <c:crosses val="autoZero"/>
        <c:crossBetween val="between"/>
      </c:valAx>
      <c:spPr>
        <a:noFill/>
        <a:ln w="25400">
          <a:noFill/>
        </a:ln>
      </c:spPr>
    </c:plotArea>
    <c:legend>
      <c:legendPos val="r"/>
      <c:layout>
        <c:manualLayout>
          <c:xMode val="edge"/>
          <c:yMode val="edge"/>
          <c:x val="0.66578939412678095"/>
          <c:y val="0.33908151831898198"/>
          <c:w val="0.25000013741737798"/>
          <c:h val="8.0459854798851899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Garamond" panose="02020404030301010803"/>
              <a:ea typeface="Garamond" panose="02020404030301010803"/>
              <a:cs typeface="Garamond" panose="02020404030301010803"/>
            </a:defRPr>
          </a:pPr>
          <a:endParaRPr lang="en-US"/>
        </a:p>
      </c:txPr>
    </c:legend>
    <c:plotVisOnly val="1"/>
    <c:dispBlanksAs val="gap"/>
    <c:showDLblsOverMax val="0"/>
    <c:extLst>
      <c:ext uri="{0b15fc19-7d7d-44ad-8c2d-2c3a37ce22c3}">
        <chartProps xmlns="https://web.wps.cn/et/2018/main" chartId="{e6fb2188-5523-4f8f-a769-14b69e739563}"/>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March</a:t>
            </a:r>
          </a:p>
        </c:rich>
      </c:tx>
      <c:layout>
        <c:manualLayout>
          <c:xMode val="edge"/>
          <c:yMode val="edge"/>
          <c:x val="0.16052630496905901"/>
          <c:y val="3.4482970330463103E-2"/>
        </c:manualLayout>
      </c:layout>
      <c:overlay val="0"/>
      <c:spPr>
        <a:noFill/>
        <a:ln w="25400">
          <a:noFill/>
        </a:ln>
      </c:spPr>
    </c:title>
    <c:autoTitleDeleted val="0"/>
    <c:plotArea>
      <c:layout>
        <c:manualLayout>
          <c:layoutTarget val="inner"/>
          <c:xMode val="edge"/>
          <c:yMode val="edge"/>
          <c:x val="0.18421052631578899"/>
          <c:y val="0.175287848217067"/>
          <c:w val="0.71578947368421098"/>
          <c:h val="0.50000140311097796"/>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Data'!$K$4:$K$24</c:f>
              <c:strCache>
                <c:ptCount val="21"/>
                <c:pt idx="0">
                  <c:v>Washer</c:v>
                </c:pt>
                <c:pt idx="1">
                  <c:v>Product Delay</c:v>
                </c:pt>
                <c:pt idx="2">
                  <c:v>Conveyors</c:v>
                </c:pt>
                <c:pt idx="3">
                  <c:v>EBI</c:v>
                </c:pt>
                <c:pt idx="4">
                  <c:v>Change Over</c:v>
                </c:pt>
                <c:pt idx="5">
                  <c:v>Labeller</c:v>
                </c:pt>
                <c:pt idx="6">
                  <c:v>Filler</c:v>
                </c:pt>
                <c:pt idx="7">
                  <c:v>Logistics Supply (bottles, crowns)</c:v>
                </c:pt>
                <c:pt idx="8">
                  <c:v>Other Explained</c:v>
                </c:pt>
                <c:pt idx="9">
                  <c:v>Pasteuriser</c:v>
                </c:pt>
                <c:pt idx="10">
                  <c:v>Low Water Pressure</c:v>
                </c:pt>
                <c:pt idx="11">
                  <c:v>Uncaser</c:v>
                </c:pt>
                <c:pt idx="12">
                  <c:v>Low Steam Pressure</c:v>
                </c:pt>
                <c:pt idx="13">
                  <c:v>VideoJet (Coder)</c:v>
                </c:pt>
                <c:pt idx="14">
                  <c:v>Packer</c:v>
                </c:pt>
                <c:pt idx="15">
                  <c:v>Low Air Pressure</c:v>
                </c:pt>
                <c:pt idx="16">
                  <c:v>Operator Errors</c:v>
                </c:pt>
                <c:pt idx="17">
                  <c:v>Low CO2 Pressure</c:v>
                </c:pt>
                <c:pt idx="18">
                  <c:v>Other Unexplained</c:v>
                </c:pt>
                <c:pt idx="19">
                  <c:v>Carton Errector</c:v>
                </c:pt>
                <c:pt idx="20">
                  <c:v>Crate Rinser</c:v>
                </c:pt>
              </c:strCache>
            </c:strRef>
          </c:cat>
          <c:val>
            <c:numRef>
              <c:f>'Pareto Data'!$L$4:$L$24</c:f>
              <c:numCache>
                <c:formatCode>0.00</c:formatCode>
                <c:ptCount val="21"/>
                <c:pt idx="0">
                  <c:v>0.30707159624413144</c:v>
                </c:pt>
                <c:pt idx="1">
                  <c:v>3.3083920187793429E-2</c:v>
                </c:pt>
                <c:pt idx="2">
                  <c:v>5.993251173708921E-2</c:v>
                </c:pt>
                <c:pt idx="3">
                  <c:v>6.0372652582159625E-2</c:v>
                </c:pt>
                <c:pt idx="4">
                  <c:v>9.1842723004694843E-2</c:v>
                </c:pt>
                <c:pt idx="5">
                  <c:v>2.171361502347418E-2</c:v>
                </c:pt>
                <c:pt idx="6">
                  <c:v>4.7975352112676062E-2</c:v>
                </c:pt>
                <c:pt idx="7">
                  <c:v>0</c:v>
                </c:pt>
                <c:pt idx="8">
                  <c:v>0.13556338028169015</c:v>
                </c:pt>
                <c:pt idx="9">
                  <c:v>4.4160798122065727E-2</c:v>
                </c:pt>
                <c:pt idx="10">
                  <c:v>5.3550469483568076E-3</c:v>
                </c:pt>
                <c:pt idx="11">
                  <c:v>5.6778169014084515E-2</c:v>
                </c:pt>
                <c:pt idx="12">
                  <c:v>5.0616197183098594E-3</c:v>
                </c:pt>
                <c:pt idx="13">
                  <c:v>4.3280516431924883E-3</c:v>
                </c:pt>
                <c:pt idx="14">
                  <c:v>4.4014084507042257E-2</c:v>
                </c:pt>
                <c:pt idx="15">
                  <c:v>1.6431924882629109E-2</c:v>
                </c:pt>
                <c:pt idx="16">
                  <c:v>3.3010563380281694E-3</c:v>
                </c:pt>
                <c:pt idx="17">
                  <c:v>1.0269953051643193E-3</c:v>
                </c:pt>
                <c:pt idx="18">
                  <c:v>1.8339201877934275E-3</c:v>
                </c:pt>
                <c:pt idx="19">
                  <c:v>3.3744131455399062E-2</c:v>
                </c:pt>
                <c:pt idx="20">
                  <c:v>8.0692488262910792E-4</c:v>
                </c:pt>
              </c:numCache>
            </c:numRef>
          </c:val>
          <c:extLst>
            <c:ext xmlns:c16="http://schemas.microsoft.com/office/drawing/2014/chart" uri="{C3380CC4-5D6E-409C-BE32-E72D297353CC}">
              <c16:uniqueId val="{00000000-7440-494D-8CBB-B5A5BD796149}"/>
            </c:ext>
          </c:extLst>
        </c:ser>
        <c:dLbls>
          <c:showLegendKey val="0"/>
          <c:showVal val="0"/>
          <c:showCatName val="0"/>
          <c:showSerName val="0"/>
          <c:showPercent val="0"/>
          <c:showBubbleSize val="0"/>
        </c:dLbls>
        <c:gapWidth val="150"/>
        <c:axId val="246626176"/>
        <c:axId val="24663692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Data'!$K$4:$K$24</c:f>
              <c:strCache>
                <c:ptCount val="21"/>
                <c:pt idx="0">
                  <c:v>Washer</c:v>
                </c:pt>
                <c:pt idx="1">
                  <c:v>Product Delay</c:v>
                </c:pt>
                <c:pt idx="2">
                  <c:v>Conveyors</c:v>
                </c:pt>
                <c:pt idx="3">
                  <c:v>EBI</c:v>
                </c:pt>
                <c:pt idx="4">
                  <c:v>Change Over</c:v>
                </c:pt>
                <c:pt idx="5">
                  <c:v>Labeller</c:v>
                </c:pt>
                <c:pt idx="6">
                  <c:v>Filler</c:v>
                </c:pt>
                <c:pt idx="7">
                  <c:v>Logistics Supply (bottles, crowns)</c:v>
                </c:pt>
                <c:pt idx="8">
                  <c:v>Other Explained</c:v>
                </c:pt>
                <c:pt idx="9">
                  <c:v>Pasteuriser</c:v>
                </c:pt>
                <c:pt idx="10">
                  <c:v>Low Water Pressure</c:v>
                </c:pt>
                <c:pt idx="11">
                  <c:v>Uncaser</c:v>
                </c:pt>
                <c:pt idx="12">
                  <c:v>Low Steam Pressure</c:v>
                </c:pt>
                <c:pt idx="13">
                  <c:v>VideoJet (Coder)</c:v>
                </c:pt>
                <c:pt idx="14">
                  <c:v>Packer</c:v>
                </c:pt>
                <c:pt idx="15">
                  <c:v>Low Air Pressure</c:v>
                </c:pt>
                <c:pt idx="16">
                  <c:v>Operator Errors</c:v>
                </c:pt>
                <c:pt idx="17">
                  <c:v>Low CO2 Pressure</c:v>
                </c:pt>
                <c:pt idx="18">
                  <c:v>Other Unexplained</c:v>
                </c:pt>
                <c:pt idx="19">
                  <c:v>Carton Errector</c:v>
                </c:pt>
                <c:pt idx="20">
                  <c:v>Crate Rinser</c:v>
                </c:pt>
              </c:strCache>
            </c:strRef>
          </c:cat>
          <c:val>
            <c:numRef>
              <c:f>'Pareto Data'!$M$4:$M$24</c:f>
              <c:numCache>
                <c:formatCode>0.00</c:formatCode>
                <c:ptCount val="21"/>
                <c:pt idx="0">
                  <c:v>0.30707159624413144</c:v>
                </c:pt>
                <c:pt idx="1">
                  <c:v>0.34015551643192488</c:v>
                </c:pt>
                <c:pt idx="2">
                  <c:v>0.40008802816901406</c:v>
                </c:pt>
                <c:pt idx="3">
                  <c:v>0.46046068075117369</c:v>
                </c:pt>
                <c:pt idx="4">
                  <c:v>0.5523034037558685</c:v>
                </c:pt>
                <c:pt idx="5">
                  <c:v>0.57401701877934264</c:v>
                </c:pt>
                <c:pt idx="6">
                  <c:v>0.62199237089201875</c:v>
                </c:pt>
                <c:pt idx="7">
                  <c:v>0.62199237089201875</c:v>
                </c:pt>
                <c:pt idx="8">
                  <c:v>0.75755575117370888</c:v>
                </c:pt>
                <c:pt idx="9">
                  <c:v>0.80171654929577463</c:v>
                </c:pt>
                <c:pt idx="10">
                  <c:v>0.80707159624413138</c:v>
                </c:pt>
                <c:pt idx="11">
                  <c:v>0.86384976525821588</c:v>
                </c:pt>
                <c:pt idx="12">
                  <c:v>0.86891138497652576</c:v>
                </c:pt>
                <c:pt idx="13">
                  <c:v>0.87323943661971826</c:v>
                </c:pt>
                <c:pt idx="14">
                  <c:v>0.91725352112676051</c:v>
                </c:pt>
                <c:pt idx="15">
                  <c:v>0.93368544600938963</c:v>
                </c:pt>
                <c:pt idx="16">
                  <c:v>0.93698650234741776</c:v>
                </c:pt>
                <c:pt idx="17">
                  <c:v>0.93801349765258213</c:v>
                </c:pt>
                <c:pt idx="18">
                  <c:v>0.93984741784037551</c:v>
                </c:pt>
                <c:pt idx="19">
                  <c:v>0.97359154929577452</c:v>
                </c:pt>
                <c:pt idx="20">
                  <c:v>0.97439847417840364</c:v>
                </c:pt>
              </c:numCache>
            </c:numRef>
          </c:val>
          <c:smooth val="0"/>
          <c:extLst>
            <c:ext xmlns:c16="http://schemas.microsoft.com/office/drawing/2014/chart" uri="{C3380CC4-5D6E-409C-BE32-E72D297353CC}">
              <c16:uniqueId val="{00000001-7440-494D-8CBB-B5A5BD796149}"/>
            </c:ext>
          </c:extLst>
        </c:ser>
        <c:dLbls>
          <c:showLegendKey val="0"/>
          <c:showVal val="0"/>
          <c:showCatName val="0"/>
          <c:showSerName val="0"/>
          <c:showPercent val="0"/>
          <c:showBubbleSize val="0"/>
        </c:dLbls>
        <c:marker val="1"/>
        <c:smooth val="0"/>
        <c:axId val="246638848"/>
        <c:axId val="246644736"/>
      </c:lineChart>
      <c:catAx>
        <c:axId val="246626176"/>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5789473684210499"/>
              <c:y val="0.94569326514705898"/>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636928"/>
        <c:crosses val="autoZero"/>
        <c:auto val="0"/>
        <c:lblAlgn val="ctr"/>
        <c:lblOffset val="100"/>
        <c:tickLblSkip val="1"/>
        <c:noMultiLvlLbl val="0"/>
      </c:catAx>
      <c:valAx>
        <c:axId val="24663692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2.6315796687293998E-2"/>
              <c:y val="0.26724194563398901"/>
            </c:manualLayout>
          </c:layout>
          <c:overlay val="0"/>
          <c:spPr>
            <a:noFill/>
            <a:ln w="25400">
              <a:noFill/>
            </a:ln>
          </c:spPr>
        </c:title>
        <c:numFmt formatCode="0.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626176"/>
        <c:crosses val="autoZero"/>
        <c:crossBetween val="between"/>
      </c:valAx>
      <c:catAx>
        <c:axId val="246638848"/>
        <c:scaling>
          <c:orientation val="minMax"/>
        </c:scaling>
        <c:delete val="1"/>
        <c:axPos val="b"/>
        <c:numFmt formatCode="General" sourceLinked="1"/>
        <c:majorTickMark val="out"/>
        <c:minorTickMark val="none"/>
        <c:tickLblPos val="nextTo"/>
        <c:crossAx val="246644736"/>
        <c:crosses val="autoZero"/>
        <c:auto val="0"/>
        <c:lblAlgn val="ctr"/>
        <c:lblOffset val="100"/>
        <c:noMultiLvlLbl val="0"/>
      </c:catAx>
      <c:valAx>
        <c:axId val="246644736"/>
        <c:scaling>
          <c:orientation val="minMax"/>
        </c:scaling>
        <c:delete val="1"/>
        <c:axPos val="l"/>
        <c:numFmt formatCode="0.00" sourceLinked="1"/>
        <c:majorTickMark val="out"/>
        <c:minorTickMark val="none"/>
        <c:tickLblPos val="nextTo"/>
        <c:crossAx val="246638848"/>
        <c:crosses val="autoZero"/>
        <c:crossBetween val="between"/>
      </c:valAx>
      <c:spPr>
        <a:noFill/>
        <a:ln w="25400">
          <a:noFill/>
        </a:ln>
      </c:spPr>
    </c:plotArea>
    <c:legend>
      <c:legendPos val="r"/>
      <c:layout>
        <c:manualLayout>
          <c:xMode val="edge"/>
          <c:yMode val="edge"/>
          <c:x val="0.66578949171823498"/>
          <c:y val="0.33333425427084801"/>
          <c:w val="0.28421043975247201"/>
          <c:h val="9.4827707940016298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13a84f3a-2991-42aa-a7a5-de223308a3ea}"/>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April</a:t>
            </a:r>
          </a:p>
        </c:rich>
      </c:tx>
      <c:layout>
        <c:manualLayout>
          <c:xMode val="edge"/>
          <c:yMode val="edge"/>
          <c:x val="0.150794065249616"/>
          <c:y val="3.4482970330463103E-2"/>
        </c:manualLayout>
      </c:layout>
      <c:overlay val="0"/>
      <c:spPr>
        <a:noFill/>
        <a:ln w="25400">
          <a:noFill/>
        </a:ln>
      </c:spPr>
    </c:title>
    <c:autoTitleDeleted val="0"/>
    <c:plotArea>
      <c:layout>
        <c:manualLayout>
          <c:layoutTarget val="inner"/>
          <c:xMode val="edge"/>
          <c:yMode val="edge"/>
          <c:x val="0.13756649296899001"/>
          <c:y val="0.17241427693482"/>
          <c:w val="0.77777978717082896"/>
          <c:h val="0.50287497439322504"/>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Data'!$O$4:$O$24</c:f>
              <c:strCache>
                <c:ptCount val="21"/>
                <c:pt idx="0">
                  <c:v>Washer</c:v>
                </c:pt>
                <c:pt idx="1">
                  <c:v>Logistics Supply (bottles, crowns)</c:v>
                </c:pt>
                <c:pt idx="2">
                  <c:v>Labeller</c:v>
                </c:pt>
                <c:pt idx="3">
                  <c:v>Other Explained</c:v>
                </c:pt>
                <c:pt idx="4">
                  <c:v>Change Over</c:v>
                </c:pt>
                <c:pt idx="5">
                  <c:v>Filler</c:v>
                </c:pt>
                <c:pt idx="6">
                  <c:v>Low Water Pressure</c:v>
                </c:pt>
                <c:pt idx="7">
                  <c:v>EBI</c:v>
                </c:pt>
                <c:pt idx="8">
                  <c:v>Conveyors</c:v>
                </c:pt>
                <c:pt idx="9">
                  <c:v>Uncaser</c:v>
                </c:pt>
                <c:pt idx="10">
                  <c:v>Low Air Pressure</c:v>
                </c:pt>
                <c:pt idx="11">
                  <c:v>Product Delay</c:v>
                </c:pt>
                <c:pt idx="12">
                  <c:v>Low Steam Pressure</c:v>
                </c:pt>
                <c:pt idx="13">
                  <c:v>Low CO2 Pressure</c:v>
                </c:pt>
                <c:pt idx="14">
                  <c:v>Operator Errors</c:v>
                </c:pt>
                <c:pt idx="15">
                  <c:v>Packer</c:v>
                </c:pt>
                <c:pt idx="16">
                  <c:v>VideoJet (Coder)</c:v>
                </c:pt>
                <c:pt idx="17">
                  <c:v>Pasteuriser</c:v>
                </c:pt>
                <c:pt idx="18">
                  <c:v>Crate Rinser</c:v>
                </c:pt>
                <c:pt idx="19">
                  <c:v>Other Unexplained</c:v>
                </c:pt>
                <c:pt idx="20">
                  <c:v>Carton Errector</c:v>
                </c:pt>
              </c:strCache>
            </c:strRef>
          </c:cat>
          <c:val>
            <c:numRef>
              <c:f>'Pareto Data'!$P$4:$P$24</c:f>
              <c:numCache>
                <c:formatCode>0.000</c:formatCode>
                <c:ptCount val="21"/>
                <c:pt idx="0">
                  <c:v>0.14210231366583936</c:v>
                </c:pt>
                <c:pt idx="1">
                  <c:v>0</c:v>
                </c:pt>
                <c:pt idx="2">
                  <c:v>4.3311184052517812E-2</c:v>
                </c:pt>
                <c:pt idx="3">
                  <c:v>9.1425826595148502E-2</c:v>
                </c:pt>
                <c:pt idx="4">
                  <c:v>0.1051156832919702</c:v>
                </c:pt>
                <c:pt idx="5">
                  <c:v>0.21087182771595545</c:v>
                </c:pt>
                <c:pt idx="6">
                  <c:v>0</c:v>
                </c:pt>
                <c:pt idx="7">
                  <c:v>5.2757985749739798E-2</c:v>
                </c:pt>
                <c:pt idx="8">
                  <c:v>0.13729885517572649</c:v>
                </c:pt>
                <c:pt idx="9">
                  <c:v>3.4905131694820263E-2</c:v>
                </c:pt>
                <c:pt idx="10" formatCode="0.00000">
                  <c:v>1.6011528300376267E-3</c:v>
                </c:pt>
                <c:pt idx="11">
                  <c:v>2.9781442638699859E-2</c:v>
                </c:pt>
                <c:pt idx="12">
                  <c:v>1.4010087262829235E-2</c:v>
                </c:pt>
                <c:pt idx="13" formatCode="0.00000">
                  <c:v>6.4846689616523895E-3</c:v>
                </c:pt>
                <c:pt idx="14">
                  <c:v>4.5632855656072367E-3</c:v>
                </c:pt>
                <c:pt idx="15">
                  <c:v>4.8594988391641974E-2</c:v>
                </c:pt>
                <c:pt idx="16">
                  <c:v>1.8733488111440235E-2</c:v>
                </c:pt>
                <c:pt idx="17">
                  <c:v>1.07277239612521E-2</c:v>
                </c:pt>
                <c:pt idx="18">
                  <c:v>0</c:v>
                </c:pt>
                <c:pt idx="19">
                  <c:v>5.6040349051316937E-4</c:v>
                </c:pt>
                <c:pt idx="20">
                  <c:v>2.866063565767352E-2</c:v>
                </c:pt>
              </c:numCache>
            </c:numRef>
          </c:val>
          <c:extLst>
            <c:ext xmlns:c16="http://schemas.microsoft.com/office/drawing/2014/chart" uri="{C3380CC4-5D6E-409C-BE32-E72D297353CC}">
              <c16:uniqueId val="{00000000-6F2B-4D50-AA74-09060251845B}"/>
            </c:ext>
          </c:extLst>
        </c:ser>
        <c:dLbls>
          <c:showLegendKey val="0"/>
          <c:showVal val="0"/>
          <c:showCatName val="0"/>
          <c:showSerName val="0"/>
          <c:showPercent val="0"/>
          <c:showBubbleSize val="0"/>
        </c:dLbls>
        <c:gapWidth val="150"/>
        <c:axId val="246676096"/>
        <c:axId val="246158080"/>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Data'!$O$4:$O$24</c:f>
              <c:strCache>
                <c:ptCount val="21"/>
                <c:pt idx="0">
                  <c:v>Washer</c:v>
                </c:pt>
                <c:pt idx="1">
                  <c:v>Logistics Supply (bottles, crowns)</c:v>
                </c:pt>
                <c:pt idx="2">
                  <c:v>Labeller</c:v>
                </c:pt>
                <c:pt idx="3">
                  <c:v>Other Explained</c:v>
                </c:pt>
                <c:pt idx="4">
                  <c:v>Change Over</c:v>
                </c:pt>
                <c:pt idx="5">
                  <c:v>Filler</c:v>
                </c:pt>
                <c:pt idx="6">
                  <c:v>Low Water Pressure</c:v>
                </c:pt>
                <c:pt idx="7">
                  <c:v>EBI</c:v>
                </c:pt>
                <c:pt idx="8">
                  <c:v>Conveyors</c:v>
                </c:pt>
                <c:pt idx="9">
                  <c:v>Uncaser</c:v>
                </c:pt>
                <c:pt idx="10">
                  <c:v>Low Air Pressure</c:v>
                </c:pt>
                <c:pt idx="11">
                  <c:v>Product Delay</c:v>
                </c:pt>
                <c:pt idx="12">
                  <c:v>Low Steam Pressure</c:v>
                </c:pt>
                <c:pt idx="13">
                  <c:v>Low CO2 Pressure</c:v>
                </c:pt>
                <c:pt idx="14">
                  <c:v>Operator Errors</c:v>
                </c:pt>
                <c:pt idx="15">
                  <c:v>Packer</c:v>
                </c:pt>
                <c:pt idx="16">
                  <c:v>VideoJet (Coder)</c:v>
                </c:pt>
                <c:pt idx="17">
                  <c:v>Pasteuriser</c:v>
                </c:pt>
                <c:pt idx="18">
                  <c:v>Crate Rinser</c:v>
                </c:pt>
                <c:pt idx="19">
                  <c:v>Other Unexplained</c:v>
                </c:pt>
                <c:pt idx="20">
                  <c:v>Carton Errector</c:v>
                </c:pt>
              </c:strCache>
            </c:strRef>
          </c:cat>
          <c:val>
            <c:numRef>
              <c:f>'Pareto Data'!$Q$4:$Q$24</c:f>
              <c:numCache>
                <c:formatCode>0.00</c:formatCode>
                <c:ptCount val="21"/>
                <c:pt idx="0">
                  <c:v>0.14210231366583936</c:v>
                </c:pt>
                <c:pt idx="1">
                  <c:v>0.14210231366583936</c:v>
                </c:pt>
                <c:pt idx="2">
                  <c:v>0.18541349771835719</c:v>
                </c:pt>
                <c:pt idx="3">
                  <c:v>0.27683932431350566</c:v>
                </c:pt>
                <c:pt idx="4">
                  <c:v>0.38195500760547585</c:v>
                </c:pt>
                <c:pt idx="5">
                  <c:v>0.59282683532143132</c:v>
                </c:pt>
                <c:pt idx="6">
                  <c:v>0.59282683532143132</c:v>
                </c:pt>
                <c:pt idx="7">
                  <c:v>0.6455848210711711</c:v>
                </c:pt>
                <c:pt idx="8">
                  <c:v>0.78288367624689759</c:v>
                </c:pt>
                <c:pt idx="9">
                  <c:v>0.81778880794171782</c:v>
                </c:pt>
                <c:pt idx="10">
                  <c:v>0.81938996077175541</c:v>
                </c:pt>
                <c:pt idx="11">
                  <c:v>0.84917140341045527</c:v>
                </c:pt>
                <c:pt idx="12">
                  <c:v>0.86318149067328453</c:v>
                </c:pt>
                <c:pt idx="13">
                  <c:v>0.86966615963493688</c:v>
                </c:pt>
                <c:pt idx="14">
                  <c:v>0.87422944520054413</c:v>
                </c:pt>
                <c:pt idx="15">
                  <c:v>0.92282443359218613</c:v>
                </c:pt>
                <c:pt idx="16">
                  <c:v>0.9415579217036264</c:v>
                </c:pt>
                <c:pt idx="17">
                  <c:v>0.9522856456648785</c:v>
                </c:pt>
                <c:pt idx="18">
                  <c:v>0.9522856456648785</c:v>
                </c:pt>
                <c:pt idx="19">
                  <c:v>0.95284604915539162</c:v>
                </c:pt>
                <c:pt idx="20">
                  <c:v>0.98150668481306513</c:v>
                </c:pt>
              </c:numCache>
            </c:numRef>
          </c:val>
          <c:smooth val="0"/>
          <c:extLst>
            <c:ext xmlns:c16="http://schemas.microsoft.com/office/drawing/2014/chart" uri="{C3380CC4-5D6E-409C-BE32-E72D297353CC}">
              <c16:uniqueId val="{00000001-6F2B-4D50-AA74-09060251845B}"/>
            </c:ext>
          </c:extLst>
        </c:ser>
        <c:dLbls>
          <c:showLegendKey val="0"/>
          <c:showVal val="0"/>
          <c:showCatName val="0"/>
          <c:showSerName val="0"/>
          <c:showPercent val="0"/>
          <c:showBubbleSize val="0"/>
        </c:dLbls>
        <c:marker val="1"/>
        <c:smooth val="0"/>
        <c:axId val="246159616"/>
        <c:axId val="246169600"/>
      </c:lineChart>
      <c:catAx>
        <c:axId val="246676096"/>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4504677124236802"/>
              <c:y val="0.94466030604120799"/>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158080"/>
        <c:crosses val="autoZero"/>
        <c:auto val="0"/>
        <c:lblAlgn val="ctr"/>
        <c:lblOffset val="100"/>
        <c:tickLblSkip val="1"/>
        <c:noMultiLvlLbl val="0"/>
      </c:catAx>
      <c:valAx>
        <c:axId val="246158080"/>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9018943876E-2"/>
              <c:y val="0.27011588463722702"/>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676096"/>
        <c:crosses val="autoZero"/>
        <c:crossBetween val="between"/>
      </c:valAx>
      <c:catAx>
        <c:axId val="246159616"/>
        <c:scaling>
          <c:orientation val="minMax"/>
        </c:scaling>
        <c:delete val="1"/>
        <c:axPos val="b"/>
        <c:numFmt formatCode="General" sourceLinked="1"/>
        <c:majorTickMark val="out"/>
        <c:minorTickMark val="none"/>
        <c:tickLblPos val="nextTo"/>
        <c:crossAx val="246169600"/>
        <c:crosses val="autoZero"/>
        <c:auto val="0"/>
        <c:lblAlgn val="ctr"/>
        <c:lblOffset val="100"/>
        <c:noMultiLvlLbl val="0"/>
      </c:catAx>
      <c:valAx>
        <c:axId val="246169600"/>
        <c:scaling>
          <c:orientation val="minMax"/>
        </c:scaling>
        <c:delete val="1"/>
        <c:axPos val="l"/>
        <c:numFmt formatCode="0.00" sourceLinked="1"/>
        <c:majorTickMark val="out"/>
        <c:minorTickMark val="none"/>
        <c:tickLblPos val="nextTo"/>
        <c:crossAx val="246159616"/>
        <c:crosses val="autoZero"/>
        <c:crossBetween val="between"/>
      </c:valAx>
      <c:spPr>
        <a:noFill/>
        <a:ln w="25400">
          <a:noFill/>
        </a:ln>
      </c:spPr>
    </c:plotArea>
    <c:legend>
      <c:legendPos val="r"/>
      <c:layout>
        <c:manualLayout>
          <c:xMode val="edge"/>
          <c:yMode val="edge"/>
          <c:x val="0.64751961704268801"/>
          <c:y val="0.29310432687142202"/>
          <c:w val="0.27415146940829299"/>
          <c:h val="8.0459854798851899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962f8ba-5b2b-4a46-b060-c715e411f00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June</a:t>
            </a:r>
          </a:p>
        </c:rich>
      </c:tx>
      <c:layout>
        <c:manualLayout>
          <c:xMode val="edge"/>
          <c:yMode val="edge"/>
          <c:x val="0.147368319797722"/>
          <c:y val="3.4482970330463103E-2"/>
        </c:manualLayout>
      </c:layout>
      <c:overlay val="0"/>
      <c:spPr>
        <a:noFill/>
        <a:ln w="25400">
          <a:noFill/>
        </a:ln>
      </c:spPr>
    </c:title>
    <c:autoTitleDeleted val="0"/>
    <c:plotArea>
      <c:layout>
        <c:manualLayout>
          <c:layoutTarget val="inner"/>
          <c:xMode val="edge"/>
          <c:yMode val="edge"/>
          <c:x val="0.163157894736842"/>
          <c:y val="0.11015386007783499"/>
          <c:w val="0.82368421052631602"/>
          <c:h val="0.54908619181222995"/>
        </c:manualLayout>
      </c:layout>
      <c:barChart>
        <c:barDir val="col"/>
        <c:grouping val="clustered"/>
        <c:varyColors val="0"/>
        <c:ser>
          <c:idx val="1"/>
          <c:order val="0"/>
          <c:tx>
            <c:strRef>
              <c:f>'Pareto Data'!$H$27</c:f>
              <c:strCache>
                <c:ptCount val="1"/>
              </c:strCache>
            </c:strRef>
          </c:tx>
          <c:spPr>
            <a:solidFill>
              <a:srgbClr val="993366"/>
            </a:solidFill>
            <a:ln w="12700">
              <a:solidFill>
                <a:srgbClr val="000000"/>
              </a:solidFill>
              <a:prstDash val="solid"/>
            </a:ln>
          </c:spPr>
          <c:invertIfNegative val="0"/>
          <c:cat>
            <c:strRef>
              <c:f>'Pareto Data'!$G$28:$G$48</c:f>
              <c:strCache>
                <c:ptCount val="21"/>
                <c:pt idx="0">
                  <c:v>Machines</c:v>
                </c:pt>
                <c:pt idx="1">
                  <c:v>Washer</c:v>
                </c:pt>
                <c:pt idx="2">
                  <c:v>Other Explained</c:v>
                </c:pt>
                <c:pt idx="3">
                  <c:v>Conveyors</c:v>
                </c:pt>
                <c:pt idx="4">
                  <c:v>Low Water Pressure</c:v>
                </c:pt>
                <c:pt idx="5">
                  <c:v>Filler</c:v>
                </c:pt>
                <c:pt idx="6">
                  <c:v>EBI</c:v>
                </c:pt>
                <c:pt idx="7">
                  <c:v>Change Over</c:v>
                </c:pt>
                <c:pt idx="8">
                  <c:v>Uncaser</c:v>
                </c:pt>
                <c:pt idx="9">
                  <c:v>Product Delay</c:v>
                </c:pt>
                <c:pt idx="10">
                  <c:v>Labeller</c:v>
                </c:pt>
                <c:pt idx="11">
                  <c:v>Low Steam Pressure</c:v>
                </c:pt>
                <c:pt idx="12">
                  <c:v>Pasteuriser</c:v>
                </c:pt>
                <c:pt idx="13">
                  <c:v>Low CO2 Pressure</c:v>
                </c:pt>
                <c:pt idx="14">
                  <c:v>VideoJet (Coder)</c:v>
                </c:pt>
                <c:pt idx="15">
                  <c:v>Low Air Pressure</c:v>
                </c:pt>
                <c:pt idx="16">
                  <c:v>Packer</c:v>
                </c:pt>
                <c:pt idx="17">
                  <c:v>Operator Errors</c:v>
                </c:pt>
                <c:pt idx="18">
                  <c:v>Carton Errector</c:v>
                </c:pt>
                <c:pt idx="19">
                  <c:v>Other Unexplained</c:v>
                </c:pt>
                <c:pt idx="20">
                  <c:v>Crate Rinser</c:v>
                </c:pt>
              </c:strCache>
            </c:strRef>
          </c:cat>
          <c:val>
            <c:numRef>
              <c:f>'Pareto Data'!$H$28:$H$48</c:f>
              <c:numCache>
                <c:formatCode>0.00000</c:formatCode>
                <c:ptCount val="21"/>
                <c:pt idx="0" formatCode="General">
                  <c:v>0</c:v>
                </c:pt>
                <c:pt idx="1">
                  <c:v>6.9403374499913031E-2</c:v>
                </c:pt>
                <c:pt idx="2">
                  <c:v>0.11149765176552445</c:v>
                </c:pt>
                <c:pt idx="3">
                  <c:v>6.4880848843277092E-2</c:v>
                </c:pt>
                <c:pt idx="4">
                  <c:v>6.7837884849539058E-3</c:v>
                </c:pt>
                <c:pt idx="5">
                  <c:v>1.2523917202991825E-2</c:v>
                </c:pt>
                <c:pt idx="6">
                  <c:v>4.2963993738041398E-2</c:v>
                </c:pt>
                <c:pt idx="7">
                  <c:v>0.10175682727430858</c:v>
                </c:pt>
                <c:pt idx="8">
                  <c:v>1.4785180031309795E-2</c:v>
                </c:pt>
                <c:pt idx="9">
                  <c:v>2.7830927117759609E-2</c:v>
                </c:pt>
                <c:pt idx="10">
                  <c:v>1.5480953209253785E-2</c:v>
                </c:pt>
                <c:pt idx="11">
                  <c:v>0</c:v>
                </c:pt>
                <c:pt idx="12">
                  <c:v>0.46895112193424943</c:v>
                </c:pt>
                <c:pt idx="13">
                  <c:v>1.635066968168377E-2</c:v>
                </c:pt>
                <c:pt idx="14">
                  <c:v>1.8264045921029745E-2</c:v>
                </c:pt>
                <c:pt idx="15">
                  <c:v>1.2002087319533832E-2</c:v>
                </c:pt>
                <c:pt idx="16">
                  <c:v>1.5654896503739782E-3</c:v>
                </c:pt>
                <c:pt idx="17">
                  <c:v>3.3049225952339538E-3</c:v>
                </c:pt>
                <c:pt idx="18">
                  <c:v>0</c:v>
                </c:pt>
                <c:pt idx="19">
                  <c:v>5.2182988345799276E-4</c:v>
                </c:pt>
                <c:pt idx="20">
                  <c:v>0</c:v>
                </c:pt>
              </c:numCache>
            </c:numRef>
          </c:val>
          <c:extLst>
            <c:ext xmlns:c16="http://schemas.microsoft.com/office/drawing/2014/chart" uri="{C3380CC4-5D6E-409C-BE32-E72D297353CC}">
              <c16:uniqueId val="{00000000-DB63-445A-8D13-318BAD2C9DFD}"/>
            </c:ext>
          </c:extLst>
        </c:ser>
        <c:dLbls>
          <c:showLegendKey val="0"/>
          <c:showVal val="0"/>
          <c:showCatName val="0"/>
          <c:showSerName val="0"/>
          <c:showPercent val="0"/>
          <c:showBubbleSize val="0"/>
        </c:dLbls>
        <c:gapWidth val="150"/>
        <c:axId val="246216960"/>
        <c:axId val="246223616"/>
      </c:barChart>
      <c:lineChart>
        <c:grouping val="standard"/>
        <c:varyColors val="0"/>
        <c:ser>
          <c:idx val="0"/>
          <c:order val="1"/>
          <c:tx>
            <c:strRef>
              <c:f>'Pareto Data'!$I$27</c:f>
              <c:strCache>
                <c:ptCount val="1"/>
              </c:strCache>
            </c:strRef>
          </c:tx>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Data'!$G$28:$G$48</c:f>
              <c:strCache>
                <c:ptCount val="21"/>
                <c:pt idx="0">
                  <c:v>Machines</c:v>
                </c:pt>
                <c:pt idx="1">
                  <c:v>Washer</c:v>
                </c:pt>
                <c:pt idx="2">
                  <c:v>Other Explained</c:v>
                </c:pt>
                <c:pt idx="3">
                  <c:v>Conveyors</c:v>
                </c:pt>
                <c:pt idx="4">
                  <c:v>Low Water Pressure</c:v>
                </c:pt>
                <c:pt idx="5">
                  <c:v>Filler</c:v>
                </c:pt>
                <c:pt idx="6">
                  <c:v>EBI</c:v>
                </c:pt>
                <c:pt idx="7">
                  <c:v>Change Over</c:v>
                </c:pt>
                <c:pt idx="8">
                  <c:v>Uncaser</c:v>
                </c:pt>
                <c:pt idx="9">
                  <c:v>Product Delay</c:v>
                </c:pt>
                <c:pt idx="10">
                  <c:v>Labeller</c:v>
                </c:pt>
                <c:pt idx="11">
                  <c:v>Low Steam Pressure</c:v>
                </c:pt>
                <c:pt idx="12">
                  <c:v>Pasteuriser</c:v>
                </c:pt>
                <c:pt idx="13">
                  <c:v>Low CO2 Pressure</c:v>
                </c:pt>
                <c:pt idx="14">
                  <c:v>VideoJet (Coder)</c:v>
                </c:pt>
                <c:pt idx="15">
                  <c:v>Low Air Pressure</c:v>
                </c:pt>
                <c:pt idx="16">
                  <c:v>Packer</c:v>
                </c:pt>
                <c:pt idx="17">
                  <c:v>Operator Errors</c:v>
                </c:pt>
                <c:pt idx="18">
                  <c:v>Carton Errector</c:v>
                </c:pt>
                <c:pt idx="19">
                  <c:v>Other Unexplained</c:v>
                </c:pt>
                <c:pt idx="20">
                  <c:v>Crate Rinser</c:v>
                </c:pt>
              </c:strCache>
            </c:strRef>
          </c:cat>
          <c:val>
            <c:numRef>
              <c:f>'Pareto Data'!$I$28:$I$48</c:f>
              <c:numCache>
                <c:formatCode>0.00000</c:formatCode>
                <c:ptCount val="21"/>
                <c:pt idx="0" formatCode="General">
                  <c:v>0</c:v>
                </c:pt>
                <c:pt idx="1">
                  <c:v>6.9403374499913031E-2</c:v>
                </c:pt>
                <c:pt idx="2">
                  <c:v>0.18090102626543747</c:v>
                </c:pt>
                <c:pt idx="3">
                  <c:v>0.24578187510871458</c:v>
                </c:pt>
                <c:pt idx="4">
                  <c:v>0.2525656635936685</c:v>
                </c:pt>
                <c:pt idx="5">
                  <c:v>0.26508958079666034</c:v>
                </c:pt>
                <c:pt idx="6">
                  <c:v>0.30805357453470172</c:v>
                </c:pt>
                <c:pt idx="7">
                  <c:v>0.40981040180901029</c:v>
                </c:pt>
                <c:pt idx="8">
                  <c:v>0.42459558184032009</c:v>
                </c:pt>
                <c:pt idx="9">
                  <c:v>0.45242650895807968</c:v>
                </c:pt>
                <c:pt idx="10">
                  <c:v>0.46790746216733348</c:v>
                </c:pt>
                <c:pt idx="11">
                  <c:v>0.46790746216733348</c:v>
                </c:pt>
                <c:pt idx="12">
                  <c:v>0.93685858410158285</c:v>
                </c:pt>
                <c:pt idx="13">
                  <c:v>0.9532092537832666</c:v>
                </c:pt>
                <c:pt idx="14">
                  <c:v>0.9714732997042963</c:v>
                </c:pt>
                <c:pt idx="15">
                  <c:v>0.98347538702383008</c:v>
                </c:pt>
                <c:pt idx="16">
                  <c:v>0.98504087667420404</c:v>
                </c:pt>
                <c:pt idx="17">
                  <c:v>0.988345799269438</c:v>
                </c:pt>
                <c:pt idx="18">
                  <c:v>0.988345799269438</c:v>
                </c:pt>
                <c:pt idx="19">
                  <c:v>0.98886762915289594</c:v>
                </c:pt>
                <c:pt idx="20">
                  <c:v>0.98886762915289594</c:v>
                </c:pt>
              </c:numCache>
            </c:numRef>
          </c:val>
          <c:smooth val="0"/>
          <c:extLst>
            <c:ext xmlns:c16="http://schemas.microsoft.com/office/drawing/2014/chart" uri="{C3380CC4-5D6E-409C-BE32-E72D297353CC}">
              <c16:uniqueId val="{00000001-DB63-445A-8D13-318BAD2C9DFD}"/>
            </c:ext>
          </c:extLst>
        </c:ser>
        <c:dLbls>
          <c:showLegendKey val="0"/>
          <c:showVal val="0"/>
          <c:showCatName val="0"/>
          <c:showSerName val="0"/>
          <c:showPercent val="0"/>
          <c:showBubbleSize val="0"/>
        </c:dLbls>
        <c:marker val="1"/>
        <c:smooth val="0"/>
        <c:axId val="246225536"/>
        <c:axId val="246227328"/>
      </c:lineChart>
      <c:catAx>
        <c:axId val="24621696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8947355402564202"/>
              <c:y val="0.92241654003775797"/>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23616"/>
        <c:crosses val="autoZero"/>
        <c:auto val="0"/>
        <c:lblAlgn val="ctr"/>
        <c:lblOffset val="100"/>
        <c:tickLblSkip val="1"/>
        <c:noMultiLvlLbl val="0"/>
      </c:catAx>
      <c:valAx>
        <c:axId val="246223616"/>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2.3684159898860802E-2"/>
              <c:y val="0.27011588463722702"/>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16960"/>
        <c:crosses val="autoZero"/>
        <c:crossBetween val="between"/>
      </c:valAx>
      <c:catAx>
        <c:axId val="246225536"/>
        <c:scaling>
          <c:orientation val="minMax"/>
        </c:scaling>
        <c:delete val="1"/>
        <c:axPos val="b"/>
        <c:numFmt formatCode="General" sourceLinked="1"/>
        <c:majorTickMark val="out"/>
        <c:minorTickMark val="none"/>
        <c:tickLblPos val="nextTo"/>
        <c:crossAx val="246227328"/>
        <c:crosses val="autoZero"/>
        <c:auto val="0"/>
        <c:lblAlgn val="ctr"/>
        <c:lblOffset val="100"/>
        <c:noMultiLvlLbl val="0"/>
      </c:catAx>
      <c:valAx>
        <c:axId val="246227328"/>
        <c:scaling>
          <c:orientation val="minMax"/>
        </c:scaling>
        <c:delete val="1"/>
        <c:axPos val="l"/>
        <c:numFmt formatCode="General" sourceLinked="1"/>
        <c:majorTickMark val="out"/>
        <c:minorTickMark val="none"/>
        <c:tickLblPos val="nextTo"/>
        <c:crossAx val="246225536"/>
        <c:crosses val="autoZero"/>
        <c:crossBetween val="between"/>
      </c:valAx>
      <c:spPr>
        <a:noFill/>
        <a:ln w="25400">
          <a:noFill/>
        </a:ln>
      </c:spPr>
    </c:plotArea>
    <c:legend>
      <c:legendPos val="r"/>
      <c:layout>
        <c:manualLayout>
          <c:xMode val="edge"/>
          <c:yMode val="edge"/>
          <c:x val="0.65526322298717898"/>
          <c:y val="0.29885128394038502"/>
          <c:w val="0.323684159898861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dfb7f4d2-ca5c-4574-a305-ca9de7150192}"/>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July</a:t>
            </a:r>
          </a:p>
        </c:rich>
      </c:tx>
      <c:layout>
        <c:manualLayout>
          <c:xMode val="edge"/>
          <c:yMode val="edge"/>
          <c:x val="0.15526325527846899"/>
          <c:y val="3.4482663351291597E-2"/>
        </c:manualLayout>
      </c:layout>
      <c:overlay val="0"/>
      <c:spPr>
        <a:noFill/>
        <a:ln w="25400">
          <a:noFill/>
        </a:ln>
      </c:spPr>
    </c:title>
    <c:autoTitleDeleted val="0"/>
    <c:plotArea>
      <c:layout>
        <c:manualLayout>
          <c:layoutTarget val="inner"/>
          <c:xMode val="edge"/>
          <c:yMode val="edge"/>
          <c:x val="0.226315789473684"/>
          <c:y val="0.175287848217067"/>
          <c:w val="0.75263157894736799"/>
          <c:h val="0.51436925952221302"/>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Data'!$K$29:$K$48</c:f>
              <c:strCache>
                <c:ptCount val="20"/>
                <c:pt idx="0">
                  <c:v>Washer</c:v>
                </c:pt>
                <c:pt idx="1">
                  <c:v>Other Explained</c:v>
                </c:pt>
                <c:pt idx="2">
                  <c:v>Conveyors</c:v>
                </c:pt>
                <c:pt idx="3">
                  <c:v>Product Delay</c:v>
                </c:pt>
                <c:pt idx="4">
                  <c:v>Change Over</c:v>
                </c:pt>
                <c:pt idx="5">
                  <c:v>Low Steam Pressure</c:v>
                </c:pt>
                <c:pt idx="6">
                  <c:v>Filler</c:v>
                </c:pt>
                <c:pt idx="7">
                  <c:v>Labeller</c:v>
                </c:pt>
                <c:pt idx="8">
                  <c:v>Uncaser</c:v>
                </c:pt>
                <c:pt idx="9">
                  <c:v>EBI</c:v>
                </c:pt>
                <c:pt idx="10">
                  <c:v>Low Water Pressure</c:v>
                </c:pt>
                <c:pt idx="11">
                  <c:v>Packer</c:v>
                </c:pt>
                <c:pt idx="12">
                  <c:v>Pasteuiser</c:v>
                </c:pt>
                <c:pt idx="13">
                  <c:v>VideoJet (Coder)</c:v>
                </c:pt>
                <c:pt idx="14">
                  <c:v>Low CO2 Pressure</c:v>
                </c:pt>
                <c:pt idx="15">
                  <c:v>Operator Errors</c:v>
                </c:pt>
                <c:pt idx="16">
                  <c:v>Low Air Pressure</c:v>
                </c:pt>
                <c:pt idx="17">
                  <c:v>Carton Errector</c:v>
                </c:pt>
                <c:pt idx="18">
                  <c:v>Other Unexplained</c:v>
                </c:pt>
                <c:pt idx="19">
                  <c:v>Crate Rinser</c:v>
                </c:pt>
              </c:strCache>
            </c:strRef>
          </c:cat>
          <c:val>
            <c:numRef>
              <c:f>'Pareto Data'!$L$29:$L$48</c:f>
              <c:numCache>
                <c:formatCode>0.00000</c:formatCode>
                <c:ptCount val="20"/>
                <c:pt idx="0">
                  <c:v>5.4438913742045229E-2</c:v>
                </c:pt>
                <c:pt idx="1">
                  <c:v>0.23168042341377351</c:v>
                </c:pt>
                <c:pt idx="2">
                  <c:v>6.0739713943670837E-2</c:v>
                </c:pt>
                <c:pt idx="3">
                  <c:v>0.14876189276038054</c:v>
                </c:pt>
                <c:pt idx="4">
                  <c:v>9.6339235082855509E-2</c:v>
                </c:pt>
                <c:pt idx="5">
                  <c:v>0</c:v>
                </c:pt>
                <c:pt idx="6">
                  <c:v>3.0432864973851677E-2</c:v>
                </c:pt>
                <c:pt idx="7">
                  <c:v>5.2233633671476265E-2</c:v>
                </c:pt>
                <c:pt idx="8">
                  <c:v>2.0414592653266964E-2</c:v>
                </c:pt>
                <c:pt idx="9">
                  <c:v>6.0928737949719605E-2</c:v>
                </c:pt>
                <c:pt idx="10">
                  <c:v>3.6544641169428513E-3</c:v>
                </c:pt>
                <c:pt idx="11">
                  <c:v>2.4825152794404885E-2</c:v>
                </c:pt>
                <c:pt idx="12">
                  <c:v>9.7662403125196875E-2</c:v>
                </c:pt>
                <c:pt idx="13">
                  <c:v>3.8371873227899936E-2</c:v>
                </c:pt>
                <c:pt idx="14">
                  <c:v>1.2853632411316235E-2</c:v>
                </c:pt>
                <c:pt idx="15">
                  <c:v>1.9532480625039381E-3</c:v>
                </c:pt>
                <c:pt idx="16">
                  <c:v>0</c:v>
                </c:pt>
                <c:pt idx="17">
                  <c:v>3.06848969819167E-2</c:v>
                </c:pt>
                <c:pt idx="18">
                  <c:v>1.8272320584714256E-3</c:v>
                </c:pt>
                <c:pt idx="19">
                  <c:v>1.260160040325121E-3</c:v>
                </c:pt>
              </c:numCache>
            </c:numRef>
          </c:val>
          <c:extLst>
            <c:ext xmlns:c16="http://schemas.microsoft.com/office/drawing/2014/chart" uri="{C3380CC4-5D6E-409C-BE32-E72D297353CC}">
              <c16:uniqueId val="{00000000-8280-41BB-BBBD-909FF131AAD1}"/>
            </c:ext>
          </c:extLst>
        </c:ser>
        <c:dLbls>
          <c:showLegendKey val="0"/>
          <c:showVal val="0"/>
          <c:showCatName val="0"/>
          <c:showSerName val="0"/>
          <c:showPercent val="0"/>
          <c:showBubbleSize val="0"/>
        </c:dLbls>
        <c:gapWidth val="150"/>
        <c:axId val="246265728"/>
        <c:axId val="24626828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Data'!$K$29:$K$48</c:f>
              <c:strCache>
                <c:ptCount val="20"/>
                <c:pt idx="0">
                  <c:v>Washer</c:v>
                </c:pt>
                <c:pt idx="1">
                  <c:v>Other Explained</c:v>
                </c:pt>
                <c:pt idx="2">
                  <c:v>Conveyors</c:v>
                </c:pt>
                <c:pt idx="3">
                  <c:v>Product Delay</c:v>
                </c:pt>
                <c:pt idx="4">
                  <c:v>Change Over</c:v>
                </c:pt>
                <c:pt idx="5">
                  <c:v>Low Steam Pressure</c:v>
                </c:pt>
                <c:pt idx="6">
                  <c:v>Filler</c:v>
                </c:pt>
                <c:pt idx="7">
                  <c:v>Labeller</c:v>
                </c:pt>
                <c:pt idx="8">
                  <c:v>Uncaser</c:v>
                </c:pt>
                <c:pt idx="9">
                  <c:v>EBI</c:v>
                </c:pt>
                <c:pt idx="10">
                  <c:v>Low Water Pressure</c:v>
                </c:pt>
                <c:pt idx="11">
                  <c:v>Packer</c:v>
                </c:pt>
                <c:pt idx="12">
                  <c:v>Pasteuiser</c:v>
                </c:pt>
                <c:pt idx="13">
                  <c:v>VideoJet (Coder)</c:v>
                </c:pt>
                <c:pt idx="14">
                  <c:v>Low CO2 Pressure</c:v>
                </c:pt>
                <c:pt idx="15">
                  <c:v>Operator Errors</c:v>
                </c:pt>
                <c:pt idx="16">
                  <c:v>Low Air Pressure</c:v>
                </c:pt>
                <c:pt idx="17">
                  <c:v>Carton Errector</c:v>
                </c:pt>
                <c:pt idx="18">
                  <c:v>Other Unexplained</c:v>
                </c:pt>
                <c:pt idx="19">
                  <c:v>Crate Rinser</c:v>
                </c:pt>
              </c:strCache>
            </c:strRef>
          </c:cat>
          <c:val>
            <c:numRef>
              <c:f>'Pareto Data'!$M$29:$M$48</c:f>
              <c:numCache>
                <c:formatCode>0.00000</c:formatCode>
                <c:ptCount val="20"/>
                <c:pt idx="0">
                  <c:v>5.4438913742045229E-2</c:v>
                </c:pt>
                <c:pt idx="1">
                  <c:v>0.28611933715581872</c:v>
                </c:pt>
                <c:pt idx="2">
                  <c:v>0.34685905109948956</c:v>
                </c:pt>
                <c:pt idx="3">
                  <c:v>0.4956209438598701</c:v>
                </c:pt>
                <c:pt idx="4">
                  <c:v>0.59196017894272557</c:v>
                </c:pt>
                <c:pt idx="5">
                  <c:v>0.59196017894272557</c:v>
                </c:pt>
                <c:pt idx="6">
                  <c:v>0.62239304391657724</c:v>
                </c:pt>
                <c:pt idx="7">
                  <c:v>0.6746266775880535</c:v>
                </c:pt>
                <c:pt idx="8">
                  <c:v>0.69504127024132045</c:v>
                </c:pt>
                <c:pt idx="9">
                  <c:v>0.7559700081910401</c:v>
                </c:pt>
                <c:pt idx="10">
                  <c:v>0.75962447230798291</c:v>
                </c:pt>
                <c:pt idx="11">
                  <c:v>0.7844496251023878</c:v>
                </c:pt>
                <c:pt idx="12">
                  <c:v>0.88211202822758472</c:v>
                </c:pt>
                <c:pt idx="13">
                  <c:v>0.92048390145548464</c:v>
                </c:pt>
                <c:pt idx="14">
                  <c:v>0.93333753386680085</c:v>
                </c:pt>
                <c:pt idx="15">
                  <c:v>0.93529078192930482</c:v>
                </c:pt>
                <c:pt idx="16">
                  <c:v>0.93529078192930482</c:v>
                </c:pt>
                <c:pt idx="17">
                  <c:v>0.96597567891122149</c:v>
                </c:pt>
                <c:pt idx="18">
                  <c:v>0.96780291096969295</c:v>
                </c:pt>
                <c:pt idx="19">
                  <c:v>0.9690630710100181</c:v>
                </c:pt>
              </c:numCache>
            </c:numRef>
          </c:val>
          <c:smooth val="0"/>
          <c:extLst>
            <c:ext xmlns:c16="http://schemas.microsoft.com/office/drawing/2014/chart" uri="{C3380CC4-5D6E-409C-BE32-E72D297353CC}">
              <c16:uniqueId val="{00000001-8280-41BB-BBBD-909FF131AAD1}"/>
            </c:ext>
          </c:extLst>
        </c:ser>
        <c:dLbls>
          <c:showLegendKey val="0"/>
          <c:showVal val="0"/>
          <c:showCatName val="0"/>
          <c:showSerName val="0"/>
          <c:showPercent val="0"/>
          <c:showBubbleSize val="0"/>
        </c:dLbls>
        <c:marker val="1"/>
        <c:smooth val="0"/>
        <c:axId val="246270208"/>
        <c:axId val="246276096"/>
      </c:lineChart>
      <c:catAx>
        <c:axId val="24626572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50248775038890403"/>
              <c:y val="0.92616383478381004"/>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68288"/>
        <c:crosses val="autoZero"/>
        <c:auto val="0"/>
        <c:lblAlgn val="ctr"/>
        <c:lblOffset val="100"/>
        <c:tickLblSkip val="1"/>
        <c:noMultiLvlLbl val="0"/>
      </c:catAx>
      <c:valAx>
        <c:axId val="24626828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898343646999E-2"/>
              <c:y val="0.295977958895489"/>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265728"/>
        <c:crosses val="autoZero"/>
        <c:crossBetween val="between"/>
      </c:valAx>
      <c:catAx>
        <c:axId val="246270208"/>
        <c:scaling>
          <c:orientation val="minMax"/>
        </c:scaling>
        <c:delete val="1"/>
        <c:axPos val="b"/>
        <c:numFmt formatCode="General" sourceLinked="1"/>
        <c:majorTickMark val="out"/>
        <c:minorTickMark val="none"/>
        <c:tickLblPos val="nextTo"/>
        <c:crossAx val="246276096"/>
        <c:crosses val="autoZero"/>
        <c:auto val="0"/>
        <c:lblAlgn val="ctr"/>
        <c:lblOffset val="100"/>
        <c:noMultiLvlLbl val="0"/>
      </c:catAx>
      <c:valAx>
        <c:axId val="246276096"/>
        <c:scaling>
          <c:orientation val="minMax"/>
        </c:scaling>
        <c:delete val="1"/>
        <c:axPos val="l"/>
        <c:numFmt formatCode="0.00000" sourceLinked="1"/>
        <c:majorTickMark val="out"/>
        <c:minorTickMark val="none"/>
        <c:tickLblPos val="nextTo"/>
        <c:crossAx val="246270208"/>
        <c:crosses val="autoZero"/>
        <c:crossBetween val="between"/>
      </c:valAx>
      <c:spPr>
        <a:noFill/>
        <a:ln w="25400">
          <a:noFill/>
        </a:ln>
      </c:spPr>
    </c:plotArea>
    <c:legend>
      <c:legendPos val="r"/>
      <c:layout>
        <c:manualLayout>
          <c:xMode val="edge"/>
          <c:yMode val="edge"/>
          <c:x val="0.63947369503094098"/>
          <c:y val="0.34195484336387799"/>
          <c:w val="0.31315776128506101"/>
          <c:h val="9.4827707940016298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12a1797-8a47-4181-9138-fb95b2c73f6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August</a:t>
            </a:r>
          </a:p>
        </c:rich>
      </c:tx>
      <c:layout>
        <c:manualLayout>
          <c:xMode val="edge"/>
          <c:yMode val="edge"/>
          <c:x val="0.17535886548212901"/>
          <c:y val="4.5756421209812097E-2"/>
        </c:manualLayout>
      </c:layout>
      <c:overlay val="0"/>
      <c:spPr>
        <a:noFill/>
        <a:ln w="25400">
          <a:noFill/>
        </a:ln>
      </c:spPr>
    </c:title>
    <c:autoTitleDeleted val="0"/>
    <c:plotArea>
      <c:layout>
        <c:manualLayout>
          <c:layoutTarget val="inner"/>
          <c:xMode val="edge"/>
          <c:yMode val="edge"/>
          <c:x val="0.231578947368421"/>
          <c:y val="0.175287848217067"/>
          <c:w val="0.731578947368421"/>
          <c:h val="0.48850711798198998"/>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Data'!$O$29:$O$48</c:f>
              <c:strCache>
                <c:ptCount val="20"/>
                <c:pt idx="0">
                  <c:v>Filler</c:v>
                </c:pt>
                <c:pt idx="1">
                  <c:v>Labeller</c:v>
                </c:pt>
                <c:pt idx="2">
                  <c:v>Washer</c:v>
                </c:pt>
                <c:pt idx="3">
                  <c:v>Other Explained</c:v>
                </c:pt>
                <c:pt idx="4">
                  <c:v>Conveyors</c:v>
                </c:pt>
                <c:pt idx="5">
                  <c:v>Change Over</c:v>
                </c:pt>
                <c:pt idx="6">
                  <c:v>Uncaser</c:v>
                </c:pt>
                <c:pt idx="7">
                  <c:v>EBI</c:v>
                </c:pt>
                <c:pt idx="8">
                  <c:v>Product Delay</c:v>
                </c:pt>
                <c:pt idx="9">
                  <c:v>VideoJet (Coder)</c:v>
                </c:pt>
                <c:pt idx="10">
                  <c:v>Low Steam Pressure</c:v>
                </c:pt>
                <c:pt idx="11">
                  <c:v>Pasteuiser</c:v>
                </c:pt>
                <c:pt idx="12">
                  <c:v>Low Water Pressure</c:v>
                </c:pt>
                <c:pt idx="13">
                  <c:v>Packer</c:v>
                </c:pt>
                <c:pt idx="14">
                  <c:v>Low Air Pressure</c:v>
                </c:pt>
                <c:pt idx="15">
                  <c:v>Other Unexplained</c:v>
                </c:pt>
                <c:pt idx="16">
                  <c:v>Low CO2 Pressure</c:v>
                </c:pt>
                <c:pt idx="17">
                  <c:v>Operator Errors</c:v>
                </c:pt>
                <c:pt idx="18">
                  <c:v>Carton Errector</c:v>
                </c:pt>
                <c:pt idx="19">
                  <c:v>Crate Rinser</c:v>
                </c:pt>
              </c:strCache>
            </c:strRef>
          </c:cat>
          <c:val>
            <c:numRef>
              <c:f>'Pareto Data'!$P$29:$P$48</c:f>
              <c:numCache>
                <c:formatCode>0.00000</c:formatCode>
                <c:ptCount val="20"/>
                <c:pt idx="0">
                  <c:v>7.5387079551521602E-2</c:v>
                </c:pt>
                <c:pt idx="1">
                  <c:v>0.12290443139348634</c:v>
                </c:pt>
                <c:pt idx="2">
                  <c:v>6.8766684463427624E-2</c:v>
                </c:pt>
                <c:pt idx="3">
                  <c:v>0.1139348638547784</c:v>
                </c:pt>
                <c:pt idx="4">
                  <c:v>8.2754938601174541E-2</c:v>
                </c:pt>
                <c:pt idx="5">
                  <c:v>0.14212493326214623</c:v>
                </c:pt>
                <c:pt idx="6">
                  <c:v>3.8868126001067788E-2</c:v>
                </c:pt>
                <c:pt idx="7">
                  <c:v>6.214628937533366E-2</c:v>
                </c:pt>
                <c:pt idx="8">
                  <c:v>4.0683395621996778E-2</c:v>
                </c:pt>
                <c:pt idx="9">
                  <c:v>8.8627869727709516E-3</c:v>
                </c:pt>
                <c:pt idx="10">
                  <c:v>0</c:v>
                </c:pt>
                <c:pt idx="11">
                  <c:v>8.4676988788040544E-2</c:v>
                </c:pt>
                <c:pt idx="12">
                  <c:v>5.5525894287239697E-3</c:v>
                </c:pt>
                <c:pt idx="13">
                  <c:v>1.5696743192738918E-2</c:v>
                </c:pt>
                <c:pt idx="14">
                  <c:v>1.2172984516817933E-2</c:v>
                </c:pt>
                <c:pt idx="15">
                  <c:v>3.203416978109983E-4</c:v>
                </c:pt>
                <c:pt idx="16">
                  <c:v>7.7949813134009574E-3</c:v>
                </c:pt>
                <c:pt idx="17">
                  <c:v>1.3134009610250928E-2</c:v>
                </c:pt>
                <c:pt idx="18">
                  <c:v>1.9006940736785896E-2</c:v>
                </c:pt>
                <c:pt idx="19">
                  <c:v>0</c:v>
                </c:pt>
              </c:numCache>
            </c:numRef>
          </c:val>
          <c:extLst>
            <c:ext xmlns:c16="http://schemas.microsoft.com/office/drawing/2014/chart" uri="{C3380CC4-5D6E-409C-BE32-E72D297353CC}">
              <c16:uniqueId val="{00000000-EA1F-48BC-90BE-A85CE0965132}"/>
            </c:ext>
          </c:extLst>
        </c:ser>
        <c:dLbls>
          <c:showLegendKey val="0"/>
          <c:showVal val="0"/>
          <c:showCatName val="0"/>
          <c:showSerName val="0"/>
          <c:showPercent val="0"/>
          <c:showBubbleSize val="0"/>
        </c:dLbls>
        <c:gapWidth val="150"/>
        <c:axId val="246380800"/>
        <c:axId val="246387456"/>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Data'!$O$29:$O$48</c:f>
              <c:strCache>
                <c:ptCount val="20"/>
                <c:pt idx="0">
                  <c:v>Filler</c:v>
                </c:pt>
                <c:pt idx="1">
                  <c:v>Labeller</c:v>
                </c:pt>
                <c:pt idx="2">
                  <c:v>Washer</c:v>
                </c:pt>
                <c:pt idx="3">
                  <c:v>Other Explained</c:v>
                </c:pt>
                <c:pt idx="4">
                  <c:v>Conveyors</c:v>
                </c:pt>
                <c:pt idx="5">
                  <c:v>Change Over</c:v>
                </c:pt>
                <c:pt idx="6">
                  <c:v>Uncaser</c:v>
                </c:pt>
                <c:pt idx="7">
                  <c:v>EBI</c:v>
                </c:pt>
                <c:pt idx="8">
                  <c:v>Product Delay</c:v>
                </c:pt>
                <c:pt idx="9">
                  <c:v>VideoJet (Coder)</c:v>
                </c:pt>
                <c:pt idx="10">
                  <c:v>Low Steam Pressure</c:v>
                </c:pt>
                <c:pt idx="11">
                  <c:v>Pasteuiser</c:v>
                </c:pt>
                <c:pt idx="12">
                  <c:v>Low Water Pressure</c:v>
                </c:pt>
                <c:pt idx="13">
                  <c:v>Packer</c:v>
                </c:pt>
                <c:pt idx="14">
                  <c:v>Low Air Pressure</c:v>
                </c:pt>
                <c:pt idx="15">
                  <c:v>Other Unexplained</c:v>
                </c:pt>
                <c:pt idx="16">
                  <c:v>Low CO2 Pressure</c:v>
                </c:pt>
                <c:pt idx="17">
                  <c:v>Operator Errors</c:v>
                </c:pt>
                <c:pt idx="18">
                  <c:v>Carton Errector</c:v>
                </c:pt>
                <c:pt idx="19">
                  <c:v>Crate Rinser</c:v>
                </c:pt>
              </c:strCache>
            </c:strRef>
          </c:cat>
          <c:val>
            <c:numRef>
              <c:f>'Pareto Data'!$Q$29:$Q$48</c:f>
              <c:numCache>
                <c:formatCode>0.00000</c:formatCode>
                <c:ptCount val="20"/>
                <c:pt idx="0">
                  <c:v>7.5387079551521602E-2</c:v>
                </c:pt>
                <c:pt idx="1">
                  <c:v>0.19829151094500794</c:v>
                </c:pt>
                <c:pt idx="2">
                  <c:v>6.8766684463427624E-2</c:v>
                </c:pt>
                <c:pt idx="3">
                  <c:v>0.38099305926321397</c:v>
                </c:pt>
                <c:pt idx="4">
                  <c:v>0.46374799786438853</c:v>
                </c:pt>
                <c:pt idx="5">
                  <c:v>0.60587293112653473</c:v>
                </c:pt>
                <c:pt idx="6">
                  <c:v>0.64474105712760255</c:v>
                </c:pt>
                <c:pt idx="7">
                  <c:v>0.70688734650293616</c:v>
                </c:pt>
                <c:pt idx="8">
                  <c:v>0.74757074212493291</c:v>
                </c:pt>
                <c:pt idx="9">
                  <c:v>0.75643352909770389</c:v>
                </c:pt>
                <c:pt idx="10">
                  <c:v>0.75643352909770389</c:v>
                </c:pt>
                <c:pt idx="11">
                  <c:v>0.84111051788574442</c:v>
                </c:pt>
                <c:pt idx="12">
                  <c:v>0.84666310731446837</c:v>
                </c:pt>
                <c:pt idx="13">
                  <c:v>0.86235985050720732</c:v>
                </c:pt>
                <c:pt idx="14">
                  <c:v>0.87453283502402523</c:v>
                </c:pt>
                <c:pt idx="15">
                  <c:v>0.87485317672183627</c:v>
                </c:pt>
                <c:pt idx="16">
                  <c:v>0.88264815803523722</c:v>
                </c:pt>
                <c:pt idx="17">
                  <c:v>0.89578216764548813</c:v>
                </c:pt>
                <c:pt idx="18">
                  <c:v>0.91478910838227401</c:v>
                </c:pt>
                <c:pt idx="19">
                  <c:v>0.91478910838227401</c:v>
                </c:pt>
              </c:numCache>
            </c:numRef>
          </c:val>
          <c:smooth val="0"/>
          <c:extLst>
            <c:ext xmlns:c16="http://schemas.microsoft.com/office/drawing/2014/chart" uri="{C3380CC4-5D6E-409C-BE32-E72D297353CC}">
              <c16:uniqueId val="{00000001-EA1F-48BC-90BE-A85CE0965132}"/>
            </c:ext>
          </c:extLst>
        </c:ser>
        <c:dLbls>
          <c:showLegendKey val="0"/>
          <c:showVal val="0"/>
          <c:showCatName val="0"/>
          <c:showSerName val="0"/>
          <c:showPercent val="0"/>
          <c:showBubbleSize val="0"/>
        </c:dLbls>
        <c:marker val="1"/>
        <c:smooth val="0"/>
        <c:axId val="246389376"/>
        <c:axId val="246403456"/>
      </c:lineChart>
      <c:catAx>
        <c:axId val="24638080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74977120006596"/>
              <c:y val="0.932141840041256"/>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387456"/>
        <c:crosses val="autoZero"/>
        <c:auto val="0"/>
        <c:lblAlgn val="ctr"/>
        <c:lblOffset val="100"/>
        <c:tickLblSkip val="1"/>
        <c:noMultiLvlLbl val="0"/>
      </c:catAx>
      <c:valAx>
        <c:axId val="246387456"/>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9887592585E-2"/>
              <c:y val="0.26436865479791599"/>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380800"/>
        <c:crosses val="autoZero"/>
        <c:crossBetween val="between"/>
      </c:valAx>
      <c:catAx>
        <c:axId val="246389376"/>
        <c:scaling>
          <c:orientation val="minMax"/>
        </c:scaling>
        <c:delete val="1"/>
        <c:axPos val="b"/>
        <c:numFmt formatCode="General" sourceLinked="1"/>
        <c:majorTickMark val="out"/>
        <c:minorTickMark val="none"/>
        <c:tickLblPos val="nextTo"/>
        <c:crossAx val="246403456"/>
        <c:crosses val="autoZero"/>
        <c:auto val="0"/>
        <c:lblAlgn val="ctr"/>
        <c:lblOffset val="100"/>
        <c:noMultiLvlLbl val="0"/>
      </c:catAx>
      <c:valAx>
        <c:axId val="246403456"/>
        <c:scaling>
          <c:orientation val="minMax"/>
        </c:scaling>
        <c:delete val="1"/>
        <c:axPos val="l"/>
        <c:numFmt formatCode="0.00000" sourceLinked="1"/>
        <c:majorTickMark val="out"/>
        <c:minorTickMark val="none"/>
        <c:tickLblPos val="nextTo"/>
        <c:crossAx val="246389376"/>
        <c:crosses val="autoZero"/>
        <c:crossBetween val="between"/>
      </c:valAx>
      <c:spPr>
        <a:noFill/>
        <a:ln w="25400">
          <a:noFill/>
        </a:ln>
      </c:spPr>
    </c:plotArea>
    <c:legend>
      <c:legendPos val="r"/>
      <c:layout>
        <c:manualLayout>
          <c:xMode val="edge"/>
          <c:yMode val="edge"/>
          <c:x val="0.61578953154415905"/>
          <c:y val="0.29106641728435001"/>
          <c:w val="0.32368415989886101"/>
          <c:h val="9.5100868989616796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a6ce8bd-e01b-4bdf-8d81-827c572caea6}"/>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September</a:t>
            </a:r>
          </a:p>
        </c:rich>
      </c:tx>
      <c:layout>
        <c:manualLayout>
          <c:xMode val="edge"/>
          <c:yMode val="edge"/>
          <c:x val="0.15263185522862299"/>
          <c:y val="3.4482970330463103E-2"/>
        </c:manualLayout>
      </c:layout>
      <c:overlay val="0"/>
      <c:spPr>
        <a:noFill/>
        <a:ln w="25400">
          <a:noFill/>
        </a:ln>
      </c:spPr>
    </c:title>
    <c:autoTitleDeleted val="0"/>
    <c:plotArea>
      <c:layout>
        <c:manualLayout>
          <c:layoutTarget val="inner"/>
          <c:xMode val="edge"/>
          <c:yMode val="edge"/>
          <c:x val="0.17631578947368401"/>
          <c:y val="0.18390856206380801"/>
          <c:w val="0.81052631578947398"/>
          <c:h val="0.47988640413524902"/>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Data'!$C$53:$C$73</c:f>
              <c:strCache>
                <c:ptCount val="21"/>
                <c:pt idx="0">
                  <c:v>Conveyors</c:v>
                </c:pt>
                <c:pt idx="1">
                  <c:v>Other Explained</c:v>
                </c:pt>
                <c:pt idx="2">
                  <c:v>Labeller</c:v>
                </c:pt>
                <c:pt idx="3">
                  <c:v>Filler</c:v>
                </c:pt>
                <c:pt idx="4">
                  <c:v>Washer</c:v>
                </c:pt>
                <c:pt idx="5">
                  <c:v>Bottle Supply</c:v>
                </c:pt>
                <c:pt idx="6">
                  <c:v>Low Water Pressure</c:v>
                </c:pt>
                <c:pt idx="7">
                  <c:v>Change Over</c:v>
                </c:pt>
                <c:pt idx="8">
                  <c:v>EBI</c:v>
                </c:pt>
                <c:pt idx="9">
                  <c:v>Low Steam Pressure</c:v>
                </c:pt>
                <c:pt idx="10">
                  <c:v>Uncaser</c:v>
                </c:pt>
                <c:pt idx="11">
                  <c:v>Carton Errector</c:v>
                </c:pt>
                <c:pt idx="12">
                  <c:v>Packer</c:v>
                </c:pt>
                <c:pt idx="13">
                  <c:v>VideoJet (Coder)</c:v>
                </c:pt>
                <c:pt idx="14">
                  <c:v>Low Air Pressure</c:v>
                </c:pt>
                <c:pt idx="15">
                  <c:v>Low CO2 Pressure</c:v>
                </c:pt>
                <c:pt idx="16">
                  <c:v>Product Delay</c:v>
                </c:pt>
                <c:pt idx="17">
                  <c:v>Pasteuiser</c:v>
                </c:pt>
                <c:pt idx="18">
                  <c:v>Other Unexplained</c:v>
                </c:pt>
                <c:pt idx="19">
                  <c:v>Crate Rinser</c:v>
                </c:pt>
                <c:pt idx="20">
                  <c:v>Operator Errors</c:v>
                </c:pt>
              </c:strCache>
            </c:strRef>
          </c:cat>
          <c:val>
            <c:numRef>
              <c:f>'Pareto Data'!$D$53:$D$73</c:f>
              <c:numCache>
                <c:formatCode>0.00000</c:formatCode>
                <c:ptCount val="21"/>
                <c:pt idx="0">
                  <c:v>5.1169966572383638E-2</c:v>
                </c:pt>
                <c:pt idx="1">
                  <c:v>0.15955258421187965</c:v>
                </c:pt>
                <c:pt idx="2">
                  <c:v>2.4685008999742863E-2</c:v>
                </c:pt>
                <c:pt idx="3">
                  <c:v>8.5497557212651051E-2</c:v>
                </c:pt>
                <c:pt idx="4">
                  <c:v>5.4255592697351494E-2</c:v>
                </c:pt>
                <c:pt idx="5">
                  <c:v>0</c:v>
                </c:pt>
                <c:pt idx="6">
                  <c:v>0</c:v>
                </c:pt>
                <c:pt idx="7">
                  <c:v>0.12869632296220107</c:v>
                </c:pt>
                <c:pt idx="8">
                  <c:v>4.9627153509899713E-2</c:v>
                </c:pt>
                <c:pt idx="9">
                  <c:v>1.1313962458215476E-2</c:v>
                </c:pt>
                <c:pt idx="10">
                  <c:v>3.2527642067369501E-2</c:v>
                </c:pt>
                <c:pt idx="11">
                  <c:v>5.0655695551555663E-2</c:v>
                </c:pt>
                <c:pt idx="12">
                  <c:v>4.5255849832861905E-2</c:v>
                </c:pt>
                <c:pt idx="13">
                  <c:v>2.6999228593468753E-2</c:v>
                </c:pt>
                <c:pt idx="14">
                  <c:v>6.5569555155566969E-3</c:v>
                </c:pt>
                <c:pt idx="15">
                  <c:v>3.4713293905888399E-3</c:v>
                </c:pt>
                <c:pt idx="16">
                  <c:v>0.14129596297248648</c:v>
                </c:pt>
                <c:pt idx="17">
                  <c:v>8.4597582926202092E-2</c:v>
                </c:pt>
                <c:pt idx="18">
                  <c:v>1.1571097968629466E-3</c:v>
                </c:pt>
                <c:pt idx="19">
                  <c:v>3.4713293905888399E-3</c:v>
                </c:pt>
                <c:pt idx="20">
                  <c:v>4.885574697865774E-3</c:v>
                </c:pt>
              </c:numCache>
            </c:numRef>
          </c:val>
          <c:extLst>
            <c:ext xmlns:c16="http://schemas.microsoft.com/office/drawing/2014/chart" uri="{C3380CC4-5D6E-409C-BE32-E72D297353CC}">
              <c16:uniqueId val="{00000000-D598-4B5B-B017-A7ACBD87B97E}"/>
            </c:ext>
          </c:extLst>
        </c:ser>
        <c:dLbls>
          <c:showLegendKey val="0"/>
          <c:showVal val="0"/>
          <c:showCatName val="0"/>
          <c:showSerName val="0"/>
          <c:showPercent val="0"/>
          <c:showBubbleSize val="0"/>
        </c:dLbls>
        <c:gapWidth val="150"/>
        <c:axId val="246775168"/>
        <c:axId val="246777728"/>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Data'!$C$53:$C$73</c:f>
              <c:strCache>
                <c:ptCount val="21"/>
                <c:pt idx="0">
                  <c:v>Conveyors</c:v>
                </c:pt>
                <c:pt idx="1">
                  <c:v>Other Explained</c:v>
                </c:pt>
                <c:pt idx="2">
                  <c:v>Labeller</c:v>
                </c:pt>
                <c:pt idx="3">
                  <c:v>Filler</c:v>
                </c:pt>
                <c:pt idx="4">
                  <c:v>Washer</c:v>
                </c:pt>
                <c:pt idx="5">
                  <c:v>Bottle Supply</c:v>
                </c:pt>
                <c:pt idx="6">
                  <c:v>Low Water Pressure</c:v>
                </c:pt>
                <c:pt idx="7">
                  <c:v>Change Over</c:v>
                </c:pt>
                <c:pt idx="8">
                  <c:v>EBI</c:v>
                </c:pt>
                <c:pt idx="9">
                  <c:v>Low Steam Pressure</c:v>
                </c:pt>
                <c:pt idx="10">
                  <c:v>Uncaser</c:v>
                </c:pt>
                <c:pt idx="11">
                  <c:v>Carton Errector</c:v>
                </c:pt>
                <c:pt idx="12">
                  <c:v>Packer</c:v>
                </c:pt>
                <c:pt idx="13">
                  <c:v>VideoJet (Coder)</c:v>
                </c:pt>
                <c:pt idx="14">
                  <c:v>Low Air Pressure</c:v>
                </c:pt>
                <c:pt idx="15">
                  <c:v>Low CO2 Pressure</c:v>
                </c:pt>
                <c:pt idx="16">
                  <c:v>Product Delay</c:v>
                </c:pt>
                <c:pt idx="17">
                  <c:v>Pasteuiser</c:v>
                </c:pt>
                <c:pt idx="18">
                  <c:v>Other Unexplained</c:v>
                </c:pt>
                <c:pt idx="19">
                  <c:v>Crate Rinser</c:v>
                </c:pt>
                <c:pt idx="20">
                  <c:v>Operator Errors</c:v>
                </c:pt>
              </c:strCache>
            </c:strRef>
          </c:cat>
          <c:val>
            <c:numRef>
              <c:f>'Pareto Data'!$E$53:$E$73</c:f>
              <c:numCache>
                <c:formatCode>0.00000</c:formatCode>
                <c:ptCount val="21"/>
                <c:pt idx="0">
                  <c:v>5.1169966572383638E-2</c:v>
                </c:pt>
                <c:pt idx="1">
                  <c:v>0.21072255078426327</c:v>
                </c:pt>
                <c:pt idx="2">
                  <c:v>0.23540755978400613</c:v>
                </c:pt>
                <c:pt idx="3">
                  <c:v>0.32090511699665719</c:v>
                </c:pt>
                <c:pt idx="4">
                  <c:v>5.4255592697351494E-2</c:v>
                </c:pt>
                <c:pt idx="5">
                  <c:v>0.37516070969400866</c:v>
                </c:pt>
                <c:pt idx="6">
                  <c:v>0.37516070969400866</c:v>
                </c:pt>
                <c:pt idx="7">
                  <c:v>0.50385703265620974</c:v>
                </c:pt>
                <c:pt idx="8">
                  <c:v>0.5534841861661095</c:v>
                </c:pt>
                <c:pt idx="9">
                  <c:v>0.56479814862432498</c:v>
                </c:pt>
                <c:pt idx="10">
                  <c:v>0.59732579069169445</c:v>
                </c:pt>
                <c:pt idx="11">
                  <c:v>0.64798148624325014</c:v>
                </c:pt>
                <c:pt idx="12">
                  <c:v>0.69323733607611204</c:v>
                </c:pt>
                <c:pt idx="13">
                  <c:v>0.72023656466958075</c:v>
                </c:pt>
                <c:pt idx="14">
                  <c:v>0.72679352018513743</c:v>
                </c:pt>
                <c:pt idx="15">
                  <c:v>0.73026484957572624</c:v>
                </c:pt>
                <c:pt idx="16">
                  <c:v>0.87156081254821272</c:v>
                </c:pt>
                <c:pt idx="17">
                  <c:v>0.95615839547441484</c:v>
                </c:pt>
                <c:pt idx="18">
                  <c:v>0.95731550527127773</c:v>
                </c:pt>
                <c:pt idx="19">
                  <c:v>0.96078683466186654</c:v>
                </c:pt>
                <c:pt idx="20">
                  <c:v>0.96567240935973231</c:v>
                </c:pt>
              </c:numCache>
            </c:numRef>
          </c:val>
          <c:smooth val="0"/>
          <c:extLst>
            <c:ext xmlns:c16="http://schemas.microsoft.com/office/drawing/2014/chart" uri="{C3380CC4-5D6E-409C-BE32-E72D297353CC}">
              <c16:uniqueId val="{00000001-D598-4B5B-B017-A7ACBD87B97E}"/>
            </c:ext>
          </c:extLst>
        </c:ser>
        <c:dLbls>
          <c:showLegendKey val="0"/>
          <c:showVal val="0"/>
          <c:showCatName val="0"/>
          <c:showSerName val="0"/>
          <c:showPercent val="0"/>
          <c:showBubbleSize val="0"/>
        </c:dLbls>
        <c:marker val="1"/>
        <c:smooth val="0"/>
        <c:axId val="246788096"/>
        <c:axId val="246789632"/>
      </c:lineChart>
      <c:catAx>
        <c:axId val="24677516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51195376757933198"/>
              <c:y val="0.92145814436419304"/>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777728"/>
        <c:crosses val="autoZero"/>
        <c:auto val="0"/>
        <c:lblAlgn val="ctr"/>
        <c:lblOffset val="100"/>
        <c:tickLblSkip val="1"/>
        <c:noMultiLvlLbl val="0"/>
      </c:catAx>
      <c:valAx>
        <c:axId val="24677772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3.94736842105263E-2"/>
              <c:y val="0.27011588463722702"/>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775168"/>
        <c:crosses val="autoZero"/>
        <c:crossBetween val="between"/>
      </c:valAx>
      <c:catAx>
        <c:axId val="246788096"/>
        <c:scaling>
          <c:orientation val="minMax"/>
        </c:scaling>
        <c:delete val="1"/>
        <c:axPos val="b"/>
        <c:numFmt formatCode="General" sourceLinked="1"/>
        <c:majorTickMark val="out"/>
        <c:minorTickMark val="none"/>
        <c:tickLblPos val="nextTo"/>
        <c:crossAx val="246789632"/>
        <c:crosses val="autoZero"/>
        <c:auto val="0"/>
        <c:lblAlgn val="ctr"/>
        <c:lblOffset val="100"/>
        <c:noMultiLvlLbl val="0"/>
      </c:catAx>
      <c:valAx>
        <c:axId val="246789632"/>
        <c:scaling>
          <c:orientation val="minMax"/>
        </c:scaling>
        <c:delete val="1"/>
        <c:axPos val="l"/>
        <c:numFmt formatCode="0.00000" sourceLinked="1"/>
        <c:majorTickMark val="out"/>
        <c:minorTickMark val="none"/>
        <c:tickLblPos val="nextTo"/>
        <c:crossAx val="246788096"/>
        <c:crosses val="autoZero"/>
        <c:crossBetween val="between"/>
      </c:valAx>
      <c:spPr>
        <a:noFill/>
        <a:ln w="25400">
          <a:noFill/>
        </a:ln>
      </c:spPr>
    </c:plotArea>
    <c:legend>
      <c:legendPos val="r"/>
      <c:layout>
        <c:manualLayout>
          <c:xMode val="edge"/>
          <c:yMode val="edge"/>
          <c:x val="0.63684210526315799"/>
          <c:y val="0.29885128394038502"/>
          <c:w val="0.31842105263157899"/>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7ca77cf6-d8f8-4869-a4d6-b7b163afa03b}"/>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1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October</a:t>
            </a:r>
          </a:p>
        </c:rich>
      </c:tx>
      <c:layout>
        <c:manualLayout>
          <c:xMode val="edge"/>
          <c:yMode val="edge"/>
          <c:x val="0.16315785134188099"/>
          <c:y val="3.4482970330463103E-2"/>
        </c:manualLayout>
      </c:layout>
      <c:overlay val="0"/>
      <c:spPr>
        <a:noFill/>
        <a:ln w="25400">
          <a:noFill/>
        </a:ln>
      </c:spPr>
    </c:title>
    <c:autoTitleDeleted val="0"/>
    <c:plotArea>
      <c:layout>
        <c:manualLayout>
          <c:layoutTarget val="inner"/>
          <c:xMode val="edge"/>
          <c:yMode val="edge"/>
          <c:x val="0.163157894736842"/>
          <c:y val="0.175287848217067"/>
          <c:w val="0.82105263157894703"/>
          <c:h val="0.48850711798198998"/>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Data'!$G$53:$G$73</c:f>
              <c:strCache>
                <c:ptCount val="21"/>
                <c:pt idx="0">
                  <c:v>EBI</c:v>
                </c:pt>
                <c:pt idx="1">
                  <c:v>Bottle Supply</c:v>
                </c:pt>
                <c:pt idx="2">
                  <c:v>Washer</c:v>
                </c:pt>
                <c:pt idx="3">
                  <c:v>Other Explained</c:v>
                </c:pt>
                <c:pt idx="4">
                  <c:v>Change Over</c:v>
                </c:pt>
                <c:pt idx="5">
                  <c:v>Packer</c:v>
                </c:pt>
                <c:pt idx="6">
                  <c:v>Conveyors</c:v>
                </c:pt>
                <c:pt idx="7">
                  <c:v>Product Delay</c:v>
                </c:pt>
                <c:pt idx="8">
                  <c:v>Labeller</c:v>
                </c:pt>
                <c:pt idx="9">
                  <c:v>Filler</c:v>
                </c:pt>
                <c:pt idx="10">
                  <c:v>Low Steam Pressure</c:v>
                </c:pt>
                <c:pt idx="11">
                  <c:v>VideoJet (Coder)</c:v>
                </c:pt>
                <c:pt idx="12">
                  <c:v>Operator Errors</c:v>
                </c:pt>
                <c:pt idx="13">
                  <c:v>Low Air Pressure</c:v>
                </c:pt>
                <c:pt idx="14">
                  <c:v>Low Water Pressure</c:v>
                </c:pt>
                <c:pt idx="15">
                  <c:v>Crate Rinser</c:v>
                </c:pt>
                <c:pt idx="16">
                  <c:v>Pasteuiser</c:v>
                </c:pt>
                <c:pt idx="17">
                  <c:v>Other Unexplained</c:v>
                </c:pt>
                <c:pt idx="18">
                  <c:v>Carton Errector</c:v>
                </c:pt>
                <c:pt idx="19">
                  <c:v>Uncaser</c:v>
                </c:pt>
                <c:pt idx="20">
                  <c:v>Low CO2 Pressure</c:v>
                </c:pt>
              </c:strCache>
            </c:strRef>
          </c:cat>
          <c:val>
            <c:numRef>
              <c:f>'Pareto Data'!$H$53:$H$73</c:f>
              <c:numCache>
                <c:formatCode>0.00000</c:formatCode>
                <c:ptCount val="21"/>
                <c:pt idx="0">
                  <c:v>0.14814814814814814</c:v>
                </c:pt>
                <c:pt idx="1">
                  <c:v>0</c:v>
                </c:pt>
                <c:pt idx="2">
                  <c:v>0.14814814814814814</c:v>
                </c:pt>
                <c:pt idx="3">
                  <c:v>0.55555555555555558</c:v>
                </c:pt>
                <c:pt idx="4">
                  <c:v>0</c:v>
                </c:pt>
                <c:pt idx="5">
                  <c:v>0</c:v>
                </c:pt>
                <c:pt idx="6">
                  <c:v>0.14814814814814814</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E6C4-41DD-90F1-FF9462FC80AA}"/>
            </c:ext>
          </c:extLst>
        </c:ser>
        <c:dLbls>
          <c:showLegendKey val="0"/>
          <c:showVal val="0"/>
          <c:showCatName val="0"/>
          <c:showSerName val="0"/>
          <c:showPercent val="0"/>
          <c:showBubbleSize val="0"/>
        </c:dLbls>
        <c:gapWidth val="150"/>
        <c:axId val="246816768"/>
        <c:axId val="24681907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Data'!$G$53:$G$73</c:f>
              <c:strCache>
                <c:ptCount val="21"/>
                <c:pt idx="0">
                  <c:v>EBI</c:v>
                </c:pt>
                <c:pt idx="1">
                  <c:v>Bottle Supply</c:v>
                </c:pt>
                <c:pt idx="2">
                  <c:v>Washer</c:v>
                </c:pt>
                <c:pt idx="3">
                  <c:v>Other Explained</c:v>
                </c:pt>
                <c:pt idx="4">
                  <c:v>Change Over</c:v>
                </c:pt>
                <c:pt idx="5">
                  <c:v>Packer</c:v>
                </c:pt>
                <c:pt idx="6">
                  <c:v>Conveyors</c:v>
                </c:pt>
                <c:pt idx="7">
                  <c:v>Product Delay</c:v>
                </c:pt>
                <c:pt idx="8">
                  <c:v>Labeller</c:v>
                </c:pt>
                <c:pt idx="9">
                  <c:v>Filler</c:v>
                </c:pt>
                <c:pt idx="10">
                  <c:v>Low Steam Pressure</c:v>
                </c:pt>
                <c:pt idx="11">
                  <c:v>VideoJet (Coder)</c:v>
                </c:pt>
                <c:pt idx="12">
                  <c:v>Operator Errors</c:v>
                </c:pt>
                <c:pt idx="13">
                  <c:v>Low Air Pressure</c:v>
                </c:pt>
                <c:pt idx="14">
                  <c:v>Low Water Pressure</c:v>
                </c:pt>
                <c:pt idx="15">
                  <c:v>Crate Rinser</c:v>
                </c:pt>
                <c:pt idx="16">
                  <c:v>Pasteuiser</c:v>
                </c:pt>
                <c:pt idx="17">
                  <c:v>Other Unexplained</c:v>
                </c:pt>
                <c:pt idx="18">
                  <c:v>Carton Errector</c:v>
                </c:pt>
                <c:pt idx="19">
                  <c:v>Uncaser</c:v>
                </c:pt>
                <c:pt idx="20">
                  <c:v>Low CO2 Pressure</c:v>
                </c:pt>
              </c:strCache>
            </c:strRef>
          </c:cat>
          <c:val>
            <c:numRef>
              <c:f>'Pareto Data'!$I$53:$I$73</c:f>
              <c:numCache>
                <c:formatCode>0.00000</c:formatCode>
                <c:ptCount val="21"/>
                <c:pt idx="0">
                  <c:v>0.14814814814814814</c:v>
                </c:pt>
                <c:pt idx="1">
                  <c:v>0.14814814814814814</c:v>
                </c:pt>
                <c:pt idx="2">
                  <c:v>0.14814814814814814</c:v>
                </c:pt>
                <c:pt idx="3">
                  <c:v>0.85185185185185186</c:v>
                </c:pt>
                <c:pt idx="4">
                  <c:v>0.85185185185185186</c:v>
                </c:pt>
                <c:pt idx="5">
                  <c:v>0.85185185185185186</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numCache>
            </c:numRef>
          </c:val>
          <c:smooth val="0"/>
          <c:extLst>
            <c:ext xmlns:c16="http://schemas.microsoft.com/office/drawing/2014/chart" uri="{C3380CC4-5D6E-409C-BE32-E72D297353CC}">
              <c16:uniqueId val="{00000001-E6C4-41DD-90F1-FF9462FC80AA}"/>
            </c:ext>
          </c:extLst>
        </c:ser>
        <c:dLbls>
          <c:showLegendKey val="0"/>
          <c:showVal val="0"/>
          <c:showCatName val="0"/>
          <c:showSerName val="0"/>
          <c:showPercent val="0"/>
          <c:showBubbleSize val="0"/>
        </c:dLbls>
        <c:marker val="1"/>
        <c:smooth val="0"/>
        <c:axId val="246829440"/>
        <c:axId val="246830976"/>
      </c:lineChart>
      <c:catAx>
        <c:axId val="24681676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33368503937007898"/>
              <c:y val="0.94661562225751095"/>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19072"/>
        <c:crosses val="autoZero"/>
        <c:auto val="0"/>
        <c:lblAlgn val="ctr"/>
        <c:lblOffset val="100"/>
        <c:tickLblSkip val="1"/>
        <c:noMultiLvlLbl val="0"/>
      </c:catAx>
      <c:valAx>
        <c:axId val="246819072"/>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579887592585E-2"/>
              <c:y val="0.26724194563398901"/>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16768"/>
        <c:crosses val="autoZero"/>
        <c:crossBetween val="between"/>
      </c:valAx>
      <c:catAx>
        <c:axId val="246829440"/>
        <c:scaling>
          <c:orientation val="minMax"/>
        </c:scaling>
        <c:delete val="1"/>
        <c:axPos val="b"/>
        <c:numFmt formatCode="General" sourceLinked="1"/>
        <c:majorTickMark val="out"/>
        <c:minorTickMark val="none"/>
        <c:tickLblPos val="nextTo"/>
        <c:crossAx val="246830976"/>
        <c:crosses val="autoZero"/>
        <c:auto val="0"/>
        <c:lblAlgn val="ctr"/>
        <c:lblOffset val="100"/>
        <c:noMultiLvlLbl val="0"/>
      </c:catAx>
      <c:valAx>
        <c:axId val="246830976"/>
        <c:scaling>
          <c:orientation val="minMax"/>
        </c:scaling>
        <c:delete val="1"/>
        <c:axPos val="l"/>
        <c:numFmt formatCode="0.00000" sourceLinked="1"/>
        <c:majorTickMark val="out"/>
        <c:minorTickMark val="none"/>
        <c:tickLblPos val="nextTo"/>
        <c:crossAx val="246829440"/>
        <c:crosses val="autoZero"/>
        <c:crossBetween val="between"/>
      </c:valAx>
      <c:spPr>
        <a:noFill/>
        <a:ln w="25400">
          <a:noFill/>
        </a:ln>
      </c:spPr>
    </c:plotArea>
    <c:legend>
      <c:legendPos val="r"/>
      <c:layout>
        <c:manualLayout>
          <c:xMode val="edge"/>
          <c:yMode val="edge"/>
          <c:x val="0.56578939412678098"/>
          <c:y val="0.32184003315374998"/>
          <c:w val="0.323684159898861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227bfdf1-a586-46de-9703-0aa98abc17e4}"/>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November</a:t>
            </a:r>
          </a:p>
        </c:rich>
      </c:tx>
      <c:layout>
        <c:manualLayout>
          <c:xMode val="edge"/>
          <c:yMode val="edge"/>
          <c:x val="0.15789478012376401"/>
          <c:y val="3.4482970330463103E-2"/>
        </c:manualLayout>
      </c:layout>
      <c:overlay val="0"/>
      <c:spPr>
        <a:noFill/>
        <a:ln w="25400">
          <a:noFill/>
        </a:ln>
      </c:spPr>
    </c:title>
    <c:autoTitleDeleted val="0"/>
    <c:plotArea>
      <c:layout>
        <c:manualLayout>
          <c:layoutTarget val="inner"/>
          <c:xMode val="edge"/>
          <c:yMode val="edge"/>
          <c:x val="0.18157894736842101"/>
          <c:y val="0.17816141949931399"/>
          <c:w val="0.78947368421052599"/>
          <c:h val="0.48563354669974301"/>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Data'!$K$53:$K$73</c:f>
              <c:strCache>
                <c:ptCount val="21"/>
                <c:pt idx="0">
                  <c:v>Washer</c:v>
                </c:pt>
                <c:pt idx="1">
                  <c:v>EBI</c:v>
                </c:pt>
                <c:pt idx="2">
                  <c:v>Bottle Supply</c:v>
                </c:pt>
                <c:pt idx="3">
                  <c:v>Change Over</c:v>
                </c:pt>
                <c:pt idx="4">
                  <c:v>Conveyors</c:v>
                </c:pt>
                <c:pt idx="5">
                  <c:v>Uncaser</c:v>
                </c:pt>
                <c:pt idx="6">
                  <c:v>Filler</c:v>
                </c:pt>
                <c:pt idx="7">
                  <c:v>Other Explained</c:v>
                </c:pt>
                <c:pt idx="8">
                  <c:v>Labeller</c:v>
                </c:pt>
                <c:pt idx="9">
                  <c:v>Pasteuiser</c:v>
                </c:pt>
                <c:pt idx="10">
                  <c:v>Low Steam Pressure</c:v>
                </c:pt>
                <c:pt idx="11">
                  <c:v>Product Delay</c:v>
                </c:pt>
                <c:pt idx="12">
                  <c:v>VideoJet (Coder)</c:v>
                </c:pt>
                <c:pt idx="13">
                  <c:v>Other Unexplained</c:v>
                </c:pt>
                <c:pt idx="14">
                  <c:v>Low Water Pressure</c:v>
                </c:pt>
                <c:pt idx="15">
                  <c:v>Carton Errector</c:v>
                </c:pt>
                <c:pt idx="16">
                  <c:v>Low CO2 Pressure</c:v>
                </c:pt>
                <c:pt idx="17">
                  <c:v>Operator Errors</c:v>
                </c:pt>
                <c:pt idx="18">
                  <c:v>Packer</c:v>
                </c:pt>
                <c:pt idx="19">
                  <c:v>Low Air Pressure</c:v>
                </c:pt>
                <c:pt idx="20">
                  <c:v>Crate Rinser</c:v>
                </c:pt>
              </c:strCache>
            </c:strRef>
          </c:cat>
          <c:val>
            <c:numRef>
              <c:f>'Pareto Data'!$L$53:$L$73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9FD3-4F75-85AB-F0A3C7D116F2}"/>
            </c:ext>
          </c:extLst>
        </c:ser>
        <c:dLbls>
          <c:showLegendKey val="0"/>
          <c:showVal val="0"/>
          <c:showCatName val="0"/>
          <c:showSerName val="0"/>
          <c:showPercent val="0"/>
          <c:showBubbleSize val="0"/>
        </c:dLbls>
        <c:gapWidth val="150"/>
        <c:axId val="246870400"/>
        <c:axId val="246872704"/>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Data'!$K$53:$K$73</c:f>
              <c:strCache>
                <c:ptCount val="21"/>
                <c:pt idx="0">
                  <c:v>Washer</c:v>
                </c:pt>
                <c:pt idx="1">
                  <c:v>EBI</c:v>
                </c:pt>
                <c:pt idx="2">
                  <c:v>Bottle Supply</c:v>
                </c:pt>
                <c:pt idx="3">
                  <c:v>Change Over</c:v>
                </c:pt>
                <c:pt idx="4">
                  <c:v>Conveyors</c:v>
                </c:pt>
                <c:pt idx="5">
                  <c:v>Uncaser</c:v>
                </c:pt>
                <c:pt idx="6">
                  <c:v>Filler</c:v>
                </c:pt>
                <c:pt idx="7">
                  <c:v>Other Explained</c:v>
                </c:pt>
                <c:pt idx="8">
                  <c:v>Labeller</c:v>
                </c:pt>
                <c:pt idx="9">
                  <c:v>Pasteuiser</c:v>
                </c:pt>
                <c:pt idx="10">
                  <c:v>Low Steam Pressure</c:v>
                </c:pt>
                <c:pt idx="11">
                  <c:v>Product Delay</c:v>
                </c:pt>
                <c:pt idx="12">
                  <c:v>VideoJet (Coder)</c:v>
                </c:pt>
                <c:pt idx="13">
                  <c:v>Other Unexplained</c:v>
                </c:pt>
                <c:pt idx="14">
                  <c:v>Low Water Pressure</c:v>
                </c:pt>
                <c:pt idx="15">
                  <c:v>Carton Errector</c:v>
                </c:pt>
                <c:pt idx="16">
                  <c:v>Low CO2 Pressure</c:v>
                </c:pt>
                <c:pt idx="17">
                  <c:v>Operator Errors</c:v>
                </c:pt>
                <c:pt idx="18">
                  <c:v>Packer</c:v>
                </c:pt>
                <c:pt idx="19">
                  <c:v>Low Air Pressure</c:v>
                </c:pt>
                <c:pt idx="20">
                  <c:v>Crate Rinser</c:v>
                </c:pt>
              </c:strCache>
            </c:strRef>
          </c:cat>
          <c:val>
            <c:numRef>
              <c:f>'Pareto Data'!$M$53:$M$73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1-9FD3-4F75-85AB-F0A3C7D116F2}"/>
            </c:ext>
          </c:extLst>
        </c:ser>
        <c:dLbls>
          <c:showLegendKey val="0"/>
          <c:showVal val="0"/>
          <c:showCatName val="0"/>
          <c:showSerName val="0"/>
          <c:showPercent val="0"/>
          <c:showBubbleSize val="0"/>
        </c:dLbls>
        <c:marker val="1"/>
        <c:smooth val="0"/>
        <c:axId val="246956800"/>
        <c:axId val="246958336"/>
      </c:lineChart>
      <c:catAx>
        <c:axId val="24687040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0797485840585701"/>
              <c:y val="0.94653591951409"/>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72704"/>
        <c:crosses val="autoZero"/>
        <c:auto val="0"/>
        <c:lblAlgn val="ctr"/>
        <c:lblOffset val="100"/>
        <c:tickLblSkip val="1"/>
        <c:noMultiLvlLbl val="0"/>
      </c:catAx>
      <c:valAx>
        <c:axId val="246872704"/>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4.2105219876236097E-2"/>
              <c:y val="0.264368620589093"/>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6870400"/>
        <c:crosses val="autoZero"/>
        <c:crossBetween val="between"/>
      </c:valAx>
      <c:catAx>
        <c:axId val="246956800"/>
        <c:scaling>
          <c:orientation val="minMax"/>
        </c:scaling>
        <c:delete val="1"/>
        <c:axPos val="b"/>
        <c:numFmt formatCode="General" sourceLinked="1"/>
        <c:majorTickMark val="out"/>
        <c:minorTickMark val="none"/>
        <c:tickLblPos val="nextTo"/>
        <c:crossAx val="246958336"/>
        <c:crosses val="autoZero"/>
        <c:auto val="0"/>
        <c:lblAlgn val="ctr"/>
        <c:lblOffset val="100"/>
        <c:noMultiLvlLbl val="0"/>
      </c:catAx>
      <c:valAx>
        <c:axId val="246958336"/>
        <c:scaling>
          <c:orientation val="minMax"/>
        </c:scaling>
        <c:delete val="1"/>
        <c:axPos val="l"/>
        <c:numFmt formatCode="0.00000" sourceLinked="1"/>
        <c:majorTickMark val="out"/>
        <c:minorTickMark val="none"/>
        <c:tickLblPos val="nextTo"/>
        <c:crossAx val="246956800"/>
        <c:crosses val="autoZero"/>
        <c:crossBetween val="between"/>
      </c:valAx>
      <c:spPr>
        <a:noFill/>
        <a:ln w="25400">
          <a:noFill/>
        </a:ln>
      </c:spPr>
    </c:plotArea>
    <c:legend>
      <c:legendPos val="r"/>
      <c:layout>
        <c:manualLayout>
          <c:xMode val="edge"/>
          <c:yMode val="edge"/>
          <c:x val="0.52894745859117498"/>
          <c:y val="0.31034581203665301"/>
          <c:w val="0.323684134783413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8243d8eb-b9b7-459c-94a0-8e6780c9b0ac}"/>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December</a:t>
            </a:r>
          </a:p>
        </c:rich>
      </c:tx>
      <c:layout>
        <c:manualLayout>
          <c:xMode val="edge"/>
          <c:yMode val="edge"/>
          <c:x val="0.15789476577208"/>
          <c:y val="3.4482970330463103E-2"/>
        </c:manualLayout>
      </c:layout>
      <c:overlay val="0"/>
      <c:spPr>
        <a:noFill/>
        <a:ln w="25400">
          <a:noFill/>
        </a:ln>
      </c:spPr>
    </c:title>
    <c:autoTitleDeleted val="0"/>
    <c:plotArea>
      <c:layout>
        <c:manualLayout>
          <c:layoutTarget val="inner"/>
          <c:xMode val="edge"/>
          <c:yMode val="edge"/>
          <c:x val="0.17105263157894701"/>
          <c:y val="0.111163091161168"/>
          <c:w val="0.80263157894736803"/>
          <c:h val="0.53735782978018898"/>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'Pareto Data'!$O$53:$O$73</c:f>
              <c:strCache>
                <c:ptCount val="21"/>
                <c:pt idx="0">
                  <c:v>Washer</c:v>
                </c:pt>
                <c:pt idx="1">
                  <c:v>Bottle Supply</c:v>
                </c:pt>
                <c:pt idx="2">
                  <c:v>Other Explained</c:v>
                </c:pt>
                <c:pt idx="3">
                  <c:v>EBI</c:v>
                </c:pt>
                <c:pt idx="4">
                  <c:v>Change Over</c:v>
                </c:pt>
                <c:pt idx="5">
                  <c:v>Conveyors</c:v>
                </c:pt>
                <c:pt idx="6">
                  <c:v>Product Delay</c:v>
                </c:pt>
                <c:pt idx="7">
                  <c:v>Labeller</c:v>
                </c:pt>
                <c:pt idx="8">
                  <c:v>Filler</c:v>
                </c:pt>
                <c:pt idx="9">
                  <c:v>Uncaser</c:v>
                </c:pt>
                <c:pt idx="10">
                  <c:v>Packer</c:v>
                </c:pt>
                <c:pt idx="11">
                  <c:v>VideoJet (Coder)</c:v>
                </c:pt>
                <c:pt idx="12">
                  <c:v>Low Water Pressure</c:v>
                </c:pt>
                <c:pt idx="13">
                  <c:v>Carton Errector</c:v>
                </c:pt>
                <c:pt idx="14">
                  <c:v>Pasteuiser</c:v>
                </c:pt>
                <c:pt idx="15">
                  <c:v>Operator Errors</c:v>
                </c:pt>
                <c:pt idx="16">
                  <c:v>Low CO2 Pressure</c:v>
                </c:pt>
                <c:pt idx="17">
                  <c:v>Low Air Pressure</c:v>
                </c:pt>
                <c:pt idx="18">
                  <c:v>Crate Rinser</c:v>
                </c:pt>
                <c:pt idx="19">
                  <c:v>Other Unexplained</c:v>
                </c:pt>
                <c:pt idx="20">
                  <c:v>Low Steam Pressure</c:v>
                </c:pt>
              </c:strCache>
            </c:strRef>
          </c:cat>
          <c:val>
            <c:numRef>
              <c:f>'Pareto Data'!$P$53:$P$73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extLst>
            <c:ext xmlns:c16="http://schemas.microsoft.com/office/drawing/2014/chart" uri="{C3380CC4-5D6E-409C-BE32-E72D297353CC}">
              <c16:uniqueId val="{00000000-2DAB-4952-85F8-46FC03B5973A}"/>
            </c:ext>
          </c:extLst>
        </c:ser>
        <c:dLbls>
          <c:showLegendKey val="0"/>
          <c:showVal val="0"/>
          <c:showCatName val="0"/>
          <c:showSerName val="0"/>
          <c:showPercent val="0"/>
          <c:showBubbleSize val="0"/>
        </c:dLbls>
        <c:gapWidth val="150"/>
        <c:axId val="247079680"/>
        <c:axId val="247081984"/>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Data'!$O$53:$O$73</c:f>
              <c:strCache>
                <c:ptCount val="21"/>
                <c:pt idx="0">
                  <c:v>Washer</c:v>
                </c:pt>
                <c:pt idx="1">
                  <c:v>Bottle Supply</c:v>
                </c:pt>
                <c:pt idx="2">
                  <c:v>Other Explained</c:v>
                </c:pt>
                <c:pt idx="3">
                  <c:v>EBI</c:v>
                </c:pt>
                <c:pt idx="4">
                  <c:v>Change Over</c:v>
                </c:pt>
                <c:pt idx="5">
                  <c:v>Conveyors</c:v>
                </c:pt>
                <c:pt idx="6">
                  <c:v>Product Delay</c:v>
                </c:pt>
                <c:pt idx="7">
                  <c:v>Labeller</c:v>
                </c:pt>
                <c:pt idx="8">
                  <c:v>Filler</c:v>
                </c:pt>
                <c:pt idx="9">
                  <c:v>Uncaser</c:v>
                </c:pt>
                <c:pt idx="10">
                  <c:v>Packer</c:v>
                </c:pt>
                <c:pt idx="11">
                  <c:v>VideoJet (Coder)</c:v>
                </c:pt>
                <c:pt idx="12">
                  <c:v>Low Water Pressure</c:v>
                </c:pt>
                <c:pt idx="13">
                  <c:v>Carton Errector</c:v>
                </c:pt>
                <c:pt idx="14">
                  <c:v>Pasteuiser</c:v>
                </c:pt>
                <c:pt idx="15">
                  <c:v>Operator Errors</c:v>
                </c:pt>
                <c:pt idx="16">
                  <c:v>Low CO2 Pressure</c:v>
                </c:pt>
                <c:pt idx="17">
                  <c:v>Low Air Pressure</c:v>
                </c:pt>
                <c:pt idx="18">
                  <c:v>Crate Rinser</c:v>
                </c:pt>
                <c:pt idx="19">
                  <c:v>Other Unexplained</c:v>
                </c:pt>
                <c:pt idx="20">
                  <c:v>Low Steam Pressure</c:v>
                </c:pt>
              </c:strCache>
            </c:strRef>
          </c:cat>
          <c:val>
            <c:numRef>
              <c:f>'Pareto Data'!$Q$53:$Q$73</c:f>
              <c:numCache>
                <c:formatCode>0.00000</c:formatCode>
                <c:ptCount val="2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numCache>
            </c:numRef>
          </c:val>
          <c:smooth val="0"/>
          <c:extLst>
            <c:ext xmlns:c16="http://schemas.microsoft.com/office/drawing/2014/chart" uri="{C3380CC4-5D6E-409C-BE32-E72D297353CC}">
              <c16:uniqueId val="{00000001-2DAB-4952-85F8-46FC03B5973A}"/>
            </c:ext>
          </c:extLst>
        </c:ser>
        <c:dLbls>
          <c:showLegendKey val="0"/>
          <c:showVal val="0"/>
          <c:showCatName val="0"/>
          <c:showSerName val="0"/>
          <c:showPercent val="0"/>
          <c:showBubbleSize val="0"/>
        </c:dLbls>
        <c:marker val="1"/>
        <c:smooth val="0"/>
        <c:axId val="247092352"/>
        <c:axId val="247093888"/>
      </c:lineChart>
      <c:catAx>
        <c:axId val="247079680"/>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4473684210526299"/>
              <c:y val="0.94466059481926401"/>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081984"/>
        <c:crosses val="autoZero"/>
        <c:auto val="0"/>
        <c:lblAlgn val="ctr"/>
        <c:lblOffset val="100"/>
        <c:tickLblSkip val="1"/>
        <c:noMultiLvlLbl val="0"/>
      </c:catAx>
      <c:valAx>
        <c:axId val="247081984"/>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3.15790630883181E-2"/>
              <c:y val="0.24425350339979399"/>
            </c:manualLayout>
          </c:layout>
          <c:overlay val="0"/>
          <c:spPr>
            <a:noFill/>
            <a:ln w="25400">
              <a:noFill/>
            </a:ln>
          </c:spPr>
        </c:title>
        <c:numFmt formatCode="General"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079680"/>
        <c:crosses val="autoZero"/>
        <c:crossBetween val="between"/>
      </c:valAx>
      <c:catAx>
        <c:axId val="247092352"/>
        <c:scaling>
          <c:orientation val="minMax"/>
        </c:scaling>
        <c:delete val="1"/>
        <c:axPos val="b"/>
        <c:numFmt formatCode="General" sourceLinked="1"/>
        <c:majorTickMark val="out"/>
        <c:minorTickMark val="none"/>
        <c:tickLblPos val="nextTo"/>
        <c:crossAx val="247093888"/>
        <c:crosses val="autoZero"/>
        <c:auto val="0"/>
        <c:lblAlgn val="ctr"/>
        <c:lblOffset val="100"/>
        <c:noMultiLvlLbl val="0"/>
      </c:catAx>
      <c:valAx>
        <c:axId val="247093888"/>
        <c:scaling>
          <c:orientation val="minMax"/>
        </c:scaling>
        <c:delete val="1"/>
        <c:axPos val="l"/>
        <c:numFmt formatCode="0.00000" sourceLinked="1"/>
        <c:majorTickMark val="out"/>
        <c:minorTickMark val="none"/>
        <c:tickLblPos val="nextTo"/>
        <c:crossAx val="247092352"/>
        <c:crosses val="autoZero"/>
        <c:crossBetween val="between"/>
      </c:valAx>
      <c:spPr>
        <a:noFill/>
        <a:ln w="25400">
          <a:noFill/>
        </a:ln>
      </c:spPr>
    </c:plotArea>
    <c:legend>
      <c:legendPos val="r"/>
      <c:layout>
        <c:manualLayout>
          <c:xMode val="edge"/>
          <c:yMode val="edge"/>
          <c:x val="0.53684214865811897"/>
          <c:y val="0.34770210741201202"/>
          <c:w val="0.32368415989886101"/>
          <c:h val="0.12931067827047901"/>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0477c4fc-741f-48be-8b81-4e2a6b8e564a}"/>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Bottling Hall Downtime - May</a:t>
            </a:r>
          </a:p>
        </c:rich>
      </c:tx>
      <c:layout>
        <c:manualLayout>
          <c:xMode val="edge"/>
          <c:yMode val="edge"/>
          <c:x val="0.212042434486265"/>
          <c:y val="3.4581938254785602E-2"/>
        </c:manualLayout>
      </c:layout>
      <c:overlay val="0"/>
      <c:spPr>
        <a:noFill/>
        <a:ln w="25400">
          <a:noFill/>
        </a:ln>
      </c:spPr>
    </c:title>
    <c:autoTitleDeleted val="0"/>
    <c:plotArea>
      <c:layout>
        <c:manualLayout>
          <c:layoutTarget val="inner"/>
          <c:xMode val="edge"/>
          <c:yMode val="edge"/>
          <c:x val="0.146597046022484"/>
          <c:y val="0.16714697406340101"/>
          <c:w val="0.79843033994388601"/>
          <c:h val="0.527377521613833"/>
        </c:manualLayout>
      </c:layout>
      <c:barChart>
        <c:barDir val="col"/>
        <c:grouping val="clustered"/>
        <c:varyColors val="0"/>
        <c:ser>
          <c:idx val="1"/>
          <c:order val="0"/>
          <c:tx>
            <c:strRef>
              <c:f>'Pareto Data'!$D$28</c:f>
              <c:strCache>
                <c:ptCount val="1"/>
                <c:pt idx="0">
                  <c:v>Percent</c:v>
                </c:pt>
              </c:strCache>
            </c:strRef>
          </c:tx>
          <c:spPr>
            <a:solidFill>
              <a:srgbClr val="993366"/>
            </a:solidFill>
            <a:ln w="12700">
              <a:solidFill>
                <a:srgbClr val="000000"/>
              </a:solidFill>
              <a:prstDash val="solid"/>
            </a:ln>
          </c:spPr>
          <c:invertIfNegative val="0"/>
          <c:cat>
            <c:strRef>
              <c:f>'Pareto Data'!$C$29:$C$48</c:f>
              <c:strCache>
                <c:ptCount val="20"/>
                <c:pt idx="0">
                  <c:v>Washer</c:v>
                </c:pt>
                <c:pt idx="1">
                  <c:v>Filler</c:v>
                </c:pt>
                <c:pt idx="2">
                  <c:v>Low Steam Pressure</c:v>
                </c:pt>
                <c:pt idx="3">
                  <c:v>Other Explained</c:v>
                </c:pt>
                <c:pt idx="4">
                  <c:v>Product Delay</c:v>
                </c:pt>
                <c:pt idx="5">
                  <c:v>Conveyors</c:v>
                </c:pt>
                <c:pt idx="6">
                  <c:v>EBI</c:v>
                </c:pt>
                <c:pt idx="7">
                  <c:v>Uncaser</c:v>
                </c:pt>
                <c:pt idx="8">
                  <c:v>Labeller</c:v>
                </c:pt>
                <c:pt idx="9">
                  <c:v>Packer</c:v>
                </c:pt>
                <c:pt idx="10">
                  <c:v>Change Over</c:v>
                </c:pt>
                <c:pt idx="11">
                  <c:v>Low Air Pressure</c:v>
                </c:pt>
                <c:pt idx="12">
                  <c:v>VideoJet (Coder)</c:v>
                </c:pt>
                <c:pt idx="13">
                  <c:v>Low Water Pressure</c:v>
                </c:pt>
                <c:pt idx="14">
                  <c:v>Operator Errors</c:v>
                </c:pt>
                <c:pt idx="15">
                  <c:v>Pasteuriser</c:v>
                </c:pt>
                <c:pt idx="16">
                  <c:v>Other Unexplained</c:v>
                </c:pt>
                <c:pt idx="17">
                  <c:v>Low CO2 Pressure</c:v>
                </c:pt>
                <c:pt idx="18">
                  <c:v>Carton Errector</c:v>
                </c:pt>
                <c:pt idx="19">
                  <c:v>Crate Rinser</c:v>
                </c:pt>
              </c:strCache>
            </c:strRef>
          </c:cat>
          <c:val>
            <c:numRef>
              <c:f>'Pareto Data'!$D$29:$D$48</c:f>
              <c:numCache>
                <c:formatCode>0.0000</c:formatCode>
                <c:ptCount val="20"/>
                <c:pt idx="0">
                  <c:v>6.868067028557942E-2</c:v>
                </c:pt>
                <c:pt idx="1">
                  <c:v>0.10762331838565023</c:v>
                </c:pt>
                <c:pt idx="2">
                  <c:v>0</c:v>
                </c:pt>
                <c:pt idx="3">
                  <c:v>0.14078357328298324</c:v>
                </c:pt>
                <c:pt idx="4">
                  <c:v>8.8388010384706159E-2</c:v>
                </c:pt>
                <c:pt idx="5">
                  <c:v>9.8654708520179379E-2</c:v>
                </c:pt>
                <c:pt idx="6">
                  <c:v>0.1386594288411612</c:v>
                </c:pt>
                <c:pt idx="7">
                  <c:v>4.932735426008969E-2</c:v>
                </c:pt>
                <c:pt idx="8">
                  <c:v>3.4812367240972392E-2</c:v>
                </c:pt>
                <c:pt idx="9">
                  <c:v>2.548973330186453E-2</c:v>
                </c:pt>
                <c:pt idx="10">
                  <c:v>0.15695067264573995</c:v>
                </c:pt>
                <c:pt idx="11">
                  <c:v>3.5402407363700739E-4</c:v>
                </c:pt>
                <c:pt idx="12">
                  <c:v>8.6145857918338443E-3</c:v>
                </c:pt>
                <c:pt idx="13">
                  <c:v>7.0804814727401478E-4</c:v>
                </c:pt>
                <c:pt idx="14">
                  <c:v>0</c:v>
                </c:pt>
                <c:pt idx="15">
                  <c:v>1.1210762331838566E-2</c:v>
                </c:pt>
                <c:pt idx="16">
                  <c:v>1.062072220911022E-3</c:v>
                </c:pt>
                <c:pt idx="17">
                  <c:v>6.4904413500118012E-3</c:v>
                </c:pt>
                <c:pt idx="18">
                  <c:v>1.2508850601840926E-2</c:v>
                </c:pt>
                <c:pt idx="19">
                  <c:v>7.0804814727401478E-4</c:v>
                </c:pt>
              </c:numCache>
            </c:numRef>
          </c:val>
          <c:extLst>
            <c:ext xmlns:c16="http://schemas.microsoft.com/office/drawing/2014/chart" uri="{C3380CC4-5D6E-409C-BE32-E72D297353CC}">
              <c16:uniqueId val="{00000000-7555-4DD8-A2FC-3EC40B8FA17A}"/>
            </c:ext>
          </c:extLst>
        </c:ser>
        <c:dLbls>
          <c:showLegendKey val="0"/>
          <c:showVal val="0"/>
          <c:showCatName val="0"/>
          <c:showSerName val="0"/>
          <c:showPercent val="0"/>
          <c:showBubbleSize val="0"/>
        </c:dLbls>
        <c:gapWidth val="150"/>
        <c:axId val="247132544"/>
        <c:axId val="247134848"/>
      </c:barChart>
      <c:lineChart>
        <c:grouping val="standard"/>
        <c:varyColors val="0"/>
        <c:ser>
          <c:idx val="0"/>
          <c:order val="1"/>
          <c:tx>
            <c:strRef>
              <c:f>'Pareto Data'!$E$28</c:f>
              <c:strCache>
                <c:ptCount val="1"/>
                <c:pt idx="0">
                  <c:v>Cumulative Percent </c:v>
                </c:pt>
              </c:strCache>
            </c:strRef>
          </c:tx>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'Pareto Data'!$C$29:$C$48</c:f>
              <c:strCache>
                <c:ptCount val="20"/>
                <c:pt idx="0">
                  <c:v>Washer</c:v>
                </c:pt>
                <c:pt idx="1">
                  <c:v>Filler</c:v>
                </c:pt>
                <c:pt idx="2">
                  <c:v>Low Steam Pressure</c:v>
                </c:pt>
                <c:pt idx="3">
                  <c:v>Other Explained</c:v>
                </c:pt>
                <c:pt idx="4">
                  <c:v>Product Delay</c:v>
                </c:pt>
                <c:pt idx="5">
                  <c:v>Conveyors</c:v>
                </c:pt>
                <c:pt idx="6">
                  <c:v>EBI</c:v>
                </c:pt>
                <c:pt idx="7">
                  <c:v>Uncaser</c:v>
                </c:pt>
                <c:pt idx="8">
                  <c:v>Labeller</c:v>
                </c:pt>
                <c:pt idx="9">
                  <c:v>Packer</c:v>
                </c:pt>
                <c:pt idx="10">
                  <c:v>Change Over</c:v>
                </c:pt>
                <c:pt idx="11">
                  <c:v>Low Air Pressure</c:v>
                </c:pt>
                <c:pt idx="12">
                  <c:v>VideoJet (Coder)</c:v>
                </c:pt>
                <c:pt idx="13">
                  <c:v>Low Water Pressure</c:v>
                </c:pt>
                <c:pt idx="14">
                  <c:v>Operator Errors</c:v>
                </c:pt>
                <c:pt idx="15">
                  <c:v>Pasteuriser</c:v>
                </c:pt>
                <c:pt idx="16">
                  <c:v>Other Unexplained</c:v>
                </c:pt>
                <c:pt idx="17">
                  <c:v>Low CO2 Pressure</c:v>
                </c:pt>
                <c:pt idx="18">
                  <c:v>Carton Errector</c:v>
                </c:pt>
                <c:pt idx="19">
                  <c:v>Crate Rinser</c:v>
                </c:pt>
              </c:strCache>
            </c:strRef>
          </c:cat>
          <c:val>
            <c:numRef>
              <c:f>'Pareto Data'!$E$29:$E$48</c:f>
              <c:numCache>
                <c:formatCode>0.0000</c:formatCode>
                <c:ptCount val="20"/>
                <c:pt idx="0">
                  <c:v>6.868067028557942E-2</c:v>
                </c:pt>
                <c:pt idx="1">
                  <c:v>0.17630398867122965</c:v>
                </c:pt>
                <c:pt idx="2">
                  <c:v>0.17630398867122965</c:v>
                </c:pt>
                <c:pt idx="3">
                  <c:v>0.31708756195421289</c:v>
                </c:pt>
                <c:pt idx="4">
                  <c:v>0.40547557233891907</c:v>
                </c:pt>
                <c:pt idx="5">
                  <c:v>0.50413028085909839</c:v>
                </c:pt>
                <c:pt idx="6">
                  <c:v>0.64278970970025961</c:v>
                </c:pt>
                <c:pt idx="7">
                  <c:v>0.69211706396034933</c:v>
                </c:pt>
                <c:pt idx="8">
                  <c:v>0.7269294312013217</c:v>
                </c:pt>
                <c:pt idx="9">
                  <c:v>0.75241916450318624</c:v>
                </c:pt>
                <c:pt idx="10">
                  <c:v>0.90936983714892616</c:v>
                </c:pt>
                <c:pt idx="11">
                  <c:v>0.90972386122256321</c:v>
                </c:pt>
                <c:pt idx="12">
                  <c:v>0.91833844701439704</c:v>
                </c:pt>
                <c:pt idx="13">
                  <c:v>0.91904649516167103</c:v>
                </c:pt>
                <c:pt idx="14">
                  <c:v>0.91904649516167103</c:v>
                </c:pt>
                <c:pt idx="15">
                  <c:v>0.93025725749350963</c:v>
                </c:pt>
                <c:pt idx="16">
                  <c:v>0.93131932971442066</c:v>
                </c:pt>
                <c:pt idx="17">
                  <c:v>0.93780977106443242</c:v>
                </c:pt>
                <c:pt idx="18">
                  <c:v>0.95031862166627334</c:v>
                </c:pt>
                <c:pt idx="19">
                  <c:v>0.95102666981354733</c:v>
                </c:pt>
              </c:numCache>
            </c:numRef>
          </c:val>
          <c:smooth val="0"/>
          <c:extLst>
            <c:ext xmlns:c16="http://schemas.microsoft.com/office/drawing/2014/chart" uri="{C3380CC4-5D6E-409C-BE32-E72D297353CC}">
              <c16:uniqueId val="{00000001-7555-4DD8-A2FC-3EC40B8FA17A}"/>
            </c:ext>
          </c:extLst>
        </c:ser>
        <c:dLbls>
          <c:showLegendKey val="0"/>
          <c:showVal val="0"/>
          <c:showCatName val="0"/>
          <c:showSerName val="0"/>
          <c:showPercent val="0"/>
          <c:showBubbleSize val="0"/>
        </c:dLbls>
        <c:marker val="1"/>
        <c:smooth val="0"/>
        <c:axId val="247141120"/>
        <c:axId val="247142656"/>
      </c:lineChart>
      <c:catAx>
        <c:axId val="247132544"/>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Machines</a:t>
                </a:r>
              </a:p>
            </c:rich>
          </c:tx>
          <c:layout>
            <c:manualLayout>
              <c:xMode val="edge"/>
              <c:yMode val="edge"/>
              <c:x val="0.46542111555427301"/>
              <c:y val="0.94330400782013701"/>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134848"/>
        <c:crosses val="autoZero"/>
        <c:auto val="0"/>
        <c:lblAlgn val="ctr"/>
        <c:lblOffset val="100"/>
        <c:tickLblSkip val="1"/>
        <c:noMultiLvlLbl val="0"/>
      </c:catAx>
      <c:valAx>
        <c:axId val="247134848"/>
        <c:scaling>
          <c:orientation val="minMax"/>
          <c:max val="1"/>
        </c:scaling>
        <c:delete val="0"/>
        <c:axPos val="l"/>
        <c:title>
          <c:tx>
            <c:rich>
              <a:bodyPr rot="-540000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1.31233595800525E-2"/>
              <c:y val="0.29512919389475101"/>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47132544"/>
        <c:crosses val="autoZero"/>
        <c:crossBetween val="between"/>
      </c:valAx>
      <c:catAx>
        <c:axId val="247141120"/>
        <c:scaling>
          <c:orientation val="minMax"/>
        </c:scaling>
        <c:delete val="1"/>
        <c:axPos val="b"/>
        <c:numFmt formatCode="General" sourceLinked="1"/>
        <c:majorTickMark val="out"/>
        <c:minorTickMark val="none"/>
        <c:tickLblPos val="nextTo"/>
        <c:crossAx val="247142656"/>
        <c:crosses val="autoZero"/>
        <c:auto val="0"/>
        <c:lblAlgn val="ctr"/>
        <c:lblOffset val="100"/>
        <c:noMultiLvlLbl val="0"/>
      </c:catAx>
      <c:valAx>
        <c:axId val="247142656"/>
        <c:scaling>
          <c:orientation val="minMax"/>
        </c:scaling>
        <c:delete val="1"/>
        <c:axPos val="l"/>
        <c:numFmt formatCode="0.0000" sourceLinked="1"/>
        <c:majorTickMark val="out"/>
        <c:minorTickMark val="none"/>
        <c:tickLblPos val="nextTo"/>
        <c:crossAx val="247141120"/>
        <c:crosses val="autoZero"/>
        <c:crossBetween val="between"/>
      </c:valAx>
      <c:spPr>
        <a:noFill/>
        <a:ln w="25400">
          <a:noFill/>
        </a:ln>
      </c:spPr>
    </c:plotArea>
    <c:legend>
      <c:legendPos val="r"/>
      <c:layout>
        <c:manualLayout>
          <c:xMode val="edge"/>
          <c:yMode val="edge"/>
          <c:x val="0.693718101991178"/>
          <c:y val="0.25648417115015998"/>
          <c:w val="0.22251336383999101"/>
          <c:h val="9.5100868989616796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05"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b1601d92-3239-4faf-b5a4-1998b72afc0c}"/>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r>
              <a:rPr lang="en-US"/>
              <a:t>Change Over Downtime %</a:t>
            </a:r>
          </a:p>
        </c:rich>
      </c:tx>
      <c:overlay val="0"/>
      <c:spPr>
        <a:noFill/>
        <a:ln w="25400">
          <a:noFill/>
        </a:ln>
      </c:spPr>
    </c:title>
    <c:autoTitleDeleted val="0"/>
    <c:plotArea>
      <c:layout/>
      <c:barChart>
        <c:barDir val="col"/>
        <c:grouping val="clustered"/>
        <c:varyColors val="0"/>
        <c:ser>
          <c:idx val="0"/>
          <c:order val="0"/>
          <c:tx>
            <c:strRef>
              <c:f>'Org &amp; Tech Downtime'!$B$13</c:f>
              <c:strCache>
                <c:ptCount val="1"/>
                <c:pt idx="0">
                  <c:v>Change Over Downtime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0"/>
            <c:invertIfNegative val="0"/>
            <c:bubble3D val="0"/>
            <c:extLst>
              <c:ext xmlns:c16="http://schemas.microsoft.com/office/drawing/2014/chart" uri="{C3380CC4-5D6E-409C-BE32-E72D297353CC}">
                <c16:uniqueId val="{00000000-ED90-4FAE-AAFA-B0366AEBEB4F}"/>
              </c:ext>
            </c:extLst>
          </c:dPt>
          <c:dPt>
            <c:idx val="1"/>
            <c:invertIfNegative val="0"/>
            <c:bubble3D val="0"/>
            <c:extLst>
              <c:ext xmlns:c16="http://schemas.microsoft.com/office/drawing/2014/chart" uri="{C3380CC4-5D6E-409C-BE32-E72D297353CC}">
                <c16:uniqueId val="{00000003-110C-4796-9CA3-41C83F30630B}"/>
              </c:ext>
            </c:extLst>
          </c:dPt>
          <c:dPt>
            <c:idx val="8"/>
            <c:invertIfNegative val="0"/>
            <c:bubble3D val="0"/>
            <c:spPr>
              <a:solidFill>
                <a:schemeClr val="accent3"/>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D90-4FAE-AAFA-B0366AEBEB4F}"/>
              </c:ext>
            </c:extLst>
          </c:dPt>
          <c:dLbls>
            <c:dLbl>
              <c:idx val="1"/>
              <c:layout>
                <c:manualLayout>
                  <c:x val="-3.0555202579247998E-17"/>
                  <c:y val="1.86915887850467E-2"/>
                </c:manualLayout>
              </c:layout>
              <c:spPr>
                <a:noFill/>
                <a:ln w="25400">
                  <a:noFill/>
                </a:ln>
                <a:effectLst/>
              </c:spPr>
              <c:txPr>
                <a:bodyPr rot="0" spcFirstLastPara="0" vertOverflow="ellipsis" vert="horz" wrap="square" lIns="38100" tIns="19050" rIns="38100" bIns="19050" anchor="ctr" anchorCtr="1"/>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110C-4796-9CA3-41C83F30630B}"/>
                </c:ext>
              </c:extLst>
            </c:dLbl>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Downtime'!$C$12:$J$12,'Org &amp; Tech Downtime'!$O$12)</c:f>
              <c:strCache>
                <c:ptCount val="9"/>
                <c:pt idx="0">
                  <c:v>Jan-26</c:v>
                </c:pt>
                <c:pt idx="1">
                  <c:v>Feb-26</c:v>
                </c:pt>
                <c:pt idx="2">
                  <c:v>Mar-26</c:v>
                </c:pt>
                <c:pt idx="3">
                  <c:v>Apr-26</c:v>
                </c:pt>
                <c:pt idx="4">
                  <c:v>May-26</c:v>
                </c:pt>
                <c:pt idx="5">
                  <c:v>Jun-26</c:v>
                </c:pt>
                <c:pt idx="6">
                  <c:v>Jul-26</c:v>
                </c:pt>
                <c:pt idx="7">
                  <c:v>Aug-26</c:v>
                </c:pt>
                <c:pt idx="8">
                  <c:v>YTD</c:v>
                </c:pt>
              </c:strCache>
            </c:strRef>
          </c:cat>
          <c:val>
            <c:numRef>
              <c:extLst>
                <c:ext xmlns:c15="http://schemas.microsoft.com/office/drawing/2012/chart" uri="{02D57815-91ED-43cb-92C2-25804820EDAC}">
                  <c15:fullRef>
                    <c15:sqref>'Org &amp; Tech Downtime'!$C$13:$O$13</c15:sqref>
                  </c15:fullRef>
                </c:ext>
              </c:extLst>
              <c:f>('Org &amp; Tech Downtime'!$C$13:$J$13,'Org &amp; Tech Downtime'!$O$13)</c:f>
              <c:numCache>
                <c:formatCode>0.0%</c:formatCode>
                <c:ptCount val="9"/>
                <c:pt idx="0">
                  <c:v>8.6206896551724144E-2</c:v>
                </c:pt>
                <c:pt idx="1">
                  <c:v>7.5868752595874292E-2</c:v>
                </c:pt>
                <c:pt idx="2">
                  <c:v>9.1842723004694829E-2</c:v>
                </c:pt>
                <c:pt idx="3">
                  <c:v>0.10511568329197021</c:v>
                </c:pt>
                <c:pt idx="4">
                  <c:v>0.15695067264573992</c:v>
                </c:pt>
                <c:pt idx="5">
                  <c:v>0.10175682727430857</c:v>
                </c:pt>
                <c:pt idx="6">
                  <c:v>9.6339235082855523E-2</c:v>
                </c:pt>
                <c:pt idx="7">
                  <c:v>0.14167110164981372</c:v>
                </c:pt>
                <c:pt idx="8">
                  <c:v>0.10431773557028713</c:v>
                </c:pt>
              </c:numCache>
            </c:numRef>
          </c:val>
          <c:extLst>
            <c:ext xmlns:c16="http://schemas.microsoft.com/office/drawing/2014/chart" uri="{C3380CC4-5D6E-409C-BE32-E72D297353CC}">
              <c16:uniqueId val="{00000004-ED90-4FAE-AAFA-B0366AEBEB4F}"/>
            </c:ext>
          </c:extLst>
        </c:ser>
        <c:dLbls>
          <c:showLegendKey val="0"/>
          <c:showVal val="0"/>
          <c:showCatName val="0"/>
          <c:showSerName val="0"/>
          <c:showPercent val="0"/>
          <c:showBubbleSize val="0"/>
        </c:dLbls>
        <c:gapWidth val="219"/>
        <c:overlap val="-27"/>
        <c:axId val="249321344"/>
        <c:axId val="249322880"/>
      </c:barChart>
      <c:catAx>
        <c:axId val="2493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49322880"/>
        <c:crosses val="autoZero"/>
        <c:auto val="1"/>
        <c:lblAlgn val="ctr"/>
        <c:lblOffset val="100"/>
        <c:noMultiLvlLbl val="0"/>
      </c:catAx>
      <c:valAx>
        <c:axId val="249322880"/>
        <c:scaling>
          <c:orientation val="minMax"/>
          <c:max val="0.2"/>
          <c:min val="0.01"/>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49321344"/>
        <c:crosses val="autoZero"/>
        <c:crossBetween val="between"/>
      </c:valAx>
      <c:spPr>
        <a:noFill/>
        <a:ln w="25400">
          <a:noFill/>
        </a:ln>
      </c:spPr>
    </c:plotArea>
    <c:plotVisOnly val="1"/>
    <c:dispBlanksAs val="gap"/>
    <c:showDLblsOverMax val="0"/>
    <c:extLst>
      <c:ext uri="{0b15fc19-7d7d-44ad-8c2d-2c3a37ce22c3}">
        <chartProps xmlns="https://web.wps.cn/et/2018/main" chartId="{6519c59e-9500-44f3-b00c-68c677884744}"/>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1"/>
          <c:order val="0"/>
          <c:tx>
            <c:strRef>
              <c:f>'Org &amp; Tech Downtime'!$B$14</c:f>
              <c:strCache>
                <c:ptCount val="1"/>
                <c:pt idx="0">
                  <c:v>External Downtime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8"/>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75C6-413F-A585-EE9FD115FE95}"/>
              </c:ext>
            </c:extLst>
          </c:dPt>
          <c:dLbls>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Downtime'!$C$12:$J$12,'Org &amp; Tech Downtime'!$O$12)</c:f>
              <c:strCache>
                <c:ptCount val="9"/>
                <c:pt idx="0">
                  <c:v>Jan-26</c:v>
                </c:pt>
                <c:pt idx="1">
                  <c:v>Feb-26</c:v>
                </c:pt>
                <c:pt idx="2">
                  <c:v>Mar-26</c:v>
                </c:pt>
                <c:pt idx="3">
                  <c:v>Apr-26</c:v>
                </c:pt>
                <c:pt idx="4">
                  <c:v>May-26</c:v>
                </c:pt>
                <c:pt idx="5">
                  <c:v>Jun-26</c:v>
                </c:pt>
                <c:pt idx="6">
                  <c:v>Jul-26</c:v>
                </c:pt>
                <c:pt idx="7">
                  <c:v>Aug-26</c:v>
                </c:pt>
                <c:pt idx="8">
                  <c:v>YTD</c:v>
                </c:pt>
              </c:strCache>
            </c:strRef>
          </c:cat>
          <c:val>
            <c:numRef>
              <c:extLst>
                <c:ext xmlns:c15="http://schemas.microsoft.com/office/drawing/2012/chart" uri="{02D57815-91ED-43cb-92C2-25804820EDAC}">
                  <c15:fullRef>
                    <c15:sqref>'Org &amp; Tech Downtime'!$C$14:$O$14</c15:sqref>
                  </c15:fullRef>
                </c:ext>
              </c:extLst>
              <c:f>('Org &amp; Tech Downtime'!$C$14:$J$14,'Org &amp; Tech Downtime'!$O$14)</c:f>
              <c:numCache>
                <c:formatCode>0.0%</c:formatCode>
                <c:ptCount val="9"/>
                <c:pt idx="0">
                  <c:v>0.24870190387431768</c:v>
                </c:pt>
                <c:pt idx="1">
                  <c:v>0.16045964280769764</c:v>
                </c:pt>
                <c:pt idx="2">
                  <c:v>0.20701291079812206</c:v>
                </c:pt>
                <c:pt idx="3">
                  <c:v>0.16451845328636619</c:v>
                </c:pt>
                <c:pt idx="4">
                  <c:v>0.26162379041774841</c:v>
                </c:pt>
                <c:pt idx="5">
                  <c:v>0.17150808836319359</c:v>
                </c:pt>
                <c:pt idx="6">
                  <c:v>0.34711108310755467</c:v>
                </c:pt>
                <c:pt idx="7">
                  <c:v>0.27791378392762106</c:v>
                </c:pt>
                <c:pt idx="8">
                  <c:v>0.24372557786893212</c:v>
                </c:pt>
              </c:numCache>
            </c:numRef>
          </c:val>
          <c:extLst>
            <c:ext xmlns:c16="http://schemas.microsoft.com/office/drawing/2014/chart" uri="{C3380CC4-5D6E-409C-BE32-E72D297353CC}">
              <c16:uniqueId val="{00000002-75C6-413F-A585-EE9FD115FE95}"/>
            </c:ext>
          </c:extLst>
        </c:ser>
        <c:dLbls>
          <c:showLegendKey val="0"/>
          <c:showVal val="0"/>
          <c:showCatName val="0"/>
          <c:showSerName val="0"/>
          <c:showPercent val="0"/>
          <c:showBubbleSize val="0"/>
        </c:dLbls>
        <c:gapWidth val="219"/>
        <c:overlap val="-27"/>
        <c:axId val="252715776"/>
        <c:axId val="252717312"/>
      </c:barChart>
      <c:catAx>
        <c:axId val="252715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17312"/>
        <c:crosses val="autoZero"/>
        <c:auto val="1"/>
        <c:lblAlgn val="ctr"/>
        <c:lblOffset val="100"/>
        <c:noMultiLvlLbl val="0"/>
      </c:catAx>
      <c:valAx>
        <c:axId val="252717312"/>
        <c:scaling>
          <c:orientation val="minMax"/>
          <c:max val="0.7"/>
          <c:min val="0.05"/>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15776"/>
        <c:crosses val="autoZero"/>
        <c:crossBetween val="between"/>
      </c:valAx>
      <c:spPr>
        <a:noFill/>
        <a:ln w="25400">
          <a:noFill/>
        </a:ln>
      </c:spPr>
    </c:plotArea>
    <c:plotVisOnly val="1"/>
    <c:dispBlanksAs val="gap"/>
    <c:showDLblsOverMax val="0"/>
    <c:extLst>
      <c:ext uri="{0b15fc19-7d7d-44ad-8c2d-2c3a37ce22c3}">
        <chartProps xmlns="https://web.wps.cn/et/2018/main" chartId="{e7e9e3e4-612c-4cf5-a411-b4d7090f6d29}"/>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overlay val="0"/>
      <c:spPr>
        <a:noFill/>
        <a:ln w="25400">
          <a:noFill/>
        </a:ln>
        <a:effectLst/>
      </c:spPr>
      <c:txPr>
        <a:bodyPr rot="0" spcFirstLastPara="1"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2"/>
          <c:order val="0"/>
          <c:tx>
            <c:strRef>
              <c:f>'Org &amp; Tech Downtime'!$B$15</c:f>
              <c:strCache>
                <c:ptCount val="1"/>
                <c:pt idx="0">
                  <c:v>Planned Downtime %</c:v>
                </c:pt>
              </c:strCache>
            </c:strRef>
          </c:tx>
          <c:spPr>
            <a:solidFill>
              <a:schemeClr val="dk1">
                <a:tint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8"/>
            <c:invertIfNegative val="0"/>
            <c:bubble3D val="0"/>
            <c:spPr>
              <a:solidFill>
                <a:schemeClr val="dk1">
                  <a:tint val="75000"/>
                </a:schemeClr>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419-418C-8CAE-A37E4C89D682}"/>
              </c:ext>
            </c:extLst>
          </c:dPt>
          <c:dLbls>
            <c:spPr>
              <a:noFill/>
              <a:ln w="25400">
                <a:noFill/>
              </a:ln>
              <a:effectLst/>
            </c:spPr>
            <c:txPr>
              <a:bodyPr rot="0" spcFirstLastPara="1"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Downtime'!$C$12:$J$12,'Org &amp; Tech Downtime'!$O$12)</c:f>
              <c:strCache>
                <c:ptCount val="9"/>
                <c:pt idx="0">
                  <c:v>Jan-26</c:v>
                </c:pt>
                <c:pt idx="1">
                  <c:v>Feb-26</c:v>
                </c:pt>
                <c:pt idx="2">
                  <c:v>Mar-26</c:v>
                </c:pt>
                <c:pt idx="3">
                  <c:v>Apr-26</c:v>
                </c:pt>
                <c:pt idx="4">
                  <c:v>May-26</c:v>
                </c:pt>
                <c:pt idx="5">
                  <c:v>Jun-26</c:v>
                </c:pt>
                <c:pt idx="6">
                  <c:v>Jul-26</c:v>
                </c:pt>
                <c:pt idx="7">
                  <c:v>Aug-26</c:v>
                </c:pt>
                <c:pt idx="8">
                  <c:v>YTD</c:v>
                </c:pt>
              </c:strCache>
            </c:strRef>
          </c:cat>
          <c:val>
            <c:numRef>
              <c:extLst>
                <c:ext xmlns:c15="http://schemas.microsoft.com/office/drawing/2012/chart" uri="{02D57815-91ED-43cb-92C2-25804820EDAC}">
                  <c15:fullRef>
                    <c15:sqref>'Org &amp; Tech Downtime'!$C$15:$O$15</c15:sqref>
                  </c15:fullRef>
                </c:ext>
              </c:extLst>
              <c:f>('Org &amp; Tech Downtime'!$C$15:$J$15,'Org &amp; Tech Downtime'!$O$15)</c:f>
              <c:numCache>
                <c:formatCode>0.0%</c:formatCode>
                <c:ptCount val="9"/>
                <c:pt idx="0">
                  <c:v>5.9246438556783384E-3</c:v>
                </c:pt>
                <c:pt idx="1">
                  <c:v>5.5032534957773778E-2</c:v>
                </c:pt>
                <c:pt idx="2">
                  <c:v>2.0246478873239437E-2</c:v>
                </c:pt>
                <c:pt idx="3">
                  <c:v>2.4017292450564404E-3</c:v>
                </c:pt>
                <c:pt idx="4">
                  <c:v>2.5135709228227519E-2</c:v>
                </c:pt>
                <c:pt idx="5">
                  <c:v>1.791615933205775E-2</c:v>
                </c:pt>
                <c:pt idx="6">
                  <c:v>8.4556738705815634E-2</c:v>
                </c:pt>
                <c:pt idx="7">
                  <c:v>3.1931878658861094E-3</c:v>
                </c:pt>
                <c:pt idx="8">
                  <c:v>2.8169287894399191E-2</c:v>
                </c:pt>
              </c:numCache>
            </c:numRef>
          </c:val>
          <c:extLst>
            <c:ext xmlns:c16="http://schemas.microsoft.com/office/drawing/2014/chart" uri="{C3380CC4-5D6E-409C-BE32-E72D297353CC}">
              <c16:uniqueId val="{00000002-E419-418C-8CAE-A37E4C89D682}"/>
            </c:ext>
          </c:extLst>
        </c:ser>
        <c:dLbls>
          <c:showLegendKey val="0"/>
          <c:showVal val="0"/>
          <c:showCatName val="0"/>
          <c:showSerName val="0"/>
          <c:showPercent val="0"/>
          <c:showBubbleSize val="0"/>
        </c:dLbls>
        <c:gapWidth val="219"/>
        <c:overlap val="-27"/>
        <c:axId val="252755328"/>
        <c:axId val="252642432"/>
      </c:barChart>
      <c:catAx>
        <c:axId val="252755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1" vertOverflow="ellipsis"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642432"/>
        <c:crosses val="autoZero"/>
        <c:auto val="1"/>
        <c:lblAlgn val="ctr"/>
        <c:lblOffset val="100"/>
        <c:noMultiLvlLbl val="0"/>
      </c:catAx>
      <c:valAx>
        <c:axId val="252642432"/>
        <c:scaling>
          <c:orientation val="minMax"/>
        </c:scaling>
        <c:delete val="0"/>
        <c:axPos val="l"/>
        <c:majorGridlines>
          <c:spPr>
            <a:ln w="9525" cap="flat" cmpd="sng" algn="ctr">
              <a:solidFill>
                <a:schemeClr val="tx1">
                  <a:lumMod val="15000"/>
                  <a:lumOff val="85000"/>
                </a:schemeClr>
              </a:solidFill>
              <a:prstDash val="solid"/>
              <a:round/>
            </a:ln>
            <a:effectLst/>
          </c:spPr>
        </c:majorGridlines>
        <c:numFmt formatCode="0.0%" sourceLinked="1"/>
        <c:majorTickMark val="none"/>
        <c:minorTickMark val="none"/>
        <c:tickLblPos val="nextTo"/>
        <c:spPr>
          <a:noFill/>
          <a:ln w="9525" cap="flat" cmpd="sng" algn="ctr">
            <a:noFill/>
            <a:prstDash val="solid"/>
            <a:round/>
          </a:ln>
          <a:effectLst/>
        </c:spPr>
        <c:txPr>
          <a:bodyPr rot="0" spcFirstLastPara="1" vertOverflow="ellipsis"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55328"/>
        <c:crosses val="autoZero"/>
        <c:crossBetween val="between"/>
      </c:valAx>
      <c:spPr>
        <a:noFill/>
        <a:ln w="25400">
          <a:noFill/>
        </a:ln>
        <a:effectLst/>
      </c:spPr>
    </c:plotArea>
    <c:plotVisOnly val="1"/>
    <c:dispBlanksAs val="gap"/>
    <c:showDLblsOverMax val="0"/>
    <c:extLst>
      <c:ext uri="{0b15fc19-7d7d-44ad-8c2d-2c3a37ce22c3}">
        <chartProps xmlns="https://web.wps.cn/et/2018/main" chartId="{47cd22a6-32b5-4a7b-ade9-c90af09a4180}"/>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0"/>
          <c:order val="0"/>
          <c:tx>
            <c:strRef>
              <c:f>'Org &amp; Tech Downtime'!$B$16</c:f>
              <c:strCache>
                <c:ptCount val="1"/>
                <c:pt idx="0">
                  <c:v>Breakdown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8"/>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5EE3-4580-A9C5-03627B9C1897}"/>
              </c:ext>
            </c:extLst>
          </c:dPt>
          <c:dLbls>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Downtime'!$C$12:$J$12,'Org &amp; Tech Downtime'!$O$12)</c:f>
              <c:strCache>
                <c:ptCount val="9"/>
                <c:pt idx="0">
                  <c:v>Jan-26</c:v>
                </c:pt>
                <c:pt idx="1">
                  <c:v>Feb-26</c:v>
                </c:pt>
                <c:pt idx="2">
                  <c:v>Mar-26</c:v>
                </c:pt>
                <c:pt idx="3">
                  <c:v>Apr-26</c:v>
                </c:pt>
                <c:pt idx="4">
                  <c:v>May-26</c:v>
                </c:pt>
                <c:pt idx="5">
                  <c:v>Jun-26</c:v>
                </c:pt>
                <c:pt idx="6">
                  <c:v>Jul-26</c:v>
                </c:pt>
                <c:pt idx="7">
                  <c:v>Aug-26</c:v>
                </c:pt>
                <c:pt idx="8">
                  <c:v>YTD</c:v>
                </c:pt>
              </c:strCache>
            </c:strRef>
          </c:cat>
          <c:val>
            <c:numRef>
              <c:extLst>
                <c:ext xmlns:c15="http://schemas.microsoft.com/office/drawing/2012/chart" uri="{02D57815-91ED-43cb-92C2-25804820EDAC}">
                  <c15:fullRef>
                    <c15:sqref>'Org &amp; Tech Downtime'!$C$16:$O$16</c15:sqref>
                  </c15:fullRef>
                </c:ext>
              </c:extLst>
              <c:f>('Org &amp; Tech Downtime'!$C$16:$J$16,'Org &amp; Tech Downtime'!$O$16)</c:f>
              <c:numCache>
                <c:formatCode>0.0%</c:formatCode>
                <c:ptCount val="9"/>
                <c:pt idx="0">
                  <c:v>0.22979629876181601</c:v>
                </c:pt>
                <c:pt idx="1">
                  <c:v>0.36979094559047487</c:v>
                </c:pt>
                <c:pt idx="2">
                  <c:v>0.3480780516431925</c:v>
                </c:pt>
                <c:pt idx="3">
                  <c:v>0.48883195901048754</c:v>
                </c:pt>
                <c:pt idx="4">
                  <c:v>0.26705215954684919</c:v>
                </c:pt>
                <c:pt idx="5">
                  <c:v>0.33744999130283526</c:v>
                </c:pt>
                <c:pt idx="6">
                  <c:v>0.30628189780102072</c:v>
                </c:pt>
                <c:pt idx="7">
                  <c:v>0.35699840340606703</c:v>
                </c:pt>
                <c:pt idx="8">
                  <c:v>0.33210210151830322</c:v>
                </c:pt>
              </c:numCache>
            </c:numRef>
          </c:val>
          <c:extLst>
            <c:ext xmlns:c16="http://schemas.microsoft.com/office/drawing/2014/chart" uri="{C3380CC4-5D6E-409C-BE32-E72D297353CC}">
              <c16:uniqueId val="{00000002-5EE3-4580-A9C5-03627B9C1897}"/>
            </c:ext>
          </c:extLst>
        </c:ser>
        <c:dLbls>
          <c:showLegendKey val="0"/>
          <c:showVal val="0"/>
          <c:showCatName val="0"/>
          <c:showSerName val="0"/>
          <c:showPercent val="0"/>
          <c:showBubbleSize val="0"/>
        </c:dLbls>
        <c:gapWidth val="219"/>
        <c:overlap val="-27"/>
        <c:axId val="252698624"/>
        <c:axId val="252700160"/>
      </c:barChart>
      <c:catAx>
        <c:axId val="252698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700160"/>
        <c:crosses val="autoZero"/>
        <c:auto val="1"/>
        <c:lblAlgn val="ctr"/>
        <c:lblOffset val="100"/>
        <c:noMultiLvlLbl val="0"/>
      </c:catAx>
      <c:valAx>
        <c:axId val="252700160"/>
        <c:scaling>
          <c:orientation val="minMax"/>
          <c:min val="0"/>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698624"/>
        <c:crosses val="autoZero"/>
        <c:crossBetween val="between"/>
      </c:valAx>
      <c:spPr>
        <a:noFill/>
        <a:ln w="25400">
          <a:noFill/>
        </a:ln>
      </c:spPr>
    </c:plotArea>
    <c:plotVisOnly val="1"/>
    <c:dispBlanksAs val="gap"/>
    <c:showDLblsOverMax val="0"/>
    <c:extLst>
      <c:ext uri="{0b15fc19-7d7d-44ad-8c2d-2c3a37ce22c3}">
        <chartProps xmlns="https://web.wps.cn/et/2018/main" chartId="{e3ecc795-da87-40f9-99a4-a856077018cd}"/>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w="25400">
          <a:noFill/>
        </a:ln>
      </c:spPr>
      <c:txPr>
        <a:bodyPr rot="0" spcFirstLastPara="0" vertOverflow="ellipsis" vert="horz" wrap="square" anchor="ctr" anchorCtr="1"/>
        <a:lstStyle/>
        <a:p>
          <a:pPr>
            <a:defRPr lang="en-US" sz="1400" b="0" i="0" u="none" strike="noStrike" kern="1200" baseline="0">
              <a:solidFill>
                <a:srgbClr val="333333"/>
              </a:solidFill>
              <a:latin typeface="Calibri" panose="020F0502020204030204"/>
              <a:ea typeface="Calibri" panose="020F0502020204030204"/>
              <a:cs typeface="Calibri" panose="020F0502020204030204"/>
            </a:defRPr>
          </a:pPr>
          <a:endParaRPr lang="en-US"/>
        </a:p>
      </c:txPr>
    </c:title>
    <c:autoTitleDeleted val="0"/>
    <c:plotArea>
      <c:layout/>
      <c:barChart>
        <c:barDir val="col"/>
        <c:grouping val="clustered"/>
        <c:varyColors val="0"/>
        <c:ser>
          <c:idx val="1"/>
          <c:order val="0"/>
          <c:tx>
            <c:strRef>
              <c:f>'Org &amp; Tech Downtime'!$B$17</c:f>
              <c:strCache>
                <c:ptCount val="1"/>
                <c:pt idx="0">
                  <c:v>Minor Stops %</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Pt>
            <c:idx val="8"/>
            <c:invertIfNegative val="0"/>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146-4E59-9364-1B2E7DE0BDE3}"/>
              </c:ext>
            </c:extLst>
          </c:dPt>
          <c:dLbls>
            <c:dLbl>
              <c:idx val="1"/>
              <c:layout>
                <c:manualLayout>
                  <c:x val="-3.2679738562091799E-3"/>
                  <c:y val="1.8115942028985501E-2"/>
                </c:manualLayout>
              </c:layout>
              <c:spPr>
                <a:noFill/>
                <a:ln w="25400">
                  <a:noFill/>
                </a:ln>
                <a:effectLst/>
              </c:spPr>
              <c:txPr>
                <a:bodyPr rot="0" spcFirstLastPara="0" vertOverflow="ellipsis" vert="horz" wrap="square" lIns="38100" tIns="19050" rIns="38100" bIns="19050" anchor="ctr" anchorCtr="1"/>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75CF-4579-BDC8-A582C6C5DA44}"/>
                </c:ext>
              </c:extLst>
            </c:dLbl>
            <c:dLbl>
              <c:idx val="2"/>
              <c:layout>
                <c:manualLayout>
                  <c:x val="1.6339869281045701E-2"/>
                  <c:y val="6.0386473429951699E-3"/>
                </c:manualLayout>
              </c:layout>
              <c:spPr>
                <a:noFill/>
                <a:ln w="25400">
                  <a:noFill/>
                </a:ln>
                <a:effectLst/>
              </c:spPr>
              <c:txPr>
                <a:bodyPr rot="0" spcFirstLastPara="0" vertOverflow="ellipsis" vert="horz" wrap="square" lIns="38100" tIns="19050" rIns="38100" bIns="19050" anchor="ctr" anchorCtr="1"/>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2-ABAB-4524-AD50-2EAF90D83A56}"/>
                </c:ext>
              </c:extLst>
            </c:dLbl>
            <c:spPr>
              <a:noFill/>
              <a:ln w="25400">
                <a:noFill/>
              </a:ln>
              <a:effectLst/>
            </c:spPr>
            <c:txPr>
              <a:bodyPr rot="0" spcFirstLastPara="0" vertOverflow="ellipsis" vert="horz" wrap="square" lIns="38100" tIns="19050" rIns="38100" bIns="19050" anchor="ctr" anchorCtr="1">
                <a:spAutoFit/>
              </a:bodyPr>
              <a:lstStyle/>
              <a:p>
                <a:pPr>
                  <a:defRPr lang="en-US" sz="900" b="1" i="0" u="none" strike="noStrike" kern="1200" baseline="0">
                    <a:solidFill>
                      <a:srgbClr val="000000"/>
                    </a:solidFill>
                    <a:latin typeface="Calibri" panose="020F0502020204030204"/>
                    <a:ea typeface="Calibri" panose="020F0502020204030204"/>
                    <a:cs typeface="Calibri" panose="020F0502020204030204"/>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extLst>
                <c:ext xmlns:c15="http://schemas.microsoft.com/office/drawing/2012/chart" uri="{02D57815-91ED-43cb-92C2-25804820EDAC}">
                  <c15:fullRef>
                    <c15:sqref>'Org &amp; Tech Downtime'!$C$12:$O$12</c15:sqref>
                  </c15:fullRef>
                </c:ext>
              </c:extLst>
              <c:f>('Org &amp; Tech Downtime'!$C$12:$J$12,'Org &amp; Tech Downtime'!$O$12)</c:f>
              <c:strCache>
                <c:ptCount val="9"/>
                <c:pt idx="0">
                  <c:v>Jan-26</c:v>
                </c:pt>
                <c:pt idx="1">
                  <c:v>Feb-26</c:v>
                </c:pt>
                <c:pt idx="2">
                  <c:v>Mar-26</c:v>
                </c:pt>
                <c:pt idx="3">
                  <c:v>Apr-26</c:v>
                </c:pt>
                <c:pt idx="4">
                  <c:v>May-26</c:v>
                </c:pt>
                <c:pt idx="5">
                  <c:v>Jun-26</c:v>
                </c:pt>
                <c:pt idx="6">
                  <c:v>Jul-26</c:v>
                </c:pt>
                <c:pt idx="7">
                  <c:v>Aug-26</c:v>
                </c:pt>
                <c:pt idx="8">
                  <c:v>YTD</c:v>
                </c:pt>
              </c:strCache>
            </c:strRef>
          </c:cat>
          <c:val>
            <c:numRef>
              <c:extLst>
                <c:ext xmlns:c15="http://schemas.microsoft.com/office/drawing/2012/chart" uri="{02D57815-91ED-43cb-92C2-25804820EDAC}">
                  <c15:fullRef>
                    <c15:sqref>'Org &amp; Tech Downtime'!$C$17:$O$17</c15:sqref>
                  </c15:fullRef>
                </c:ext>
              </c:extLst>
              <c:f>('Org &amp; Tech Downtime'!$C$17:$J$17,'Org &amp; Tech Downtime'!$O$17)</c:f>
              <c:numCache>
                <c:formatCode>0.0%</c:formatCode>
                <c:ptCount val="9"/>
                <c:pt idx="0">
                  <c:v>0.42937025695646386</c:v>
                </c:pt>
                <c:pt idx="1">
                  <c:v>0.33884812404817943</c:v>
                </c:pt>
                <c:pt idx="2">
                  <c:v>0.33281983568075119</c:v>
                </c:pt>
                <c:pt idx="3">
                  <c:v>0.23913217516611959</c:v>
                </c:pt>
                <c:pt idx="4">
                  <c:v>0.28923766816143498</c:v>
                </c:pt>
                <c:pt idx="5">
                  <c:v>0.37136893372760482</c:v>
                </c:pt>
                <c:pt idx="6">
                  <c:v>0.16571104530275346</c:v>
                </c:pt>
                <c:pt idx="7">
                  <c:v>0.22022352315061203</c:v>
                </c:pt>
                <c:pt idx="8">
                  <c:v>0.29168529714807828</c:v>
                </c:pt>
              </c:numCache>
            </c:numRef>
          </c:val>
          <c:extLst>
            <c:ext xmlns:c16="http://schemas.microsoft.com/office/drawing/2014/chart" uri="{C3380CC4-5D6E-409C-BE32-E72D297353CC}">
              <c16:uniqueId val="{00000004-A146-4E59-9364-1B2E7DE0BDE3}"/>
            </c:ext>
          </c:extLst>
        </c:ser>
        <c:dLbls>
          <c:showLegendKey val="0"/>
          <c:showVal val="0"/>
          <c:showCatName val="0"/>
          <c:showSerName val="0"/>
          <c:showPercent val="0"/>
          <c:showBubbleSize val="0"/>
        </c:dLbls>
        <c:gapWidth val="219"/>
        <c:overlap val="-27"/>
        <c:axId val="252815232"/>
        <c:axId val="252816768"/>
      </c:barChart>
      <c:catAx>
        <c:axId val="2528152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prstDash val="solid"/>
            <a:round/>
          </a:ln>
          <a:effectLst/>
        </c:spPr>
        <c:txPr>
          <a:bodyPr rot="-270000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816768"/>
        <c:crosses val="autoZero"/>
        <c:auto val="1"/>
        <c:lblAlgn val="ctr"/>
        <c:lblOffset val="100"/>
        <c:noMultiLvlLbl val="0"/>
      </c:catAx>
      <c:valAx>
        <c:axId val="252816768"/>
        <c:scaling>
          <c:orientation val="minMax"/>
          <c:min val="0.04"/>
        </c:scaling>
        <c:delete val="0"/>
        <c:axPos val="l"/>
        <c:majorGridlines>
          <c:spPr>
            <a:ln w="9525" cap="flat" cmpd="sng" algn="ctr">
              <a:solidFill>
                <a:schemeClr val="tx1">
                  <a:lumMod val="15000"/>
                  <a:lumOff val="85000"/>
                </a:schemeClr>
              </a:solidFill>
              <a:prstDash val="solid"/>
              <a:round/>
            </a:ln>
            <a:effectLst/>
          </c:spPr>
        </c:majorGridlines>
        <c:numFmt formatCode="0%" sourceLinked="0"/>
        <c:majorTickMark val="none"/>
        <c:minorTickMark val="none"/>
        <c:tickLblPos val="nextTo"/>
        <c:spPr>
          <a:ln w="9525" cap="flat" cmpd="sng" algn="ctr">
            <a:noFill/>
            <a:prstDash val="solid"/>
            <a:round/>
          </a:ln>
        </c:spPr>
        <c:txPr>
          <a:bodyPr rot="0" spcFirstLastPara="0" vertOverflow="ellipsis" vert="horz" wrap="square" anchor="ctr" anchorCtr="1"/>
          <a:lstStyle/>
          <a:p>
            <a:pPr>
              <a:defRPr lang="en-US" sz="900" b="1" i="0" u="none" strike="noStrike" kern="1200" baseline="0">
                <a:solidFill>
                  <a:srgbClr val="333333"/>
                </a:solidFill>
                <a:latin typeface="Calibri" panose="020F0502020204030204"/>
                <a:ea typeface="Calibri" panose="020F0502020204030204"/>
                <a:cs typeface="Calibri" panose="020F0502020204030204"/>
              </a:defRPr>
            </a:pPr>
            <a:endParaRPr lang="en-US"/>
          </a:p>
        </c:txPr>
        <c:crossAx val="252815232"/>
        <c:crosses val="autoZero"/>
        <c:crossBetween val="between"/>
        <c:majorUnit val="0.04"/>
      </c:valAx>
      <c:spPr>
        <a:noFill/>
        <a:ln w="25400">
          <a:noFill/>
        </a:ln>
      </c:spPr>
    </c:plotArea>
    <c:plotVisOnly val="1"/>
    <c:dispBlanksAs val="gap"/>
    <c:showDLblsOverMax val="0"/>
    <c:extLst>
      <c:ext uri="{0b15fc19-7d7d-44ad-8c2d-2c3a37ce22c3}">
        <chartProps xmlns="https://web.wps.cn/et/2018/main" chartId="{c47a1e1f-2adb-4dda-a838-3309893046b4}"/>
      </c:ext>
    </c:extLst>
  </c:chart>
  <c:spPr>
    <a:gradFill flip="none" rotWithShape="1">
      <a:gsLst>
        <a:gs pos="0">
          <a:schemeClr val="bg1">
            <a:shade val="30000"/>
            <a:satMod val="115000"/>
          </a:schemeClr>
        </a:gs>
        <a:gs pos="50000">
          <a:schemeClr val="bg1">
            <a:shade val="67500"/>
            <a:satMod val="115000"/>
          </a:schemeClr>
        </a:gs>
        <a:gs pos="100000">
          <a:schemeClr val="bg1">
            <a:shade val="100000"/>
            <a:satMod val="115000"/>
          </a:schemeClr>
        </a:gs>
      </a:gsLst>
      <a:lin ang="5400000" scaled="1"/>
      <a:tileRect/>
    </a:gradFill>
    <a:ln w="9525" cap="flat" cmpd="sng" algn="ctr">
      <a:solidFill>
        <a:schemeClr val="tx1">
          <a:lumMod val="15000"/>
          <a:lumOff val="85000"/>
          <a:alpha val="99000"/>
        </a:schemeClr>
      </a:solidFill>
      <a:prstDash val="solid"/>
      <a:round/>
    </a:ln>
    <a:effectLst/>
  </c:spPr>
  <c:txPr>
    <a:bodyPr/>
    <a:lstStyle/>
    <a:p>
      <a:pPr>
        <a:defRPr lang="en-US" sz="1000" b="0" i="0" u="none" strike="noStrike" baseline="0">
          <a:solidFill>
            <a:srgbClr val="000000"/>
          </a:solidFill>
          <a:latin typeface="Calibri" panose="020F0502020204030204"/>
          <a:ea typeface="Calibri" panose="020F0502020204030204"/>
          <a:cs typeface="Calibri" panose="020F0502020204030204"/>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AUGUST </a:t>
            </a:r>
            <a:r>
              <a:rPr lang="en-US"/>
              <a:t>PACKAGING LINE DOWNTIME</a:t>
            </a:r>
          </a:p>
        </c:rich>
      </c:tx>
      <c:layout>
        <c:manualLayout>
          <c:xMode val="edge"/>
          <c:yMode val="edge"/>
          <c:x val="0.24340215113178765"/>
          <c:y val="3.3755274261603373E-2"/>
        </c:manualLayout>
      </c:layout>
      <c:overlay val="0"/>
      <c:spPr>
        <a:noFill/>
        <a:ln>
          <a:noFill/>
        </a:ln>
        <a:effectLst/>
      </c:spPr>
      <c:txPr>
        <a:bodyPr rot="0" spcFirstLastPara="1" vertOverflow="ellipsis" vert="horz" wrap="square" anchor="ctr" anchorCtr="1"/>
        <a:lstStyle/>
        <a:p>
          <a:pPr>
            <a:defRPr lang="en-US"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7"/>
          <c:order val="7"/>
          <c:tx>
            <c:strRef>
              <c:f>'Org &amp; Tech Downtime'!$J$12</c:f>
              <c:strCache>
                <c:ptCount val="1"/>
                <c:pt idx="0">
                  <c:v>Aug-26</c:v>
                </c:pt>
              </c:strCache>
              <c:extLst xmlns:c15="http://schemas.microsoft.com/office/drawing/2012/chart"/>
            </c:strRef>
          </c:tx>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'Org &amp; Tech Downtime'!$B$13:$B$17</c:f>
              <c:strCache>
                <c:ptCount val="5"/>
                <c:pt idx="0">
                  <c:v>Change Over Downtime %</c:v>
                </c:pt>
                <c:pt idx="1">
                  <c:v>External Downtime %</c:v>
                </c:pt>
                <c:pt idx="2">
                  <c:v>Planned Downtime %</c:v>
                </c:pt>
                <c:pt idx="3">
                  <c:v>Breakdown %</c:v>
                </c:pt>
                <c:pt idx="4">
                  <c:v>Minor Stops %</c:v>
                </c:pt>
              </c:strCache>
              <c:extLst xmlns:c15="http://schemas.microsoft.com/office/drawing/2012/chart"/>
            </c:strRef>
          </c:cat>
          <c:val>
            <c:numRef>
              <c:f>'Org &amp; Tech Downtime'!$J$13:$J$17</c:f>
              <c:numCache>
                <c:formatCode>0.0%</c:formatCode>
                <c:ptCount val="5"/>
                <c:pt idx="0">
                  <c:v>0.14167110164981372</c:v>
                </c:pt>
                <c:pt idx="1">
                  <c:v>0.27791378392762106</c:v>
                </c:pt>
                <c:pt idx="2">
                  <c:v>3.1931878658861094E-3</c:v>
                </c:pt>
                <c:pt idx="3">
                  <c:v>0.35699840340606703</c:v>
                </c:pt>
                <c:pt idx="4">
                  <c:v>0.22022352315061203</c:v>
                </c:pt>
              </c:numCache>
              <c:extLst xmlns:c15="http://schemas.microsoft.com/office/drawing/2012/chart"/>
            </c:numRef>
          </c:val>
          <c:extLst xmlns:c15="http://schemas.microsoft.com/office/drawing/2012/chart">
            <c:ext xmlns:c16="http://schemas.microsoft.com/office/drawing/2014/chart" uri="{C3380CC4-5D6E-409C-BE32-E72D297353CC}">
              <c16:uniqueId val="{00000008-96A6-402F-8484-0CAE479A72DF}"/>
            </c:ext>
          </c:extLst>
        </c:ser>
        <c:ser>
          <c:idx val="12"/>
          <c:order val="12"/>
          <c:tx>
            <c:strRef>
              <c:f>'Org &amp; Tech Downtime'!$O$12</c:f>
              <c:strCache>
                <c:ptCount val="1"/>
                <c:pt idx="0">
                  <c:v>YTD</c:v>
                </c:pt>
              </c:strCache>
            </c:strRef>
          </c:tx>
          <c:spPr>
            <a:gradFill rotWithShape="1">
              <a:gsLst>
                <a:gs pos="0">
                  <a:schemeClr val="accent1">
                    <a:lumMod val="80000"/>
                    <a:lumOff val="20000"/>
                    <a:shade val="51000"/>
                    <a:satMod val="130000"/>
                  </a:schemeClr>
                </a:gs>
                <a:gs pos="80000">
                  <a:schemeClr val="accent1">
                    <a:lumMod val="80000"/>
                    <a:lumOff val="20000"/>
                    <a:shade val="93000"/>
                    <a:satMod val="130000"/>
                  </a:schemeClr>
                </a:gs>
                <a:gs pos="100000">
                  <a:schemeClr val="accent1">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'Org &amp; Tech Downtime'!$B$13:$B$17</c:f>
              <c:strCache>
                <c:ptCount val="5"/>
                <c:pt idx="0">
                  <c:v>Change Over Downtime %</c:v>
                </c:pt>
                <c:pt idx="1">
                  <c:v>External Downtime %</c:v>
                </c:pt>
                <c:pt idx="2">
                  <c:v>Planned Downtime %</c:v>
                </c:pt>
                <c:pt idx="3">
                  <c:v>Breakdown %</c:v>
                </c:pt>
                <c:pt idx="4">
                  <c:v>Minor Stops %</c:v>
                </c:pt>
              </c:strCache>
            </c:strRef>
          </c:cat>
          <c:val>
            <c:numRef>
              <c:f>'Org &amp; Tech Downtime'!$O$13:$O$17</c:f>
              <c:numCache>
                <c:formatCode>0.0%</c:formatCode>
                <c:ptCount val="5"/>
                <c:pt idx="0">
                  <c:v>0.10431773557028713</c:v>
                </c:pt>
                <c:pt idx="1">
                  <c:v>0.24372557786893212</c:v>
                </c:pt>
                <c:pt idx="2">
                  <c:v>2.8169287894399191E-2</c:v>
                </c:pt>
                <c:pt idx="3">
                  <c:v>0.33210210151830322</c:v>
                </c:pt>
                <c:pt idx="4">
                  <c:v>0.29168529714807828</c:v>
                </c:pt>
              </c:numCache>
            </c:numRef>
          </c:val>
          <c:extLst>
            <c:ext xmlns:c16="http://schemas.microsoft.com/office/drawing/2014/chart" uri="{C3380CC4-5D6E-409C-BE32-E72D297353CC}">
              <c16:uniqueId val="{00000001-96A6-402F-8484-0CAE479A72DF}"/>
            </c:ext>
          </c:extLst>
        </c:ser>
        <c:dLbls>
          <c:showLegendKey val="0"/>
          <c:showVal val="0"/>
          <c:showCatName val="0"/>
          <c:showSerName val="0"/>
          <c:showPercent val="0"/>
          <c:showBubbleSize val="0"/>
        </c:dLbls>
        <c:gapWidth val="100"/>
        <c:overlap val="-24"/>
        <c:axId val="252864384"/>
        <c:axId val="252865920"/>
        <c:extLst>
          <c:ext xmlns:c15="http://schemas.microsoft.com/office/drawing/2012/chart" uri="{02D57815-91ED-43cb-92C2-25804820EDAC}">
            <c15:filteredBarSeries>
              <c15:ser>
                <c:idx val="0"/>
                <c:order val="0"/>
                <c:tx>
                  <c:strRef>
                    <c:extLst>
                      <c:ext uri="{02D57815-91ED-43cb-92C2-25804820EDAC}">
                        <c15:formulaRef>
                          <c15:sqref>'Org &amp; Tech Downtime'!$C$12</c15:sqref>
                        </c15:formulaRef>
                      </c:ext>
                    </c:extLst>
                    <c:strCache>
                      <c:ptCount val="1"/>
                      <c:pt idx="0">
                        <c:v>Jan-26</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a:solidFill>
                              <a:schemeClr val="lt1">
                                <a:lumMod val="95000"/>
                                <a:alpha val="54000"/>
                              </a:schemeClr>
                            </a:solidFill>
                          </a:ln>
                          <a:effectLst/>
                        </c:spPr>
                      </c15:leaderLines>
                    </c:ext>
                  </c:extLst>
                </c:dLbls>
                <c:cat>
                  <c:strRef>
                    <c:extLst>
                      <c:ex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c:ext uri="{02D57815-91ED-43cb-92C2-25804820EDAC}">
                        <c15:formulaRef>
                          <c15:sqref>'Org &amp; Tech Downtime'!$C$13:$C$17</c15:sqref>
                        </c15:formulaRef>
                      </c:ext>
                    </c:extLst>
                    <c:numCache>
                      <c:formatCode>0.0%</c:formatCode>
                      <c:ptCount val="5"/>
                      <c:pt idx="0">
                        <c:v>8.6206896551724144E-2</c:v>
                      </c:pt>
                      <c:pt idx="1">
                        <c:v>0.24870190387431768</c:v>
                      </c:pt>
                      <c:pt idx="2">
                        <c:v>5.9246438556783384E-3</c:v>
                      </c:pt>
                      <c:pt idx="3">
                        <c:v>0.22979629876181601</c:v>
                      </c:pt>
                      <c:pt idx="4">
                        <c:v>0.42937025695646386</c:v>
                      </c:pt>
                    </c:numCache>
                  </c:numRef>
                </c:val>
                <c:extLst>
                  <c:ext xmlns:c16="http://schemas.microsoft.com/office/drawing/2014/chart" uri="{C3380CC4-5D6E-409C-BE32-E72D297353CC}">
                    <c16:uniqueId val="{00000002-96A6-402F-8484-0CAE479A72D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'Org &amp; Tech Downtime'!$D$12</c15:sqref>
                        </c15:formulaRef>
                      </c:ext>
                    </c:extLst>
                    <c:strCache>
                      <c:ptCount val="1"/>
                      <c:pt idx="0">
                        <c:v>Feb-26</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Downtime'!$D$13:$D$17</c15:sqref>
                        </c15:formulaRef>
                      </c:ext>
                    </c:extLst>
                    <c:numCache>
                      <c:formatCode>0.0%</c:formatCode>
                      <c:ptCount val="5"/>
                      <c:pt idx="0">
                        <c:v>7.5868752595874292E-2</c:v>
                      </c:pt>
                      <c:pt idx="1">
                        <c:v>0.16045964280769764</c:v>
                      </c:pt>
                      <c:pt idx="2">
                        <c:v>5.5032534957773778E-2</c:v>
                      </c:pt>
                      <c:pt idx="3">
                        <c:v>0.36979094559047487</c:v>
                      </c:pt>
                      <c:pt idx="4">
                        <c:v>0.33884812404817943</c:v>
                      </c:pt>
                    </c:numCache>
                  </c:numRef>
                </c:val>
                <c:extLst xmlns:c15="http://schemas.microsoft.com/office/drawing/2012/chart">
                  <c:ext xmlns:c16="http://schemas.microsoft.com/office/drawing/2014/chart" uri="{C3380CC4-5D6E-409C-BE32-E72D297353CC}">
                    <c16:uniqueId val="{00000003-96A6-402F-8484-0CAE479A72D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'Org &amp; Tech Downtime'!$E$12</c15:sqref>
                        </c15:formulaRef>
                      </c:ext>
                    </c:extLst>
                    <c:strCache>
                      <c:ptCount val="1"/>
                      <c:pt idx="0">
                        <c:v>Mar-26</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Downtime'!$E$13:$E$17</c15:sqref>
                        </c15:formulaRef>
                      </c:ext>
                    </c:extLst>
                    <c:numCache>
                      <c:formatCode>0.0%</c:formatCode>
                      <c:ptCount val="5"/>
                      <c:pt idx="0">
                        <c:v>9.1842723004694829E-2</c:v>
                      </c:pt>
                      <c:pt idx="1">
                        <c:v>0.20701291079812206</c:v>
                      </c:pt>
                      <c:pt idx="2">
                        <c:v>2.0246478873239437E-2</c:v>
                      </c:pt>
                      <c:pt idx="3">
                        <c:v>0.3480780516431925</c:v>
                      </c:pt>
                      <c:pt idx="4">
                        <c:v>0.33281983568075119</c:v>
                      </c:pt>
                    </c:numCache>
                  </c:numRef>
                </c:val>
                <c:extLst xmlns:c15="http://schemas.microsoft.com/office/drawing/2012/chart">
                  <c:ext xmlns:c16="http://schemas.microsoft.com/office/drawing/2014/chart" uri="{C3380CC4-5D6E-409C-BE32-E72D297353CC}">
                    <c16:uniqueId val="{00000000-96A6-402F-8484-0CAE479A72D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'Org &amp; Tech Downtime'!$F$12</c15:sqref>
                        </c15:formulaRef>
                      </c:ext>
                    </c:extLst>
                    <c:strCache>
                      <c:ptCount val="1"/>
                      <c:pt idx="0">
                        <c:v>Apr-26</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0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Downtime'!$F$13:$F$17</c15:sqref>
                        </c15:formulaRef>
                      </c:ext>
                    </c:extLst>
                    <c:numCache>
                      <c:formatCode>0.0%</c:formatCode>
                      <c:ptCount val="5"/>
                      <c:pt idx="0">
                        <c:v>0.10511568329197021</c:v>
                      </c:pt>
                      <c:pt idx="1">
                        <c:v>0.16451845328636619</c:v>
                      </c:pt>
                      <c:pt idx="2">
                        <c:v>2.4017292450564404E-3</c:v>
                      </c:pt>
                      <c:pt idx="3">
                        <c:v>0.48883195901048754</c:v>
                      </c:pt>
                      <c:pt idx="4">
                        <c:v>0.23913217516611959</c:v>
                      </c:pt>
                    </c:numCache>
                  </c:numRef>
                </c:val>
                <c:extLst xmlns:c15="http://schemas.microsoft.com/office/drawing/2012/chart">
                  <c:ext xmlns:c16="http://schemas.microsoft.com/office/drawing/2014/chart" uri="{C3380CC4-5D6E-409C-BE32-E72D297353CC}">
                    <c16:uniqueId val="{00000004-96A6-402F-8484-0CAE479A72D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'Org &amp; Tech Downtime'!$G$12</c15:sqref>
                        </c15:formulaRef>
                      </c:ext>
                    </c:extLst>
                    <c:strCache>
                      <c:ptCount val="1"/>
                      <c:pt idx="0">
                        <c:v>May-26</c:v>
                      </c:pt>
                    </c:strCache>
                  </c:strRef>
                </c:tx>
                <c:spPr>
                  <a:solidFill>
                    <a:schemeClr val="accent4"/>
                  </a:soli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Downtime'!$G$13:$G$17</c15:sqref>
                        </c15:formulaRef>
                      </c:ext>
                    </c:extLst>
                    <c:numCache>
                      <c:formatCode>0.0%</c:formatCode>
                      <c:ptCount val="5"/>
                      <c:pt idx="0">
                        <c:v>0.15695067264573992</c:v>
                      </c:pt>
                      <c:pt idx="1">
                        <c:v>0.26162379041774841</c:v>
                      </c:pt>
                      <c:pt idx="2">
                        <c:v>2.5135709228227519E-2</c:v>
                      </c:pt>
                      <c:pt idx="3">
                        <c:v>0.26705215954684919</c:v>
                      </c:pt>
                      <c:pt idx="4">
                        <c:v>0.28923766816143498</c:v>
                      </c:pt>
                    </c:numCache>
                  </c:numRef>
                </c:val>
                <c:extLst xmlns:c15="http://schemas.microsoft.com/office/drawing/2012/chart">
                  <c:ext xmlns:c16="http://schemas.microsoft.com/office/drawing/2014/chart" uri="{C3380CC4-5D6E-409C-BE32-E72D297353CC}">
                    <c16:uniqueId val="{00000005-96A6-402F-8484-0CAE479A72D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'Org &amp; Tech Downtime'!$H$12</c15:sqref>
                        </c15:formulaRef>
                      </c:ext>
                    </c:extLst>
                    <c:strCache>
                      <c:ptCount val="1"/>
                      <c:pt idx="0">
                        <c:v>Jun-26</c:v>
                      </c:pt>
                    </c:strCache>
                  </c:strRef>
                </c:tx>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050" b="1"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Downtime'!$H$13:$H$17</c15:sqref>
                        </c15:formulaRef>
                      </c:ext>
                    </c:extLst>
                    <c:numCache>
                      <c:formatCode>0.0%</c:formatCode>
                      <c:ptCount val="5"/>
                      <c:pt idx="0">
                        <c:v>0.10175682727430857</c:v>
                      </c:pt>
                      <c:pt idx="1">
                        <c:v>0.17150808836319359</c:v>
                      </c:pt>
                      <c:pt idx="2">
                        <c:v>1.791615933205775E-2</c:v>
                      </c:pt>
                      <c:pt idx="3">
                        <c:v>0.33744999130283526</c:v>
                      </c:pt>
                      <c:pt idx="4">
                        <c:v>0.37136893372760482</c:v>
                      </c:pt>
                    </c:numCache>
                  </c:numRef>
                </c:val>
                <c:extLst xmlns:c15="http://schemas.microsoft.com/office/drawing/2012/chart">
                  <c:ext xmlns:c16="http://schemas.microsoft.com/office/drawing/2014/chart" uri="{C3380CC4-5D6E-409C-BE32-E72D297353CC}">
                    <c16:uniqueId val="{00000006-96A6-402F-8484-0CAE479A72D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'Org &amp; Tech Downtime'!$I$12</c15:sqref>
                        </c15:formulaRef>
                      </c:ext>
                    </c:extLst>
                    <c:strCache>
                      <c:ptCount val="1"/>
                      <c:pt idx="0">
                        <c:v>Jul-26</c:v>
                      </c:pt>
                    </c:strCache>
                  </c:strRef>
                </c:tx>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Downtime'!$I$13:$I$17</c15:sqref>
                        </c15:formulaRef>
                      </c:ext>
                    </c:extLst>
                    <c:numCache>
                      <c:formatCode>0.0%</c:formatCode>
                      <c:ptCount val="5"/>
                      <c:pt idx="0">
                        <c:v>9.6339235082855523E-2</c:v>
                      </c:pt>
                      <c:pt idx="1">
                        <c:v>0.34711108310755467</c:v>
                      </c:pt>
                      <c:pt idx="2">
                        <c:v>8.4556738705815634E-2</c:v>
                      </c:pt>
                      <c:pt idx="3">
                        <c:v>0.30628189780102072</c:v>
                      </c:pt>
                      <c:pt idx="4">
                        <c:v>0.16571104530275346</c:v>
                      </c:pt>
                    </c:numCache>
                  </c:numRef>
                </c:val>
                <c:extLst xmlns:c15="http://schemas.microsoft.com/office/drawing/2012/chart">
                  <c:ext xmlns:c16="http://schemas.microsoft.com/office/drawing/2014/chart" uri="{C3380CC4-5D6E-409C-BE32-E72D297353CC}">
                    <c16:uniqueId val="{00000007-96A6-402F-8484-0CAE479A72D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'Org &amp; Tech Downtime'!$K$12</c15:sqref>
                        </c15:formulaRef>
                      </c:ext>
                    </c:extLst>
                    <c:strCache>
                      <c:ptCount val="1"/>
                      <c:pt idx="0">
                        <c:v>Sep-26</c:v>
                      </c:pt>
                    </c:strCache>
                  </c:strRef>
                </c:tx>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Downtime'!$K$13:$K$17</c15:sqref>
                        </c15:formulaRef>
                      </c:ext>
                    </c:extLst>
                    <c:numCache>
                      <c:formatCode>0.0%</c:formatCode>
                      <c:ptCount val="5"/>
                      <c:pt idx="0">
                        <c:v>0.12836624775583483</c:v>
                      </c:pt>
                      <c:pt idx="1">
                        <c:v>0.36163118748397027</c:v>
                      </c:pt>
                      <c:pt idx="2">
                        <c:v>2.5647601949217746E-3</c:v>
                      </c:pt>
                      <c:pt idx="3">
                        <c:v>0.26968453449602464</c:v>
                      </c:pt>
                      <c:pt idx="4">
                        <c:v>0.23775327006924851</c:v>
                      </c:pt>
                    </c:numCache>
                  </c:numRef>
                </c:val>
                <c:extLst xmlns:c15="http://schemas.microsoft.com/office/drawing/2012/chart">
                  <c:ext xmlns:c16="http://schemas.microsoft.com/office/drawing/2014/chart" uri="{C3380CC4-5D6E-409C-BE32-E72D297353CC}">
                    <c16:uniqueId val="{00000009-96A6-402F-8484-0CAE479A72DF}"/>
                  </c:ext>
                </c:extLst>
              </c15:ser>
            </c15:filteredBarSeries>
            <c15:filteredBarSeries>
              <c15:ser>
                <c:idx val="9"/>
                <c:order val="9"/>
                <c:tx>
                  <c:strRef>
                    <c:extLst xmlns:c15="http://schemas.microsoft.com/office/drawing/2012/chart">
                      <c:ext xmlns:c15="http://schemas.microsoft.com/office/drawing/2012/chart" uri="{02D57815-91ED-43cb-92C2-25804820EDAC}">
                        <c15:formulaRef>
                          <c15:sqref>'Org &amp; Tech Downtime'!$L$12</c15:sqref>
                        </c15:formulaRef>
                      </c:ext>
                    </c:extLst>
                    <c:strCache>
                      <c:ptCount val="1"/>
                      <c:pt idx="0">
                        <c:v>Oct-26</c:v>
                      </c:pt>
                    </c:strCache>
                  </c:strRef>
                </c:tx>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Downtime'!$L$13:$L$17</c15:sqref>
                        </c15:formulaRef>
                      </c:ext>
                    </c:extLst>
                    <c:numCache>
                      <c:formatCode>0.0%</c:formatCode>
                      <c:ptCount val="5"/>
                    </c:numCache>
                  </c:numRef>
                </c:val>
                <c:extLst xmlns:c15="http://schemas.microsoft.com/office/drawing/2012/chart">
                  <c:ext xmlns:c16="http://schemas.microsoft.com/office/drawing/2014/chart" uri="{C3380CC4-5D6E-409C-BE32-E72D297353CC}">
                    <c16:uniqueId val="{0000000A-96A6-402F-8484-0CAE479A72DF}"/>
                  </c:ext>
                </c:extLst>
              </c15:ser>
            </c15:filteredBarSeries>
            <c15:filteredBarSeries>
              <c15:ser>
                <c:idx val="10"/>
                <c:order val="10"/>
                <c:tx>
                  <c:strRef>
                    <c:extLst xmlns:c15="http://schemas.microsoft.com/office/drawing/2012/chart">
                      <c:ext xmlns:c15="http://schemas.microsoft.com/office/drawing/2012/chart" uri="{02D57815-91ED-43cb-92C2-25804820EDAC}">
                        <c15:formulaRef>
                          <c15:sqref>'Org &amp; Tech Downtime'!$M$12</c15:sqref>
                        </c15:formulaRef>
                      </c:ext>
                    </c:extLst>
                    <c:strCache>
                      <c:ptCount val="1"/>
                      <c:pt idx="0">
                        <c:v>Nov-26</c:v>
                      </c:pt>
                    </c:strCache>
                  </c:strRef>
                </c:tx>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Downtime'!$M$13:$M$17</c15:sqref>
                        </c15:formulaRef>
                      </c:ext>
                    </c:extLst>
                    <c:numCache>
                      <c:formatCode>0.0%</c:formatCode>
                      <c:ptCount val="5"/>
                    </c:numCache>
                  </c:numRef>
                </c:val>
                <c:extLst xmlns:c15="http://schemas.microsoft.com/office/drawing/2012/chart">
                  <c:ext xmlns:c16="http://schemas.microsoft.com/office/drawing/2014/chart" uri="{C3380CC4-5D6E-409C-BE32-E72D297353CC}">
                    <c16:uniqueId val="{0000000B-96A6-402F-8484-0CAE479A72DF}"/>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'Org &amp; Tech Downtime'!$N$12</c15:sqref>
                        </c15:formulaRef>
                      </c:ext>
                    </c:extLst>
                    <c:strCache>
                      <c:ptCount val="1"/>
                      <c:pt idx="0">
                        <c:v>Dec-26</c:v>
                      </c:pt>
                    </c:strCache>
                  </c:strRef>
                </c:tx>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extLst xmlns:c15="http://schemas.microsoft.com/office/drawing/2012/chart">
                      <c:ext xmlns:c15="http://schemas.microsoft.com/office/drawing/2012/chart" uri="{02D57815-91ED-43cb-92C2-25804820EDAC}">
                        <c15:formulaRef>
                          <c15:sqref>'Org &amp; Tech Downtime'!$B$13:$B$17</c15:sqref>
                        </c15:formulaRef>
                      </c:ext>
                    </c:extLst>
                    <c:strCache>
                      <c:ptCount val="5"/>
                      <c:pt idx="0">
                        <c:v>Change Over Downtime %</c:v>
                      </c:pt>
                      <c:pt idx="1">
                        <c:v>External Downtime %</c:v>
                      </c:pt>
                      <c:pt idx="2">
                        <c:v>Planned Downtime %</c:v>
                      </c:pt>
                      <c:pt idx="3">
                        <c:v>Breakdown %</c:v>
                      </c:pt>
                      <c:pt idx="4">
                        <c:v>Minor Stops %</c:v>
                      </c:pt>
                    </c:strCache>
                  </c:strRef>
                </c:cat>
                <c:val>
                  <c:numRef>
                    <c:extLst xmlns:c15="http://schemas.microsoft.com/office/drawing/2012/chart">
                      <c:ext xmlns:c15="http://schemas.microsoft.com/office/drawing/2012/chart" uri="{02D57815-91ED-43cb-92C2-25804820EDAC}">
                        <c15:formulaRef>
                          <c15:sqref>'Org &amp; Tech Downtime'!$N$13:$N$17</c15:sqref>
                        </c15:formulaRef>
                      </c:ext>
                    </c:extLst>
                    <c:numCache>
                      <c:formatCode>0.0%</c:formatCode>
                      <c:ptCount val="5"/>
                    </c:numCache>
                  </c:numRef>
                </c:val>
                <c:extLst xmlns:c15="http://schemas.microsoft.com/office/drawing/2012/chart">
                  <c:ext xmlns:c16="http://schemas.microsoft.com/office/drawing/2014/chart" uri="{C3380CC4-5D6E-409C-BE32-E72D297353CC}">
                    <c16:uniqueId val="{0000000C-96A6-402F-8484-0CAE479A72DF}"/>
                  </c:ext>
                </c:extLst>
              </c15:ser>
            </c15:filteredBarSeries>
          </c:ext>
        </c:extLst>
      </c:barChart>
      <c:catAx>
        <c:axId val="2528643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lang="en-US" sz="1200" b="1" i="0" u="none" strike="noStrike" kern="1200" baseline="0">
                <a:solidFill>
                  <a:schemeClr val="lt1">
                    <a:lumMod val="85000"/>
                  </a:schemeClr>
                </a:solidFill>
                <a:latin typeface="+mn-lt"/>
                <a:ea typeface="+mn-ea"/>
                <a:cs typeface="+mn-cs"/>
              </a:defRPr>
            </a:pPr>
            <a:endParaRPr lang="en-US"/>
          </a:p>
        </c:txPr>
        <c:crossAx val="252865920"/>
        <c:crosses val="autoZero"/>
        <c:auto val="1"/>
        <c:lblAlgn val="ctr"/>
        <c:lblOffset val="100"/>
        <c:noMultiLvlLbl val="0"/>
      </c:catAx>
      <c:valAx>
        <c:axId val="25286592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2528643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5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22c9ab05-38ac-4776-886d-72e822f29838}"/>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i="0" baseline="0">
                <a:effectLst>
                  <a:outerShdw blurRad="50800" dist="38100" dir="5400000" algn="t" rotWithShape="0">
                    <a:srgbClr val="000000">
                      <a:alpha val="40000"/>
                    </a:srgbClr>
                  </a:outerShdw>
                </a:effectLst>
              </a:rPr>
              <a:t>PACKAGING LINE DOWNTIME TREND 2026</a:t>
            </a:r>
            <a:endParaRPr lang="en-US" sz="1400">
              <a:effectLst/>
            </a:endParaRPr>
          </a:p>
        </c:rich>
      </c:tx>
      <c:layout>
        <c:manualLayout>
          <c:xMode val="edge"/>
          <c:yMode val="edge"/>
          <c:x val="0.19835219949208099"/>
          <c:y val="8.4121976866456394E-3"/>
        </c:manualLayout>
      </c:layout>
      <c:overlay val="0"/>
      <c:spPr>
        <a:noFill/>
        <a:ln>
          <a:noFill/>
        </a:ln>
        <a:effectLst/>
      </c:spPr>
      <c:txPr>
        <a:bodyPr rot="0" spcFirstLastPara="1" vertOverflow="ellipsis" vert="horz" wrap="square" anchor="ctr" anchorCtr="1"/>
        <a:lstStyle/>
        <a:p>
          <a:pPr>
            <a:defRPr lang="en-US"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8.8483688323400395E-2"/>
          <c:y val="0.15222931518418201"/>
          <c:w val="0.88774537704667"/>
          <c:h val="0.56715036803364904"/>
        </c:manualLayout>
      </c:layout>
      <c:lineChart>
        <c:grouping val="standard"/>
        <c:varyColors val="0"/>
        <c:ser>
          <c:idx val="0"/>
          <c:order val="0"/>
          <c:tx>
            <c:strRef>
              <c:f>'Org &amp; Tech Downtime'!$B$13</c:f>
              <c:strCache>
                <c:ptCount val="1"/>
                <c:pt idx="0">
                  <c:v>Change Over Downtime %</c:v>
                </c:pt>
              </c:strCache>
            </c:strRef>
          </c:tx>
          <c:spPr>
            <a:ln w="34925" cap="rnd">
              <a:solidFill>
                <a:srgbClr val="FFC000"/>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Downtime'!$C$13:$N$13</c:f>
              <c:numCache>
                <c:formatCode>0.0%</c:formatCode>
                <c:ptCount val="12"/>
                <c:pt idx="0">
                  <c:v>8.6206896551724144E-2</c:v>
                </c:pt>
                <c:pt idx="1">
                  <c:v>7.5868752595874292E-2</c:v>
                </c:pt>
                <c:pt idx="2">
                  <c:v>9.1842723004694829E-2</c:v>
                </c:pt>
                <c:pt idx="3">
                  <c:v>0.10511568329197021</c:v>
                </c:pt>
                <c:pt idx="4">
                  <c:v>0.15695067264573992</c:v>
                </c:pt>
                <c:pt idx="5">
                  <c:v>0.10175682727430857</c:v>
                </c:pt>
                <c:pt idx="6">
                  <c:v>9.6339235082855523E-2</c:v>
                </c:pt>
                <c:pt idx="7">
                  <c:v>0.14167110164981372</c:v>
                </c:pt>
                <c:pt idx="8">
                  <c:v>0.12836624775583483</c:v>
                </c:pt>
              </c:numCache>
            </c:numRef>
          </c:val>
          <c:smooth val="0"/>
          <c:extLst>
            <c:ext xmlns:c16="http://schemas.microsoft.com/office/drawing/2014/chart" uri="{C3380CC4-5D6E-409C-BE32-E72D297353CC}">
              <c16:uniqueId val="{00000000-81CA-464E-BB39-C39F5897432E}"/>
            </c:ext>
          </c:extLst>
        </c:ser>
        <c:ser>
          <c:idx val="1"/>
          <c:order val="1"/>
          <c:tx>
            <c:strRef>
              <c:f>'Org &amp; Tech Downtime'!$B$14</c:f>
              <c:strCache>
                <c:ptCount val="1"/>
                <c:pt idx="0">
                  <c:v>External Downtime %</c:v>
                </c:pt>
              </c:strCache>
            </c:strRef>
          </c:tx>
          <c:spPr>
            <a:ln w="34925" cap="rnd">
              <a:solidFill>
                <a:schemeClr val="accent2"/>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Downtime'!$C$14:$N$14</c:f>
              <c:numCache>
                <c:formatCode>0.0%</c:formatCode>
                <c:ptCount val="12"/>
                <c:pt idx="0">
                  <c:v>0.24870190387431768</c:v>
                </c:pt>
                <c:pt idx="1">
                  <c:v>0.16045964280769764</c:v>
                </c:pt>
                <c:pt idx="2">
                  <c:v>0.20701291079812206</c:v>
                </c:pt>
                <c:pt idx="3">
                  <c:v>0.16451845328636619</c:v>
                </c:pt>
                <c:pt idx="4">
                  <c:v>0.26162379041774841</c:v>
                </c:pt>
                <c:pt idx="5">
                  <c:v>0.17150808836319359</c:v>
                </c:pt>
                <c:pt idx="6">
                  <c:v>0.34711108310755467</c:v>
                </c:pt>
                <c:pt idx="7">
                  <c:v>0.27791378392762106</c:v>
                </c:pt>
                <c:pt idx="8">
                  <c:v>0.36163118748397027</c:v>
                </c:pt>
              </c:numCache>
            </c:numRef>
          </c:val>
          <c:smooth val="0"/>
          <c:extLst>
            <c:ext xmlns:c16="http://schemas.microsoft.com/office/drawing/2014/chart" uri="{C3380CC4-5D6E-409C-BE32-E72D297353CC}">
              <c16:uniqueId val="{00000001-81CA-464E-BB39-C39F5897432E}"/>
            </c:ext>
          </c:extLst>
        </c:ser>
        <c:ser>
          <c:idx val="2"/>
          <c:order val="2"/>
          <c:tx>
            <c:strRef>
              <c:f>'Org &amp; Tech Downtime'!$B$15</c:f>
              <c:strCache>
                <c:ptCount val="1"/>
                <c:pt idx="0">
                  <c:v>Planned Downtime %</c:v>
                </c:pt>
              </c:strCache>
            </c:strRef>
          </c:tx>
          <c:spPr>
            <a:ln w="34925" cap="rnd">
              <a:solidFill>
                <a:schemeClr val="accent3"/>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Downtime'!$C$15:$N$15</c:f>
              <c:numCache>
                <c:formatCode>0.0%</c:formatCode>
                <c:ptCount val="12"/>
                <c:pt idx="0">
                  <c:v>5.9246438556783384E-3</c:v>
                </c:pt>
                <c:pt idx="1">
                  <c:v>5.5032534957773778E-2</c:v>
                </c:pt>
                <c:pt idx="2">
                  <c:v>2.0246478873239437E-2</c:v>
                </c:pt>
                <c:pt idx="3">
                  <c:v>2.4017292450564404E-3</c:v>
                </c:pt>
                <c:pt idx="4">
                  <c:v>2.5135709228227519E-2</c:v>
                </c:pt>
                <c:pt idx="5">
                  <c:v>1.791615933205775E-2</c:v>
                </c:pt>
                <c:pt idx="6">
                  <c:v>8.4556738705815634E-2</c:v>
                </c:pt>
                <c:pt idx="7">
                  <c:v>3.1931878658861094E-3</c:v>
                </c:pt>
                <c:pt idx="8">
                  <c:v>2.5647601949217746E-3</c:v>
                </c:pt>
              </c:numCache>
            </c:numRef>
          </c:val>
          <c:smooth val="0"/>
          <c:extLst>
            <c:ext xmlns:c16="http://schemas.microsoft.com/office/drawing/2014/chart" uri="{C3380CC4-5D6E-409C-BE32-E72D297353CC}">
              <c16:uniqueId val="{00000002-81CA-464E-BB39-C39F5897432E}"/>
            </c:ext>
          </c:extLst>
        </c:ser>
        <c:ser>
          <c:idx val="3"/>
          <c:order val="3"/>
          <c:tx>
            <c:strRef>
              <c:f>'Org &amp; Tech Downtime'!$B$16</c:f>
              <c:strCache>
                <c:ptCount val="1"/>
                <c:pt idx="0">
                  <c:v>Breakdown %</c:v>
                </c:pt>
              </c:strCache>
            </c:strRef>
          </c:tx>
          <c:spPr>
            <a:ln w="34925" cap="rnd">
              <a:solidFill>
                <a:schemeClr val="accent4"/>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Downtime'!$C$16:$N$16</c:f>
              <c:numCache>
                <c:formatCode>0.0%</c:formatCode>
                <c:ptCount val="12"/>
                <c:pt idx="0">
                  <c:v>0.22979629876181601</c:v>
                </c:pt>
                <c:pt idx="1">
                  <c:v>0.36979094559047487</c:v>
                </c:pt>
                <c:pt idx="2">
                  <c:v>0.3480780516431925</c:v>
                </c:pt>
                <c:pt idx="3">
                  <c:v>0.48883195901048754</c:v>
                </c:pt>
                <c:pt idx="4">
                  <c:v>0.26705215954684919</c:v>
                </c:pt>
                <c:pt idx="5">
                  <c:v>0.33744999130283526</c:v>
                </c:pt>
                <c:pt idx="6">
                  <c:v>0.30628189780102072</c:v>
                </c:pt>
                <c:pt idx="7">
                  <c:v>0.35699840340606703</c:v>
                </c:pt>
                <c:pt idx="8">
                  <c:v>0.26968453449602464</c:v>
                </c:pt>
              </c:numCache>
            </c:numRef>
          </c:val>
          <c:smooth val="0"/>
          <c:extLst>
            <c:ext xmlns:c16="http://schemas.microsoft.com/office/drawing/2014/chart" uri="{C3380CC4-5D6E-409C-BE32-E72D297353CC}">
              <c16:uniqueId val="{00000003-81CA-464E-BB39-C39F5897432E}"/>
            </c:ext>
          </c:extLst>
        </c:ser>
        <c:ser>
          <c:idx val="4"/>
          <c:order val="4"/>
          <c:tx>
            <c:strRef>
              <c:f>'Org &amp; Tech Downtime'!$B$17</c:f>
              <c:strCache>
                <c:ptCount val="1"/>
                <c:pt idx="0">
                  <c:v>Minor Stops %</c:v>
                </c:pt>
              </c:strCache>
            </c:strRef>
          </c:tx>
          <c:spPr>
            <a:ln w="34925" cap="rnd">
              <a:solidFill>
                <a:schemeClr val="accent5"/>
              </a:solidFill>
              <a:round/>
            </a:ln>
            <a:effectLst>
              <a:outerShdw blurRad="40000" dist="23000" dir="5400000" rotWithShape="0">
                <a:srgbClr val="000000">
                  <a:alpha val="35000"/>
                </a:srgbClr>
              </a:outerShdw>
            </a:effectLst>
          </c:spPr>
          <c:marker>
            <c:symbol val="none"/>
          </c:marker>
          <c:cat>
            <c:numRef>
              <c:f>'Org &amp; Tech Downtime'!$C$12:$N$12</c:f>
              <c:numCache>
                <c:formatCode>mmm\-yy</c:formatCode>
                <c:ptCount val="12"/>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numCache>
            </c:numRef>
          </c:cat>
          <c:val>
            <c:numRef>
              <c:f>'Org &amp; Tech Downtime'!$C$17:$N$17</c:f>
              <c:numCache>
                <c:formatCode>0.0%</c:formatCode>
                <c:ptCount val="12"/>
                <c:pt idx="0">
                  <c:v>0.42937025695646386</c:v>
                </c:pt>
                <c:pt idx="1">
                  <c:v>0.33884812404817943</c:v>
                </c:pt>
                <c:pt idx="2">
                  <c:v>0.33281983568075119</c:v>
                </c:pt>
                <c:pt idx="3">
                  <c:v>0.23913217516611959</c:v>
                </c:pt>
                <c:pt idx="4">
                  <c:v>0.28923766816143498</c:v>
                </c:pt>
                <c:pt idx="5">
                  <c:v>0.37136893372760482</c:v>
                </c:pt>
                <c:pt idx="6">
                  <c:v>0.16571104530275346</c:v>
                </c:pt>
                <c:pt idx="7">
                  <c:v>0.22022352315061203</c:v>
                </c:pt>
                <c:pt idx="8">
                  <c:v>0.23775327006924851</c:v>
                </c:pt>
              </c:numCache>
            </c:numRef>
          </c:val>
          <c:smooth val="0"/>
          <c:extLst>
            <c:ext xmlns:c16="http://schemas.microsoft.com/office/drawing/2014/chart" uri="{C3380CC4-5D6E-409C-BE32-E72D297353CC}">
              <c16:uniqueId val="{00000004-81CA-464E-BB39-C39F5897432E}"/>
            </c:ext>
          </c:extLst>
        </c:ser>
        <c:dLbls>
          <c:showLegendKey val="0"/>
          <c:showVal val="0"/>
          <c:showCatName val="0"/>
          <c:showSerName val="0"/>
          <c:showPercent val="0"/>
          <c:showBubbleSize val="0"/>
        </c:dLbls>
        <c:smooth val="0"/>
        <c:axId val="252937344"/>
        <c:axId val="252938880"/>
      </c:lineChart>
      <c:dateAx>
        <c:axId val="252937344"/>
        <c:scaling>
          <c:orientation val="minMax"/>
        </c:scaling>
        <c:delete val="0"/>
        <c:axPos val="b"/>
        <c:numFmt formatCode="mmm\-yy"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252938880"/>
        <c:crosses val="autoZero"/>
        <c:auto val="1"/>
        <c:lblOffset val="100"/>
        <c:baseTimeUnit val="months"/>
      </c:dateAx>
      <c:valAx>
        <c:axId val="252938880"/>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crossAx val="2529373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0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32f8b023-bfe9-47eb-a084-acbbf59c5081}"/>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lang="en-US"/>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Last 2 weeks</a:t>
            </a:r>
          </a:p>
        </c:rich>
      </c:tx>
      <c:layout>
        <c:manualLayout>
          <c:xMode val="edge"/>
          <c:yMode val="edge"/>
          <c:x val="0.368844860096459"/>
          <c:y val="3.7938915592795601E-2"/>
        </c:manualLayout>
      </c:layout>
      <c:overlay val="0"/>
      <c:spPr>
        <a:noFill/>
        <a:ln w="25400">
          <a:noFill/>
        </a:ln>
      </c:spPr>
    </c:title>
    <c:autoTitleDeleted val="0"/>
    <c:plotArea>
      <c:layout>
        <c:manualLayout>
          <c:layoutTarget val="inner"/>
          <c:xMode val="edge"/>
          <c:yMode val="edge"/>
          <c:x val="0.16868026978174813"/>
          <c:y val="0.13553550635889763"/>
          <c:w val="0.82368421052631602"/>
          <c:h val="0.54908619181222995"/>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'Data Sheet'!$B$5:$B$26</c:f>
              <c:strCache>
                <c:ptCount val="22"/>
                <c:pt idx="0">
                  <c:v>Product Delay</c:v>
                </c:pt>
                <c:pt idx="1">
                  <c:v>Change Over</c:v>
                </c:pt>
                <c:pt idx="2">
                  <c:v>Other Explained</c:v>
                </c:pt>
                <c:pt idx="3">
                  <c:v>Filler</c:v>
                </c:pt>
                <c:pt idx="4">
                  <c:v>Washer</c:v>
                </c:pt>
                <c:pt idx="5">
                  <c:v>Pasteuriser</c:v>
                </c:pt>
                <c:pt idx="6">
                  <c:v>Carton Errector</c:v>
                </c:pt>
                <c:pt idx="7">
                  <c:v>EBI</c:v>
                </c:pt>
                <c:pt idx="8">
                  <c:v>Packer</c:v>
                </c:pt>
                <c:pt idx="9">
                  <c:v>Bottle Supply</c:v>
                </c:pt>
                <c:pt idx="10">
                  <c:v>Conveyors</c:v>
                </c:pt>
                <c:pt idx="11">
                  <c:v>Uncaser</c:v>
                </c:pt>
                <c:pt idx="12">
                  <c:v>Videojet (Coder)</c:v>
                </c:pt>
                <c:pt idx="13">
                  <c:v>Labeller</c:v>
                </c:pt>
                <c:pt idx="14">
                  <c:v>Low Air Pressure</c:v>
                </c:pt>
                <c:pt idx="15">
                  <c:v>Crate Rinser</c:v>
                </c:pt>
                <c:pt idx="16">
                  <c:v>Operator Errors</c:v>
                </c:pt>
                <c:pt idx="17">
                  <c:v>Low CO2 Pressure</c:v>
                </c:pt>
                <c:pt idx="18">
                  <c:v>Other Unexplained</c:v>
                </c:pt>
                <c:pt idx="19">
                  <c:v>Low Steam Pressure</c:v>
                </c:pt>
                <c:pt idx="20">
                  <c:v>Low Water Pressure</c:v>
                </c:pt>
                <c:pt idx="21">
                  <c:v>Space Availability</c:v>
                </c:pt>
              </c:strCache>
            </c:strRef>
          </c:cat>
          <c:val>
            <c:numRef>
              <c:f>'Data Sheet'!$C$5:$C$26</c:f>
              <c:numCache>
                <c:formatCode>0.00</c:formatCode>
                <c:ptCount val="22"/>
                <c:pt idx="0">
                  <c:v>0.16886390073671967</c:v>
                </c:pt>
                <c:pt idx="1">
                  <c:v>0.13280341217526173</c:v>
                </c:pt>
                <c:pt idx="2">
                  <c:v>0.1316401706087631</c:v>
                </c:pt>
                <c:pt idx="3">
                  <c:v>0.10721209771229158</c:v>
                </c:pt>
                <c:pt idx="4">
                  <c:v>6.591702210158977E-2</c:v>
                </c:pt>
                <c:pt idx="5">
                  <c:v>5.9131446297014348E-2</c:v>
                </c:pt>
                <c:pt idx="6">
                  <c:v>5.3315238464521131E-2</c:v>
                </c:pt>
                <c:pt idx="7">
                  <c:v>5.0019387359441642E-2</c:v>
                </c:pt>
                <c:pt idx="8">
                  <c:v>4.7692904226444358E-2</c:v>
                </c:pt>
                <c:pt idx="9">
                  <c:v>3.5478867778208606E-2</c:v>
                </c:pt>
                <c:pt idx="10">
                  <c:v>3.3734005428460646E-2</c:v>
                </c:pt>
                <c:pt idx="11">
                  <c:v>3.2376890267545561E-2</c:v>
                </c:pt>
                <c:pt idx="12">
                  <c:v>3.1407522295463355E-2</c:v>
                </c:pt>
                <c:pt idx="13">
                  <c:v>2.6754556029468787E-2</c:v>
                </c:pt>
                <c:pt idx="14">
                  <c:v>9.8875533152384641E-3</c:v>
                </c:pt>
                <c:pt idx="15">
                  <c:v>5.2345870492438926E-3</c:v>
                </c:pt>
                <c:pt idx="16">
                  <c:v>4.6529662659945716E-3</c:v>
                </c:pt>
                <c:pt idx="17">
                  <c:v>3.2958511050794883E-3</c:v>
                </c:pt>
                <c:pt idx="18">
                  <c:v>5.8162078324932144E-4</c:v>
                </c:pt>
                <c:pt idx="19">
                  <c:v>0</c:v>
                </c:pt>
                <c:pt idx="20">
                  <c:v>0</c:v>
                </c:pt>
                <c:pt idx="21">
                  <c:v>0</c:v>
                </c:pt>
              </c:numCache>
            </c:numRef>
          </c:val>
          <c:extLst>
            <c:ext xmlns:c16="http://schemas.microsoft.com/office/drawing/2014/chart" uri="{C3380CC4-5D6E-409C-BE32-E72D297353CC}">
              <c16:uniqueId val="{00000000-DDD8-4563-820C-D4A5B1F0B6BD}"/>
            </c:ext>
          </c:extLst>
        </c:ser>
        <c:dLbls>
          <c:showLegendKey val="0"/>
          <c:showVal val="0"/>
          <c:showCatName val="0"/>
          <c:showSerName val="0"/>
          <c:showPercent val="0"/>
          <c:showBubbleSize val="0"/>
        </c:dLbls>
        <c:gapWidth val="150"/>
        <c:axId val="250789888"/>
        <c:axId val="25079219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'Data Sheet'!$B$5:$B$26</c:f>
              <c:strCache>
                <c:ptCount val="22"/>
                <c:pt idx="0">
                  <c:v>Product Delay</c:v>
                </c:pt>
                <c:pt idx="1">
                  <c:v>Change Over</c:v>
                </c:pt>
                <c:pt idx="2">
                  <c:v>Other Explained</c:v>
                </c:pt>
                <c:pt idx="3">
                  <c:v>Filler</c:v>
                </c:pt>
                <c:pt idx="4">
                  <c:v>Washer</c:v>
                </c:pt>
                <c:pt idx="5">
                  <c:v>Pasteuriser</c:v>
                </c:pt>
                <c:pt idx="6">
                  <c:v>Carton Errector</c:v>
                </c:pt>
                <c:pt idx="7">
                  <c:v>EBI</c:v>
                </c:pt>
                <c:pt idx="8">
                  <c:v>Packer</c:v>
                </c:pt>
                <c:pt idx="9">
                  <c:v>Bottle Supply</c:v>
                </c:pt>
                <c:pt idx="10">
                  <c:v>Conveyors</c:v>
                </c:pt>
                <c:pt idx="11">
                  <c:v>Uncaser</c:v>
                </c:pt>
                <c:pt idx="12">
                  <c:v>Videojet (Coder)</c:v>
                </c:pt>
                <c:pt idx="13">
                  <c:v>Labeller</c:v>
                </c:pt>
                <c:pt idx="14">
                  <c:v>Low Air Pressure</c:v>
                </c:pt>
                <c:pt idx="15">
                  <c:v>Crate Rinser</c:v>
                </c:pt>
                <c:pt idx="16">
                  <c:v>Operator Errors</c:v>
                </c:pt>
                <c:pt idx="17">
                  <c:v>Low CO2 Pressure</c:v>
                </c:pt>
                <c:pt idx="18">
                  <c:v>Other Unexplained</c:v>
                </c:pt>
                <c:pt idx="19">
                  <c:v>Low Steam Pressure</c:v>
                </c:pt>
                <c:pt idx="20">
                  <c:v>Low Water Pressure</c:v>
                </c:pt>
                <c:pt idx="21">
                  <c:v>Space Availability</c:v>
                </c:pt>
              </c:strCache>
            </c:strRef>
          </c:cat>
          <c:val>
            <c:numRef>
              <c:f>'Data Sheet'!$D$5:$D$26</c:f>
              <c:numCache>
                <c:formatCode>0.00</c:formatCode>
                <c:ptCount val="22"/>
                <c:pt idx="0">
                  <c:v>0.16886390073671967</c:v>
                </c:pt>
                <c:pt idx="1">
                  <c:v>0.3016673129119814</c:v>
                </c:pt>
                <c:pt idx="2">
                  <c:v>0.4333074835207445</c:v>
                </c:pt>
                <c:pt idx="3">
                  <c:v>0.54051958123303612</c:v>
                </c:pt>
                <c:pt idx="4">
                  <c:v>0.6064366033346259</c:v>
                </c:pt>
                <c:pt idx="5">
                  <c:v>0.66556804963164029</c:v>
                </c:pt>
                <c:pt idx="6">
                  <c:v>0.71888328809616142</c:v>
                </c:pt>
                <c:pt idx="7">
                  <c:v>0.76890267545560309</c:v>
                </c:pt>
                <c:pt idx="8">
                  <c:v>0.81659557968204743</c:v>
                </c:pt>
                <c:pt idx="9">
                  <c:v>0.85207444746025607</c:v>
                </c:pt>
                <c:pt idx="10">
                  <c:v>0.88580845288871668</c:v>
                </c:pt>
                <c:pt idx="11">
                  <c:v>0.91818534315626221</c:v>
                </c:pt>
                <c:pt idx="12">
                  <c:v>0.94959286545172561</c:v>
                </c:pt>
                <c:pt idx="13">
                  <c:v>0.97634742148119436</c:v>
                </c:pt>
                <c:pt idx="14">
                  <c:v>0.98623497479643285</c:v>
                </c:pt>
                <c:pt idx="15">
                  <c:v>0.99146956184567669</c:v>
                </c:pt>
                <c:pt idx="16">
                  <c:v>0.99612252811167123</c:v>
                </c:pt>
                <c:pt idx="17">
                  <c:v>0.9994183792167507</c:v>
                </c:pt>
                <c:pt idx="18">
                  <c:v>1</c:v>
                </c:pt>
                <c:pt idx="19">
                  <c:v>1</c:v>
                </c:pt>
                <c:pt idx="20">
                  <c:v>1</c:v>
                </c:pt>
                <c:pt idx="21">
                  <c:v>1</c:v>
                </c:pt>
              </c:numCache>
            </c:numRef>
          </c:val>
          <c:smooth val="0"/>
          <c:extLst>
            <c:ext xmlns:c16="http://schemas.microsoft.com/office/drawing/2014/chart" uri="{C3380CC4-5D6E-409C-BE32-E72D297353CC}">
              <c16:uniqueId val="{00000001-DDD8-4563-820C-D4A5B1F0B6BD}"/>
            </c:ext>
          </c:extLst>
        </c:ser>
        <c:dLbls>
          <c:showLegendKey val="0"/>
          <c:showVal val="0"/>
          <c:showCatName val="0"/>
          <c:showSerName val="0"/>
          <c:showPercent val="0"/>
          <c:showBubbleSize val="0"/>
        </c:dLbls>
        <c:marker val="1"/>
        <c:smooth val="0"/>
        <c:axId val="250802560"/>
        <c:axId val="250804096"/>
      </c:lineChart>
      <c:catAx>
        <c:axId val="25078988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Contributors</a:t>
                </a:r>
              </a:p>
            </c:rich>
          </c:tx>
          <c:layout>
            <c:manualLayout>
              <c:xMode val="edge"/>
              <c:yMode val="edge"/>
              <c:x val="0.285321735505084"/>
              <c:y val="0.94953023983641005"/>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92192"/>
        <c:crosses val="autoZero"/>
        <c:auto val="0"/>
        <c:lblAlgn val="ctr"/>
        <c:lblOffset val="100"/>
        <c:tickLblSkip val="1"/>
        <c:noMultiLvlLbl val="0"/>
      </c:catAx>
      <c:valAx>
        <c:axId val="250792192"/>
        <c:scaling>
          <c:orientation val="minMax"/>
          <c:max val="1"/>
        </c:scaling>
        <c:delete val="0"/>
        <c:axPos val="l"/>
        <c:title>
          <c:tx>
            <c:rich>
              <a:bodyPr rot="-540000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7.8485838278600801E-3"/>
              <c:y val="0.27934581144076598"/>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89888"/>
        <c:crosses val="autoZero"/>
        <c:crossBetween val="between"/>
      </c:valAx>
      <c:catAx>
        <c:axId val="250802560"/>
        <c:scaling>
          <c:orientation val="minMax"/>
        </c:scaling>
        <c:delete val="1"/>
        <c:axPos val="b"/>
        <c:numFmt formatCode="General" sourceLinked="1"/>
        <c:majorTickMark val="out"/>
        <c:minorTickMark val="none"/>
        <c:tickLblPos val="nextTo"/>
        <c:crossAx val="250804096"/>
        <c:crosses val="autoZero"/>
        <c:auto val="0"/>
        <c:lblAlgn val="ctr"/>
        <c:lblOffset val="100"/>
        <c:noMultiLvlLbl val="0"/>
      </c:catAx>
      <c:valAx>
        <c:axId val="250804096"/>
        <c:scaling>
          <c:orientation val="minMax"/>
        </c:scaling>
        <c:delete val="1"/>
        <c:axPos val="l"/>
        <c:numFmt formatCode="0.00" sourceLinked="1"/>
        <c:majorTickMark val="out"/>
        <c:minorTickMark val="none"/>
        <c:tickLblPos val="nextTo"/>
        <c:crossAx val="250802560"/>
        <c:crosses val="autoZero"/>
        <c:crossBetween val="between"/>
      </c:valAx>
      <c:spPr>
        <a:noFill/>
        <a:ln w="25400">
          <a:noFill/>
        </a:ln>
      </c:spPr>
    </c:plotArea>
    <c:legend>
      <c:legendPos val="r"/>
      <c:layout>
        <c:manualLayout>
          <c:xMode val="edge"/>
          <c:yMode val="edge"/>
          <c:x val="0.77636430825208202"/>
          <c:y val="0.25279692769995199"/>
          <c:w val="0.18363663928290599"/>
          <c:h val="5.36914358389287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81d3fd67-cac5-4bf6-bbb6-b9ba5153584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0" vertOverflow="ellipsis" vert="horz" wrap="square" anchor="ctr" anchorCtr="1"/>
          <a:lstStyle/>
          <a:p>
            <a:pPr>
              <a:defRPr lang="en-US" sz="1200" b="1" i="0" u="none" strike="noStrike" kern="1200" baseline="0">
                <a:solidFill>
                  <a:srgbClr val="000000"/>
                </a:solidFill>
                <a:latin typeface="Arial" panose="020B0604020202020204"/>
                <a:ea typeface="Arial" panose="020B0604020202020204"/>
                <a:cs typeface="Arial" panose="020B0604020202020204"/>
              </a:defRPr>
            </a:pPr>
            <a:r>
              <a:rPr lang="en-US"/>
              <a:t>Pareto: Last week</a:t>
            </a:r>
          </a:p>
        </c:rich>
      </c:tx>
      <c:layout>
        <c:manualLayout>
          <c:xMode val="edge"/>
          <c:yMode val="edge"/>
          <c:x val="0.368844860096459"/>
          <c:y val="3.7938915592795601E-2"/>
        </c:manualLayout>
      </c:layout>
      <c:overlay val="0"/>
      <c:spPr>
        <a:noFill/>
        <a:ln w="25400">
          <a:noFill/>
        </a:ln>
      </c:spPr>
    </c:title>
    <c:autoTitleDeleted val="0"/>
    <c:plotArea>
      <c:layout>
        <c:manualLayout>
          <c:layoutTarget val="inner"/>
          <c:xMode val="edge"/>
          <c:yMode val="edge"/>
          <c:x val="0.13243416393092949"/>
          <c:y val="0.13314111594430234"/>
          <c:w val="0.82368421052631602"/>
          <c:h val="0.54908619181222995"/>
        </c:manualLayout>
      </c:layout>
      <c:barChart>
        <c:barDir val="col"/>
        <c:grouping val="clustered"/>
        <c:varyColors val="0"/>
        <c:ser>
          <c:idx val="1"/>
          <c:order val="0"/>
          <c:spPr>
            <a:solidFill>
              <a:srgbClr val="993366"/>
            </a:solidFill>
            <a:ln w="12700">
              <a:solidFill>
                <a:srgbClr val="000000"/>
              </a:solidFill>
              <a:prstDash val="solid"/>
            </a:ln>
          </c:spPr>
          <c:invertIfNegative val="0"/>
          <c:cat>
            <c:strRef>
              <c:f>'Data Sheet'!$J$5:$J$26</c:f>
              <c:strCache>
                <c:ptCount val="22"/>
                <c:pt idx="0">
                  <c:v>Change Over</c:v>
                </c:pt>
                <c:pt idx="1">
                  <c:v>Pasteuriser</c:v>
                </c:pt>
                <c:pt idx="2">
                  <c:v>Packer</c:v>
                </c:pt>
                <c:pt idx="3">
                  <c:v>Uncaser</c:v>
                </c:pt>
                <c:pt idx="4">
                  <c:v>Filler</c:v>
                </c:pt>
                <c:pt idx="5">
                  <c:v>Labeller</c:v>
                </c:pt>
                <c:pt idx="6">
                  <c:v>Other Explained</c:v>
                </c:pt>
                <c:pt idx="7">
                  <c:v>Bottle Supply</c:v>
                </c:pt>
                <c:pt idx="8">
                  <c:v>Conveyors</c:v>
                </c:pt>
                <c:pt idx="9">
                  <c:v>Low Air Pressure</c:v>
                </c:pt>
                <c:pt idx="10">
                  <c:v>Carton Errector</c:v>
                </c:pt>
                <c:pt idx="11">
                  <c:v>Washer</c:v>
                </c:pt>
                <c:pt idx="12">
                  <c:v>EBI</c:v>
                </c:pt>
                <c:pt idx="13">
                  <c:v>Product Delay</c:v>
                </c:pt>
                <c:pt idx="14">
                  <c:v>Videojet (Coder)</c:v>
                </c:pt>
                <c:pt idx="15">
                  <c:v>Other Unexplained</c:v>
                </c:pt>
                <c:pt idx="16">
                  <c:v>Operator Errors</c:v>
                </c:pt>
                <c:pt idx="17">
                  <c:v>Low CO2 Pressure</c:v>
                </c:pt>
                <c:pt idx="18">
                  <c:v>Crate Rinser</c:v>
                </c:pt>
                <c:pt idx="19">
                  <c:v>Low Steam Pressure</c:v>
                </c:pt>
                <c:pt idx="20">
                  <c:v>Low Water Pressure</c:v>
                </c:pt>
                <c:pt idx="21">
                  <c:v>Space Availability</c:v>
                </c:pt>
              </c:strCache>
            </c:strRef>
          </c:cat>
          <c:val>
            <c:numRef>
              <c:f>'Data Sheet'!$K$5:$K$26</c:f>
              <c:numCache>
                <c:formatCode>0.00</c:formatCode>
                <c:ptCount val="22"/>
                <c:pt idx="0">
                  <c:v>8.0651415277239236E-2</c:v>
                </c:pt>
                <c:pt idx="1">
                  <c:v>2.5979061651803026E-2</c:v>
                </c:pt>
                <c:pt idx="2">
                  <c:v>2.462194649088794E-2</c:v>
                </c:pt>
                <c:pt idx="3">
                  <c:v>1.9193485847227607E-2</c:v>
                </c:pt>
                <c:pt idx="4">
                  <c:v>1.7836370686312525E-2</c:v>
                </c:pt>
                <c:pt idx="5">
                  <c:v>1.6091508336564558E-2</c:v>
                </c:pt>
                <c:pt idx="6">
                  <c:v>1.5703761147731678E-2</c:v>
                </c:pt>
                <c:pt idx="7">
                  <c:v>1.5703761147731678E-2</c:v>
                </c:pt>
                <c:pt idx="8">
                  <c:v>1.1050794881737108E-2</c:v>
                </c:pt>
                <c:pt idx="9">
                  <c:v>9.8875533152384641E-3</c:v>
                </c:pt>
                <c:pt idx="10">
                  <c:v>8.3365645599069414E-3</c:v>
                </c:pt>
                <c:pt idx="11">
                  <c:v>7.1733229934082977E-3</c:v>
                </c:pt>
                <c:pt idx="12">
                  <c:v>6.9794493989918573E-3</c:v>
                </c:pt>
                <c:pt idx="13">
                  <c:v>3.4897246994959287E-3</c:v>
                </c:pt>
                <c:pt idx="14">
                  <c:v>3.1019775106630476E-3</c:v>
                </c:pt>
                <c:pt idx="15">
                  <c:v>5.8162078324932144E-4</c:v>
                </c:pt>
                <c:pt idx="16">
                  <c:v>0</c:v>
                </c:pt>
                <c:pt idx="17">
                  <c:v>0</c:v>
                </c:pt>
                <c:pt idx="18">
                  <c:v>0</c:v>
                </c:pt>
                <c:pt idx="19">
                  <c:v>0</c:v>
                </c:pt>
                <c:pt idx="20">
                  <c:v>0</c:v>
                </c:pt>
                <c:pt idx="21">
                  <c:v>0</c:v>
                </c:pt>
              </c:numCache>
            </c:numRef>
          </c:val>
          <c:extLst>
            <c:ext xmlns:c16="http://schemas.microsoft.com/office/drawing/2014/chart" uri="{C3380CC4-5D6E-409C-BE32-E72D297353CC}">
              <c16:uniqueId val="{00000000-0057-4A97-87B8-BCF487AB3825}"/>
            </c:ext>
          </c:extLst>
        </c:ser>
        <c:dLbls>
          <c:showLegendKey val="0"/>
          <c:showVal val="0"/>
          <c:showCatName val="0"/>
          <c:showSerName val="0"/>
          <c:showPercent val="0"/>
          <c:showBubbleSize val="0"/>
        </c:dLbls>
        <c:gapWidth val="150"/>
        <c:axId val="250789888"/>
        <c:axId val="250792192"/>
      </c:barChart>
      <c:lineChart>
        <c:grouping val="standard"/>
        <c:varyColors val="0"/>
        <c:ser>
          <c:idx val="0"/>
          <c:order val="1"/>
          <c:spPr>
            <a:ln w="12700" cap="rnd" cmpd="sng" algn="ctr">
              <a:solidFill>
                <a:srgbClr val="000080"/>
              </a:solidFill>
              <a:prstDash val="solid"/>
              <a:round/>
            </a:ln>
          </c:spPr>
          <c:marker>
            <c:symbol val="diamond"/>
            <c:size val="5"/>
            <c:spPr>
              <a:solidFill>
                <a:srgbClr val="000080"/>
              </a:solidFill>
              <a:ln w="9525" cap="flat" cmpd="sng" algn="ctr">
                <a:solidFill>
                  <a:srgbClr val="000080"/>
                </a:solidFill>
                <a:prstDash val="solid"/>
                <a:round/>
              </a:ln>
            </c:spPr>
          </c:marker>
          <c:cat>
            <c:strRef>
              <c:f>'Data Sheet'!$J$5:$J$26</c:f>
              <c:strCache>
                <c:ptCount val="22"/>
                <c:pt idx="0">
                  <c:v>Change Over</c:v>
                </c:pt>
                <c:pt idx="1">
                  <c:v>Pasteuriser</c:v>
                </c:pt>
                <c:pt idx="2">
                  <c:v>Packer</c:v>
                </c:pt>
                <c:pt idx="3">
                  <c:v>Uncaser</c:v>
                </c:pt>
                <c:pt idx="4">
                  <c:v>Filler</c:v>
                </c:pt>
                <c:pt idx="5">
                  <c:v>Labeller</c:v>
                </c:pt>
                <c:pt idx="6">
                  <c:v>Other Explained</c:v>
                </c:pt>
                <c:pt idx="7">
                  <c:v>Bottle Supply</c:v>
                </c:pt>
                <c:pt idx="8">
                  <c:v>Conveyors</c:v>
                </c:pt>
                <c:pt idx="9">
                  <c:v>Low Air Pressure</c:v>
                </c:pt>
                <c:pt idx="10">
                  <c:v>Carton Errector</c:v>
                </c:pt>
                <c:pt idx="11">
                  <c:v>Washer</c:v>
                </c:pt>
                <c:pt idx="12">
                  <c:v>EBI</c:v>
                </c:pt>
                <c:pt idx="13">
                  <c:v>Product Delay</c:v>
                </c:pt>
                <c:pt idx="14">
                  <c:v>Videojet (Coder)</c:v>
                </c:pt>
                <c:pt idx="15">
                  <c:v>Other Unexplained</c:v>
                </c:pt>
                <c:pt idx="16">
                  <c:v>Operator Errors</c:v>
                </c:pt>
                <c:pt idx="17">
                  <c:v>Low CO2 Pressure</c:v>
                </c:pt>
                <c:pt idx="18">
                  <c:v>Crate Rinser</c:v>
                </c:pt>
                <c:pt idx="19">
                  <c:v>Low Steam Pressure</c:v>
                </c:pt>
                <c:pt idx="20">
                  <c:v>Low Water Pressure</c:v>
                </c:pt>
                <c:pt idx="21">
                  <c:v>Space Availability</c:v>
                </c:pt>
              </c:strCache>
            </c:strRef>
          </c:cat>
          <c:val>
            <c:numRef>
              <c:f>'Data Sheet'!$L$5:$L$26</c:f>
              <c:numCache>
                <c:formatCode>0.00</c:formatCode>
                <c:ptCount val="22"/>
                <c:pt idx="0">
                  <c:v>871.66074225885018</c:v>
                </c:pt>
                <c:pt idx="1">
                  <c:v>1557.3350854062408</c:v>
                </c:pt>
                <c:pt idx="2">
                  <c:v>2238.0386995944018</c:v>
                </c:pt>
                <c:pt idx="3">
                  <c:v>2792.2852530337445</c:v>
                </c:pt>
                <c:pt idx="4">
                  <c:v>3133.4937122137299</c:v>
                </c:pt>
                <c:pt idx="5">
                  <c:v>3439.9068189407135</c:v>
                </c:pt>
                <c:pt idx="6">
                  <c:v>3716.5357281068063</c:v>
                </c:pt>
                <c:pt idx="7">
                  <c:v>3975.8865937473452</c:v>
                </c:pt>
                <c:pt idx="8">
                  <c:v>4223.5856219865736</c:v>
                </c:pt>
                <c:pt idx="9">
                  <c:v>4408.508566538233</c:v>
                </c:pt>
                <c:pt idx="10">
                  <c:v>4584.3374358533192</c:v>
                </c:pt>
                <c:pt idx="11">
                  <c:v>4752.5941323346588</c:v>
                </c:pt>
                <c:pt idx="12">
                  <c:v>4916.242680980039</c:v>
                </c:pt>
                <c:pt idx="13">
                  <c:v>5055.9163296118559</c:v>
                </c:pt>
                <c:pt idx="14">
                  <c:v>5108.1018851580166</c:v>
                </c:pt>
                <c:pt idx="15">
                  <c:v>5136.9205768499342</c:v>
                </c:pt>
                <c:pt idx="16">
                  <c:v>5161.9303088787756</c:v>
                </c:pt>
                <c:pt idx="17">
                  <c:v>5180.125803244714</c:v>
                </c:pt>
                <c:pt idx="18">
                  <c:v>5185.0971444147435</c:v>
                </c:pt>
                <c:pt idx="19">
                  <c:v>5186.3017397608583</c:v>
                </c:pt>
                <c:pt idx="20">
                  <c:v>5187.4970078227143</c:v>
                </c:pt>
                <c:pt idx="21">
                  <c:v>5189.4997396632916</c:v>
                </c:pt>
              </c:numCache>
            </c:numRef>
          </c:val>
          <c:smooth val="0"/>
          <c:extLst>
            <c:ext xmlns:c16="http://schemas.microsoft.com/office/drawing/2014/chart" uri="{C3380CC4-5D6E-409C-BE32-E72D297353CC}">
              <c16:uniqueId val="{00000001-0057-4A97-87B8-BCF487AB3825}"/>
            </c:ext>
          </c:extLst>
        </c:ser>
        <c:dLbls>
          <c:showLegendKey val="0"/>
          <c:showVal val="0"/>
          <c:showCatName val="0"/>
          <c:showSerName val="0"/>
          <c:showPercent val="0"/>
          <c:showBubbleSize val="0"/>
        </c:dLbls>
        <c:marker val="1"/>
        <c:smooth val="0"/>
        <c:axId val="1434453087"/>
        <c:axId val="1465716703"/>
      </c:lineChart>
      <c:catAx>
        <c:axId val="250789888"/>
        <c:scaling>
          <c:orientation val="minMax"/>
        </c:scaling>
        <c:delete val="0"/>
        <c:axPos val="b"/>
        <c:title>
          <c:tx>
            <c:rich>
              <a:bodyPr rot="0" spcFirstLastPara="0" vertOverflow="ellipsis" vert="horz" wrap="square" anchor="ctr" anchorCtr="1"/>
              <a:lstStyle/>
              <a:p>
                <a:pPr>
                  <a:defRPr lang="en-US" sz="1000" b="1" i="0" u="none" strike="noStrike" kern="1200" baseline="0">
                    <a:solidFill>
                      <a:srgbClr val="000000"/>
                    </a:solidFill>
                    <a:latin typeface="Arial" panose="020B0604020202020204"/>
                    <a:ea typeface="Arial" panose="020B0604020202020204"/>
                    <a:cs typeface="Arial" panose="020B0604020202020204"/>
                  </a:defRPr>
                </a:pPr>
                <a:r>
                  <a:rPr lang="en-US"/>
                  <a:t>Contributors</a:t>
                </a:r>
              </a:p>
            </c:rich>
          </c:tx>
          <c:layout>
            <c:manualLayout>
              <c:xMode val="edge"/>
              <c:yMode val="edge"/>
              <c:x val="0.285321735505084"/>
              <c:y val="0.94953023983641005"/>
            </c:manualLayout>
          </c:layout>
          <c:overlay val="0"/>
          <c:spPr>
            <a:noFill/>
            <a:ln w="25400">
              <a:noFill/>
            </a:ln>
          </c:spPr>
        </c:title>
        <c:numFmt formatCode="General" sourceLinked="1"/>
        <c:majorTickMark val="cross"/>
        <c:minorTickMark val="none"/>
        <c:tickLblPos val="nextTo"/>
        <c:spPr>
          <a:ln w="3175" cap="flat" cmpd="sng" algn="ctr">
            <a:solidFill>
              <a:srgbClr val="000000"/>
            </a:solidFill>
            <a:prstDash val="solid"/>
            <a:round/>
          </a:ln>
        </c:spPr>
        <c:txPr>
          <a:bodyPr rot="-5400000" spcFirstLastPara="0" vertOverflow="ellipsis" vert="horz" wrap="square" anchor="ctr" anchorCtr="1"/>
          <a:lstStyle/>
          <a:p>
            <a:pPr>
              <a:defRPr lang="en-US" sz="1000" b="0"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92192"/>
        <c:crosses val="autoZero"/>
        <c:auto val="0"/>
        <c:lblAlgn val="ctr"/>
        <c:lblOffset val="100"/>
        <c:tickLblSkip val="1"/>
        <c:noMultiLvlLbl val="0"/>
      </c:catAx>
      <c:valAx>
        <c:axId val="250792192"/>
        <c:scaling>
          <c:orientation val="minMax"/>
          <c:max val="1"/>
        </c:scaling>
        <c:delete val="0"/>
        <c:axPos val="l"/>
        <c:title>
          <c:tx>
            <c:rich>
              <a:bodyPr rot="-540000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r>
                  <a:rPr lang="en-US"/>
                  <a:t>Percent time loss</a:t>
                </a:r>
              </a:p>
            </c:rich>
          </c:tx>
          <c:layout>
            <c:manualLayout>
              <c:xMode val="edge"/>
              <c:yMode val="edge"/>
              <c:x val="7.8485838278600801E-3"/>
              <c:y val="0.27934581144076598"/>
            </c:manualLayout>
          </c:layout>
          <c:overlay val="0"/>
          <c:spPr>
            <a:noFill/>
            <a:ln w="25400">
              <a:noFill/>
            </a:ln>
          </c:spPr>
        </c:title>
        <c:numFmt formatCode="#,##0.0" sourceLinked="0"/>
        <c:majorTickMark val="cross"/>
        <c:minorTickMark val="none"/>
        <c:tickLblPos val="nextTo"/>
        <c:spPr>
          <a:ln w="3175" cap="flat" cmpd="sng" algn="ctr">
            <a:solidFill>
              <a:srgbClr val="000000"/>
            </a:solidFill>
            <a:prstDash val="solid"/>
            <a:round/>
          </a:ln>
        </c:spPr>
        <c:txPr>
          <a:bodyPr rot="0" spcFirstLastPara="0" vertOverflow="ellipsis" vert="horz" wrap="square" anchor="ctr" anchorCtr="1"/>
          <a:lstStyle/>
          <a:p>
            <a:pPr>
              <a:defRPr lang="en-US" sz="1050" b="1" i="0" u="none" strike="noStrike" kern="1200" baseline="0">
                <a:solidFill>
                  <a:srgbClr val="000000"/>
                </a:solidFill>
                <a:latin typeface="Arial" panose="020B0604020202020204"/>
                <a:ea typeface="Arial" panose="020B0604020202020204"/>
                <a:cs typeface="Arial" panose="020B0604020202020204"/>
              </a:defRPr>
            </a:pPr>
            <a:endParaRPr lang="en-US"/>
          </a:p>
        </c:txPr>
        <c:crossAx val="250789888"/>
        <c:crosses val="autoZero"/>
        <c:crossBetween val="between"/>
      </c:valAx>
      <c:valAx>
        <c:axId val="1465716703"/>
        <c:scaling>
          <c:orientation val="minMax"/>
        </c:scaling>
        <c:delete val="0"/>
        <c:axPos val="r"/>
        <c:numFmt formatCode="0.0" sourceLinked="0"/>
        <c:majorTickMark val="out"/>
        <c:minorTickMark val="none"/>
        <c:tickLblPos val="none"/>
        <c:crossAx val="1434453087"/>
        <c:crosses val="max"/>
        <c:crossBetween val="between"/>
      </c:valAx>
      <c:catAx>
        <c:axId val="1434453087"/>
        <c:scaling>
          <c:orientation val="minMax"/>
        </c:scaling>
        <c:delete val="1"/>
        <c:axPos val="b"/>
        <c:numFmt formatCode="General" sourceLinked="1"/>
        <c:majorTickMark val="out"/>
        <c:minorTickMark val="none"/>
        <c:tickLblPos val="nextTo"/>
        <c:crossAx val="1465716703"/>
        <c:crosses val="autoZero"/>
        <c:auto val="0"/>
        <c:lblAlgn val="ctr"/>
        <c:lblOffset val="100"/>
        <c:noMultiLvlLbl val="0"/>
      </c:catAx>
      <c:spPr>
        <a:noFill/>
        <a:ln w="25400">
          <a:noFill/>
        </a:ln>
      </c:spPr>
    </c:plotArea>
    <c:legend>
      <c:legendPos val="r"/>
      <c:layout>
        <c:manualLayout>
          <c:xMode val="edge"/>
          <c:yMode val="edge"/>
          <c:x val="0.71341040714228321"/>
          <c:y val="2.2935432151648259E-2"/>
          <c:w val="0.18363663928290599"/>
          <c:h val="5.36914358389287E-2"/>
        </c:manualLayout>
      </c:layout>
      <c:overlay val="0"/>
      <c:spPr>
        <a:solidFill>
          <a:srgbClr val="FFFFFF"/>
        </a:solidFill>
        <a:ln w="3175">
          <a:solidFill>
            <a:srgbClr val="000000"/>
          </a:solidFill>
          <a:prstDash val="solid"/>
        </a:ln>
      </c:spPr>
      <c:txPr>
        <a:bodyPr rot="0" spcFirstLastPara="0" vertOverflow="ellipsis" vert="horz" wrap="square" anchor="ctr" anchorCtr="1"/>
        <a:lstStyle/>
        <a:p>
          <a:pPr>
            <a:defRPr lang="en-US" sz="110" b="0" i="0" u="none" strike="noStrike" kern="1200" baseline="0">
              <a:solidFill>
                <a:srgbClr val="000000"/>
              </a:solidFill>
              <a:latin typeface="Arial" panose="020B0604020202020204"/>
              <a:ea typeface="Arial" panose="020B0604020202020204"/>
              <a:cs typeface="Arial" panose="020B0604020202020204"/>
            </a:defRPr>
          </a:pPr>
          <a:endParaRPr lang="en-US"/>
        </a:p>
      </c:txPr>
    </c:legend>
    <c:plotVisOnly val="1"/>
    <c:dispBlanksAs val="gap"/>
    <c:showDLblsOverMax val="0"/>
    <c:extLst>
      <c:ext uri="{0b15fc19-7d7d-44ad-8c2d-2c3a37ce22c3}">
        <chartProps xmlns="https://web.wps.cn/et/2018/main" chartId="{81d3fd67-cac5-4bf6-bbb6-b9ba51535848}"/>
      </c:ext>
    </c:extLst>
  </c:chart>
  <c:spPr>
    <a:solidFill>
      <a:srgbClr val="FFFFFF"/>
    </a:solidFill>
    <a:ln w="3175" cap="flat" cmpd="sng" algn="ctr">
      <a:solidFill>
        <a:srgbClr val="000000"/>
      </a:solidFill>
      <a:prstDash val="solid"/>
      <a:round/>
    </a:ln>
  </c:spPr>
  <c:txPr>
    <a:bodyPr/>
    <a:lstStyle/>
    <a:p>
      <a:pPr>
        <a:defRPr lang="en-US" sz="1000" b="0" i="0" u="none" strike="noStrike" baseline="0">
          <a:solidFill>
            <a:srgbClr val="000000"/>
          </a:solidFill>
          <a:latin typeface="Arial" panose="020B0604020202020204"/>
          <a:ea typeface="Arial" panose="020B0604020202020204"/>
          <a:cs typeface="Arial" panose="020B0604020202020204"/>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12" Type="http://schemas.openxmlformats.org/officeDocument/2006/relationships/chart" Target="../charts/chart15.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11" Type="http://schemas.openxmlformats.org/officeDocument/2006/relationships/chart" Target="../charts/chart14.xml"/><Relationship Id="rId5" Type="http://schemas.openxmlformats.org/officeDocument/2006/relationships/chart" Target="../charts/chart8.xml"/><Relationship Id="rId10" Type="http://schemas.openxmlformats.org/officeDocument/2006/relationships/chart" Target="../charts/chart13.xml"/><Relationship Id="rId4" Type="http://schemas.openxmlformats.org/officeDocument/2006/relationships/chart" Target="../charts/chart7.xml"/><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18.xml"/><Relationship Id="rId7" Type="http://schemas.openxmlformats.org/officeDocument/2006/relationships/chart" Target="../charts/chart22.xml"/><Relationship Id="rId2" Type="http://schemas.openxmlformats.org/officeDocument/2006/relationships/chart" Target="../charts/chart17.xml"/><Relationship Id="rId1" Type="http://schemas.openxmlformats.org/officeDocument/2006/relationships/chart" Target="../charts/chart16.xml"/><Relationship Id="rId6" Type="http://schemas.openxmlformats.org/officeDocument/2006/relationships/chart" Target="../charts/chart21.xml"/><Relationship Id="rId5" Type="http://schemas.openxmlformats.org/officeDocument/2006/relationships/chart" Target="../charts/chart20.xml"/><Relationship Id="rId4" Type="http://schemas.openxmlformats.org/officeDocument/2006/relationships/chart" Target="../charts/chart19.xml"/></Relationships>
</file>

<file path=xl/drawings/_rels/drawing7.xml.rels><?xml version="1.0" encoding="UTF-8" standalone="yes"?>
<Relationships xmlns="http://schemas.openxmlformats.org/package/2006/relationships"><Relationship Id="rId2" Type="http://schemas.openxmlformats.org/officeDocument/2006/relationships/chart" Target="../charts/chart24.xml"/><Relationship Id="rId1" Type="http://schemas.openxmlformats.org/officeDocument/2006/relationships/chart" Target="../charts/chart23.xml"/></Relationships>
</file>

<file path=xl/drawings/drawing1.xml><?xml version="1.0" encoding="utf-8"?>
<xdr:wsDr xmlns:xdr="http://schemas.openxmlformats.org/drawingml/2006/spreadsheetDrawing" xmlns:a="http://schemas.openxmlformats.org/drawingml/2006/main">
  <xdr:twoCellAnchor>
    <xdr:from>
      <xdr:col>1</xdr:col>
      <xdr:colOff>19050</xdr:colOff>
      <xdr:row>6</xdr:row>
      <xdr:rowOff>3175</xdr:rowOff>
    </xdr:from>
    <xdr:to>
      <xdr:col>2</xdr:col>
      <xdr:colOff>9525</xdr:colOff>
      <xdr:row>7</xdr:row>
      <xdr:rowOff>22225</xdr:rowOff>
    </xdr:to>
    <xdr:sp macro="[0]!Module1.Feb" textlink="">
      <xdr:nvSpPr>
        <xdr:cNvPr id="66993375" name="AutoShape 1">
          <a:extLst>
            <a:ext uri="{FF2B5EF4-FFF2-40B4-BE49-F238E27FC236}">
              <a16:creationId xmlns:a16="http://schemas.microsoft.com/office/drawing/2014/main" id="{00000000-0008-0000-0000-0000DF3CFE03}"/>
            </a:ext>
          </a:extLst>
        </xdr:cNvPr>
        <xdr:cNvSpPr>
          <a:spLocks noChangeArrowheads="1"/>
        </xdr:cNvSpPr>
      </xdr:nvSpPr>
      <xdr:spPr>
        <a:xfrm>
          <a:off x="619125" y="974725"/>
          <a:ext cx="590550" cy="180975"/>
        </a:xfrm>
        <a:prstGeom prst="flowChartAlternateProcess">
          <a:avLst/>
        </a:prstGeom>
        <a:solidFill>
          <a:srgbClr val="FF00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FEB</a:t>
          </a:r>
        </a:p>
      </xdr:txBody>
    </xdr:sp>
    <xdr:clientData/>
  </xdr:twoCellAnchor>
  <xdr:twoCellAnchor>
    <xdr:from>
      <xdr:col>1</xdr:col>
      <xdr:colOff>9525</xdr:colOff>
      <xdr:row>8</xdr:row>
      <xdr:rowOff>3175</xdr:rowOff>
    </xdr:from>
    <xdr:to>
      <xdr:col>2</xdr:col>
      <xdr:colOff>0</xdr:colOff>
      <xdr:row>8</xdr:row>
      <xdr:rowOff>136525</xdr:rowOff>
    </xdr:to>
    <xdr:sp macro="[0]!Module1.Mar" textlink="">
      <xdr:nvSpPr>
        <xdr:cNvPr id="66993376" name="AutoShape 2">
          <a:extLst>
            <a:ext uri="{FF2B5EF4-FFF2-40B4-BE49-F238E27FC236}">
              <a16:creationId xmlns:a16="http://schemas.microsoft.com/office/drawing/2014/main" id="{00000000-0008-0000-0000-0000E03CFE03}"/>
            </a:ext>
          </a:extLst>
        </xdr:cNvPr>
        <xdr:cNvSpPr>
          <a:spLocks noChangeArrowheads="1"/>
        </xdr:cNvSpPr>
      </xdr:nvSpPr>
      <xdr:spPr>
        <a:xfrm>
          <a:off x="609600" y="1298575"/>
          <a:ext cx="590550" cy="133350"/>
        </a:xfrm>
        <a:prstGeom prst="flowChartAlternateProcess">
          <a:avLst/>
        </a:prstGeom>
        <a:solidFill>
          <a:srgbClr val="00CCFF"/>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MAR</a:t>
          </a:r>
        </a:p>
      </xdr:txBody>
    </xdr:sp>
    <xdr:clientData/>
  </xdr:twoCellAnchor>
  <xdr:twoCellAnchor>
    <xdr:from>
      <xdr:col>1</xdr:col>
      <xdr:colOff>9525</xdr:colOff>
      <xdr:row>10</xdr:row>
      <xdr:rowOff>3175</xdr:rowOff>
    </xdr:from>
    <xdr:to>
      <xdr:col>2</xdr:col>
      <xdr:colOff>0</xdr:colOff>
      <xdr:row>11</xdr:row>
      <xdr:rowOff>60325</xdr:rowOff>
    </xdr:to>
    <xdr:sp macro="[0]!Module1.Apr" textlink="">
      <xdr:nvSpPr>
        <xdr:cNvPr id="66993377" name="AutoShape 3">
          <a:extLst>
            <a:ext uri="{FF2B5EF4-FFF2-40B4-BE49-F238E27FC236}">
              <a16:creationId xmlns:a16="http://schemas.microsoft.com/office/drawing/2014/main" id="{00000000-0008-0000-0000-0000E13CFE03}"/>
            </a:ext>
          </a:extLst>
        </xdr:cNvPr>
        <xdr:cNvSpPr>
          <a:spLocks noChangeArrowheads="1"/>
        </xdr:cNvSpPr>
      </xdr:nvSpPr>
      <xdr:spPr>
        <a:xfrm>
          <a:off x="609600" y="1622425"/>
          <a:ext cx="590550" cy="219075"/>
        </a:xfrm>
        <a:prstGeom prst="flowChartAlternateProcess">
          <a:avLst/>
        </a:prstGeom>
        <a:solidFill>
          <a:srgbClr val="FFFF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APRIL</a:t>
          </a:r>
        </a:p>
      </xdr:txBody>
    </xdr:sp>
    <xdr:clientData/>
  </xdr:twoCellAnchor>
  <xdr:twoCellAnchor>
    <xdr:from>
      <xdr:col>1</xdr:col>
      <xdr:colOff>9525</xdr:colOff>
      <xdr:row>12</xdr:row>
      <xdr:rowOff>3175</xdr:rowOff>
    </xdr:from>
    <xdr:to>
      <xdr:col>2</xdr:col>
      <xdr:colOff>0</xdr:colOff>
      <xdr:row>12</xdr:row>
      <xdr:rowOff>136525</xdr:rowOff>
    </xdr:to>
    <xdr:sp macro="[0]!Module1.May" textlink="">
      <xdr:nvSpPr>
        <xdr:cNvPr id="66993378" name="AutoShape 4">
          <a:extLst>
            <a:ext uri="{FF2B5EF4-FFF2-40B4-BE49-F238E27FC236}">
              <a16:creationId xmlns:a16="http://schemas.microsoft.com/office/drawing/2014/main" id="{00000000-0008-0000-0000-0000E23CFE03}"/>
            </a:ext>
          </a:extLst>
        </xdr:cNvPr>
        <xdr:cNvSpPr>
          <a:spLocks noChangeArrowheads="1"/>
        </xdr:cNvSpPr>
      </xdr:nvSpPr>
      <xdr:spPr>
        <a:xfrm>
          <a:off x="609600" y="1946275"/>
          <a:ext cx="590550" cy="133350"/>
        </a:xfrm>
        <a:prstGeom prst="flowChartAlternateProcess">
          <a:avLst/>
        </a:prstGeom>
        <a:solidFill>
          <a:srgbClr val="00CCFF"/>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MAY</a:t>
          </a:r>
        </a:p>
      </xdr:txBody>
    </xdr:sp>
    <xdr:clientData/>
  </xdr:twoCellAnchor>
  <xdr:twoCellAnchor>
    <xdr:from>
      <xdr:col>1</xdr:col>
      <xdr:colOff>0</xdr:colOff>
      <xdr:row>14</xdr:row>
      <xdr:rowOff>3175</xdr:rowOff>
    </xdr:from>
    <xdr:to>
      <xdr:col>1</xdr:col>
      <xdr:colOff>600075</xdr:colOff>
      <xdr:row>15</xdr:row>
      <xdr:rowOff>38209</xdr:rowOff>
    </xdr:to>
    <xdr:sp macro="[0]!Module1.June" textlink="">
      <xdr:nvSpPr>
        <xdr:cNvPr id="66993379" name="AutoShape 5">
          <a:extLst>
            <a:ext uri="{FF2B5EF4-FFF2-40B4-BE49-F238E27FC236}">
              <a16:creationId xmlns:a16="http://schemas.microsoft.com/office/drawing/2014/main" id="{00000000-0008-0000-0000-0000E33CFE03}"/>
            </a:ext>
          </a:extLst>
        </xdr:cNvPr>
        <xdr:cNvSpPr>
          <a:spLocks noChangeArrowheads="1"/>
        </xdr:cNvSpPr>
      </xdr:nvSpPr>
      <xdr:spPr>
        <a:xfrm>
          <a:off x="600075" y="2270125"/>
          <a:ext cx="600075" cy="196850"/>
        </a:xfrm>
        <a:prstGeom prst="flowChartAlternateProcess">
          <a:avLst/>
        </a:prstGeom>
        <a:solidFill>
          <a:srgbClr val="FF00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JUNE</a:t>
          </a:r>
        </a:p>
      </xdr:txBody>
    </xdr:sp>
    <xdr:clientData/>
  </xdr:twoCellAnchor>
  <xdr:twoCellAnchor>
    <xdr:from>
      <xdr:col>5</xdr:col>
      <xdr:colOff>9525</xdr:colOff>
      <xdr:row>4</xdr:row>
      <xdr:rowOff>3175</xdr:rowOff>
    </xdr:from>
    <xdr:to>
      <xdr:col>6</xdr:col>
      <xdr:colOff>9525</xdr:colOff>
      <xdr:row>5</xdr:row>
      <xdr:rowOff>22225</xdr:rowOff>
    </xdr:to>
    <xdr:sp macro="[0]!Module1.July" textlink="">
      <xdr:nvSpPr>
        <xdr:cNvPr id="66993380" name="AutoShape 6">
          <a:extLst>
            <a:ext uri="{FF2B5EF4-FFF2-40B4-BE49-F238E27FC236}">
              <a16:creationId xmlns:a16="http://schemas.microsoft.com/office/drawing/2014/main" id="{00000000-0008-0000-0000-0000E43CFE03}"/>
            </a:ext>
          </a:extLst>
        </xdr:cNvPr>
        <xdr:cNvSpPr>
          <a:spLocks noChangeArrowheads="1"/>
        </xdr:cNvSpPr>
      </xdr:nvSpPr>
      <xdr:spPr>
        <a:xfrm>
          <a:off x="3009900" y="650875"/>
          <a:ext cx="600075" cy="180975"/>
        </a:xfrm>
        <a:prstGeom prst="flowChartAlternateProcess">
          <a:avLst/>
        </a:prstGeom>
        <a:solidFill>
          <a:srgbClr val="FF00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JULY</a:t>
          </a:r>
        </a:p>
      </xdr:txBody>
    </xdr:sp>
    <xdr:clientData/>
  </xdr:twoCellAnchor>
  <xdr:twoCellAnchor>
    <xdr:from>
      <xdr:col>5</xdr:col>
      <xdr:colOff>9525</xdr:colOff>
      <xdr:row>6</xdr:row>
      <xdr:rowOff>3175</xdr:rowOff>
    </xdr:from>
    <xdr:to>
      <xdr:col>6</xdr:col>
      <xdr:colOff>9525</xdr:colOff>
      <xdr:row>7</xdr:row>
      <xdr:rowOff>22225</xdr:rowOff>
    </xdr:to>
    <xdr:sp macro="[0]!Module1.Aug" textlink="">
      <xdr:nvSpPr>
        <xdr:cNvPr id="66993381" name="AutoShape 7">
          <a:extLst>
            <a:ext uri="{FF2B5EF4-FFF2-40B4-BE49-F238E27FC236}">
              <a16:creationId xmlns:a16="http://schemas.microsoft.com/office/drawing/2014/main" id="{00000000-0008-0000-0000-0000E53CFE03}"/>
            </a:ext>
          </a:extLst>
        </xdr:cNvPr>
        <xdr:cNvSpPr>
          <a:spLocks noChangeArrowheads="1"/>
        </xdr:cNvSpPr>
      </xdr:nvSpPr>
      <xdr:spPr>
        <a:xfrm>
          <a:off x="3009900" y="974725"/>
          <a:ext cx="600075" cy="180975"/>
        </a:xfrm>
        <a:prstGeom prst="flowChartAlternateProcess">
          <a:avLst/>
        </a:prstGeom>
        <a:solidFill>
          <a:srgbClr val="FFFF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AUG</a:t>
          </a:r>
        </a:p>
      </xdr:txBody>
    </xdr:sp>
    <xdr:clientData/>
  </xdr:twoCellAnchor>
  <xdr:twoCellAnchor>
    <xdr:from>
      <xdr:col>5</xdr:col>
      <xdr:colOff>9525</xdr:colOff>
      <xdr:row>8</xdr:row>
      <xdr:rowOff>3175</xdr:rowOff>
    </xdr:from>
    <xdr:to>
      <xdr:col>6</xdr:col>
      <xdr:colOff>9525</xdr:colOff>
      <xdr:row>9</xdr:row>
      <xdr:rowOff>19172</xdr:rowOff>
    </xdr:to>
    <xdr:sp macro="[0]!Module1.Sept" textlink="">
      <xdr:nvSpPr>
        <xdr:cNvPr id="66993382" name="AutoShape 8">
          <a:extLst>
            <a:ext uri="{FF2B5EF4-FFF2-40B4-BE49-F238E27FC236}">
              <a16:creationId xmlns:a16="http://schemas.microsoft.com/office/drawing/2014/main" id="{00000000-0008-0000-0000-0000E63CFE03}"/>
            </a:ext>
          </a:extLst>
        </xdr:cNvPr>
        <xdr:cNvSpPr>
          <a:spLocks noChangeArrowheads="1"/>
        </xdr:cNvSpPr>
      </xdr:nvSpPr>
      <xdr:spPr>
        <a:xfrm>
          <a:off x="3009900" y="1298575"/>
          <a:ext cx="600075" cy="177800"/>
        </a:xfrm>
        <a:prstGeom prst="flowChartAlternateProcess">
          <a:avLst/>
        </a:prstGeom>
        <a:solidFill>
          <a:srgbClr val="FF00FF"/>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SEPT</a:t>
          </a:r>
        </a:p>
      </xdr:txBody>
    </xdr:sp>
    <xdr:clientData/>
  </xdr:twoCellAnchor>
  <xdr:twoCellAnchor>
    <xdr:from>
      <xdr:col>5</xdr:col>
      <xdr:colOff>9525</xdr:colOff>
      <xdr:row>10</xdr:row>
      <xdr:rowOff>3175</xdr:rowOff>
    </xdr:from>
    <xdr:to>
      <xdr:col>6</xdr:col>
      <xdr:colOff>9525</xdr:colOff>
      <xdr:row>11</xdr:row>
      <xdr:rowOff>19172</xdr:rowOff>
    </xdr:to>
    <xdr:sp macro="[0]!Module1.Oct" textlink="">
      <xdr:nvSpPr>
        <xdr:cNvPr id="66993383" name="AutoShape 9">
          <a:extLst>
            <a:ext uri="{FF2B5EF4-FFF2-40B4-BE49-F238E27FC236}">
              <a16:creationId xmlns:a16="http://schemas.microsoft.com/office/drawing/2014/main" id="{00000000-0008-0000-0000-0000E73CFE03}"/>
            </a:ext>
          </a:extLst>
        </xdr:cNvPr>
        <xdr:cNvSpPr>
          <a:spLocks noChangeArrowheads="1"/>
        </xdr:cNvSpPr>
      </xdr:nvSpPr>
      <xdr:spPr>
        <a:xfrm>
          <a:off x="3009900" y="1622425"/>
          <a:ext cx="600075" cy="177800"/>
        </a:xfrm>
        <a:prstGeom prst="flowChartAlternateProcess">
          <a:avLst/>
        </a:prstGeom>
        <a:solidFill>
          <a:srgbClr val="FFFF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OCT.</a:t>
          </a:r>
        </a:p>
      </xdr:txBody>
    </xdr:sp>
    <xdr:clientData/>
  </xdr:twoCellAnchor>
  <xdr:twoCellAnchor>
    <xdr:from>
      <xdr:col>5</xdr:col>
      <xdr:colOff>9525</xdr:colOff>
      <xdr:row>12</xdr:row>
      <xdr:rowOff>3175</xdr:rowOff>
    </xdr:from>
    <xdr:to>
      <xdr:col>6</xdr:col>
      <xdr:colOff>9525</xdr:colOff>
      <xdr:row>13</xdr:row>
      <xdr:rowOff>19172</xdr:rowOff>
    </xdr:to>
    <xdr:sp macro="[0]!Module1.Nov" textlink="">
      <xdr:nvSpPr>
        <xdr:cNvPr id="66993384" name="AutoShape 10">
          <a:extLst>
            <a:ext uri="{FF2B5EF4-FFF2-40B4-BE49-F238E27FC236}">
              <a16:creationId xmlns:a16="http://schemas.microsoft.com/office/drawing/2014/main" id="{00000000-0008-0000-0000-0000E83CFE03}"/>
            </a:ext>
          </a:extLst>
        </xdr:cNvPr>
        <xdr:cNvSpPr>
          <a:spLocks noChangeArrowheads="1"/>
        </xdr:cNvSpPr>
      </xdr:nvSpPr>
      <xdr:spPr>
        <a:xfrm>
          <a:off x="3009900" y="1946275"/>
          <a:ext cx="600075" cy="177800"/>
        </a:xfrm>
        <a:prstGeom prst="flowChartAlternateProcess">
          <a:avLst/>
        </a:prstGeom>
        <a:solidFill>
          <a:srgbClr val="00FF00"/>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NOV</a:t>
          </a:r>
        </a:p>
      </xdr:txBody>
    </xdr:sp>
    <xdr:clientData/>
  </xdr:twoCellAnchor>
  <xdr:twoCellAnchor>
    <xdr:from>
      <xdr:col>5</xdr:col>
      <xdr:colOff>9525</xdr:colOff>
      <xdr:row>14</xdr:row>
      <xdr:rowOff>3175</xdr:rowOff>
    </xdr:from>
    <xdr:to>
      <xdr:col>6</xdr:col>
      <xdr:colOff>9525</xdr:colOff>
      <xdr:row>15</xdr:row>
      <xdr:rowOff>22225</xdr:rowOff>
    </xdr:to>
    <xdr:sp macro="[0]!Module1.Dec" textlink="">
      <xdr:nvSpPr>
        <xdr:cNvPr id="66993385" name="AutoShape 11">
          <a:extLst>
            <a:ext uri="{FF2B5EF4-FFF2-40B4-BE49-F238E27FC236}">
              <a16:creationId xmlns:a16="http://schemas.microsoft.com/office/drawing/2014/main" id="{00000000-0008-0000-0000-0000E93CFE03}"/>
            </a:ext>
          </a:extLst>
        </xdr:cNvPr>
        <xdr:cNvSpPr>
          <a:spLocks noChangeArrowheads="1"/>
        </xdr:cNvSpPr>
      </xdr:nvSpPr>
      <xdr:spPr>
        <a:xfrm>
          <a:off x="3009900" y="2270125"/>
          <a:ext cx="600075" cy="180975"/>
        </a:xfrm>
        <a:prstGeom prst="flowChartAlternateProcess">
          <a:avLst/>
        </a:prstGeom>
        <a:solidFill>
          <a:srgbClr val="FF0000"/>
        </a:solidFill>
        <a:ln w="9525">
          <a:solidFill>
            <a:srgbClr val="00FF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DEC</a:t>
          </a:r>
        </a:p>
      </xdr:txBody>
    </xdr:sp>
    <xdr:clientData/>
  </xdr:twoCellAnchor>
  <xdr:twoCellAnchor>
    <xdr:from>
      <xdr:col>3</xdr:col>
      <xdr:colOff>0</xdr:colOff>
      <xdr:row>4</xdr:row>
      <xdr:rowOff>19050</xdr:rowOff>
    </xdr:from>
    <xdr:to>
      <xdr:col>4</xdr:col>
      <xdr:colOff>9525</xdr:colOff>
      <xdr:row>5</xdr:row>
      <xdr:rowOff>19050</xdr:rowOff>
    </xdr:to>
    <xdr:sp macro="[0]!Janpar" textlink="">
      <xdr:nvSpPr>
        <xdr:cNvPr id="66993386" name="AutoShape 12">
          <a:extLst>
            <a:ext uri="{FF2B5EF4-FFF2-40B4-BE49-F238E27FC236}">
              <a16:creationId xmlns:a16="http://schemas.microsoft.com/office/drawing/2014/main" id="{00000000-0008-0000-0000-0000EA3CFE03}"/>
            </a:ext>
          </a:extLst>
        </xdr:cNvPr>
        <xdr:cNvSpPr>
          <a:spLocks noChangeArrowheads="1"/>
        </xdr:cNvSpPr>
      </xdr:nvSpPr>
      <xdr:spPr>
        <a:xfrm>
          <a:off x="1800225" y="666750"/>
          <a:ext cx="609600" cy="161925"/>
        </a:xfrm>
        <a:prstGeom prst="flowChartAlternateProcess">
          <a:avLst/>
        </a:prstGeom>
        <a:solidFill>
          <a:srgbClr val="00CCFF"/>
        </a:solidFill>
        <a:ln w="9525">
          <a:solidFill>
            <a:srgbClr val="FF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Jan Par.</a:t>
          </a:r>
        </a:p>
      </xdr:txBody>
    </xdr:sp>
    <xdr:clientData/>
  </xdr:twoCellAnchor>
  <xdr:twoCellAnchor>
    <xdr:from>
      <xdr:col>3</xdr:col>
      <xdr:colOff>0</xdr:colOff>
      <xdr:row>6</xdr:row>
      <xdr:rowOff>0</xdr:rowOff>
    </xdr:from>
    <xdr:to>
      <xdr:col>3</xdr:col>
      <xdr:colOff>600075</xdr:colOff>
      <xdr:row>7</xdr:row>
      <xdr:rowOff>22331</xdr:rowOff>
    </xdr:to>
    <xdr:sp macro="[0]!Febpar" textlink="">
      <xdr:nvSpPr>
        <xdr:cNvPr id="66993387" name="AutoShape 13">
          <a:extLst>
            <a:ext uri="{FF2B5EF4-FFF2-40B4-BE49-F238E27FC236}">
              <a16:creationId xmlns:a16="http://schemas.microsoft.com/office/drawing/2014/main" id="{00000000-0008-0000-0000-0000EB3CFE03}"/>
            </a:ext>
          </a:extLst>
        </xdr:cNvPr>
        <xdr:cNvSpPr>
          <a:spLocks noChangeArrowheads="1"/>
        </xdr:cNvSpPr>
      </xdr:nvSpPr>
      <xdr:spPr>
        <a:xfrm>
          <a:off x="1800225" y="971550"/>
          <a:ext cx="600075" cy="184150"/>
        </a:xfrm>
        <a:prstGeom prst="roundRect">
          <a:avLst>
            <a:gd name="adj" fmla="val 16667"/>
          </a:avLst>
        </a:prstGeom>
        <a:solidFill>
          <a:srgbClr val="FFFF00"/>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Feb. Par.</a:t>
          </a:r>
        </a:p>
      </xdr:txBody>
    </xdr:sp>
    <xdr:clientData/>
  </xdr:twoCellAnchor>
  <xdr:twoCellAnchor>
    <xdr:from>
      <xdr:col>2</xdr:col>
      <xdr:colOff>590550</xdr:colOff>
      <xdr:row>8</xdr:row>
      <xdr:rowOff>3175</xdr:rowOff>
    </xdr:from>
    <xdr:to>
      <xdr:col>3</xdr:col>
      <xdr:colOff>581025</xdr:colOff>
      <xdr:row>9</xdr:row>
      <xdr:rowOff>22225</xdr:rowOff>
    </xdr:to>
    <xdr:sp macro="[0]!Marpar" textlink="">
      <xdr:nvSpPr>
        <xdr:cNvPr id="66993388" name="AutoShape 14">
          <a:extLst>
            <a:ext uri="{FF2B5EF4-FFF2-40B4-BE49-F238E27FC236}">
              <a16:creationId xmlns:a16="http://schemas.microsoft.com/office/drawing/2014/main" id="{00000000-0008-0000-0000-0000EC3CFE03}"/>
            </a:ext>
          </a:extLst>
        </xdr:cNvPr>
        <xdr:cNvSpPr>
          <a:spLocks noChangeArrowheads="1"/>
        </xdr:cNvSpPr>
      </xdr:nvSpPr>
      <xdr:spPr>
        <a:xfrm>
          <a:off x="1790700" y="1298575"/>
          <a:ext cx="590550" cy="180975"/>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Mar. Par.</a:t>
          </a:r>
        </a:p>
      </xdr:txBody>
    </xdr:sp>
    <xdr:clientData/>
  </xdr:twoCellAnchor>
  <xdr:twoCellAnchor>
    <xdr:from>
      <xdr:col>3</xdr:col>
      <xdr:colOff>0</xdr:colOff>
      <xdr:row>10</xdr:row>
      <xdr:rowOff>3175</xdr:rowOff>
    </xdr:from>
    <xdr:to>
      <xdr:col>3</xdr:col>
      <xdr:colOff>600075</xdr:colOff>
      <xdr:row>11</xdr:row>
      <xdr:rowOff>38209</xdr:rowOff>
    </xdr:to>
    <xdr:sp macro="[0]!Aprpar" textlink="">
      <xdr:nvSpPr>
        <xdr:cNvPr id="66993389" name="AutoShape 15">
          <a:extLst>
            <a:ext uri="{FF2B5EF4-FFF2-40B4-BE49-F238E27FC236}">
              <a16:creationId xmlns:a16="http://schemas.microsoft.com/office/drawing/2014/main" id="{00000000-0008-0000-0000-0000ED3CFE03}"/>
            </a:ext>
          </a:extLst>
        </xdr:cNvPr>
        <xdr:cNvSpPr>
          <a:spLocks noChangeArrowheads="1"/>
        </xdr:cNvSpPr>
      </xdr:nvSpPr>
      <xdr:spPr>
        <a:xfrm>
          <a:off x="1800225" y="1622425"/>
          <a:ext cx="600075" cy="196850"/>
        </a:xfrm>
        <a:prstGeom prst="roundRect">
          <a:avLst>
            <a:gd name="adj" fmla="val 16667"/>
          </a:avLst>
        </a:prstGeom>
        <a:solidFill>
          <a:srgbClr val="00CCFF"/>
        </a:solidFill>
        <a:ln w="9525">
          <a:solidFill>
            <a:srgbClr val="FF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Apr. Par</a:t>
          </a:r>
        </a:p>
      </xdr:txBody>
    </xdr:sp>
    <xdr:clientData/>
  </xdr:twoCellAnchor>
  <xdr:twoCellAnchor>
    <xdr:from>
      <xdr:col>2</xdr:col>
      <xdr:colOff>600075</xdr:colOff>
      <xdr:row>12</xdr:row>
      <xdr:rowOff>3175</xdr:rowOff>
    </xdr:from>
    <xdr:to>
      <xdr:col>3</xdr:col>
      <xdr:colOff>590550</xdr:colOff>
      <xdr:row>13</xdr:row>
      <xdr:rowOff>22225</xdr:rowOff>
    </xdr:to>
    <xdr:sp macro="[0]!Maypar" textlink="">
      <xdr:nvSpPr>
        <xdr:cNvPr id="66993390" name="AutoShape 16">
          <a:extLst>
            <a:ext uri="{FF2B5EF4-FFF2-40B4-BE49-F238E27FC236}">
              <a16:creationId xmlns:a16="http://schemas.microsoft.com/office/drawing/2014/main" id="{00000000-0008-0000-0000-0000EE3CFE03}"/>
            </a:ext>
          </a:extLst>
        </xdr:cNvPr>
        <xdr:cNvSpPr>
          <a:spLocks noChangeArrowheads="1"/>
        </xdr:cNvSpPr>
      </xdr:nvSpPr>
      <xdr:spPr>
        <a:xfrm>
          <a:off x="1800225" y="1946275"/>
          <a:ext cx="590550" cy="180975"/>
        </a:xfrm>
        <a:prstGeom prst="roundRect">
          <a:avLst>
            <a:gd name="adj" fmla="val 16667"/>
          </a:avLst>
        </a:prstGeom>
        <a:solidFill>
          <a:srgbClr val="FFFF00"/>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May Par</a:t>
          </a:r>
        </a:p>
      </xdr:txBody>
    </xdr:sp>
    <xdr:clientData/>
  </xdr:twoCellAnchor>
  <xdr:twoCellAnchor>
    <xdr:from>
      <xdr:col>3</xdr:col>
      <xdr:colOff>9525</xdr:colOff>
      <xdr:row>14</xdr:row>
      <xdr:rowOff>22225</xdr:rowOff>
    </xdr:from>
    <xdr:to>
      <xdr:col>4</xdr:col>
      <xdr:colOff>0</xdr:colOff>
      <xdr:row>15</xdr:row>
      <xdr:rowOff>22225</xdr:rowOff>
    </xdr:to>
    <xdr:sp macro="[0]!Junepar" textlink="">
      <xdr:nvSpPr>
        <xdr:cNvPr id="66993391" name="AutoShape 17">
          <a:extLst>
            <a:ext uri="{FF2B5EF4-FFF2-40B4-BE49-F238E27FC236}">
              <a16:creationId xmlns:a16="http://schemas.microsoft.com/office/drawing/2014/main" id="{00000000-0008-0000-0000-0000EF3CFE03}"/>
            </a:ext>
          </a:extLst>
        </xdr:cNvPr>
        <xdr:cNvSpPr>
          <a:spLocks noChangeArrowheads="1"/>
        </xdr:cNvSpPr>
      </xdr:nvSpPr>
      <xdr:spPr>
        <a:xfrm>
          <a:off x="1809750" y="2289175"/>
          <a:ext cx="590550" cy="161925"/>
        </a:xfrm>
        <a:prstGeom prst="roundRect">
          <a:avLst>
            <a:gd name="adj" fmla="val 16667"/>
          </a:avLst>
        </a:prstGeom>
        <a:solidFill>
          <a:srgbClr val="00CCFF"/>
        </a:solidFill>
        <a:ln w="9525">
          <a:solidFill>
            <a:srgbClr val="FF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June Par</a:t>
          </a:r>
        </a:p>
      </xdr:txBody>
    </xdr:sp>
    <xdr:clientData/>
  </xdr:twoCellAnchor>
  <xdr:twoCellAnchor>
    <xdr:from>
      <xdr:col>6</xdr:col>
      <xdr:colOff>590550</xdr:colOff>
      <xdr:row>4</xdr:row>
      <xdr:rowOff>0</xdr:rowOff>
    </xdr:from>
    <xdr:to>
      <xdr:col>7</xdr:col>
      <xdr:colOff>581025</xdr:colOff>
      <xdr:row>5</xdr:row>
      <xdr:rowOff>22331</xdr:rowOff>
    </xdr:to>
    <xdr:sp macro="[0]!Julpar" textlink="">
      <xdr:nvSpPr>
        <xdr:cNvPr id="66993392" name="AutoShape 18">
          <a:extLst>
            <a:ext uri="{FF2B5EF4-FFF2-40B4-BE49-F238E27FC236}">
              <a16:creationId xmlns:a16="http://schemas.microsoft.com/office/drawing/2014/main" id="{00000000-0008-0000-0000-0000F03CFE03}"/>
            </a:ext>
          </a:extLst>
        </xdr:cNvPr>
        <xdr:cNvSpPr>
          <a:spLocks noChangeArrowheads="1"/>
        </xdr:cNvSpPr>
      </xdr:nvSpPr>
      <xdr:spPr>
        <a:xfrm>
          <a:off x="4191000" y="647700"/>
          <a:ext cx="590550" cy="184150"/>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Jul Par</a:t>
          </a:r>
        </a:p>
      </xdr:txBody>
    </xdr:sp>
    <xdr:clientData/>
  </xdr:twoCellAnchor>
  <xdr:twoCellAnchor>
    <xdr:from>
      <xdr:col>6</xdr:col>
      <xdr:colOff>600075</xdr:colOff>
      <xdr:row>6</xdr:row>
      <xdr:rowOff>19050</xdr:rowOff>
    </xdr:from>
    <xdr:to>
      <xdr:col>7</xdr:col>
      <xdr:colOff>590550</xdr:colOff>
      <xdr:row>7</xdr:row>
      <xdr:rowOff>22343</xdr:rowOff>
    </xdr:to>
    <xdr:sp macro="[0]!Augpar" textlink="">
      <xdr:nvSpPr>
        <xdr:cNvPr id="66993393" name="AutoShape 19">
          <a:extLst>
            <a:ext uri="{FF2B5EF4-FFF2-40B4-BE49-F238E27FC236}">
              <a16:creationId xmlns:a16="http://schemas.microsoft.com/office/drawing/2014/main" id="{00000000-0008-0000-0000-0000F13CFE03}"/>
            </a:ext>
          </a:extLst>
        </xdr:cNvPr>
        <xdr:cNvSpPr>
          <a:spLocks noChangeArrowheads="1"/>
        </xdr:cNvSpPr>
      </xdr:nvSpPr>
      <xdr:spPr>
        <a:xfrm>
          <a:off x="4200525" y="990600"/>
          <a:ext cx="590550" cy="165100"/>
        </a:xfrm>
        <a:prstGeom prst="roundRect">
          <a:avLst>
            <a:gd name="adj" fmla="val 16667"/>
          </a:avLst>
        </a:prstGeom>
        <a:solidFill>
          <a:srgbClr val="FFFF00"/>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Aug Par</a:t>
          </a:r>
        </a:p>
      </xdr:txBody>
    </xdr:sp>
    <xdr:clientData/>
  </xdr:twoCellAnchor>
  <xdr:twoCellAnchor>
    <xdr:from>
      <xdr:col>7</xdr:col>
      <xdr:colOff>9525</xdr:colOff>
      <xdr:row>8</xdr:row>
      <xdr:rowOff>3175</xdr:rowOff>
    </xdr:from>
    <xdr:to>
      <xdr:col>8</xdr:col>
      <xdr:colOff>0</xdr:colOff>
      <xdr:row>9</xdr:row>
      <xdr:rowOff>19172</xdr:rowOff>
    </xdr:to>
    <xdr:sp macro="[0]!Septpar" textlink="">
      <xdr:nvSpPr>
        <xdr:cNvPr id="66993394" name="AutoShape 20">
          <a:extLst>
            <a:ext uri="{FF2B5EF4-FFF2-40B4-BE49-F238E27FC236}">
              <a16:creationId xmlns:a16="http://schemas.microsoft.com/office/drawing/2014/main" id="{00000000-0008-0000-0000-0000F23CFE03}"/>
            </a:ext>
          </a:extLst>
        </xdr:cNvPr>
        <xdr:cNvSpPr>
          <a:spLocks noChangeArrowheads="1"/>
        </xdr:cNvSpPr>
      </xdr:nvSpPr>
      <xdr:spPr>
        <a:xfrm>
          <a:off x="4210050" y="1298575"/>
          <a:ext cx="590550" cy="177800"/>
        </a:xfrm>
        <a:prstGeom prst="roundRect">
          <a:avLst>
            <a:gd name="adj" fmla="val 16667"/>
          </a:avLst>
        </a:prstGeom>
        <a:solidFill>
          <a:srgbClr val="FF00FF"/>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Sept Par</a:t>
          </a:r>
        </a:p>
      </xdr:txBody>
    </xdr:sp>
    <xdr:clientData/>
  </xdr:twoCellAnchor>
  <xdr:twoCellAnchor>
    <xdr:from>
      <xdr:col>6</xdr:col>
      <xdr:colOff>600075</xdr:colOff>
      <xdr:row>10</xdr:row>
      <xdr:rowOff>0</xdr:rowOff>
    </xdr:from>
    <xdr:to>
      <xdr:col>7</xdr:col>
      <xdr:colOff>590550</xdr:colOff>
      <xdr:row>11</xdr:row>
      <xdr:rowOff>19050</xdr:rowOff>
    </xdr:to>
    <xdr:sp macro="[0]!Octpar" textlink="">
      <xdr:nvSpPr>
        <xdr:cNvPr id="66993395" name="AutoShape 21">
          <a:extLst>
            <a:ext uri="{FF2B5EF4-FFF2-40B4-BE49-F238E27FC236}">
              <a16:creationId xmlns:a16="http://schemas.microsoft.com/office/drawing/2014/main" id="{00000000-0008-0000-0000-0000F33CFE03}"/>
            </a:ext>
          </a:extLst>
        </xdr:cNvPr>
        <xdr:cNvSpPr>
          <a:spLocks noChangeArrowheads="1"/>
        </xdr:cNvSpPr>
      </xdr:nvSpPr>
      <xdr:spPr>
        <a:xfrm>
          <a:off x="4200525" y="1619250"/>
          <a:ext cx="590550" cy="180975"/>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Oct Par</a:t>
          </a:r>
        </a:p>
      </xdr:txBody>
    </xdr:sp>
    <xdr:clientData/>
  </xdr:twoCellAnchor>
  <xdr:twoCellAnchor>
    <xdr:from>
      <xdr:col>7</xdr:col>
      <xdr:colOff>0</xdr:colOff>
      <xdr:row>12</xdr:row>
      <xdr:rowOff>22225</xdr:rowOff>
    </xdr:from>
    <xdr:to>
      <xdr:col>7</xdr:col>
      <xdr:colOff>600075</xdr:colOff>
      <xdr:row>13</xdr:row>
      <xdr:rowOff>57259</xdr:rowOff>
    </xdr:to>
    <xdr:sp macro="[0]!Novpar" textlink="">
      <xdr:nvSpPr>
        <xdr:cNvPr id="66993396" name="AutoShape 22">
          <a:extLst>
            <a:ext uri="{FF2B5EF4-FFF2-40B4-BE49-F238E27FC236}">
              <a16:creationId xmlns:a16="http://schemas.microsoft.com/office/drawing/2014/main" id="{00000000-0008-0000-0000-0000F43CFE03}"/>
            </a:ext>
          </a:extLst>
        </xdr:cNvPr>
        <xdr:cNvSpPr>
          <a:spLocks noChangeArrowheads="1"/>
        </xdr:cNvSpPr>
      </xdr:nvSpPr>
      <xdr:spPr>
        <a:xfrm>
          <a:off x="4200525" y="1965325"/>
          <a:ext cx="600075" cy="196850"/>
        </a:xfrm>
        <a:prstGeom prst="roundRect">
          <a:avLst>
            <a:gd name="adj" fmla="val 16667"/>
          </a:avLst>
        </a:prstGeom>
        <a:solidFill>
          <a:srgbClr val="00CCFF"/>
        </a:solidFill>
        <a:ln w="9525">
          <a:solidFill>
            <a:srgbClr val="FF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Nov Par</a:t>
          </a:r>
        </a:p>
      </xdr:txBody>
    </xdr:sp>
    <xdr:clientData/>
  </xdr:twoCellAnchor>
  <xdr:twoCellAnchor>
    <xdr:from>
      <xdr:col>7</xdr:col>
      <xdr:colOff>9525</xdr:colOff>
      <xdr:row>14</xdr:row>
      <xdr:rowOff>3175</xdr:rowOff>
    </xdr:from>
    <xdr:to>
      <xdr:col>8</xdr:col>
      <xdr:colOff>0</xdr:colOff>
      <xdr:row>15</xdr:row>
      <xdr:rowOff>19172</xdr:rowOff>
    </xdr:to>
    <xdr:sp macro="[0]!Decpar" textlink="">
      <xdr:nvSpPr>
        <xdr:cNvPr id="66993397" name="AutoShape 23">
          <a:extLst>
            <a:ext uri="{FF2B5EF4-FFF2-40B4-BE49-F238E27FC236}">
              <a16:creationId xmlns:a16="http://schemas.microsoft.com/office/drawing/2014/main" id="{00000000-0008-0000-0000-0000F53CFE03}"/>
            </a:ext>
          </a:extLst>
        </xdr:cNvPr>
        <xdr:cNvSpPr>
          <a:spLocks noChangeArrowheads="1"/>
        </xdr:cNvSpPr>
      </xdr:nvSpPr>
      <xdr:spPr>
        <a:xfrm>
          <a:off x="4210050" y="2270125"/>
          <a:ext cx="590550" cy="177800"/>
        </a:xfrm>
        <a:prstGeom prst="roundRect">
          <a:avLst>
            <a:gd name="adj" fmla="val 16667"/>
          </a:avLst>
        </a:prstGeom>
        <a:solidFill>
          <a:srgbClr val="FF0000"/>
        </a:solidFill>
        <a:ln w="9525">
          <a:solidFill>
            <a:srgbClr val="0000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Dec Par</a:t>
          </a:r>
        </a:p>
      </xdr:txBody>
    </xdr:sp>
    <xdr:clientData/>
  </xdr:twoCellAnchor>
  <xdr:twoCellAnchor>
    <xdr:from>
      <xdr:col>1</xdr:col>
      <xdr:colOff>19050</xdr:colOff>
      <xdr:row>16</xdr:row>
      <xdr:rowOff>3175</xdr:rowOff>
    </xdr:from>
    <xdr:to>
      <xdr:col>3</xdr:col>
      <xdr:colOff>57150</xdr:colOff>
      <xdr:row>17</xdr:row>
      <xdr:rowOff>38209</xdr:rowOff>
    </xdr:to>
    <xdr:sp macro="[0]!Module1.Summary" textlink="">
      <xdr:nvSpPr>
        <xdr:cNvPr id="66993398" name="AutoShape 24">
          <a:extLst>
            <a:ext uri="{FF2B5EF4-FFF2-40B4-BE49-F238E27FC236}">
              <a16:creationId xmlns:a16="http://schemas.microsoft.com/office/drawing/2014/main" id="{00000000-0008-0000-0000-0000F63CFE03}"/>
            </a:ext>
          </a:extLst>
        </xdr:cNvPr>
        <xdr:cNvSpPr>
          <a:spLocks noChangeArrowheads="1"/>
        </xdr:cNvSpPr>
      </xdr:nvSpPr>
      <xdr:spPr>
        <a:xfrm>
          <a:off x="619125" y="2593975"/>
          <a:ext cx="1238250" cy="196850"/>
        </a:xfrm>
        <a:prstGeom prst="flowChartAlternateProcess">
          <a:avLst/>
        </a:prstGeom>
        <a:solidFill>
          <a:srgbClr val="00FF00"/>
        </a:solidFill>
        <a:ln w="9525">
          <a:solidFill>
            <a:srgbClr val="000000"/>
          </a:solidFill>
          <a:miter lim="800000"/>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Mthly Summary loss</a:t>
          </a:r>
        </a:p>
      </xdr:txBody>
    </xdr:sp>
    <xdr:clientData/>
  </xdr:twoCellAnchor>
  <xdr:twoCellAnchor>
    <xdr:from>
      <xdr:col>0</xdr:col>
      <xdr:colOff>581025</xdr:colOff>
      <xdr:row>4</xdr:row>
      <xdr:rowOff>3175</xdr:rowOff>
    </xdr:from>
    <xdr:to>
      <xdr:col>2</xdr:col>
      <xdr:colOff>19050</xdr:colOff>
      <xdr:row>5</xdr:row>
      <xdr:rowOff>19172</xdr:rowOff>
    </xdr:to>
    <xdr:sp macro="[0]!Module1.Jan" textlink="">
      <xdr:nvSpPr>
        <xdr:cNvPr id="66993399" name="AutoShape 25">
          <a:extLst>
            <a:ext uri="{FF2B5EF4-FFF2-40B4-BE49-F238E27FC236}">
              <a16:creationId xmlns:a16="http://schemas.microsoft.com/office/drawing/2014/main" id="{00000000-0008-0000-0000-0000F73CFE03}"/>
            </a:ext>
          </a:extLst>
        </xdr:cNvPr>
        <xdr:cNvSpPr>
          <a:spLocks noChangeArrowheads="1"/>
        </xdr:cNvSpPr>
      </xdr:nvSpPr>
      <xdr:spPr>
        <a:xfrm>
          <a:off x="581025" y="650875"/>
          <a:ext cx="638175" cy="177800"/>
        </a:xfrm>
        <a:prstGeom prst="roundRect">
          <a:avLst>
            <a:gd name="adj" fmla="val 16667"/>
          </a:avLst>
        </a:prstGeom>
        <a:solidFill>
          <a:srgbClr val="FF00FF"/>
        </a:solidFill>
        <a:ln w="9525">
          <a:solidFill>
            <a:srgbClr val="00FF00"/>
          </a:solidFill>
          <a:round/>
        </a:ln>
      </xdr:spPr>
      <xdr:txBody>
        <a:bodyPr vertOverflow="clip" wrap="square" lIns="27432" tIns="22860" rIns="0" bIns="0" anchor="t" upright="1"/>
        <a:lstStyle/>
        <a:p>
          <a:pPr algn="l" rtl="0">
            <a:defRPr sz="1000"/>
          </a:pPr>
          <a:r>
            <a:rPr lang="en-US" sz="1000" b="0" i="0" u="none" strike="noStrike" baseline="0">
              <a:solidFill>
                <a:srgbClr val="000000"/>
              </a:solidFill>
              <a:latin typeface="Arial" panose="020B0604020202020204"/>
              <a:cs typeface="Arial" panose="020B0604020202020204"/>
            </a:rPr>
            <a:t>JAN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19048</xdr:colOff>
      <xdr:row>30</xdr:row>
      <xdr:rowOff>11616</xdr:rowOff>
    </xdr:from>
    <xdr:to>
      <xdr:col>21</xdr:col>
      <xdr:colOff>592407</xdr:colOff>
      <xdr:row>46</xdr:row>
      <xdr:rowOff>0</xdr:rowOff>
    </xdr:to>
    <xdr:graphicFrame macro="">
      <xdr:nvGraphicFramePr>
        <xdr:cNvPr id="51246813" name="Chart 1">
          <a:extLst>
            <a:ext uri="{FF2B5EF4-FFF2-40B4-BE49-F238E27FC236}">
              <a16:creationId xmlns:a16="http://schemas.microsoft.com/office/drawing/2014/main" id="{00000000-0008-0000-0100-0000DDF60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95250</xdr:colOff>
      <xdr:row>9</xdr:row>
      <xdr:rowOff>9525</xdr:rowOff>
    </xdr:from>
    <xdr:to>
      <xdr:col>17</xdr:col>
      <xdr:colOff>171450</xdr:colOff>
      <xdr:row>47</xdr:row>
      <xdr:rowOff>66675</xdr:rowOff>
    </xdr:to>
    <xdr:graphicFrame macro="">
      <xdr:nvGraphicFramePr>
        <xdr:cNvPr id="54861314" name="Chart 2">
          <a:extLst>
            <a:ext uri="{FF2B5EF4-FFF2-40B4-BE49-F238E27FC236}">
              <a16:creationId xmlns:a16="http://schemas.microsoft.com/office/drawing/2014/main" id="{00000000-0008-0000-0200-0000021E45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142875</xdr:colOff>
      <xdr:row>106</xdr:row>
      <xdr:rowOff>114300</xdr:rowOff>
    </xdr:from>
    <xdr:to>
      <xdr:col>15</xdr:col>
      <xdr:colOff>342900</xdr:colOff>
      <xdr:row>128</xdr:row>
      <xdr:rowOff>38100</xdr:rowOff>
    </xdr:to>
    <xdr:graphicFrame macro="">
      <xdr:nvGraphicFramePr>
        <xdr:cNvPr id="54996473" name="Chart 2">
          <a:extLst>
            <a:ext uri="{FF2B5EF4-FFF2-40B4-BE49-F238E27FC236}">
              <a16:creationId xmlns:a16="http://schemas.microsoft.com/office/drawing/2014/main" id="{00000000-0008-0000-0300-0000F92D47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66675</xdr:colOff>
      <xdr:row>1</xdr:row>
      <xdr:rowOff>9525</xdr:rowOff>
    </xdr:from>
    <xdr:to>
      <xdr:col>4</xdr:col>
      <xdr:colOff>476250</xdr:colOff>
      <xdr:row>21</xdr:row>
      <xdr:rowOff>76200</xdr:rowOff>
    </xdr:to>
    <xdr:graphicFrame macro="">
      <xdr:nvGraphicFramePr>
        <xdr:cNvPr id="1487" name="Chart 1">
          <a:extLst>
            <a:ext uri="{FF2B5EF4-FFF2-40B4-BE49-F238E27FC236}">
              <a16:creationId xmlns:a16="http://schemas.microsoft.com/office/drawing/2014/main" id="{00000000-0008-0000-0400-0000CF05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xdr:row>
      <xdr:rowOff>0</xdr:rowOff>
    </xdr:from>
    <xdr:to>
      <xdr:col>10</xdr:col>
      <xdr:colOff>571500</xdr:colOff>
      <xdr:row>21</xdr:row>
      <xdr:rowOff>76200</xdr:rowOff>
    </xdr:to>
    <xdr:graphicFrame macro="">
      <xdr:nvGraphicFramePr>
        <xdr:cNvPr id="1539" name="Chart 4">
          <a:extLst>
            <a:ext uri="{FF2B5EF4-FFF2-40B4-BE49-F238E27FC236}">
              <a16:creationId xmlns:a16="http://schemas.microsoft.com/office/drawing/2014/main" id="{00000000-0008-0000-0400-000003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0</xdr:colOff>
      <xdr:row>1</xdr:row>
      <xdr:rowOff>0</xdr:rowOff>
    </xdr:from>
    <xdr:to>
      <xdr:col>16</xdr:col>
      <xdr:colOff>571500</xdr:colOff>
      <xdr:row>21</xdr:row>
      <xdr:rowOff>76200</xdr:rowOff>
    </xdr:to>
    <xdr:graphicFrame macro="">
      <xdr:nvGraphicFramePr>
        <xdr:cNvPr id="1484" name="Chart 5">
          <a:extLst>
            <a:ext uri="{FF2B5EF4-FFF2-40B4-BE49-F238E27FC236}">
              <a16:creationId xmlns:a16="http://schemas.microsoft.com/office/drawing/2014/main" id="{00000000-0008-0000-0400-0000CC05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9525</xdr:colOff>
      <xdr:row>1</xdr:row>
      <xdr:rowOff>0</xdr:rowOff>
    </xdr:from>
    <xdr:to>
      <xdr:col>23</xdr:col>
      <xdr:colOff>0</xdr:colOff>
      <xdr:row>21</xdr:row>
      <xdr:rowOff>76200</xdr:rowOff>
    </xdr:to>
    <xdr:graphicFrame macro="">
      <xdr:nvGraphicFramePr>
        <xdr:cNvPr id="1592" name="Chart 6">
          <a:extLst>
            <a:ext uri="{FF2B5EF4-FFF2-40B4-BE49-F238E27FC236}">
              <a16:creationId xmlns:a16="http://schemas.microsoft.com/office/drawing/2014/main" id="{00000000-0008-0000-0400-000038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0</xdr:colOff>
      <xdr:row>22</xdr:row>
      <xdr:rowOff>0</xdr:rowOff>
    </xdr:from>
    <xdr:to>
      <xdr:col>10</xdr:col>
      <xdr:colOff>571500</xdr:colOff>
      <xdr:row>42</xdr:row>
      <xdr:rowOff>76200</xdr:rowOff>
    </xdr:to>
    <xdr:graphicFrame macro="">
      <xdr:nvGraphicFramePr>
        <xdr:cNvPr id="1427" name="Chart 8">
          <a:extLst>
            <a:ext uri="{FF2B5EF4-FFF2-40B4-BE49-F238E27FC236}">
              <a16:creationId xmlns:a16="http://schemas.microsoft.com/office/drawing/2014/main" id="{00000000-0008-0000-0400-00009305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22</xdr:row>
      <xdr:rowOff>9525</xdr:rowOff>
    </xdr:from>
    <xdr:to>
      <xdr:col>16</xdr:col>
      <xdr:colOff>571500</xdr:colOff>
      <xdr:row>42</xdr:row>
      <xdr:rowOff>85725</xdr:rowOff>
    </xdr:to>
    <xdr:graphicFrame macro="">
      <xdr:nvGraphicFramePr>
        <xdr:cNvPr id="1641" name="Chart 9">
          <a:extLst>
            <a:ext uri="{FF2B5EF4-FFF2-40B4-BE49-F238E27FC236}">
              <a16:creationId xmlns:a16="http://schemas.microsoft.com/office/drawing/2014/main" id="{00000000-0008-0000-0400-000069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9525</xdr:colOff>
      <xdr:row>22</xdr:row>
      <xdr:rowOff>9525</xdr:rowOff>
    </xdr:from>
    <xdr:to>
      <xdr:col>22</xdr:col>
      <xdr:colOff>581025</xdr:colOff>
      <xdr:row>42</xdr:row>
      <xdr:rowOff>76200</xdr:rowOff>
    </xdr:to>
    <xdr:graphicFrame macro="">
      <xdr:nvGraphicFramePr>
        <xdr:cNvPr id="1885" name="Chart 10">
          <a:extLst>
            <a:ext uri="{FF2B5EF4-FFF2-40B4-BE49-F238E27FC236}">
              <a16:creationId xmlns:a16="http://schemas.microsoft.com/office/drawing/2014/main" id="{00000000-0008-0000-0400-00005D0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57150</xdr:colOff>
      <xdr:row>43</xdr:row>
      <xdr:rowOff>28575</xdr:rowOff>
    </xdr:from>
    <xdr:to>
      <xdr:col>4</xdr:col>
      <xdr:colOff>476250</xdr:colOff>
      <xdr:row>63</xdr:row>
      <xdr:rowOff>104775</xdr:rowOff>
    </xdr:to>
    <xdr:graphicFrame macro="">
      <xdr:nvGraphicFramePr>
        <xdr:cNvPr id="1693" name="Chart 11">
          <a:extLst>
            <a:ext uri="{FF2B5EF4-FFF2-40B4-BE49-F238E27FC236}">
              <a16:creationId xmlns:a16="http://schemas.microsoft.com/office/drawing/2014/main" id="{00000000-0008-0000-0400-00009D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0</xdr:colOff>
      <xdr:row>43</xdr:row>
      <xdr:rowOff>0</xdr:rowOff>
    </xdr:from>
    <xdr:to>
      <xdr:col>10</xdr:col>
      <xdr:colOff>571500</xdr:colOff>
      <xdr:row>63</xdr:row>
      <xdr:rowOff>76200</xdr:rowOff>
    </xdr:to>
    <xdr:graphicFrame macro="">
      <xdr:nvGraphicFramePr>
        <xdr:cNvPr id="1827" name="Chart 12">
          <a:extLst>
            <a:ext uri="{FF2B5EF4-FFF2-40B4-BE49-F238E27FC236}">
              <a16:creationId xmlns:a16="http://schemas.microsoft.com/office/drawing/2014/main" id="{00000000-0008-0000-0400-0000230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11</xdr:col>
      <xdr:colOff>0</xdr:colOff>
      <xdr:row>43</xdr:row>
      <xdr:rowOff>0</xdr:rowOff>
    </xdr:from>
    <xdr:to>
      <xdr:col>16</xdr:col>
      <xdr:colOff>571500</xdr:colOff>
      <xdr:row>63</xdr:row>
      <xdr:rowOff>76200</xdr:rowOff>
    </xdr:to>
    <xdr:graphicFrame macro="">
      <xdr:nvGraphicFramePr>
        <xdr:cNvPr id="1742" name="Chart 13">
          <a:extLst>
            <a:ext uri="{FF2B5EF4-FFF2-40B4-BE49-F238E27FC236}">
              <a16:creationId xmlns:a16="http://schemas.microsoft.com/office/drawing/2014/main" id="{00000000-0008-0000-0400-0000CE06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17</xdr:col>
      <xdr:colOff>0</xdr:colOff>
      <xdr:row>43</xdr:row>
      <xdr:rowOff>0</xdr:rowOff>
    </xdr:from>
    <xdr:to>
      <xdr:col>22</xdr:col>
      <xdr:colOff>571500</xdr:colOff>
      <xdr:row>63</xdr:row>
      <xdr:rowOff>76200</xdr:rowOff>
    </xdr:to>
    <xdr:graphicFrame macro="">
      <xdr:nvGraphicFramePr>
        <xdr:cNvPr id="1794" name="Chart 14">
          <a:extLst>
            <a:ext uri="{FF2B5EF4-FFF2-40B4-BE49-F238E27FC236}">
              <a16:creationId xmlns:a16="http://schemas.microsoft.com/office/drawing/2014/main" id="{00000000-0008-0000-0400-00000207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47625</xdr:colOff>
      <xdr:row>22</xdr:row>
      <xdr:rowOff>19050</xdr:rowOff>
    </xdr:from>
    <xdr:to>
      <xdr:col>4</xdr:col>
      <xdr:colOff>485775</xdr:colOff>
      <xdr:row>42</xdr:row>
      <xdr:rowOff>85725</xdr:rowOff>
    </xdr:to>
    <xdr:graphicFrame macro="">
      <xdr:nvGraphicFramePr>
        <xdr:cNvPr id="1204" name="Chart 15">
          <a:extLst>
            <a:ext uri="{FF2B5EF4-FFF2-40B4-BE49-F238E27FC236}">
              <a16:creationId xmlns:a16="http://schemas.microsoft.com/office/drawing/2014/main" id="{00000000-0008-0000-0400-0000B404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47625</xdr:colOff>
      <xdr:row>38</xdr:row>
      <xdr:rowOff>95250</xdr:rowOff>
    </xdr:from>
    <xdr:to>
      <xdr:col>17</xdr:col>
      <xdr:colOff>180975</xdr:colOff>
      <xdr:row>51</xdr:row>
      <xdr:rowOff>57150</xdr:rowOff>
    </xdr:to>
    <xdr:grpSp>
      <xdr:nvGrpSpPr>
        <xdr:cNvPr id="2" name="Group 1">
          <a:extLst>
            <a:ext uri="{FF2B5EF4-FFF2-40B4-BE49-F238E27FC236}">
              <a16:creationId xmlns:a16="http://schemas.microsoft.com/office/drawing/2014/main" id="{00000000-0008-0000-0F00-000002000000}"/>
            </a:ext>
          </a:extLst>
        </xdr:cNvPr>
        <xdr:cNvGrpSpPr/>
      </xdr:nvGrpSpPr>
      <xdr:grpSpPr>
        <a:xfrm>
          <a:off x="47625" y="6400800"/>
          <a:ext cx="11734800" cy="2066925"/>
          <a:chOff x="0" y="6229350"/>
          <a:chExt cx="11715750" cy="2066925"/>
        </a:xfrm>
      </xdr:grpSpPr>
      <xdr:graphicFrame macro="">
        <xdr:nvGraphicFramePr>
          <xdr:cNvPr id="3" name="Chart 6">
            <a:extLst>
              <a:ext uri="{FF2B5EF4-FFF2-40B4-BE49-F238E27FC236}">
                <a16:creationId xmlns:a16="http://schemas.microsoft.com/office/drawing/2014/main" id="{00000000-0008-0000-0F00-000003000000}"/>
              </a:ext>
            </a:extLst>
          </xdr:cNvPr>
          <xdr:cNvGraphicFramePr/>
        </xdr:nvGraphicFramePr>
        <xdr:xfrm>
          <a:off x="0" y="6229350"/>
          <a:ext cx="3835004" cy="20383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4" name="Chart 7">
            <a:extLst>
              <a:ext uri="{FF2B5EF4-FFF2-40B4-BE49-F238E27FC236}">
                <a16:creationId xmlns:a16="http://schemas.microsoft.com/office/drawing/2014/main" id="{00000000-0008-0000-0F00-000004000000}"/>
              </a:ext>
            </a:extLst>
          </xdr:cNvPr>
          <xdr:cNvGraphicFramePr/>
        </xdr:nvGraphicFramePr>
        <xdr:xfrm>
          <a:off x="3892342" y="6248400"/>
          <a:ext cx="3902117" cy="20478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5" name="Chart 8">
            <a:extLst>
              <a:ext uri="{FF2B5EF4-FFF2-40B4-BE49-F238E27FC236}">
                <a16:creationId xmlns:a16="http://schemas.microsoft.com/office/drawing/2014/main" id="{00000000-0008-0000-0F00-000005000000}"/>
              </a:ext>
            </a:extLst>
          </xdr:cNvPr>
          <xdr:cNvGraphicFramePr/>
        </xdr:nvGraphicFramePr>
        <xdr:xfrm>
          <a:off x="7813633" y="6248400"/>
          <a:ext cx="3902117" cy="2047875"/>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1925955</xdr:colOff>
      <xdr:row>54</xdr:row>
      <xdr:rowOff>91440</xdr:rowOff>
    </xdr:from>
    <xdr:to>
      <xdr:col>15</xdr:col>
      <xdr:colOff>198120</xdr:colOff>
      <xdr:row>67</xdr:row>
      <xdr:rowOff>160020</xdr:rowOff>
    </xdr:to>
    <xdr:grpSp>
      <xdr:nvGrpSpPr>
        <xdr:cNvPr id="6" name="Group 5">
          <a:extLst>
            <a:ext uri="{FF2B5EF4-FFF2-40B4-BE49-F238E27FC236}">
              <a16:creationId xmlns:a16="http://schemas.microsoft.com/office/drawing/2014/main" id="{00000000-0008-0000-0F00-000006000000}"/>
            </a:ext>
          </a:extLst>
        </xdr:cNvPr>
        <xdr:cNvGrpSpPr/>
      </xdr:nvGrpSpPr>
      <xdr:grpSpPr>
        <a:xfrm>
          <a:off x="2154555" y="8987790"/>
          <a:ext cx="8425815" cy="2173605"/>
          <a:chOff x="1847850" y="8353425"/>
          <a:chExt cx="7848600" cy="2038350"/>
        </a:xfrm>
      </xdr:grpSpPr>
      <xdr:graphicFrame macro="">
        <xdr:nvGraphicFramePr>
          <xdr:cNvPr id="7" name="Chart 9">
            <a:extLst>
              <a:ext uri="{FF2B5EF4-FFF2-40B4-BE49-F238E27FC236}">
                <a16:creationId xmlns:a16="http://schemas.microsoft.com/office/drawing/2014/main" id="{00000000-0008-0000-0F00-000007000000}"/>
              </a:ext>
            </a:extLst>
          </xdr:cNvPr>
          <xdr:cNvGraphicFramePr/>
        </xdr:nvGraphicFramePr>
        <xdr:xfrm>
          <a:off x="1847850" y="8353425"/>
          <a:ext cx="3900283" cy="2038350"/>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8" name="Chart 10">
            <a:extLst>
              <a:ext uri="{FF2B5EF4-FFF2-40B4-BE49-F238E27FC236}">
                <a16:creationId xmlns:a16="http://schemas.microsoft.com/office/drawing/2014/main" id="{00000000-0008-0000-0F00-000008000000}"/>
              </a:ext>
            </a:extLst>
          </xdr:cNvPr>
          <xdr:cNvGraphicFramePr/>
        </xdr:nvGraphicFramePr>
        <xdr:xfrm>
          <a:off x="5776953" y="8353425"/>
          <a:ext cx="3919497" cy="2038350"/>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112395</xdr:colOff>
      <xdr:row>17</xdr:row>
      <xdr:rowOff>74295</xdr:rowOff>
    </xdr:from>
    <xdr:to>
      <xdr:col>9</xdr:col>
      <xdr:colOff>358140</xdr:colOff>
      <xdr:row>36</xdr:row>
      <xdr:rowOff>7620</xdr:rowOff>
    </xdr:to>
    <xdr:graphicFrame macro="">
      <xdr:nvGraphicFramePr>
        <xdr:cNvPr id="9" name="Chart 8">
          <a:extLst>
            <a:ext uri="{FF2B5EF4-FFF2-40B4-BE49-F238E27FC236}">
              <a16:creationId xmlns:a16="http://schemas.microsoft.com/office/drawing/2014/main" id="{00000000-0008-0000-0F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428624</xdr:colOff>
      <xdr:row>17</xdr:row>
      <xdr:rowOff>66674</xdr:rowOff>
    </xdr:from>
    <xdr:to>
      <xdr:col>19</xdr:col>
      <xdr:colOff>209549</xdr:colOff>
      <xdr:row>36</xdr:row>
      <xdr:rowOff>9524</xdr:rowOff>
    </xdr:to>
    <xdr:graphicFrame macro="">
      <xdr:nvGraphicFramePr>
        <xdr:cNvPr id="10" name="Chart 9">
          <a:extLst>
            <a:ext uri="{FF2B5EF4-FFF2-40B4-BE49-F238E27FC236}">
              <a16:creationId xmlns:a16="http://schemas.microsoft.com/office/drawing/2014/main" id="{00000000-0008-0000-0F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xdr:col>
      <xdr:colOff>0</xdr:colOff>
      <xdr:row>30</xdr:row>
      <xdr:rowOff>0</xdr:rowOff>
    </xdr:from>
    <xdr:to>
      <xdr:col>7</xdr:col>
      <xdr:colOff>729343</xdr:colOff>
      <xdr:row>57</xdr:row>
      <xdr:rowOff>160564</xdr:rowOff>
    </xdr:to>
    <xdr:graphicFrame macro="">
      <xdr:nvGraphicFramePr>
        <xdr:cNvPr id="2" name="Chart 8">
          <a:extLst>
            <a:ext uri="{FF2B5EF4-FFF2-40B4-BE49-F238E27FC236}">
              <a16:creationId xmlns:a16="http://schemas.microsoft.com/office/drawing/2014/main" id="{00000000-0008-0000-1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56029</xdr:colOff>
      <xdr:row>30</xdr:row>
      <xdr:rowOff>67235</xdr:rowOff>
    </xdr:from>
    <xdr:to>
      <xdr:col>23</xdr:col>
      <xdr:colOff>505226</xdr:colOff>
      <xdr:row>58</xdr:row>
      <xdr:rowOff>70917</xdr:rowOff>
    </xdr:to>
    <xdr:graphicFrame macro="">
      <xdr:nvGraphicFramePr>
        <xdr:cNvPr id="13" name="Chart 8">
          <a:extLst>
            <a:ext uri="{FF2B5EF4-FFF2-40B4-BE49-F238E27FC236}">
              <a16:creationId xmlns:a16="http://schemas.microsoft.com/office/drawing/2014/main" id="{FAE97541-4593-4679-8BCD-D48035798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Bottling%20Reports%20'25/GBL_Line_Downtime_2025%20(1).xlsx" TargetMode="External"/><Relationship Id="rId2" Type="http://schemas.openxmlformats.org/officeDocument/2006/relationships/externalLinkPath" Target="file:///O:\Forsyth\Bottling%20Reports%20'25\GBL_Line_Downtime_2025%20(1).xlsx" TargetMode="External"/><Relationship Id="rId1" Type="http://schemas.openxmlformats.org/officeDocument/2006/relationships/externalLinkPath" Target="/Forsyth/Bottling%20Reports%20'25/GBL_Line_Downtime_2025%20(1).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Bottling%20Reports%20'25/Copy%20of%20GBL_Line_Downtime_2025.xlsx" TargetMode="External"/><Relationship Id="rId2" Type="http://schemas.openxmlformats.org/officeDocument/2006/relationships/externalLinkPath" Target="file:///O:\Forsyth\Bottling%20Reports%20'25\Copy%20of%20GBL_Line_Downtime_2025.xlsx" TargetMode="External"/><Relationship Id="rId1" Type="http://schemas.openxmlformats.org/officeDocument/2006/relationships/externalLinkPath" Target="/Forsyth/Bottling%20Reports%20'25/Copy%20of%20GBL_Line_Downtime_2025.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Bottling%20Reports%20'25/GBL_Line_Downtime_2025%201.xlsx" TargetMode="External"/><Relationship Id="rId2" Type="http://schemas.openxmlformats.org/officeDocument/2006/relationships/externalLinkPath" Target="file:///O:\Forsyth\Bottling%20Reports%20'25\GBL_Line_Downtime_2025%201.xlsx" TargetMode="External"/><Relationship Id="rId1" Type="http://schemas.openxmlformats.org/officeDocument/2006/relationships/externalLinkPath" Target="/Forsyth/Bottling%20Reports%20'25/GBL_Line_Downtime_2025%20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ansamcal.sharepoint.com/sites/CBGPackagingLineOperations/Shared%20Documents/General/CBG%20OEE%20(Availability%20and%20Utilization)%20Calculation-%202026.xlsx" TargetMode="External"/><Relationship Id="rId1" Type="http://schemas.openxmlformats.org/officeDocument/2006/relationships/externalLinkPath" Target="https://ansamcal.sharepoint.com/sites/CBGPackagingLineOperations/Shared%20Documents/General/CBG%20OEE%20(Availability%20and%20Utilization)%20Calculation-%202026.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O:\Forsyth\Bottling%20Reports%20'26\Gross_Efficiency_2026.xlsx" TargetMode="External"/><Relationship Id="rId1" Type="http://schemas.openxmlformats.org/officeDocument/2006/relationships/externalLinkPath" Target="Gross_Efficiency_2026.xlsx" TargetMode="External"/></Relationships>
</file>

<file path=xl/externalLinks/_rels/externalLink6.xml.rels><?xml version="1.0" encoding="UTF-8" standalone="yes"?>
<Relationships xmlns="http://schemas.openxmlformats.org/package/2006/relationships"><Relationship Id="rId2" Type="http://schemas.openxmlformats.org/officeDocument/2006/relationships/externalLinkPath" Target="../Bottling%20Reports%20'19/Gross_Efficiency_2019%20-%20ADJUSTED.xlsx" TargetMode="External"/><Relationship Id="rId1" Type="http://schemas.openxmlformats.org/officeDocument/2006/relationships/externalLinkPath" Target="/Forsyth/Bottling%20Reports%20'19/Gross_Efficiency_2019%20-%20ADJUSTED.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Bottling%20Reports%20'22/Bottling%20Reports%20'22_New/Gross_Efficiency_2022.xlsx" TargetMode="External"/><Relationship Id="rId1" Type="http://schemas.openxmlformats.org/officeDocument/2006/relationships/externalLinkPath" Target="/Forsyth/Bottling%20Reports%20'22/Bottling%20Reports%20'22_New/Gross_Efficiency_2022.xlsx" TargetMode="External"/></Relationships>
</file>

<file path=xl/externalLinks/_rels/externalLink8.xml.rels><?xml version="1.0" encoding="UTF-8" standalone="yes"?>
<Relationships xmlns="http://schemas.openxmlformats.org/package/2006/relationships"><Relationship Id="rId3" Type="http://schemas.openxmlformats.org/officeDocument/2006/relationships/externalLinkPath" Target="../Bottling%20Reports%20'25/Gross_Efficiency_2025.xlsx" TargetMode="External"/><Relationship Id="rId2" Type="http://schemas.openxmlformats.org/officeDocument/2006/relationships/externalLinkPath" Target="file:///O:\Forsyth\Bottling%20Reports%20'25\Gross_Efficiency_2025.xlsx" TargetMode="External"/><Relationship Id="rId1" Type="http://schemas.openxmlformats.org/officeDocument/2006/relationships/externalLinkPath" Target="/Forsyth/Bottling%20Reports%20'25/Gross_Efficiency_2025.xlsx" TargetMode="External"/></Relationships>
</file>

<file path=xl/externalLinks/_rels/externalLink9.xml.rels><?xml version="1.0" encoding="UTF-8" standalone="yes"?>
<Relationships xmlns="http://schemas.openxmlformats.org/package/2006/relationships"><Relationship Id="rId3" Type="http://schemas.openxmlformats.org/officeDocument/2006/relationships/externalLinkPath" Target="../Bottling%20Reports%20'24/Gross_Efficiency_2024.xlsx" TargetMode="External"/><Relationship Id="rId2" Type="http://schemas.openxmlformats.org/officeDocument/2006/relationships/externalLinkPath" Target="file:///O:\Forsyth\Bottling%20Reports%20'24\Gross_Efficiency_2024.xlsx" TargetMode="External"/><Relationship Id="rId1" Type="http://schemas.openxmlformats.org/officeDocument/2006/relationships/externalLinkPath" Target="/Forsyth/Bottling%20Reports%20'24/Gross_Efficiency_2024.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gren-dc\Forsyth\Bottling%20Reports%20'17\GBL_Line_Downtime_201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Data Sheet"/>
      <sheetName val="Dec"/>
      <sheetName val="2 weeks Downtime Trend"/>
      <sheetName val="Nov"/>
      <sheetName val="Jan"/>
      <sheetName val="Feb"/>
      <sheetName val="Mar"/>
      <sheetName val="Apr"/>
      <sheetName val="May"/>
      <sheetName val="Jun"/>
      <sheetName val="Jul"/>
      <sheetName val="Aug"/>
      <sheetName val="Sept"/>
      <sheetName val="Oct"/>
      <sheetName val="Washer Downtime Detail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681">
          <cell r="A681">
            <v>45995</v>
          </cell>
        </row>
        <row r="682">
          <cell r="A682">
            <v>45995</v>
          </cell>
        </row>
        <row r="683">
          <cell r="A683">
            <v>45995</v>
          </cell>
        </row>
        <row r="684">
          <cell r="A684">
            <v>45996</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Data Sheet"/>
      <sheetName val="Dec"/>
      <sheetName val="2 weeks Downtime Trend"/>
      <sheetName val="Nov"/>
      <sheetName val="Jan"/>
      <sheetName val="Feb"/>
      <sheetName val="Mar"/>
      <sheetName val="Apr"/>
      <sheetName val="May"/>
      <sheetName val="Jun"/>
      <sheetName val="Jul"/>
      <sheetName val="Aug"/>
      <sheetName val="Sept"/>
      <sheetName val="Oct"/>
      <sheetName val="Washer Downtime Detail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704">
          <cell r="A704">
            <v>46009</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int"/>
      <sheetName val="Monthly summary loss"/>
      <sheetName val="Pareto YTD"/>
      <sheetName val="Pareto Data"/>
      <sheetName val="Pareto analysis month "/>
      <sheetName val="Uncaser Downtime Detail "/>
      <sheetName val="Washer Downtime Detail"/>
      <sheetName val="EBI Downtime Detail"/>
      <sheetName val="Filler Downtime Detail"/>
      <sheetName val="Pasteurizer Downtime Detail"/>
      <sheetName val="Labeler Downtime Detail"/>
      <sheetName val="Videojet Downtime Detail "/>
      <sheetName val="Packer Downtime Detail  "/>
      <sheetName val="Carton Errector-sealer Detail"/>
      <sheetName val="Conveyor Downtime (new)"/>
      <sheetName val="Org &amp; Tech Downtime"/>
      <sheetName val="Data Sheet"/>
      <sheetName val="Oct"/>
      <sheetName val="2 weeks Downtime Trend"/>
      <sheetName val="Jan"/>
      <sheetName val="Feb"/>
      <sheetName val="Mar"/>
      <sheetName val="Apr"/>
      <sheetName val="May"/>
      <sheetName val="Jun"/>
      <sheetName val="Jul"/>
      <sheetName val="Aug"/>
      <sheetName val="Sept"/>
      <sheetName val="Nov"/>
      <sheetName val="D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565">
          <cell r="A565">
            <v>45937</v>
          </cell>
        </row>
        <row r="566">
          <cell r="A566">
            <v>45937</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y 2026 (w Utilization)"/>
      <sheetName val="February 2026 (w Utilization) "/>
      <sheetName val="March 2026 (w Utilization"/>
      <sheetName val="April 2026 (w Utilization) "/>
      <sheetName val="May 2026 (w Utilization)"/>
      <sheetName val="June 2026 (w Utilization)"/>
      <sheetName val="July 2026 (w Utilization)"/>
      <sheetName val="August 2026 (w Utilization)"/>
      <sheetName val="Summary"/>
      <sheetName val="September 2025 (w Utilization)"/>
      <sheetName val="October 2025 (w Utilization) "/>
      <sheetName val="November 2025 (w Utilization)"/>
      <sheetName val="December 2025 (w Utilization)"/>
      <sheetName val="Data Sheet "/>
    </sheetNames>
    <sheetDataSet>
      <sheetData sheetId="0" refreshError="1"/>
      <sheetData sheetId="1" refreshError="1"/>
      <sheetData sheetId="2" refreshError="1"/>
      <sheetData sheetId="3" refreshError="1"/>
      <sheetData sheetId="4" refreshError="1"/>
      <sheetData sheetId="5" refreshError="1"/>
      <sheetData sheetId="6">
        <row r="38">
          <cell r="H38">
            <v>4861</v>
          </cell>
          <cell r="K38">
            <v>1342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January_2026"/>
      <sheetName val="February_2026"/>
      <sheetName val="March_2026"/>
      <sheetName val="April_2026 "/>
      <sheetName val="May_2026"/>
      <sheetName val="June_2026"/>
      <sheetName val="July_2026"/>
      <sheetName val="August_2026"/>
      <sheetName val="September_206"/>
      <sheetName val="October_2026"/>
      <sheetName val="November_2026"/>
      <sheetName val="December_2026"/>
    </sheetNames>
    <sheetDataSet>
      <sheetData sheetId="0">
        <row r="8">
          <cell r="B8">
            <v>46024</v>
          </cell>
          <cell r="C8">
            <v>1</v>
          </cell>
        </row>
        <row r="9">
          <cell r="B9">
            <v>46027</v>
          </cell>
          <cell r="C9">
            <v>2</v>
          </cell>
          <cell r="D9" t="str">
            <v>CARIB AMBER</v>
          </cell>
        </row>
        <row r="10">
          <cell r="B10">
            <v>46028</v>
          </cell>
          <cell r="D10" t="str">
            <v>EBI/FILLER COMMUNICATION BREAKDOWN</v>
          </cell>
        </row>
        <row r="11">
          <cell r="B11">
            <v>46029</v>
          </cell>
          <cell r="D11" t="str">
            <v>EBI/FILLER COMMUNICATION BREAKDOWN</v>
          </cell>
        </row>
        <row r="12">
          <cell r="B12">
            <v>46030</v>
          </cell>
          <cell r="C12">
            <v>3</v>
          </cell>
          <cell r="D12" t="str">
            <v>CARIB AMBER</v>
          </cell>
        </row>
        <row r="13">
          <cell r="B13">
            <v>46031</v>
          </cell>
          <cell r="C13">
            <v>4</v>
          </cell>
          <cell r="D13" t="str">
            <v>CARIB AMBER</v>
          </cell>
        </row>
        <row r="14">
          <cell r="B14">
            <v>46031</v>
          </cell>
          <cell r="C14">
            <v>4</v>
          </cell>
          <cell r="D14" t="str">
            <v>STAR MALT</v>
          </cell>
        </row>
        <row r="15">
          <cell r="B15">
            <v>46032</v>
          </cell>
          <cell r="C15">
            <v>5</v>
          </cell>
          <cell r="D15" t="str">
            <v>STAR MALT</v>
          </cell>
        </row>
        <row r="16">
          <cell r="B16">
            <v>46034</v>
          </cell>
          <cell r="C16">
            <v>6</v>
          </cell>
          <cell r="D16" t="str">
            <v>VITA MALT ( CLASSIC)</v>
          </cell>
        </row>
        <row r="17">
          <cell r="B17">
            <v>46034</v>
          </cell>
          <cell r="C17">
            <v>6</v>
          </cell>
          <cell r="D17" t="str">
            <v>STAR MALT</v>
          </cell>
        </row>
        <row r="18">
          <cell r="B18">
            <v>46034</v>
          </cell>
          <cell r="C18">
            <v>6</v>
          </cell>
          <cell r="D18" t="str">
            <v>STAG</v>
          </cell>
        </row>
        <row r="19">
          <cell r="B19">
            <v>46035</v>
          </cell>
          <cell r="C19">
            <v>7</v>
          </cell>
          <cell r="D19" t="str">
            <v>STAG</v>
          </cell>
        </row>
        <row r="20">
          <cell r="B20">
            <v>46035</v>
          </cell>
          <cell r="C20">
            <v>7</v>
          </cell>
          <cell r="D20" t="str">
            <v>CARIB AMBER</v>
          </cell>
        </row>
        <row r="21">
          <cell r="B21">
            <v>46036</v>
          </cell>
          <cell r="C21">
            <v>8</v>
          </cell>
          <cell r="D21" t="str">
            <v>CARIB AMBER</v>
          </cell>
        </row>
        <row r="22">
          <cell r="B22">
            <v>46036</v>
          </cell>
          <cell r="C22">
            <v>8</v>
          </cell>
          <cell r="D22" t="str">
            <v>STAG</v>
          </cell>
        </row>
        <row r="23">
          <cell r="B23">
            <v>46037</v>
          </cell>
          <cell r="C23">
            <v>9</v>
          </cell>
          <cell r="D23" t="str">
            <v>MACKESON</v>
          </cell>
        </row>
        <row r="24">
          <cell r="B24">
            <v>46037</v>
          </cell>
          <cell r="C24">
            <v>9</v>
          </cell>
          <cell r="D24" t="str">
            <v>SHANDY SORREL (LOC)</v>
          </cell>
        </row>
        <row r="25">
          <cell r="B25">
            <v>46038</v>
          </cell>
          <cell r="C25">
            <v>10</v>
          </cell>
          <cell r="D25" t="str">
            <v>TING( GREEN)</v>
          </cell>
        </row>
        <row r="26">
          <cell r="B26">
            <v>46038</v>
          </cell>
          <cell r="C26">
            <v>11</v>
          </cell>
          <cell r="D26" t="str">
            <v>CARIB AMBER</v>
          </cell>
        </row>
        <row r="27">
          <cell r="B27">
            <v>46041</v>
          </cell>
          <cell r="C27">
            <v>12</v>
          </cell>
          <cell r="D27" t="str">
            <v>CARIB AMBER</v>
          </cell>
        </row>
        <row r="28">
          <cell r="B28">
            <v>46041</v>
          </cell>
          <cell r="C28">
            <v>12</v>
          </cell>
          <cell r="D28" t="str">
            <v>STAG</v>
          </cell>
        </row>
        <row r="29">
          <cell r="B29">
            <v>46042</v>
          </cell>
          <cell r="C29">
            <v>13</v>
          </cell>
          <cell r="D29" t="str">
            <v>STAG</v>
          </cell>
        </row>
        <row r="30">
          <cell r="B30">
            <v>46042</v>
          </cell>
          <cell r="C30">
            <v>13</v>
          </cell>
          <cell r="D30" t="str">
            <v>GINSENG UP (ORG)</v>
          </cell>
        </row>
        <row r="31">
          <cell r="B31">
            <v>46043</v>
          </cell>
          <cell r="C31">
            <v>14</v>
          </cell>
          <cell r="D31" t="str">
            <v>SODA WATER</v>
          </cell>
        </row>
        <row r="32">
          <cell r="B32">
            <v>46043</v>
          </cell>
          <cell r="C32">
            <v>14</v>
          </cell>
          <cell r="D32" t="str">
            <v>KOLA CHAMP J.COOL</v>
          </cell>
        </row>
        <row r="33">
          <cell r="B33">
            <v>46043</v>
          </cell>
          <cell r="C33">
            <v>14</v>
          </cell>
          <cell r="D33" t="str">
            <v xml:space="preserve">CREAM SODA </v>
          </cell>
        </row>
        <row r="34">
          <cell r="B34">
            <v>46043</v>
          </cell>
          <cell r="C34">
            <v>14</v>
          </cell>
          <cell r="D34" t="str">
            <v>BANANA</v>
          </cell>
        </row>
        <row r="35">
          <cell r="B35">
            <v>46044</v>
          </cell>
          <cell r="C35">
            <v>15</v>
          </cell>
          <cell r="D35" t="str">
            <v>NO PRODUCTION- LOW WATER PRESSURE</v>
          </cell>
        </row>
        <row r="36">
          <cell r="B36">
            <v>46045</v>
          </cell>
          <cell r="C36">
            <v>16</v>
          </cell>
          <cell r="D36" t="str">
            <v>BANANA J.COOL</v>
          </cell>
        </row>
        <row r="37">
          <cell r="B37">
            <v>46045</v>
          </cell>
          <cell r="C37">
            <v>16</v>
          </cell>
          <cell r="D37" t="str">
            <v>j COOL GINGER</v>
          </cell>
        </row>
        <row r="38">
          <cell r="B38">
            <v>46045</v>
          </cell>
          <cell r="C38">
            <v>16</v>
          </cell>
          <cell r="D38" t="str">
            <v xml:space="preserve">J COOL GRAPE </v>
          </cell>
        </row>
        <row r="39">
          <cell r="B39">
            <v>46045</v>
          </cell>
          <cell r="C39">
            <v>16</v>
          </cell>
          <cell r="D39" t="str">
            <v>J COOL SORREL</v>
          </cell>
        </row>
        <row r="40">
          <cell r="B40">
            <v>46048</v>
          </cell>
          <cell r="C40">
            <v>17</v>
          </cell>
          <cell r="D40" t="str">
            <v>J COOL SORREL</v>
          </cell>
        </row>
        <row r="41">
          <cell r="B41">
            <v>46048</v>
          </cell>
          <cell r="C41">
            <v>17</v>
          </cell>
          <cell r="D41" t="str">
            <v>CARIB AMBER</v>
          </cell>
        </row>
        <row r="42">
          <cell r="B42">
            <v>46049</v>
          </cell>
          <cell r="C42">
            <v>18</v>
          </cell>
          <cell r="D42" t="str">
            <v>CARIB AMBER</v>
          </cell>
        </row>
        <row r="43">
          <cell r="B43">
            <v>46049</v>
          </cell>
          <cell r="C43">
            <v>18</v>
          </cell>
          <cell r="D43" t="str">
            <v>CIDER PEARSECCO (EXPORT)</v>
          </cell>
        </row>
        <row r="44">
          <cell r="B44">
            <v>46050</v>
          </cell>
          <cell r="C44">
            <v>19</v>
          </cell>
          <cell r="D44" t="str">
            <v>CIDER PEARSECCO</v>
          </cell>
        </row>
        <row r="45">
          <cell r="B45">
            <v>46050</v>
          </cell>
          <cell r="C45">
            <v>19</v>
          </cell>
        </row>
        <row r="47">
          <cell r="B47">
            <v>46050</v>
          </cell>
          <cell r="C47">
            <v>19</v>
          </cell>
          <cell r="D47" t="str">
            <v>VITA MALT ( CLASSIC)</v>
          </cell>
        </row>
        <row r="48">
          <cell r="B48">
            <v>46051</v>
          </cell>
          <cell r="C48">
            <v>20</v>
          </cell>
          <cell r="D48" t="str">
            <v>VITA MALT ( CLASSIC)</v>
          </cell>
        </row>
        <row r="49">
          <cell r="B49">
            <v>46051</v>
          </cell>
          <cell r="C49">
            <v>20</v>
          </cell>
          <cell r="D49" t="str">
            <v>VITA MALT (GINGER)</v>
          </cell>
        </row>
        <row r="50">
          <cell r="B50">
            <v>46051</v>
          </cell>
          <cell r="C50">
            <v>20</v>
          </cell>
          <cell r="D50" t="str">
            <v>GUINNESS</v>
          </cell>
        </row>
        <row r="51">
          <cell r="B51">
            <v>46051</v>
          </cell>
          <cell r="C51">
            <v>20</v>
          </cell>
          <cell r="D51" t="str">
            <v>CARIB AMBER</v>
          </cell>
        </row>
        <row r="52">
          <cell r="B52">
            <v>46052</v>
          </cell>
          <cell r="C52">
            <v>21</v>
          </cell>
          <cell r="D52" t="str">
            <v>CARIB AMBER</v>
          </cell>
        </row>
        <row r="53">
          <cell r="B53">
            <v>46052</v>
          </cell>
          <cell r="C53">
            <v>21</v>
          </cell>
          <cell r="D53" t="str">
            <v>STAG</v>
          </cell>
        </row>
      </sheetData>
      <sheetData sheetId="1">
        <row r="8">
          <cell r="B8">
            <v>46055</v>
          </cell>
          <cell r="C8">
            <v>1</v>
          </cell>
          <cell r="D8" t="str">
            <v>STAG</v>
          </cell>
        </row>
        <row r="9">
          <cell r="B9">
            <v>46055</v>
          </cell>
          <cell r="C9">
            <v>1</v>
          </cell>
          <cell r="D9" t="str">
            <v>CARIB AMBER</v>
          </cell>
        </row>
        <row r="10">
          <cell r="B10">
            <v>46056</v>
          </cell>
          <cell r="C10">
            <v>2</v>
          </cell>
          <cell r="D10" t="str">
            <v>CARIB AMBER</v>
          </cell>
        </row>
        <row r="11">
          <cell r="B11">
            <v>46057</v>
          </cell>
          <cell r="C11">
            <v>3</v>
          </cell>
          <cell r="D11" t="str">
            <v>CARIB FLINT ( EXP)</v>
          </cell>
        </row>
        <row r="12">
          <cell r="B12">
            <v>46057</v>
          </cell>
          <cell r="C12">
            <v>3</v>
          </cell>
          <cell r="D12" t="str">
            <v>CARIBE ROSE</v>
          </cell>
        </row>
        <row r="13">
          <cell r="B13">
            <v>46058</v>
          </cell>
          <cell r="C13">
            <v>4</v>
          </cell>
          <cell r="D13" t="str">
            <v>CARIBE ROSE</v>
          </cell>
        </row>
        <row r="14">
          <cell r="B14">
            <v>46058</v>
          </cell>
          <cell r="C14">
            <v>4</v>
          </cell>
          <cell r="D14" t="str">
            <v>GUINNESS</v>
          </cell>
        </row>
        <row r="15">
          <cell r="B15">
            <v>46058</v>
          </cell>
          <cell r="C15">
            <v>4</v>
          </cell>
          <cell r="D15" t="str">
            <v>CARIB AMBER</v>
          </cell>
        </row>
        <row r="16">
          <cell r="B16">
            <v>46059</v>
          </cell>
          <cell r="C16">
            <v>5</v>
          </cell>
          <cell r="D16" t="str">
            <v>CARIB AMBER</v>
          </cell>
        </row>
        <row r="17">
          <cell r="B17">
            <v>46059</v>
          </cell>
          <cell r="C17">
            <v>5</v>
          </cell>
          <cell r="D17" t="str">
            <v>SHANDY GINGER</v>
          </cell>
        </row>
        <row r="18">
          <cell r="B18">
            <v>46062</v>
          </cell>
          <cell r="C18">
            <v>6</v>
          </cell>
          <cell r="D18" t="str">
            <v>SHANDY GINGER ( LOCAL)</v>
          </cell>
        </row>
        <row r="19">
          <cell r="B19">
            <v>46062</v>
          </cell>
          <cell r="C19">
            <v>6</v>
          </cell>
          <cell r="D19" t="str">
            <v>SHANDY GINGER (EXPORT)</v>
          </cell>
        </row>
        <row r="20">
          <cell r="B20">
            <v>46062</v>
          </cell>
          <cell r="C20">
            <v>6</v>
          </cell>
          <cell r="D20" t="str">
            <v>STAG</v>
          </cell>
        </row>
        <row r="21">
          <cell r="B21">
            <v>46063</v>
          </cell>
          <cell r="C21">
            <v>7</v>
          </cell>
          <cell r="D21" t="str">
            <v>PINK TING</v>
          </cell>
        </row>
        <row r="22">
          <cell r="B22">
            <v>46063</v>
          </cell>
          <cell r="C22">
            <v>7</v>
          </cell>
          <cell r="D22" t="str">
            <v xml:space="preserve">GREEN TING </v>
          </cell>
        </row>
        <row r="23">
          <cell r="B23">
            <v>46063</v>
          </cell>
          <cell r="C23">
            <v>7</v>
          </cell>
          <cell r="D23" t="str">
            <v>CARIB AMBER</v>
          </cell>
        </row>
        <row r="24">
          <cell r="B24">
            <v>46064</v>
          </cell>
          <cell r="C24">
            <v>8</v>
          </cell>
          <cell r="D24" t="str">
            <v>CARIB AMBER</v>
          </cell>
        </row>
        <row r="25">
          <cell r="B25">
            <v>46064</v>
          </cell>
          <cell r="C25">
            <v>8</v>
          </cell>
          <cell r="D25" t="str">
            <v>STAG</v>
          </cell>
        </row>
        <row r="26">
          <cell r="B26">
            <v>46065</v>
          </cell>
          <cell r="C26">
            <v>9</v>
          </cell>
          <cell r="D26" t="str">
            <v>STAG</v>
          </cell>
        </row>
        <row r="27">
          <cell r="B27">
            <v>46066</v>
          </cell>
          <cell r="C27">
            <v>10</v>
          </cell>
          <cell r="D27" t="str">
            <v>STAG</v>
          </cell>
        </row>
        <row r="28">
          <cell r="C28">
            <v>10</v>
          </cell>
          <cell r="D28" t="str">
            <v>SHANDY SORREL</v>
          </cell>
        </row>
        <row r="29">
          <cell r="B29">
            <v>46069</v>
          </cell>
          <cell r="C29">
            <v>11</v>
          </cell>
          <cell r="D29" t="str">
            <v>CARIB AMBER</v>
          </cell>
        </row>
        <row r="30">
          <cell r="B30">
            <v>46070</v>
          </cell>
          <cell r="C30">
            <v>12</v>
          </cell>
          <cell r="D30" t="str">
            <v>CARIB AMBER</v>
          </cell>
        </row>
        <row r="31">
          <cell r="B31">
            <v>46071</v>
          </cell>
          <cell r="D31" t="str">
            <v>WASHER BREAKDOWN</v>
          </cell>
        </row>
        <row r="32">
          <cell r="B32">
            <v>46072</v>
          </cell>
          <cell r="C32">
            <v>13</v>
          </cell>
          <cell r="D32" t="str">
            <v>CARIB AMBER</v>
          </cell>
        </row>
        <row r="33">
          <cell r="B33">
            <v>46072</v>
          </cell>
          <cell r="C33">
            <v>13</v>
          </cell>
          <cell r="D33" t="str">
            <v>SHANDY SORREL ( LOCAL )</v>
          </cell>
        </row>
        <row r="34">
          <cell r="B34">
            <v>46072</v>
          </cell>
          <cell r="C34">
            <v>13</v>
          </cell>
          <cell r="D34" t="str">
            <v>TING ORIGINAL</v>
          </cell>
        </row>
        <row r="35">
          <cell r="B35">
            <v>46073</v>
          </cell>
          <cell r="C35">
            <v>14</v>
          </cell>
          <cell r="D35" t="str">
            <v>TING ORIGINAL</v>
          </cell>
        </row>
        <row r="36">
          <cell r="B36">
            <v>46073</v>
          </cell>
          <cell r="C36">
            <v>14</v>
          </cell>
          <cell r="D36" t="str">
            <v>CARIB AMBER</v>
          </cell>
        </row>
        <row r="37">
          <cell r="B37">
            <v>46076</v>
          </cell>
          <cell r="C37">
            <v>15</v>
          </cell>
          <cell r="D37" t="str">
            <v>CARIB AMBER</v>
          </cell>
        </row>
        <row r="38">
          <cell r="B38">
            <v>46077</v>
          </cell>
          <cell r="C38">
            <v>16</v>
          </cell>
          <cell r="D38" t="str">
            <v>CARIB AMBER</v>
          </cell>
        </row>
        <row r="39">
          <cell r="B39">
            <v>46077</v>
          </cell>
          <cell r="C39">
            <v>16</v>
          </cell>
          <cell r="D39" t="str">
            <v>GUINNESS</v>
          </cell>
        </row>
        <row r="40">
          <cell r="B40">
            <v>46078</v>
          </cell>
          <cell r="C40">
            <v>17</v>
          </cell>
          <cell r="D40" t="str">
            <v>STAG</v>
          </cell>
        </row>
        <row r="41">
          <cell r="B41">
            <v>46079</v>
          </cell>
          <cell r="C41">
            <v>18</v>
          </cell>
          <cell r="D41" t="str">
            <v>STAG</v>
          </cell>
        </row>
        <row r="42">
          <cell r="B42">
            <v>46079</v>
          </cell>
          <cell r="C42">
            <v>18</v>
          </cell>
          <cell r="D42" t="str">
            <v>CARIB AMBER</v>
          </cell>
        </row>
        <row r="43">
          <cell r="B43">
            <v>46080</v>
          </cell>
          <cell r="C43">
            <v>19</v>
          </cell>
          <cell r="D43" t="str">
            <v>CARIB AMBER</v>
          </cell>
        </row>
        <row r="44">
          <cell r="B44">
            <v>46080</v>
          </cell>
          <cell r="C44">
            <v>19</v>
          </cell>
          <cell r="D44" t="str">
            <v>STAR MALT</v>
          </cell>
        </row>
        <row r="45">
          <cell r="B45">
            <v>46080</v>
          </cell>
          <cell r="D45" t="str">
            <v>CARIB AMBER</v>
          </cell>
        </row>
        <row r="46">
          <cell r="B46">
            <v>46081</v>
          </cell>
          <cell r="D46" t="str">
            <v>STAR MALT</v>
          </cell>
        </row>
        <row r="47">
          <cell r="B47">
            <v>46081</v>
          </cell>
          <cell r="D47" t="str">
            <v>CARIB AMBER</v>
          </cell>
        </row>
      </sheetData>
      <sheetData sheetId="2">
        <row r="8">
          <cell r="B8">
            <v>46083</v>
          </cell>
          <cell r="C8">
            <v>1</v>
          </cell>
          <cell r="D8" t="str">
            <v>CARIB AMBER</v>
          </cell>
        </row>
        <row r="9">
          <cell r="B9">
            <v>46083</v>
          </cell>
          <cell r="C9">
            <v>1</v>
          </cell>
          <cell r="D9" t="str">
            <v>STAG</v>
          </cell>
        </row>
        <row r="10">
          <cell r="B10">
            <v>46084</v>
          </cell>
          <cell r="C10">
            <v>2</v>
          </cell>
          <cell r="D10" t="str">
            <v>STAG</v>
          </cell>
        </row>
        <row r="11">
          <cell r="B11">
            <v>46085</v>
          </cell>
          <cell r="C11">
            <v>3</v>
          </cell>
          <cell r="D11" t="str">
            <v>STAG</v>
          </cell>
        </row>
        <row r="12">
          <cell r="B12">
            <v>46085</v>
          </cell>
          <cell r="C12">
            <v>3</v>
          </cell>
          <cell r="D12" t="str">
            <v>CARIB AMBER</v>
          </cell>
        </row>
        <row r="13">
          <cell r="B13">
            <v>46086</v>
          </cell>
          <cell r="C13">
            <v>4</v>
          </cell>
          <cell r="D13" t="str">
            <v>CARIB AMBER</v>
          </cell>
        </row>
        <row r="14">
          <cell r="B14">
            <v>46086</v>
          </cell>
          <cell r="C14">
            <v>4</v>
          </cell>
          <cell r="D14" t="str">
            <v>VITA MALT CLASSIC</v>
          </cell>
        </row>
        <row r="15">
          <cell r="B15">
            <v>46087</v>
          </cell>
          <cell r="C15">
            <v>5</v>
          </cell>
          <cell r="D15" t="str">
            <v>VITA MALT CLASSIC</v>
          </cell>
        </row>
        <row r="16">
          <cell r="B16">
            <v>46087</v>
          </cell>
          <cell r="C16">
            <v>5</v>
          </cell>
          <cell r="D16" t="str">
            <v>VITA MALT GINGER</v>
          </cell>
        </row>
        <row r="17">
          <cell r="B17">
            <v>46087</v>
          </cell>
          <cell r="C17">
            <v>6</v>
          </cell>
          <cell r="D17" t="str">
            <v>GUINNESS</v>
          </cell>
        </row>
        <row r="18">
          <cell r="B18">
            <v>46089</v>
          </cell>
          <cell r="C18">
            <v>7</v>
          </cell>
          <cell r="D18" t="str">
            <v>CARIB AMBER</v>
          </cell>
        </row>
        <row r="19">
          <cell r="B19">
            <v>46090</v>
          </cell>
          <cell r="C19">
            <v>8</v>
          </cell>
          <cell r="D19" t="str">
            <v>CARIB AMBER</v>
          </cell>
        </row>
        <row r="20">
          <cell r="B20">
            <v>46091</v>
          </cell>
          <cell r="C20">
            <v>9</v>
          </cell>
          <cell r="D20" t="str">
            <v>CARIB AMBER</v>
          </cell>
        </row>
        <row r="21">
          <cell r="B21">
            <v>46091</v>
          </cell>
          <cell r="C21">
            <v>9</v>
          </cell>
          <cell r="D21" t="str">
            <v>CARIBE PERSSECO (LOCAL )</v>
          </cell>
        </row>
        <row r="22">
          <cell r="B22">
            <v>46092</v>
          </cell>
          <cell r="C22">
            <v>10</v>
          </cell>
          <cell r="D22" t="str">
            <v>CARIBE PERSSECO (LOCAL )</v>
          </cell>
        </row>
        <row r="23">
          <cell r="B23">
            <v>46092</v>
          </cell>
          <cell r="C23">
            <v>10</v>
          </cell>
          <cell r="D23" t="str">
            <v>CARIBE ROSE (LOCAL)</v>
          </cell>
        </row>
        <row r="24">
          <cell r="B24">
            <v>46092</v>
          </cell>
          <cell r="C24">
            <v>10</v>
          </cell>
          <cell r="D24" t="str">
            <v>STAG</v>
          </cell>
        </row>
        <row r="25">
          <cell r="B25">
            <v>46093</v>
          </cell>
          <cell r="C25">
            <v>11</v>
          </cell>
          <cell r="D25" t="str">
            <v>STAG</v>
          </cell>
        </row>
        <row r="26">
          <cell r="B26">
            <v>46093</v>
          </cell>
          <cell r="C26">
            <v>11</v>
          </cell>
          <cell r="D26" t="str">
            <v>STAR MALT</v>
          </cell>
        </row>
        <row r="27">
          <cell r="B27">
            <v>46094</v>
          </cell>
          <cell r="C27">
            <v>12</v>
          </cell>
          <cell r="D27" t="str">
            <v>STAR MALT</v>
          </cell>
        </row>
        <row r="28">
          <cell r="B28">
            <v>46094</v>
          </cell>
          <cell r="C28">
            <v>12</v>
          </cell>
          <cell r="D28" t="str">
            <v>GUINNESS</v>
          </cell>
        </row>
        <row r="29">
          <cell r="B29">
            <v>46097</v>
          </cell>
          <cell r="C29">
            <v>13</v>
          </cell>
          <cell r="D29" t="str">
            <v>GUINNESS</v>
          </cell>
        </row>
        <row r="30">
          <cell r="B30">
            <v>46098</v>
          </cell>
          <cell r="D30" t="str">
            <v>WASHER BREAKDOWN</v>
          </cell>
        </row>
        <row r="31">
          <cell r="B31">
            <v>46099</v>
          </cell>
          <cell r="C31">
            <v>14</v>
          </cell>
          <cell r="D31" t="str">
            <v>GUINNESS</v>
          </cell>
        </row>
        <row r="32">
          <cell r="B32">
            <v>46099</v>
          </cell>
          <cell r="C32">
            <v>14</v>
          </cell>
          <cell r="D32" t="str">
            <v>CARIB AMBER</v>
          </cell>
        </row>
        <row r="33">
          <cell r="B33">
            <v>46100</v>
          </cell>
          <cell r="C33">
            <v>15</v>
          </cell>
          <cell r="D33" t="str">
            <v>CARIB AMBER</v>
          </cell>
        </row>
        <row r="34">
          <cell r="B34">
            <v>46100</v>
          </cell>
          <cell r="C34">
            <v>15</v>
          </cell>
          <cell r="D34" t="str">
            <v>CARIB FLINT (LOC)</v>
          </cell>
        </row>
        <row r="35">
          <cell r="B35">
            <v>46100</v>
          </cell>
          <cell r="C35">
            <v>15</v>
          </cell>
          <cell r="D35" t="str">
            <v>CARIB AMBER</v>
          </cell>
        </row>
        <row r="36">
          <cell r="B36">
            <v>46101</v>
          </cell>
          <cell r="C36">
            <v>16</v>
          </cell>
          <cell r="D36" t="str">
            <v>CARIB AMBER</v>
          </cell>
        </row>
        <row r="37">
          <cell r="B37">
            <v>46101</v>
          </cell>
          <cell r="C37">
            <v>16</v>
          </cell>
          <cell r="D37" t="str">
            <v>STAG</v>
          </cell>
        </row>
        <row r="38">
          <cell r="B38">
            <v>46104</v>
          </cell>
          <cell r="C38">
            <v>17</v>
          </cell>
          <cell r="D38" t="str">
            <v>STAG</v>
          </cell>
        </row>
        <row r="39">
          <cell r="B39">
            <v>46104</v>
          </cell>
          <cell r="C39">
            <v>17</v>
          </cell>
          <cell r="D39" t="str">
            <v>CARIB AMBER</v>
          </cell>
        </row>
        <row r="40">
          <cell r="B40">
            <v>46104</v>
          </cell>
          <cell r="C40">
            <v>17</v>
          </cell>
          <cell r="D40" t="str">
            <v>CARIB FLINT (LOC)</v>
          </cell>
        </row>
        <row r="41">
          <cell r="B41">
            <v>46105</v>
          </cell>
          <cell r="C41">
            <v>18</v>
          </cell>
        </row>
        <row r="43">
          <cell r="B43">
            <v>46105</v>
          </cell>
          <cell r="C43">
            <v>18</v>
          </cell>
          <cell r="D43" t="str">
            <v>STAR MALT</v>
          </cell>
        </row>
        <row r="44">
          <cell r="B44">
            <v>46106</v>
          </cell>
          <cell r="C44">
            <v>19</v>
          </cell>
          <cell r="D44" t="str">
            <v>STAR MALT</v>
          </cell>
        </row>
        <row r="45">
          <cell r="B45">
            <v>46106</v>
          </cell>
          <cell r="C45">
            <v>19</v>
          </cell>
          <cell r="D45" t="str">
            <v>CLUB SODA</v>
          </cell>
        </row>
        <row r="46">
          <cell r="B46">
            <v>46106</v>
          </cell>
          <cell r="C46">
            <v>19</v>
          </cell>
          <cell r="D46" t="str">
            <v>KOLA CHAMPAGNE (EXPORT)</v>
          </cell>
        </row>
        <row r="47">
          <cell r="B47">
            <v>46106</v>
          </cell>
          <cell r="C47">
            <v>19</v>
          </cell>
          <cell r="D47" t="str">
            <v>CREAM SODA (EXPORT)</v>
          </cell>
        </row>
        <row r="48">
          <cell r="B48">
            <v>46107</v>
          </cell>
          <cell r="D48" t="str">
            <v>BANANA (EXPORT)</v>
          </cell>
        </row>
        <row r="49">
          <cell r="B49">
            <v>46107</v>
          </cell>
          <cell r="D49" t="str">
            <v>GINGER (EXPORT)</v>
          </cell>
        </row>
        <row r="50">
          <cell r="B50">
            <v>46107</v>
          </cell>
          <cell r="D50" t="str">
            <v>GRAPE (EXPORT)</v>
          </cell>
        </row>
        <row r="51">
          <cell r="B51">
            <v>46107</v>
          </cell>
          <cell r="D51" t="str">
            <v>JUICY COOL SORREL (EXPORT)</v>
          </cell>
        </row>
        <row r="52">
          <cell r="B52">
            <v>46108</v>
          </cell>
          <cell r="D52" t="str">
            <v>JUICY COOL SORREL (EXPORT)</v>
          </cell>
        </row>
        <row r="53">
          <cell r="B53">
            <v>46108</v>
          </cell>
          <cell r="D53" t="str">
            <v>STAG</v>
          </cell>
        </row>
        <row r="54">
          <cell r="B54">
            <v>46111</v>
          </cell>
          <cell r="D54" t="str">
            <v>CARIB AMBER</v>
          </cell>
        </row>
        <row r="55">
          <cell r="B55">
            <v>46112</v>
          </cell>
          <cell r="D55" t="str">
            <v>CARIB AMBER</v>
          </cell>
        </row>
        <row r="56">
          <cell r="B56">
            <v>46112</v>
          </cell>
          <cell r="D56" t="str">
            <v>CARIB FLINT (LOC)</v>
          </cell>
        </row>
        <row r="57">
          <cell r="B57">
            <v>46112</v>
          </cell>
          <cell r="D57" t="str">
            <v>CARIB AMBER</v>
          </cell>
        </row>
        <row r="58">
          <cell r="B58">
            <v>46112</v>
          </cell>
          <cell r="D58" t="str">
            <v>VITA MALT (CLASSIC</v>
          </cell>
        </row>
      </sheetData>
      <sheetData sheetId="3">
        <row r="8">
          <cell r="B8">
            <v>46113</v>
          </cell>
          <cell r="C8">
            <v>1</v>
          </cell>
          <cell r="D8" t="str">
            <v>VITAMALT CLASSIC</v>
          </cell>
        </row>
        <row r="9">
          <cell r="B9">
            <v>46113</v>
          </cell>
          <cell r="C9">
            <v>1</v>
          </cell>
          <cell r="D9" t="str">
            <v>VITAMALT GINGER</v>
          </cell>
        </row>
        <row r="10">
          <cell r="B10">
            <v>46113</v>
          </cell>
          <cell r="C10">
            <v>1</v>
          </cell>
          <cell r="D10" t="str">
            <v>PEARSECCO</v>
          </cell>
        </row>
        <row r="11">
          <cell r="B11">
            <v>46114</v>
          </cell>
          <cell r="C11">
            <v>2</v>
          </cell>
          <cell r="D11" t="str">
            <v>PEARSECCO</v>
          </cell>
        </row>
        <row r="12">
          <cell r="B12">
            <v>46114</v>
          </cell>
          <cell r="C12">
            <v>2</v>
          </cell>
          <cell r="D12" t="str">
            <v>CARIB AMBER</v>
          </cell>
        </row>
        <row r="13">
          <cell r="B13">
            <v>46119</v>
          </cell>
          <cell r="C13">
            <v>3</v>
          </cell>
          <cell r="D13" t="str">
            <v>PEARSECCO</v>
          </cell>
        </row>
        <row r="14">
          <cell r="B14">
            <v>46119</v>
          </cell>
          <cell r="C14">
            <v>3</v>
          </cell>
          <cell r="D14" t="str">
            <v>CARIB AMBER</v>
          </cell>
        </row>
        <row r="15">
          <cell r="B15">
            <v>46120</v>
          </cell>
          <cell r="C15">
            <v>4</v>
          </cell>
          <cell r="D15" t="str">
            <v>CARIB AMBER</v>
          </cell>
        </row>
        <row r="16">
          <cell r="B16">
            <v>46120</v>
          </cell>
          <cell r="C16">
            <v>4</v>
          </cell>
          <cell r="D16" t="str">
            <v>STAG</v>
          </cell>
        </row>
        <row r="17">
          <cell r="B17">
            <v>38451</v>
          </cell>
          <cell r="C17">
            <v>5</v>
          </cell>
          <cell r="D17" t="str">
            <v>STAG</v>
          </cell>
        </row>
        <row r="18">
          <cell r="B18">
            <v>46122</v>
          </cell>
          <cell r="C18">
            <v>6</v>
          </cell>
          <cell r="D18" t="str">
            <v>CARIB AMBER</v>
          </cell>
        </row>
        <row r="19">
          <cell r="B19">
            <v>46125</v>
          </cell>
          <cell r="C19">
            <v>7</v>
          </cell>
          <cell r="D19" t="str">
            <v>CARIBE ROSE'</v>
          </cell>
        </row>
        <row r="20">
          <cell r="B20">
            <v>46125</v>
          </cell>
          <cell r="C20">
            <v>7</v>
          </cell>
          <cell r="D20" t="str">
            <v>CARIB AMBER</v>
          </cell>
        </row>
        <row r="21">
          <cell r="B21">
            <v>46126</v>
          </cell>
          <cell r="C21">
            <v>8</v>
          </cell>
          <cell r="D21" t="str">
            <v>CARIB AMBER</v>
          </cell>
        </row>
        <row r="22">
          <cell r="B22">
            <v>46126</v>
          </cell>
          <cell r="C22">
            <v>8</v>
          </cell>
          <cell r="D22" t="str">
            <v xml:space="preserve">SHANDY LIME ( LOC ) </v>
          </cell>
        </row>
        <row r="23">
          <cell r="B23">
            <v>46126</v>
          </cell>
          <cell r="C23">
            <v>8</v>
          </cell>
          <cell r="D23" t="str">
            <v>SHANDY LIME( EXP)</v>
          </cell>
        </row>
        <row r="24">
          <cell r="B24">
            <v>46126</v>
          </cell>
          <cell r="C24">
            <v>8</v>
          </cell>
          <cell r="D24" t="str">
            <v>SHANDY SORREL(EXP</v>
          </cell>
        </row>
        <row r="25">
          <cell r="B25">
            <v>46127</v>
          </cell>
          <cell r="C25">
            <v>9</v>
          </cell>
          <cell r="D25" t="str">
            <v>SHANDY SORREL(EXP</v>
          </cell>
        </row>
        <row r="26">
          <cell r="B26">
            <v>46127</v>
          </cell>
          <cell r="C26">
            <v>9</v>
          </cell>
          <cell r="D26" t="str">
            <v>SHANDY SOREL (LOC)</v>
          </cell>
        </row>
        <row r="27">
          <cell r="B27">
            <v>46127</v>
          </cell>
          <cell r="C27">
            <v>9</v>
          </cell>
          <cell r="D27" t="str">
            <v>STAG</v>
          </cell>
        </row>
        <row r="28">
          <cell r="B28">
            <v>46128</v>
          </cell>
          <cell r="C28">
            <v>10</v>
          </cell>
          <cell r="D28" t="str">
            <v>STAG</v>
          </cell>
        </row>
        <row r="29">
          <cell r="B29">
            <v>46128</v>
          </cell>
          <cell r="C29">
            <v>10</v>
          </cell>
          <cell r="D29" t="str">
            <v>CARIB AMBER</v>
          </cell>
        </row>
        <row r="30">
          <cell r="B30">
            <v>46129</v>
          </cell>
          <cell r="C30">
            <v>11</v>
          </cell>
          <cell r="D30" t="str">
            <v>CARIB AMBER</v>
          </cell>
        </row>
        <row r="31">
          <cell r="B31">
            <v>46129</v>
          </cell>
          <cell r="C31">
            <v>11</v>
          </cell>
          <cell r="D31" t="str">
            <v>GINSENG APPLE</v>
          </cell>
        </row>
        <row r="32">
          <cell r="B32">
            <v>46132</v>
          </cell>
          <cell r="C32">
            <v>12</v>
          </cell>
          <cell r="D32" t="str">
            <v>GINSENG APPLE (medium)</v>
          </cell>
        </row>
        <row r="33">
          <cell r="B33">
            <v>46132</v>
          </cell>
          <cell r="C33">
            <v>12</v>
          </cell>
          <cell r="D33" t="str">
            <v>GINSENG APPLE (SHORT)</v>
          </cell>
        </row>
        <row r="34">
          <cell r="B34">
            <v>46132</v>
          </cell>
          <cell r="C34">
            <v>12</v>
          </cell>
          <cell r="D34" t="str">
            <v>CARIB AMBER</v>
          </cell>
        </row>
        <row r="35">
          <cell r="B35">
            <v>46133</v>
          </cell>
          <cell r="C35">
            <v>13</v>
          </cell>
          <cell r="D35" t="str">
            <v>CARIB AMBER</v>
          </cell>
        </row>
        <row r="36">
          <cell r="B36">
            <v>46133</v>
          </cell>
          <cell r="C36">
            <v>13</v>
          </cell>
          <cell r="D36" t="str">
            <v>STAG</v>
          </cell>
        </row>
        <row r="37">
          <cell r="B37">
            <v>46134</v>
          </cell>
          <cell r="C37">
            <v>14</v>
          </cell>
          <cell r="D37" t="str">
            <v>STAG</v>
          </cell>
        </row>
        <row r="38">
          <cell r="B38">
            <v>46134</v>
          </cell>
          <cell r="C38">
            <v>14</v>
          </cell>
          <cell r="D38" t="str">
            <v>GUINNESS</v>
          </cell>
        </row>
        <row r="39">
          <cell r="B39">
            <v>46135</v>
          </cell>
          <cell r="C39">
            <v>15</v>
          </cell>
          <cell r="D39" t="str">
            <v>CARIB EXPORT (explorer)</v>
          </cell>
        </row>
        <row r="40">
          <cell r="B40">
            <v>46135</v>
          </cell>
          <cell r="C40">
            <v>15</v>
          </cell>
          <cell r="D40" t="str">
            <v>CARIB AMBER (SHORT)</v>
          </cell>
        </row>
        <row r="41">
          <cell r="B41">
            <v>46136</v>
          </cell>
          <cell r="C41">
            <v>16</v>
          </cell>
          <cell r="D41" t="str">
            <v>CARIB AMBER (SHORT)</v>
          </cell>
        </row>
        <row r="42">
          <cell r="B42">
            <v>46136</v>
          </cell>
          <cell r="C42">
            <v>16</v>
          </cell>
          <cell r="D42" t="str">
            <v>CARIB AMBER</v>
          </cell>
        </row>
        <row r="43">
          <cell r="B43">
            <v>46139</v>
          </cell>
          <cell r="C43">
            <v>17</v>
          </cell>
          <cell r="D43" t="str">
            <v xml:space="preserve">STAR MALT </v>
          </cell>
        </row>
        <row r="44">
          <cell r="B44">
            <v>46140</v>
          </cell>
          <cell r="C44">
            <v>18</v>
          </cell>
          <cell r="D44" t="str">
            <v>CARIB</v>
          </cell>
        </row>
        <row r="45">
          <cell r="B45">
            <v>46141</v>
          </cell>
          <cell r="C45">
            <v>19</v>
          </cell>
          <cell r="D45" t="str">
            <v>CARIB AMBER</v>
          </cell>
        </row>
        <row r="46">
          <cell r="B46">
            <v>46141</v>
          </cell>
          <cell r="C46">
            <v>19</v>
          </cell>
          <cell r="D46" t="str">
            <v>STAG</v>
          </cell>
        </row>
        <row r="47">
          <cell r="B47">
            <v>46142</v>
          </cell>
          <cell r="C47">
            <v>20</v>
          </cell>
          <cell r="D47" t="str">
            <v>STAG</v>
          </cell>
        </row>
        <row r="48">
          <cell r="B48">
            <v>46142</v>
          </cell>
          <cell r="C48">
            <v>21</v>
          </cell>
          <cell r="D48" t="str">
            <v>GINSENG ORIGINAL</v>
          </cell>
        </row>
      </sheetData>
      <sheetData sheetId="4">
        <row r="8">
          <cell r="B8">
            <v>46146</v>
          </cell>
          <cell r="C8">
            <v>1</v>
          </cell>
          <cell r="D8" t="str">
            <v>GINSENG ORIGINAL</v>
          </cell>
        </row>
        <row r="9">
          <cell r="B9">
            <v>46146</v>
          </cell>
          <cell r="C9">
            <v>1</v>
          </cell>
          <cell r="D9" t="str">
            <v xml:space="preserve">VITA MALT ( CLASSIC ) </v>
          </cell>
        </row>
        <row r="10">
          <cell r="B10">
            <v>46147</v>
          </cell>
          <cell r="C10">
            <v>2</v>
          </cell>
          <cell r="D10" t="str">
            <v>CARIB FLINT (LOCAL)</v>
          </cell>
        </row>
        <row r="11">
          <cell r="B11">
            <v>46147</v>
          </cell>
          <cell r="C11">
            <v>2</v>
          </cell>
          <cell r="D11" t="str">
            <v>CARIB AMBER</v>
          </cell>
        </row>
        <row r="12">
          <cell r="B12">
            <v>46148</v>
          </cell>
          <cell r="C12">
            <v>3</v>
          </cell>
          <cell r="D12" t="str">
            <v>CARIB AMBER</v>
          </cell>
        </row>
        <row r="13">
          <cell r="B13">
            <v>46149</v>
          </cell>
          <cell r="C13">
            <v>4</v>
          </cell>
          <cell r="D13" t="str">
            <v>CARIB AMBER</v>
          </cell>
        </row>
        <row r="14">
          <cell r="B14">
            <v>46149</v>
          </cell>
          <cell r="C14">
            <v>4</v>
          </cell>
          <cell r="D14" t="str">
            <v>TING ORIGINAL</v>
          </cell>
        </row>
        <row r="15">
          <cell r="B15">
            <v>46149</v>
          </cell>
          <cell r="C15">
            <v>4</v>
          </cell>
          <cell r="D15" t="str">
            <v>STAG</v>
          </cell>
        </row>
        <row r="16">
          <cell r="B16">
            <v>46150</v>
          </cell>
          <cell r="D16" t="str">
            <v>STAG</v>
          </cell>
        </row>
        <row r="17">
          <cell r="B17">
            <v>46150</v>
          </cell>
          <cell r="C17">
            <v>5</v>
          </cell>
          <cell r="D17" t="str">
            <v>GUINNESS</v>
          </cell>
        </row>
        <row r="18">
          <cell r="B18">
            <v>46151</v>
          </cell>
          <cell r="C18">
            <v>6</v>
          </cell>
          <cell r="D18" t="str">
            <v>GUINNESS</v>
          </cell>
        </row>
        <row r="19">
          <cell r="B19">
            <v>46153</v>
          </cell>
          <cell r="C19">
            <v>7</v>
          </cell>
          <cell r="D19" t="str">
            <v>CARIB AMBER</v>
          </cell>
        </row>
        <row r="20">
          <cell r="B20">
            <v>46154</v>
          </cell>
          <cell r="C20">
            <v>8</v>
          </cell>
          <cell r="D20" t="str">
            <v>CARIB AMBER</v>
          </cell>
        </row>
        <row r="21">
          <cell r="B21">
            <v>46154</v>
          </cell>
          <cell r="C21">
            <v>8</v>
          </cell>
          <cell r="D21" t="str">
            <v>STAG</v>
          </cell>
        </row>
        <row r="22">
          <cell r="B22">
            <v>46155</v>
          </cell>
          <cell r="C22">
            <v>9</v>
          </cell>
          <cell r="D22" t="str">
            <v>STAG</v>
          </cell>
        </row>
        <row r="23">
          <cell r="C23">
            <v>9</v>
          </cell>
        </row>
        <row r="24">
          <cell r="C24">
            <v>10</v>
          </cell>
        </row>
        <row r="25">
          <cell r="B25">
            <v>46156</v>
          </cell>
          <cell r="C25">
            <v>10</v>
          </cell>
          <cell r="D25" t="str">
            <v>STAG</v>
          </cell>
        </row>
        <row r="26">
          <cell r="B26">
            <v>46156</v>
          </cell>
          <cell r="C26">
            <v>10</v>
          </cell>
          <cell r="D26" t="str">
            <v>SHANDY SORREL (LOC)</v>
          </cell>
        </row>
        <row r="27">
          <cell r="B27">
            <v>46156</v>
          </cell>
          <cell r="C27">
            <v>10</v>
          </cell>
          <cell r="D27" t="str">
            <v>MACKESON</v>
          </cell>
        </row>
        <row r="28">
          <cell r="B28">
            <v>46157</v>
          </cell>
          <cell r="C28">
            <v>11</v>
          </cell>
          <cell r="D28" t="str">
            <v xml:space="preserve">VITA MALT ( CLASSIC ) </v>
          </cell>
        </row>
        <row r="29">
          <cell r="B29">
            <v>46157</v>
          </cell>
          <cell r="C29">
            <v>11</v>
          </cell>
          <cell r="D29" t="str">
            <v xml:space="preserve">VITA MALT ( GINGER ) </v>
          </cell>
        </row>
        <row r="30">
          <cell r="B30">
            <v>46158</v>
          </cell>
          <cell r="C30">
            <v>12</v>
          </cell>
          <cell r="D30" t="str">
            <v>CARIB AMBER</v>
          </cell>
        </row>
        <row r="31">
          <cell r="B31">
            <v>46160</v>
          </cell>
          <cell r="C31">
            <v>13</v>
          </cell>
          <cell r="D31" t="str">
            <v>STAR MALT</v>
          </cell>
        </row>
        <row r="32">
          <cell r="B32">
            <v>46160</v>
          </cell>
          <cell r="C32">
            <v>13</v>
          </cell>
          <cell r="D32" t="str">
            <v>CARIB AMBER</v>
          </cell>
        </row>
        <row r="33">
          <cell r="B33">
            <v>46161</v>
          </cell>
          <cell r="C33">
            <v>14</v>
          </cell>
          <cell r="D33" t="str">
            <v>CARIB AMBER</v>
          </cell>
        </row>
        <row r="34">
          <cell r="B34">
            <v>46161</v>
          </cell>
          <cell r="C34">
            <v>14</v>
          </cell>
          <cell r="D34" t="str">
            <v>CARIB FLINT (LOCAL)</v>
          </cell>
        </row>
        <row r="35">
          <cell r="B35">
            <v>46161</v>
          </cell>
          <cell r="C35">
            <v>14</v>
          </cell>
          <cell r="D35" t="str">
            <v>STAG</v>
          </cell>
        </row>
        <row r="36">
          <cell r="B36">
            <v>46162</v>
          </cell>
          <cell r="C36">
            <v>15</v>
          </cell>
          <cell r="D36" t="str">
            <v>STAG</v>
          </cell>
        </row>
        <row r="37">
          <cell r="B37">
            <v>46162</v>
          </cell>
          <cell r="C37">
            <v>15</v>
          </cell>
          <cell r="D37" t="str">
            <v>CARIB AMBER</v>
          </cell>
        </row>
        <row r="38">
          <cell r="B38">
            <v>46163</v>
          </cell>
          <cell r="C38">
            <v>16</v>
          </cell>
          <cell r="D38" t="str">
            <v>CARIB AMBER</v>
          </cell>
        </row>
        <row r="39">
          <cell r="B39">
            <v>46163</v>
          </cell>
          <cell r="C39">
            <v>16</v>
          </cell>
          <cell r="D39" t="str">
            <v>STAG</v>
          </cell>
        </row>
        <row r="40">
          <cell r="B40">
            <v>46163</v>
          </cell>
          <cell r="C40">
            <v>16</v>
          </cell>
          <cell r="D40" t="str">
            <v>CARIBE PEARSECO</v>
          </cell>
        </row>
        <row r="41">
          <cell r="B41">
            <v>46164</v>
          </cell>
          <cell r="C41">
            <v>17</v>
          </cell>
          <cell r="D41" t="str">
            <v>CARIBE ROSE'</v>
          </cell>
        </row>
        <row r="42">
          <cell r="B42">
            <v>46164</v>
          </cell>
          <cell r="C42">
            <v>17</v>
          </cell>
          <cell r="D42" t="str">
            <v>ORIGINAL TING</v>
          </cell>
        </row>
        <row r="43">
          <cell r="B43">
            <v>46164</v>
          </cell>
          <cell r="C43">
            <v>17</v>
          </cell>
          <cell r="D43" t="str">
            <v>CARIB AMBER</v>
          </cell>
        </row>
        <row r="44">
          <cell r="B44">
            <v>46168</v>
          </cell>
          <cell r="C44">
            <v>18</v>
          </cell>
          <cell r="D44" t="str">
            <v>CARIB AMBER</v>
          </cell>
        </row>
        <row r="45">
          <cell r="B45">
            <v>46169</v>
          </cell>
          <cell r="C45">
            <v>19</v>
          </cell>
          <cell r="D45" t="str">
            <v>CARIB AMBER</v>
          </cell>
        </row>
        <row r="46">
          <cell r="B46">
            <v>46169</v>
          </cell>
          <cell r="C46">
            <v>19</v>
          </cell>
          <cell r="D46" t="str">
            <v>STARMALT</v>
          </cell>
        </row>
      </sheetData>
      <sheetData sheetId="5">
        <row r="8">
          <cell r="B8">
            <v>46192</v>
          </cell>
          <cell r="C8">
            <v>1</v>
          </cell>
          <cell r="D8" t="str">
            <v>STAG</v>
          </cell>
        </row>
        <row r="9">
          <cell r="B9">
            <v>46193</v>
          </cell>
        </row>
        <row r="10">
          <cell r="B10">
            <v>46194</v>
          </cell>
          <cell r="D10" t="str">
            <v>STAR MALT</v>
          </cell>
        </row>
        <row r="11">
          <cell r="B11">
            <v>46195</v>
          </cell>
          <cell r="D11" t="str">
            <v>STAR MALT</v>
          </cell>
        </row>
        <row r="12">
          <cell r="B12">
            <v>46195</v>
          </cell>
          <cell r="D12" t="str">
            <v>CARIB AMBER</v>
          </cell>
        </row>
        <row r="13">
          <cell r="B13">
            <v>46196</v>
          </cell>
          <cell r="D13" t="str">
            <v>CARIB AMBER</v>
          </cell>
        </row>
        <row r="14">
          <cell r="B14">
            <v>46196</v>
          </cell>
          <cell r="D14" t="str">
            <v>STAG</v>
          </cell>
        </row>
        <row r="15">
          <cell r="B15">
            <v>46196</v>
          </cell>
          <cell r="D15" t="str">
            <v>GUINNESS</v>
          </cell>
        </row>
        <row r="16">
          <cell r="B16">
            <v>46197</v>
          </cell>
          <cell r="D16" t="str">
            <v>GUINNESS</v>
          </cell>
        </row>
        <row r="17">
          <cell r="B17">
            <v>46197</v>
          </cell>
          <cell r="D17" t="str">
            <v>CARIB AMBER</v>
          </cell>
        </row>
        <row r="18">
          <cell r="B18">
            <v>46198</v>
          </cell>
          <cell r="D18" t="str">
            <v>CARIB AMBER</v>
          </cell>
        </row>
        <row r="19">
          <cell r="B19">
            <v>46198</v>
          </cell>
          <cell r="D19" t="str">
            <v>STAG</v>
          </cell>
        </row>
        <row r="20">
          <cell r="B20">
            <v>46198</v>
          </cell>
          <cell r="D20" t="str">
            <v>CARIB FLINT</v>
          </cell>
        </row>
        <row r="21">
          <cell r="B21">
            <v>46198</v>
          </cell>
          <cell r="D21" t="str">
            <v>CARIB AMBER</v>
          </cell>
        </row>
        <row r="22">
          <cell r="B22">
            <v>46199</v>
          </cell>
          <cell r="D22" t="str">
            <v>CARIB AMBER</v>
          </cell>
        </row>
        <row r="23">
          <cell r="B23">
            <v>46199</v>
          </cell>
          <cell r="D23" t="str">
            <v>TING</v>
          </cell>
        </row>
        <row r="24">
          <cell r="B24">
            <v>46200</v>
          </cell>
          <cell r="D24" t="str">
            <v>CARIB AMBER</v>
          </cell>
        </row>
        <row r="25">
          <cell r="B25">
            <v>46200</v>
          </cell>
          <cell r="D25" t="str">
            <v>STAG</v>
          </cell>
        </row>
        <row r="26">
          <cell r="B26">
            <v>46202</v>
          </cell>
          <cell r="D26" t="str">
            <v>STAG</v>
          </cell>
        </row>
        <row r="27">
          <cell r="B27">
            <v>46202</v>
          </cell>
          <cell r="D27" t="str">
            <v>TING</v>
          </cell>
        </row>
        <row r="28">
          <cell r="B28">
            <v>46202</v>
          </cell>
          <cell r="D28" t="str">
            <v>GINSENG UP ORIGINAL</v>
          </cell>
        </row>
        <row r="29">
          <cell r="B29">
            <v>46203</v>
          </cell>
          <cell r="D29" t="str">
            <v>STAG</v>
          </cell>
        </row>
        <row r="30">
          <cell r="B30">
            <v>46203</v>
          </cell>
          <cell r="D30" t="str">
            <v>CARIB AMBER</v>
          </cell>
        </row>
      </sheetData>
      <sheetData sheetId="6">
        <row r="8">
          <cell r="B8">
            <v>46204</v>
          </cell>
          <cell r="C8">
            <v>1</v>
          </cell>
          <cell r="D8" t="str">
            <v>CARIB AMBER</v>
          </cell>
        </row>
        <row r="9">
          <cell r="B9">
            <v>46204</v>
          </cell>
          <cell r="C9">
            <v>1</v>
          </cell>
          <cell r="D9" t="str">
            <v>VITA MALT CLASSIC</v>
          </cell>
        </row>
        <row r="10">
          <cell r="B10">
            <v>46205</v>
          </cell>
          <cell r="C10">
            <v>2</v>
          </cell>
          <cell r="D10" t="str">
            <v>VITA MALT CLASSIC</v>
          </cell>
        </row>
        <row r="11">
          <cell r="B11">
            <v>46205</v>
          </cell>
          <cell r="C11">
            <v>2</v>
          </cell>
          <cell r="D11" t="str">
            <v>VITA MALT GINGER</v>
          </cell>
        </row>
        <row r="12">
          <cell r="B12">
            <v>46205</v>
          </cell>
          <cell r="C12">
            <v>2</v>
          </cell>
          <cell r="D12" t="str">
            <v>CARIB AMBER</v>
          </cell>
        </row>
        <row r="13">
          <cell r="B13">
            <v>46206</v>
          </cell>
          <cell r="C13">
            <v>3</v>
          </cell>
          <cell r="D13" t="str">
            <v>CARIB AMBER</v>
          </cell>
        </row>
        <row r="14">
          <cell r="B14">
            <v>46206</v>
          </cell>
          <cell r="C14">
            <v>3</v>
          </cell>
          <cell r="D14" t="str">
            <v>STAG</v>
          </cell>
        </row>
        <row r="15">
          <cell r="B15">
            <v>46209</v>
          </cell>
          <cell r="C15">
            <v>4</v>
          </cell>
          <cell r="D15" t="str">
            <v>STAG</v>
          </cell>
        </row>
        <row r="16">
          <cell r="B16">
            <v>46210</v>
          </cell>
          <cell r="C16">
            <v>5</v>
          </cell>
          <cell r="D16" t="str">
            <v>STAG</v>
          </cell>
        </row>
        <row r="17">
          <cell r="B17">
            <v>46210</v>
          </cell>
          <cell r="C17">
            <v>5</v>
          </cell>
          <cell r="D17" t="str">
            <v>CARIB AMBER</v>
          </cell>
        </row>
        <row r="18">
          <cell r="B18">
            <v>46211</v>
          </cell>
          <cell r="C18">
            <v>6</v>
          </cell>
          <cell r="D18" t="str">
            <v>CARIB AMBER</v>
          </cell>
        </row>
        <row r="19">
          <cell r="B19">
            <v>46211</v>
          </cell>
          <cell r="C19">
            <v>8</v>
          </cell>
          <cell r="D19" t="str">
            <v>SHANDY LIME LOCAL</v>
          </cell>
        </row>
        <row r="20">
          <cell r="B20">
            <v>46211</v>
          </cell>
          <cell r="C20">
            <v>8</v>
          </cell>
          <cell r="D20" t="str">
            <v>SHANDY LIME EXPORT</v>
          </cell>
        </row>
        <row r="21">
          <cell r="B21">
            <v>46211</v>
          </cell>
          <cell r="C21">
            <v>8</v>
          </cell>
          <cell r="D21" t="str">
            <v>SHANDY GINGER EXPORT</v>
          </cell>
        </row>
        <row r="22">
          <cell r="B22">
            <v>46211</v>
          </cell>
          <cell r="C22">
            <v>8</v>
          </cell>
          <cell r="D22" t="str">
            <v>SHANDY GINGER LOCAL</v>
          </cell>
        </row>
        <row r="23">
          <cell r="B23">
            <v>46212</v>
          </cell>
          <cell r="C23">
            <v>9</v>
          </cell>
          <cell r="D23" t="str">
            <v>SHANDY GINGER LOCAL</v>
          </cell>
        </row>
        <row r="24">
          <cell r="B24">
            <v>46212</v>
          </cell>
          <cell r="C24">
            <v>9</v>
          </cell>
          <cell r="D24" t="str">
            <v>SHANDY SORREL EXPORT</v>
          </cell>
        </row>
        <row r="25">
          <cell r="B25">
            <v>46212</v>
          </cell>
          <cell r="C25">
            <v>9</v>
          </cell>
          <cell r="D25" t="str">
            <v>SHANDY SORREL LOCAL</v>
          </cell>
        </row>
        <row r="26">
          <cell r="B26">
            <v>46213</v>
          </cell>
          <cell r="C26">
            <v>10</v>
          </cell>
          <cell r="D26" t="str">
            <v>MACKESON</v>
          </cell>
        </row>
        <row r="27">
          <cell r="B27">
            <v>46213</v>
          </cell>
          <cell r="C27">
            <v>10</v>
          </cell>
          <cell r="D27" t="str">
            <v>GUINNESS</v>
          </cell>
        </row>
        <row r="28">
          <cell r="B28">
            <v>46216</v>
          </cell>
          <cell r="C28">
            <v>11</v>
          </cell>
          <cell r="D28" t="str">
            <v>GUINNESS</v>
          </cell>
        </row>
        <row r="29">
          <cell r="B29">
            <v>46216</v>
          </cell>
          <cell r="C29">
            <v>11</v>
          </cell>
          <cell r="D29" t="str">
            <v>STAG</v>
          </cell>
        </row>
        <row r="30">
          <cell r="B30">
            <v>46217</v>
          </cell>
          <cell r="C30">
            <v>12</v>
          </cell>
          <cell r="D30" t="str">
            <v>STAG</v>
          </cell>
        </row>
        <row r="31">
          <cell r="B31">
            <v>46218</v>
          </cell>
          <cell r="C31">
            <v>13</v>
          </cell>
          <cell r="D31" t="str">
            <v xml:space="preserve">CARIB FLINT EXPORT </v>
          </cell>
        </row>
        <row r="32">
          <cell r="B32">
            <v>46218</v>
          </cell>
          <cell r="C32">
            <v>13</v>
          </cell>
          <cell r="D32" t="str">
            <v>STAG</v>
          </cell>
        </row>
        <row r="33">
          <cell r="B33">
            <v>46219</v>
          </cell>
          <cell r="C33">
            <v>14</v>
          </cell>
          <cell r="D33" t="str">
            <v>STAG</v>
          </cell>
        </row>
        <row r="34">
          <cell r="B34">
            <v>46219</v>
          </cell>
          <cell r="C34">
            <v>14</v>
          </cell>
          <cell r="D34" t="str">
            <v xml:space="preserve">CARIB FLINT EXPORT </v>
          </cell>
        </row>
        <row r="35">
          <cell r="B35">
            <v>46219</v>
          </cell>
          <cell r="C35">
            <v>14</v>
          </cell>
          <cell r="D35" t="str">
            <v>CARIB FLINT LOCAL</v>
          </cell>
        </row>
        <row r="36">
          <cell r="B36">
            <v>46219</v>
          </cell>
          <cell r="C36">
            <v>14</v>
          </cell>
          <cell r="D36" t="str">
            <v>CARIB AMBER</v>
          </cell>
        </row>
        <row r="37">
          <cell r="B37">
            <v>46220</v>
          </cell>
          <cell r="C37">
            <v>15</v>
          </cell>
          <cell r="D37" t="str">
            <v xml:space="preserve">CARIB AMBER </v>
          </cell>
        </row>
        <row r="38">
          <cell r="B38">
            <v>46220</v>
          </cell>
          <cell r="C38">
            <v>15</v>
          </cell>
          <cell r="D38" t="str">
            <v>PINK TING</v>
          </cell>
        </row>
        <row r="39">
          <cell r="B39">
            <v>46223</v>
          </cell>
          <cell r="C39">
            <v>16</v>
          </cell>
          <cell r="D39" t="str">
            <v>STAR MALT</v>
          </cell>
        </row>
        <row r="40">
          <cell r="B40">
            <v>46223</v>
          </cell>
          <cell r="C40">
            <v>16</v>
          </cell>
          <cell r="D40" t="str">
            <v>PINK TING</v>
          </cell>
        </row>
        <row r="41">
          <cell r="B41">
            <v>46224</v>
          </cell>
          <cell r="C41">
            <v>17</v>
          </cell>
          <cell r="D41" t="str">
            <v>PINK TING</v>
          </cell>
        </row>
        <row r="42">
          <cell r="B42">
            <v>46224</v>
          </cell>
          <cell r="C42">
            <v>17</v>
          </cell>
          <cell r="D42" t="str">
            <v>CARIB AMBER</v>
          </cell>
        </row>
        <row r="43">
          <cell r="B43">
            <v>46224</v>
          </cell>
          <cell r="C43">
            <v>17</v>
          </cell>
          <cell r="D43" t="str">
            <v>PINK TING</v>
          </cell>
        </row>
        <row r="44">
          <cell r="B44">
            <v>46225</v>
          </cell>
          <cell r="C44">
            <v>18</v>
          </cell>
          <cell r="D44" t="str">
            <v>PINK TING</v>
          </cell>
        </row>
        <row r="45">
          <cell r="B45">
            <v>46225</v>
          </cell>
          <cell r="C45">
            <v>18</v>
          </cell>
          <cell r="D45" t="str">
            <v>PORNSTAR MARTINI (TRIAL)</v>
          </cell>
        </row>
        <row r="46">
          <cell r="B46">
            <v>46226</v>
          </cell>
          <cell r="C46">
            <v>19</v>
          </cell>
          <cell r="D46" t="str">
            <v>PORNSTAR MARTINI (TRIAL)</v>
          </cell>
        </row>
        <row r="47">
          <cell r="B47">
            <v>46226</v>
          </cell>
          <cell r="C47">
            <v>19</v>
          </cell>
          <cell r="D47" t="str">
            <v>DARK BERRY ROYALE (TRAIL)</v>
          </cell>
        </row>
        <row r="48">
          <cell r="B48">
            <v>46227</v>
          </cell>
          <cell r="C48">
            <v>20</v>
          </cell>
          <cell r="D48" t="str">
            <v>DARK BERRY ROYALE (TRAIL)</v>
          </cell>
        </row>
        <row r="49">
          <cell r="B49">
            <v>46227</v>
          </cell>
          <cell r="C49">
            <v>20</v>
          </cell>
          <cell r="D49" t="str">
            <v>CARIB AMBER</v>
          </cell>
        </row>
        <row r="50">
          <cell r="B50">
            <v>46230</v>
          </cell>
          <cell r="C50">
            <v>21</v>
          </cell>
          <cell r="D50" t="str">
            <v>CARIB AMBER</v>
          </cell>
        </row>
        <row r="51">
          <cell r="B51">
            <v>46231</v>
          </cell>
          <cell r="C51">
            <v>22</v>
          </cell>
          <cell r="D51" t="str">
            <v>CARIB AMBER</v>
          </cell>
        </row>
        <row r="52">
          <cell r="B52">
            <v>46231</v>
          </cell>
          <cell r="C52">
            <v>22</v>
          </cell>
          <cell r="D52" t="str">
            <v>CARIB FLINT (EXPORT)</v>
          </cell>
        </row>
        <row r="53">
          <cell r="B53">
            <v>46232</v>
          </cell>
          <cell r="C53">
            <v>23</v>
          </cell>
          <cell r="D53" t="str">
            <v>CARIB FLINT (EXPORT)</v>
          </cell>
        </row>
        <row r="54">
          <cell r="B54">
            <v>46232</v>
          </cell>
          <cell r="C54">
            <v>23</v>
          </cell>
          <cell r="D54" t="str">
            <v>CARIB FLINT (LOCAL)</v>
          </cell>
        </row>
        <row r="55">
          <cell r="B55">
            <v>46232</v>
          </cell>
          <cell r="C55">
            <v>23</v>
          </cell>
          <cell r="D55" t="str">
            <v>VITA MALT CLASSIC</v>
          </cell>
        </row>
        <row r="56">
          <cell r="B56">
            <v>46233</v>
          </cell>
          <cell r="C56">
            <v>24</v>
          </cell>
          <cell r="D56" t="str">
            <v>VITA MALT CLASSIC</v>
          </cell>
        </row>
        <row r="57">
          <cell r="B57">
            <v>46233</v>
          </cell>
          <cell r="C57">
            <v>24</v>
          </cell>
          <cell r="D57" t="str">
            <v>STAG</v>
          </cell>
        </row>
        <row r="58">
          <cell r="B58">
            <v>46233</v>
          </cell>
          <cell r="C58">
            <v>24</v>
          </cell>
          <cell r="D58" t="str">
            <v xml:space="preserve">CARIB AMBER </v>
          </cell>
        </row>
        <row r="59">
          <cell r="B59">
            <v>46234</v>
          </cell>
          <cell r="C59">
            <v>25</v>
          </cell>
          <cell r="D59" t="str">
            <v>CARIB AMBER</v>
          </cell>
        </row>
      </sheetData>
      <sheetData sheetId="7">
        <row r="8">
          <cell r="B8">
            <v>46237</v>
          </cell>
          <cell r="C8">
            <v>1</v>
          </cell>
          <cell r="D8" t="str">
            <v>GUINNESS</v>
          </cell>
        </row>
        <row r="9">
          <cell r="B9">
            <v>46238</v>
          </cell>
          <cell r="C9">
            <v>2</v>
          </cell>
          <cell r="D9" t="str">
            <v>CARIB AMBER</v>
          </cell>
        </row>
        <row r="10">
          <cell r="B10">
            <v>46239</v>
          </cell>
          <cell r="C10">
            <v>3</v>
          </cell>
          <cell r="D10" t="str">
            <v>CARIB AMBER</v>
          </cell>
        </row>
        <row r="11">
          <cell r="B11">
            <v>46239</v>
          </cell>
          <cell r="C11">
            <v>3</v>
          </cell>
          <cell r="D11" t="str">
            <v>STAG</v>
          </cell>
        </row>
        <row r="12">
          <cell r="B12">
            <v>46239</v>
          </cell>
          <cell r="C12">
            <v>3</v>
          </cell>
          <cell r="D12" t="str">
            <v xml:space="preserve">CARIB AMBER </v>
          </cell>
        </row>
        <row r="13">
          <cell r="B13">
            <v>46240</v>
          </cell>
          <cell r="C13">
            <v>4</v>
          </cell>
          <cell r="D13" t="str">
            <v xml:space="preserve">CARIB AMBER </v>
          </cell>
        </row>
        <row r="14">
          <cell r="B14">
            <v>46241</v>
          </cell>
          <cell r="C14">
            <v>5</v>
          </cell>
          <cell r="D14" t="str">
            <v xml:space="preserve">STAR MALT </v>
          </cell>
        </row>
        <row r="15">
          <cell r="B15">
            <v>46241</v>
          </cell>
          <cell r="C15">
            <v>5</v>
          </cell>
          <cell r="D15" t="str">
            <v>CARIB FLINT LOCAL</v>
          </cell>
        </row>
        <row r="16">
          <cell r="B16">
            <v>46246</v>
          </cell>
          <cell r="C16">
            <v>6</v>
          </cell>
          <cell r="D16" t="str">
            <v>CARIB FLINT EXPORT</v>
          </cell>
        </row>
        <row r="17">
          <cell r="B17">
            <v>46247</v>
          </cell>
          <cell r="C17">
            <v>7</v>
          </cell>
          <cell r="D17" t="str">
            <v>CARIB FLINT LOCAL</v>
          </cell>
        </row>
        <row r="18">
          <cell r="B18">
            <v>46247</v>
          </cell>
          <cell r="C18">
            <v>7</v>
          </cell>
          <cell r="D18" t="str">
            <v>CARIB AMBER</v>
          </cell>
        </row>
        <row r="19">
          <cell r="B19">
            <v>46247</v>
          </cell>
          <cell r="C19">
            <v>7</v>
          </cell>
          <cell r="D19" t="str">
            <v>STAG</v>
          </cell>
        </row>
        <row r="20">
          <cell r="B20">
            <v>46248</v>
          </cell>
          <cell r="C20">
            <v>8</v>
          </cell>
          <cell r="D20" t="str">
            <v>STAG</v>
          </cell>
        </row>
        <row r="21">
          <cell r="B21">
            <v>46248</v>
          </cell>
          <cell r="C21">
            <v>8</v>
          </cell>
          <cell r="D21" t="str">
            <v>CARIB AMBER</v>
          </cell>
        </row>
        <row r="22">
          <cell r="B22">
            <v>46251</v>
          </cell>
          <cell r="C22">
            <v>9</v>
          </cell>
          <cell r="D22" t="str">
            <v>CARIB EXPORT</v>
          </cell>
        </row>
        <row r="23">
          <cell r="B23">
            <v>46251</v>
          </cell>
          <cell r="C23">
            <v>9</v>
          </cell>
          <cell r="D23" t="str">
            <v>CARIB FLINT LOCAL</v>
          </cell>
        </row>
        <row r="24">
          <cell r="B24">
            <v>46252</v>
          </cell>
          <cell r="C24">
            <v>10</v>
          </cell>
          <cell r="D24" t="str">
            <v>CARIB FLINT LOCAL</v>
          </cell>
        </row>
        <row r="25">
          <cell r="B25">
            <v>46252</v>
          </cell>
          <cell r="C25">
            <v>10</v>
          </cell>
          <cell r="D25" t="str">
            <v>CARIB AMBER</v>
          </cell>
        </row>
        <row r="26">
          <cell r="B26">
            <v>46253</v>
          </cell>
          <cell r="C26">
            <v>11</v>
          </cell>
          <cell r="D26" t="str">
            <v>CARIB AMBER</v>
          </cell>
        </row>
        <row r="27">
          <cell r="B27">
            <v>46253</v>
          </cell>
          <cell r="C27">
            <v>11</v>
          </cell>
          <cell r="D27" t="str">
            <v>TING ORIGINAL</v>
          </cell>
        </row>
        <row r="28">
          <cell r="B28">
            <v>46254</v>
          </cell>
          <cell r="C28">
            <v>12</v>
          </cell>
          <cell r="D28" t="str">
            <v>TING ORIGINAL</v>
          </cell>
        </row>
        <row r="29">
          <cell r="B29">
            <v>46254</v>
          </cell>
          <cell r="C29">
            <v>12</v>
          </cell>
          <cell r="D29" t="str">
            <v>STAG</v>
          </cell>
        </row>
        <row r="30">
          <cell r="B30">
            <v>46255</v>
          </cell>
          <cell r="D30" t="str">
            <v>NO BOTTLING</v>
          </cell>
        </row>
        <row r="31">
          <cell r="B31">
            <v>46258</v>
          </cell>
          <cell r="C31">
            <v>13</v>
          </cell>
          <cell r="D31" t="str">
            <v xml:space="preserve">CARIB AMBER </v>
          </cell>
        </row>
        <row r="32">
          <cell r="B32">
            <v>46258</v>
          </cell>
          <cell r="C32">
            <v>13</v>
          </cell>
          <cell r="D32" t="str">
            <v xml:space="preserve">STAR MALT </v>
          </cell>
        </row>
        <row r="33">
          <cell r="B33">
            <v>46259</v>
          </cell>
          <cell r="C33">
            <v>14</v>
          </cell>
          <cell r="D33" t="str">
            <v xml:space="preserve">STAR MALT </v>
          </cell>
        </row>
        <row r="34">
          <cell r="B34">
            <v>46259</v>
          </cell>
          <cell r="C34">
            <v>14</v>
          </cell>
          <cell r="D34" t="str">
            <v>GUINNESS</v>
          </cell>
        </row>
        <row r="35">
          <cell r="B35">
            <v>46260</v>
          </cell>
          <cell r="C35">
            <v>15</v>
          </cell>
          <cell r="D35" t="str">
            <v>GUINNESS</v>
          </cell>
        </row>
        <row r="36">
          <cell r="B36">
            <v>46260</v>
          </cell>
          <cell r="C36">
            <v>15</v>
          </cell>
          <cell r="D36" t="str">
            <v>CARIB AMBER</v>
          </cell>
        </row>
        <row r="37">
          <cell r="B37">
            <v>46261</v>
          </cell>
          <cell r="C37">
            <v>16</v>
          </cell>
          <cell r="D37" t="str">
            <v>CARIB AMBER</v>
          </cell>
        </row>
        <row r="38">
          <cell r="B38">
            <v>46261</v>
          </cell>
          <cell r="C38">
            <v>16</v>
          </cell>
          <cell r="D38" t="str">
            <v xml:space="preserve">J. COOL SODA WATER </v>
          </cell>
        </row>
        <row r="39">
          <cell r="B39">
            <v>46261</v>
          </cell>
          <cell r="C39">
            <v>16</v>
          </cell>
          <cell r="D39" t="str">
            <v>J.COOL. KOLA CHMAP</v>
          </cell>
        </row>
        <row r="40">
          <cell r="B40">
            <v>46262</v>
          </cell>
          <cell r="C40">
            <v>17</v>
          </cell>
          <cell r="D40" t="str">
            <v xml:space="preserve">J.COOL. CREAM SODA </v>
          </cell>
        </row>
        <row r="41">
          <cell r="B41">
            <v>46262</v>
          </cell>
          <cell r="C41">
            <v>17</v>
          </cell>
          <cell r="D41" t="str">
            <v>J COOL  BANANA</v>
          </cell>
        </row>
        <row r="42">
          <cell r="B42">
            <v>46262</v>
          </cell>
          <cell r="C42">
            <v>17</v>
          </cell>
          <cell r="D42" t="str">
            <v>J.COO GRAPE</v>
          </cell>
        </row>
        <row r="43">
          <cell r="B43">
            <v>46262</v>
          </cell>
          <cell r="C43">
            <v>17</v>
          </cell>
          <cell r="D43" t="str">
            <v>VITA MALT</v>
          </cell>
        </row>
        <row r="44">
          <cell r="B44">
            <v>46265</v>
          </cell>
          <cell r="C44">
            <v>18</v>
          </cell>
          <cell r="D44" t="str">
            <v xml:space="preserve">VITA MALT </v>
          </cell>
        </row>
      </sheetData>
      <sheetData sheetId="8">
        <row r="8">
          <cell r="B8">
            <v>46266</v>
          </cell>
          <cell r="C8">
            <v>1</v>
          </cell>
          <cell r="D8" t="str">
            <v>STAG</v>
          </cell>
        </row>
        <row r="9">
          <cell r="B9">
            <v>46266</v>
          </cell>
          <cell r="C9">
            <v>1</v>
          </cell>
          <cell r="D9" t="str">
            <v>CARIB EXPORT</v>
          </cell>
        </row>
        <row r="10">
          <cell r="B10">
            <v>46267</v>
          </cell>
          <cell r="C10">
            <v>2</v>
          </cell>
          <cell r="D10" t="str">
            <v>CARIB EXPORT</v>
          </cell>
        </row>
        <row r="11">
          <cell r="B11">
            <v>46267</v>
          </cell>
          <cell r="C11">
            <v>2</v>
          </cell>
          <cell r="D11" t="str">
            <v>CARIB FLINT LOCAL</v>
          </cell>
        </row>
        <row r="12">
          <cell r="B12">
            <v>46267</v>
          </cell>
          <cell r="C12">
            <v>2</v>
          </cell>
          <cell r="D12" t="str">
            <v>CARIB AMBER</v>
          </cell>
        </row>
        <row r="13">
          <cell r="B13">
            <v>46268</v>
          </cell>
          <cell r="C13">
            <v>3</v>
          </cell>
          <cell r="D13" t="str">
            <v>CARIB AMBER</v>
          </cell>
        </row>
        <row r="14">
          <cell r="B14">
            <v>46268</v>
          </cell>
          <cell r="C14">
            <v>3</v>
          </cell>
          <cell r="D14" t="str">
            <v>STAG</v>
          </cell>
        </row>
        <row r="15">
          <cell r="B15">
            <v>46268</v>
          </cell>
          <cell r="C15">
            <v>3</v>
          </cell>
          <cell r="D15" t="str">
            <v>GINSENG UP ORIGINAL</v>
          </cell>
        </row>
        <row r="16">
          <cell r="B16">
            <v>46269</v>
          </cell>
          <cell r="C16">
            <v>4</v>
          </cell>
          <cell r="D16" t="str">
            <v>GINSENG UP ORIGINAL</v>
          </cell>
        </row>
        <row r="17">
          <cell r="B17">
            <v>46273</v>
          </cell>
          <cell r="C17">
            <v>5</v>
          </cell>
          <cell r="D17" t="str">
            <v>CARIB AMBER</v>
          </cell>
        </row>
        <row r="18">
          <cell r="B18">
            <v>46274</v>
          </cell>
          <cell r="C18">
            <v>6</v>
          </cell>
          <cell r="D18" t="str">
            <v>CARIB AMBER</v>
          </cell>
        </row>
        <row r="19">
          <cell r="B19">
            <v>46275</v>
          </cell>
          <cell r="C19">
            <v>7</v>
          </cell>
          <cell r="D19" t="str">
            <v>CARIB AMBER</v>
          </cell>
        </row>
        <row r="20">
          <cell r="B20">
            <v>46276</v>
          </cell>
          <cell r="C20">
            <v>8</v>
          </cell>
          <cell r="D20" t="str">
            <v>CARIB AMBER</v>
          </cell>
        </row>
        <row r="21">
          <cell r="B21">
            <v>46276</v>
          </cell>
          <cell r="C21">
            <v>8</v>
          </cell>
          <cell r="D21" t="str">
            <v>MACKESON</v>
          </cell>
        </row>
        <row r="22">
          <cell r="B22">
            <v>46279</v>
          </cell>
          <cell r="C22">
            <v>9</v>
          </cell>
          <cell r="D22" t="str">
            <v>MACKESON</v>
          </cell>
        </row>
        <row r="23">
          <cell r="B23">
            <v>46279</v>
          </cell>
          <cell r="C23">
            <v>9</v>
          </cell>
          <cell r="D23" t="str">
            <v>STAG</v>
          </cell>
        </row>
        <row r="24">
          <cell r="B24">
            <v>46280</v>
          </cell>
          <cell r="C24">
            <v>10</v>
          </cell>
          <cell r="D24" t="str">
            <v>STAG</v>
          </cell>
        </row>
        <row r="25">
          <cell r="B25">
            <v>46280</v>
          </cell>
          <cell r="C25">
            <v>10</v>
          </cell>
          <cell r="D25" t="str">
            <v xml:space="preserve">CARIB AMBER </v>
          </cell>
        </row>
        <row r="26">
          <cell r="B26">
            <v>46281</v>
          </cell>
          <cell r="C26">
            <v>11</v>
          </cell>
          <cell r="D26" t="str">
            <v>CARIB AMBER</v>
          </cell>
        </row>
        <row r="27">
          <cell r="B27">
            <v>46281</v>
          </cell>
          <cell r="C27">
            <v>11</v>
          </cell>
          <cell r="D27" t="str">
            <v>PORNSTAR</v>
          </cell>
        </row>
        <row r="28">
          <cell r="B28">
            <v>46282</v>
          </cell>
          <cell r="C28">
            <v>12</v>
          </cell>
          <cell r="D28" t="str">
            <v>PORNSTAR</v>
          </cell>
        </row>
        <row r="29">
          <cell r="B29">
            <v>46282</v>
          </cell>
          <cell r="C29">
            <v>12</v>
          </cell>
          <cell r="D29" t="str">
            <v>BELLINI</v>
          </cell>
        </row>
        <row r="30">
          <cell r="B30">
            <v>46282</v>
          </cell>
          <cell r="C30">
            <v>12</v>
          </cell>
          <cell r="D30" t="str">
            <v>ROYALE</v>
          </cell>
        </row>
        <row r="31">
          <cell r="B31">
            <v>46283</v>
          </cell>
          <cell r="C31">
            <v>13</v>
          </cell>
          <cell r="D31" t="str">
            <v xml:space="preserve">CARIB AMBER </v>
          </cell>
        </row>
        <row r="32">
          <cell r="B32">
            <v>46283</v>
          </cell>
          <cell r="C32">
            <v>13</v>
          </cell>
        </row>
        <row r="33">
          <cell r="B33">
            <v>46283</v>
          </cell>
          <cell r="C33">
            <v>13</v>
          </cell>
        </row>
        <row r="36">
          <cell r="B36">
            <v>46286</v>
          </cell>
          <cell r="C36">
            <v>14</v>
          </cell>
          <cell r="D36" t="str">
            <v>SHANDY SORREL EXPORT</v>
          </cell>
        </row>
        <row r="37">
          <cell r="B37">
            <v>46286</v>
          </cell>
          <cell r="C37">
            <v>14</v>
          </cell>
          <cell r="D37" t="str">
            <v xml:space="preserve">SHANDY SORREL LOCAL </v>
          </cell>
        </row>
        <row r="38">
          <cell r="B38">
            <v>46287</v>
          </cell>
          <cell r="C38">
            <v>15</v>
          </cell>
          <cell r="D38" t="str">
            <v>STAG</v>
          </cell>
        </row>
        <row r="39">
          <cell r="B39">
            <v>46288</v>
          </cell>
          <cell r="C39">
            <v>16</v>
          </cell>
          <cell r="D39" t="str">
            <v>STAG</v>
          </cell>
        </row>
        <row r="40">
          <cell r="B40">
            <v>46288</v>
          </cell>
          <cell r="C40">
            <v>16</v>
          </cell>
          <cell r="D40" t="str">
            <v>CARIB FLINT EXPORT</v>
          </cell>
        </row>
        <row r="41">
          <cell r="B41">
            <v>46289</v>
          </cell>
          <cell r="C41">
            <v>17</v>
          </cell>
          <cell r="D41" t="str">
            <v>CARIB FLINT EXPORT</v>
          </cell>
        </row>
        <row r="42">
          <cell r="B42">
            <v>46290</v>
          </cell>
          <cell r="C42">
            <v>18</v>
          </cell>
          <cell r="D42" t="str">
            <v>CARIB FLINT EXPORT</v>
          </cell>
        </row>
        <row r="43">
          <cell r="B43">
            <v>46290</v>
          </cell>
          <cell r="C43">
            <v>18</v>
          </cell>
          <cell r="D43" t="str">
            <v>GUINNESS</v>
          </cell>
        </row>
        <row r="44">
          <cell r="B44">
            <v>46293</v>
          </cell>
          <cell r="C44">
            <v>19</v>
          </cell>
          <cell r="D44" t="str">
            <v>GUINNESS</v>
          </cell>
        </row>
        <row r="45">
          <cell r="B45">
            <v>46294</v>
          </cell>
          <cell r="C45">
            <v>20</v>
          </cell>
          <cell r="D45" t="str">
            <v>GUINNESS</v>
          </cell>
        </row>
        <row r="46">
          <cell r="B46">
            <v>46294</v>
          </cell>
          <cell r="C46">
            <v>20</v>
          </cell>
          <cell r="D46" t="str">
            <v>CARIB AMBER</v>
          </cell>
        </row>
        <row r="47">
          <cell r="B47">
            <v>46295</v>
          </cell>
          <cell r="C47">
            <v>21</v>
          </cell>
          <cell r="D47" t="str">
            <v>CARIB AMBER</v>
          </cell>
        </row>
        <row r="48">
          <cell r="B48">
            <v>46295</v>
          </cell>
          <cell r="C48">
            <v>21</v>
          </cell>
          <cell r="D48" t="str">
            <v>STARMALT</v>
          </cell>
        </row>
      </sheetData>
      <sheetData sheetId="9">
        <row r="8">
          <cell r="B8">
            <v>46296</v>
          </cell>
          <cell r="C8">
            <v>1</v>
          </cell>
          <cell r="D8" t="str">
            <v>STAR MALT</v>
          </cell>
        </row>
      </sheetData>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_2019"/>
      <sheetName val="February_2019"/>
      <sheetName val="March_2019"/>
      <sheetName val="April_2019"/>
      <sheetName val="May_2019"/>
      <sheetName val="June_2019"/>
      <sheetName val="July_2019"/>
      <sheetName val="August_2019"/>
      <sheetName val="September_2019"/>
      <sheetName val="October_2019"/>
      <sheetName val="November_2019"/>
      <sheetName val="December_2019"/>
    </sheetNames>
    <sheetDataSet>
      <sheetData sheetId="0">
        <row r="8">
          <cell r="B8">
            <v>43467</v>
          </cell>
        </row>
      </sheetData>
      <sheetData sheetId="1">
        <row r="8">
          <cell r="B8">
            <v>43497</v>
          </cell>
        </row>
      </sheetData>
      <sheetData sheetId="2">
        <row r="8">
          <cell r="B8">
            <v>43525</v>
          </cell>
        </row>
      </sheetData>
      <sheetData sheetId="3">
        <row r="8">
          <cell r="B8">
            <v>43556</v>
          </cell>
        </row>
      </sheetData>
      <sheetData sheetId="4">
        <row r="8">
          <cell r="B8">
            <v>43587</v>
          </cell>
        </row>
      </sheetData>
      <sheetData sheetId="5">
        <row r="8">
          <cell r="B8">
            <v>43617</v>
          </cell>
        </row>
      </sheetData>
      <sheetData sheetId="6">
        <row r="8">
          <cell r="B8">
            <v>43647</v>
          </cell>
        </row>
      </sheetData>
      <sheetData sheetId="7">
        <row r="8">
          <cell r="B8">
            <v>43678</v>
          </cell>
        </row>
      </sheetData>
      <sheetData sheetId="8">
        <row r="8">
          <cell r="B8">
            <v>43710</v>
          </cell>
        </row>
      </sheetData>
      <sheetData sheetId="9">
        <row r="8">
          <cell r="B8">
            <v>43744</v>
          </cell>
        </row>
      </sheetData>
      <sheetData sheetId="10">
        <row r="8">
          <cell r="B8">
            <v>43770</v>
          </cell>
        </row>
      </sheetData>
      <sheetData sheetId="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January_2022"/>
      <sheetName val="February_2022"/>
      <sheetName val="March_2022"/>
      <sheetName val="April_2022 "/>
      <sheetName val="May_2022"/>
      <sheetName val="June_2022"/>
      <sheetName val="July_2022"/>
      <sheetName val="August_2022"/>
      <sheetName val="October_2022"/>
      <sheetName val="September_2022"/>
      <sheetName val="November_2022"/>
      <sheetName val="December_2022"/>
    </sheetNames>
    <sheetDataSet>
      <sheetData sheetId="0"/>
      <sheetData sheetId="1"/>
      <sheetData sheetId="2"/>
      <sheetData sheetId="3">
        <row r="8">
          <cell r="B8">
            <v>44652</v>
          </cell>
        </row>
      </sheetData>
      <sheetData sheetId="4">
        <row r="8">
          <cell r="B8">
            <v>44684</v>
          </cell>
        </row>
      </sheetData>
      <sheetData sheetId="5">
        <row r="8">
          <cell r="B8">
            <v>44713</v>
          </cell>
        </row>
      </sheetData>
      <sheetData sheetId="6">
        <row r="8">
          <cell r="B8">
            <v>44748</v>
          </cell>
        </row>
      </sheetData>
      <sheetData sheetId="7">
        <row r="8">
          <cell r="B8">
            <v>44774</v>
          </cell>
        </row>
      </sheetData>
      <sheetData sheetId="8">
        <row r="8">
          <cell r="B8">
            <v>44837</v>
          </cell>
        </row>
      </sheetData>
      <sheetData sheetId="9">
        <row r="8">
          <cell r="B8">
            <v>44805</v>
          </cell>
        </row>
      </sheetData>
      <sheetData sheetId="10">
        <row r="8">
          <cell r="B8">
            <v>44866</v>
          </cell>
        </row>
      </sheetData>
      <sheetData sheetId="11">
        <row r="8">
          <cell r="B8">
            <v>44896</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nuary_2025"/>
      <sheetName val="February_2025"/>
      <sheetName val="March_2025"/>
      <sheetName val="April_2025 "/>
      <sheetName val="May_2025"/>
      <sheetName val="June_2025"/>
      <sheetName val="July_2025"/>
      <sheetName val="August_2025"/>
      <sheetName val="September_2025"/>
      <sheetName val="October_2025"/>
      <sheetName val="November_2025"/>
      <sheetName val="December_2025"/>
      <sheetName val="September_2024"/>
      <sheetName val="October_2024"/>
      <sheetName val="November_2024"/>
      <sheetName val="December_2024"/>
      <sheetName val="August_2026"/>
    </sheetNames>
    <sheetDataSet>
      <sheetData sheetId="0" refreshError="1"/>
      <sheetData sheetId="1" refreshError="1"/>
      <sheetData sheetId="2" refreshError="1"/>
      <sheetData sheetId="3" refreshError="1"/>
      <sheetData sheetId="4" refreshError="1"/>
      <sheetData sheetId="5" refreshError="1">
        <row r="8">
          <cell r="B8">
            <v>45445</v>
          </cell>
        </row>
        <row r="50">
          <cell r="B50"/>
          <cell r="D50"/>
        </row>
        <row r="51">
          <cell r="B51"/>
        </row>
        <row r="52">
          <cell r="B52"/>
        </row>
        <row r="53">
          <cell r="B53"/>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nuary_2024"/>
      <sheetName val="February_2024"/>
      <sheetName val="March_2024"/>
      <sheetName val="April_2024 "/>
      <sheetName val="May_2024"/>
      <sheetName val="June_2024"/>
      <sheetName val="July_2024"/>
      <sheetName val="August_2024"/>
      <sheetName val="September_2024"/>
      <sheetName val="October_2024"/>
      <sheetName val="November_2024"/>
      <sheetName val="December_2024"/>
    </sheetNames>
    <sheetDataSet>
      <sheetData sheetId="0" refreshError="1"/>
      <sheetData sheetId="1" refreshError="1"/>
      <sheetData sheetId="2"/>
      <sheetData sheetId="3">
        <row r="37">
          <cell r="D37" t="str">
            <v xml:space="preserve">HURRICANE REEF IPA </v>
          </cell>
        </row>
      </sheetData>
      <sheetData sheetId="4"/>
      <sheetData sheetId="5"/>
      <sheetData sheetId="6" refreshError="1"/>
      <sheetData sheetId="7" refreshError="1"/>
      <sheetData sheetId="8">
        <row r="8">
          <cell r="D8" t="str">
            <v>Carib Amber</v>
          </cell>
        </row>
      </sheetData>
      <sheetData sheetId="9">
        <row r="8">
          <cell r="B8">
            <v>45566</v>
          </cell>
        </row>
      </sheetData>
      <sheetData sheetId="10">
        <row r="8">
          <cell r="B8">
            <v>45597</v>
          </cell>
        </row>
      </sheetData>
      <sheetData sheetId="11">
        <row r="8">
          <cell r="B8">
            <v>45628</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nt"/>
      <sheetName val="Monthly summary loss"/>
      <sheetName val="Pareto Data"/>
      <sheetName val="Pareto analysis month "/>
      <sheetName val="Pareto YTD"/>
      <sheetName val="Labeler Downtime Detail"/>
      <sheetName val="EBI Downtime Detail"/>
      <sheetName val="Videojet Downtime Detail "/>
      <sheetName val="Pasteurizer Downtime Detail"/>
      <sheetName val="Conveyor Downtime"/>
      <sheetName val="Filler Downtime Detail"/>
      <sheetName val="Washer Downtime Detail"/>
      <sheetName val="Uncaser Downtime Detail "/>
      <sheetName val="Packer Downtime Detail  "/>
      <sheetName val="Dec"/>
      <sheetName val="2 weeks Downtime Trend"/>
      <sheetName val="Data Sheet"/>
      <sheetName val="Jan"/>
      <sheetName val="Feb"/>
      <sheetName val="Mar"/>
      <sheetName val="Apr"/>
      <sheetName val="May"/>
      <sheetName val="Jun"/>
      <sheetName val="Jul"/>
      <sheetName val="Aug"/>
      <sheetName val="Sep"/>
      <sheetName val="Oct"/>
      <sheetName val="Nov"/>
      <sheetName val="GBL_Line_Downtime_2017"/>
    </sheetNames>
    <sheetDataSet>
      <sheetData sheetId="0"/>
      <sheetData sheetId="1">
        <row r="19">
          <cell r="C19">
            <v>77.75</v>
          </cell>
        </row>
      </sheetData>
      <sheetData sheetId="2"/>
      <sheetData sheetId="3"/>
      <sheetData sheetId="4"/>
      <sheetData sheetId="5"/>
      <sheetData sheetId="6"/>
      <sheetData sheetId="7"/>
      <sheetData sheetId="8"/>
      <sheetData sheetId="9"/>
      <sheetData sheetId="10"/>
      <sheetData sheetId="11"/>
      <sheetData sheetId="12"/>
      <sheetData sheetId="13"/>
      <sheetData sheetId="14">
        <row r="8">
          <cell r="Z8">
            <v>54</v>
          </cell>
        </row>
      </sheetData>
      <sheetData sheetId="15"/>
      <sheetData sheetId="16"/>
      <sheetData sheetId="17">
        <row r="8">
          <cell r="AC8">
            <v>12</v>
          </cell>
        </row>
        <row r="58">
          <cell r="C58">
            <v>13</v>
          </cell>
          <cell r="D58">
            <v>32</v>
          </cell>
          <cell r="E58">
            <v>21</v>
          </cell>
        </row>
      </sheetData>
      <sheetData sheetId="18">
        <row r="8">
          <cell r="AC8">
            <v>57</v>
          </cell>
        </row>
      </sheetData>
      <sheetData sheetId="19">
        <row r="8">
          <cell r="AC8">
            <v>25</v>
          </cell>
        </row>
      </sheetData>
      <sheetData sheetId="20">
        <row r="8">
          <cell r="AC8">
            <v>115</v>
          </cell>
        </row>
      </sheetData>
      <sheetData sheetId="21">
        <row r="8">
          <cell r="AC8">
            <v>253</v>
          </cell>
        </row>
      </sheetData>
      <sheetData sheetId="22">
        <row r="8">
          <cell r="AC8">
            <v>46</v>
          </cell>
        </row>
      </sheetData>
      <sheetData sheetId="23">
        <row r="8">
          <cell r="AC8">
            <v>166</v>
          </cell>
        </row>
      </sheetData>
      <sheetData sheetId="24">
        <row r="8">
          <cell r="AC8">
            <v>27</v>
          </cell>
        </row>
      </sheetData>
      <sheetData sheetId="25">
        <row r="8">
          <cell r="J8">
            <v>8</v>
          </cell>
        </row>
      </sheetData>
      <sheetData sheetId="26">
        <row r="8">
          <cell r="I8">
            <v>16</v>
          </cell>
        </row>
      </sheetData>
      <sheetData sheetId="27">
        <row r="8">
          <cell r="Z8">
            <v>14</v>
          </cell>
        </row>
      </sheetData>
      <sheetData sheetId="28" refreshError="1"/>
    </sheetDataSet>
  </externalBook>
</externalLink>
</file>

<file path=xl/persons/person.xml><?xml version="1.0" encoding="utf-8"?>
<personList xmlns="http://schemas.microsoft.com/office/spreadsheetml/2018/threadedcomments" xmlns:x="http://schemas.openxmlformats.org/spreadsheetml/2006/main">
  <person displayName="Micah Noel" id="{0F603599-EBD8-4811-8E70-2797B51468FD}" userId="S::micah.noel@caribbrewery.com::0155a494-018b-4404-b904-9ec4c4c98213"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spPr>
      <a:bodyPr vertOverflow="clip" wrap="square" lIns="18288" tIns="0" rIns="0" bIns="0" upright="1"/>
      <a:lstStyle/>
    </a:lnDef>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E38" dT="2026-07-18T14:19:12.56" personId="{0F603599-EBD8-4811-8E70-2797B51468FD}" id="{3C80C8AE-F20F-4E00-A267-A0CDB1B65503}">
    <text>Filling only ran for approximately 3 minutes</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5">
    <wetp:webextensionref xmlns:r="http://schemas.openxmlformats.org/officeDocument/2006/relationships" r:id="rId1"/>
  </wetp:taskpane>
</wetp:taskpanes>
</file>

<file path=xl/webextensions/webextension1.xml><?xml version="1.0" encoding="utf-8"?>
<we:webextension xmlns:we="http://schemas.microsoft.com/office/webextensions/webextension/2010/11" id="{2E6E5198-E2A5-4551-BF7A-1C645E8B97FA}">
  <we:reference id="wa200005502" version="1.0.0.12" store="en-US" storeType="OMEX"/>
  <we:alternateReferences>
    <we:reference id="WA200005502" version="1.0.0.12" store="WA200005502" storeType="OMEX"/>
  </we:alternateReferences>
  <we:properties>
    <we:property name="docId" value="&quot;jTvk0IGNsCs061P7O_mj6&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vmlDrawing" Target="../drawings/vmlDrawing18.v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vmlDrawing" Target="../drawings/vmlDrawing19.vml"/><Relationship Id="rId1" Type="http://schemas.openxmlformats.org/officeDocument/2006/relationships/printerSettings" Target="../printerSettings/printerSettings27.bin"/><Relationship Id="rId4" Type="http://schemas.microsoft.com/office/2017/10/relationships/threadedComment" Target="../threadedComments/threadedComment1.xml"/></Relationships>
</file>

<file path=xl/worksheets/_rels/sheet28.xml.rels><?xml version="1.0" encoding="UTF-8" standalone="yes"?>
<Relationships xmlns="http://schemas.openxmlformats.org/package/2006/relationships"><Relationship Id="rId3" Type="http://schemas.openxmlformats.org/officeDocument/2006/relationships/comments" Target="../comments20.xml"/><Relationship Id="rId2" Type="http://schemas.openxmlformats.org/officeDocument/2006/relationships/vmlDrawing" Target="../drawings/vmlDrawing20.v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3" Type="http://schemas.openxmlformats.org/officeDocument/2006/relationships/comments" Target="../comments21.xml"/><Relationship Id="rId2" Type="http://schemas.openxmlformats.org/officeDocument/2006/relationships/vmlDrawing" Target="../drawings/vmlDrawing21.v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3" Type="http://schemas.openxmlformats.org/officeDocument/2006/relationships/comments" Target="../comments22.xml"/><Relationship Id="rId2" Type="http://schemas.openxmlformats.org/officeDocument/2006/relationships/vmlDrawing" Target="../drawings/vmlDrawing22.v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1:I20"/>
  <sheetViews>
    <sheetView workbookViewId="0">
      <selection activeCell="E25" sqref="E25"/>
    </sheetView>
  </sheetViews>
  <sheetFormatPr defaultColWidth="9" defaultRowHeight="12.75"/>
  <sheetData>
    <row r="1" spans="2:8">
      <c r="E1" s="50" t="s">
        <v>0</v>
      </c>
    </row>
    <row r="3" spans="2:8">
      <c r="B3" s="50" t="s">
        <v>1</v>
      </c>
      <c r="D3" s="50" t="s">
        <v>2</v>
      </c>
      <c r="F3" s="50" t="s">
        <v>1</v>
      </c>
      <c r="H3" s="50" t="s">
        <v>2</v>
      </c>
    </row>
    <row r="20" spans="9:9">
      <c r="I20" s="477"/>
    </row>
  </sheetData>
  <pageMargins left="0.75" right="0.75" top="1" bottom="1" header="0.5" footer="0.5"/>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2:AA44"/>
  <sheetViews>
    <sheetView showZeros="0" zoomScale="82" zoomScaleNormal="82" workbookViewId="0">
      <pane xSplit="1" ySplit="6" topLeftCell="B7" activePane="bottomRight" state="frozen"/>
      <selection pane="topRight"/>
      <selection pane="bottomLeft"/>
      <selection pane="bottomRight" activeCell="A14" sqref="A14:XFD14"/>
    </sheetView>
  </sheetViews>
  <sheetFormatPr defaultColWidth="9" defaultRowHeight="12.75"/>
  <cols>
    <col min="1" max="1" width="8.5703125" customWidth="1"/>
    <col min="2" max="2" width="10.85546875" customWidth="1"/>
    <col min="3" max="4" width="9.5703125" customWidth="1"/>
    <col min="5" max="5" width="10" customWidth="1"/>
    <col min="6" max="6" width="11" customWidth="1"/>
    <col min="7" max="7" width="11.42578125" customWidth="1"/>
    <col min="8" max="8" width="10.42578125" customWidth="1"/>
    <col min="9" max="9" width="8.5703125" customWidth="1"/>
    <col min="10" max="10" width="9.5703125" customWidth="1"/>
    <col min="11" max="12" width="10.42578125" customWidth="1"/>
    <col min="13" max="13" width="14.140625" customWidth="1"/>
    <col min="14" max="15" width="10.42578125" customWidth="1"/>
    <col min="16" max="16" width="11.42578125" customWidth="1"/>
    <col min="17" max="20" width="10.42578125" customWidth="1"/>
    <col min="21" max="22" width="12.85546875" customWidth="1"/>
    <col min="23" max="23" width="12" customWidth="1"/>
    <col min="24" max="24" width="11.5703125" customWidth="1"/>
    <col min="25" max="25" width="12.5703125" customWidth="1"/>
    <col min="26" max="26" width="3.42578125" customWidth="1"/>
  </cols>
  <sheetData>
    <row r="2" spans="1:27">
      <c r="L2" s="187" t="s">
        <v>3</v>
      </c>
    </row>
    <row r="3" spans="1:27">
      <c r="K3" s="187" t="s">
        <v>467</v>
      </c>
      <c r="T3" s="3"/>
      <c r="U3" s="3"/>
      <c r="V3" s="3"/>
      <c r="W3" s="3"/>
    </row>
    <row r="4" spans="1:27">
      <c r="K4" s="187"/>
    </row>
    <row r="5" spans="1:27">
      <c r="A5" s="640" t="s">
        <v>4</v>
      </c>
      <c r="B5" s="445"/>
      <c r="C5" s="446"/>
      <c r="D5" s="446"/>
      <c r="E5" s="638" t="s">
        <v>5</v>
      </c>
      <c r="F5" s="638"/>
      <c r="G5" s="638"/>
      <c r="H5" s="638"/>
      <c r="I5" s="638"/>
      <c r="J5" s="638"/>
      <c r="K5" s="638"/>
      <c r="L5" s="638"/>
      <c r="M5" s="638"/>
      <c r="N5" s="638"/>
      <c r="O5" s="638"/>
      <c r="P5" s="638"/>
      <c r="Q5" s="638"/>
      <c r="R5" s="638"/>
      <c r="S5" s="638"/>
      <c r="T5" s="638"/>
      <c r="U5" s="639"/>
      <c r="V5" s="465"/>
      <c r="W5" s="465"/>
      <c r="X5" s="466"/>
      <c r="Y5" s="469"/>
      <c r="AA5" s="469"/>
    </row>
    <row r="6" spans="1:27" s="443" customFormat="1" ht="51">
      <c r="A6" s="641"/>
      <c r="B6" s="448" t="s">
        <v>6</v>
      </c>
      <c r="C6" s="444" t="s">
        <v>7</v>
      </c>
      <c r="D6" s="444" t="s">
        <v>8</v>
      </c>
      <c r="E6" s="444" t="s">
        <v>9</v>
      </c>
      <c r="F6" s="444" t="s">
        <v>10</v>
      </c>
      <c r="G6" s="444" t="s">
        <v>11</v>
      </c>
      <c r="H6" s="444" t="s">
        <v>12</v>
      </c>
      <c r="I6" s="444" t="s">
        <v>13</v>
      </c>
      <c r="J6" s="444" t="s">
        <v>14</v>
      </c>
      <c r="K6" s="444" t="s">
        <v>15</v>
      </c>
      <c r="L6" s="444" t="s">
        <v>16</v>
      </c>
      <c r="M6" s="444" t="s">
        <v>17</v>
      </c>
      <c r="N6" s="444" t="s">
        <v>18</v>
      </c>
      <c r="O6" s="444" t="s">
        <v>19</v>
      </c>
      <c r="P6" s="444" t="s">
        <v>20</v>
      </c>
      <c r="Q6" s="444" t="s">
        <v>21</v>
      </c>
      <c r="R6" s="444" t="s">
        <v>22</v>
      </c>
      <c r="S6" s="444" t="s">
        <v>23</v>
      </c>
      <c r="T6" s="444" t="s">
        <v>24</v>
      </c>
      <c r="U6" s="467" t="s">
        <v>25</v>
      </c>
      <c r="V6" s="467" t="s">
        <v>26</v>
      </c>
      <c r="W6" s="467" t="s">
        <v>27</v>
      </c>
      <c r="X6" s="447" t="s">
        <v>28</v>
      </c>
      <c r="Y6" s="447" t="s">
        <v>29</v>
      </c>
      <c r="AA6" s="470" t="s">
        <v>30</v>
      </c>
    </row>
    <row r="7" spans="1:27">
      <c r="A7" s="449" t="s">
        <v>31</v>
      </c>
      <c r="B7" s="450">
        <f>Jan!$H$61/60</f>
        <v>2.1833333333333331</v>
      </c>
      <c r="C7" s="450">
        <f>Jan!$I$61/60</f>
        <v>21.583333333333332</v>
      </c>
      <c r="D7" s="450">
        <f>Jan!$J$61/60</f>
        <v>9.5500000000000007</v>
      </c>
      <c r="E7" s="450">
        <f>Jan!$K$61/60</f>
        <v>0.23333333333333334</v>
      </c>
      <c r="F7" s="450">
        <f>Jan!$L$61/60</f>
        <v>0.26666666666666666</v>
      </c>
      <c r="G7" s="450">
        <f>Jan!$M$61/60</f>
        <v>1.35</v>
      </c>
      <c r="H7" s="450">
        <f>Jan!$N$61/60</f>
        <v>0</v>
      </c>
      <c r="I7" s="450">
        <f>Jan!$O$61/60</f>
        <v>9.3833333333333329</v>
      </c>
      <c r="J7" s="450">
        <f>Jan!$P$61/60</f>
        <v>21.366666666666667</v>
      </c>
      <c r="K7" s="450">
        <f>Jan!$Q$61/60</f>
        <v>7.4333333333333336</v>
      </c>
      <c r="L7" s="450">
        <f>Jan!$R$61/60</f>
        <v>4.6166666666666663</v>
      </c>
      <c r="M7" s="450">
        <f>Jan!$S$61/60</f>
        <v>14.416666666666666</v>
      </c>
      <c r="N7" s="450">
        <f>Jan!$T$61/60</f>
        <v>3.4</v>
      </c>
      <c r="O7" s="450">
        <f>Jan!$U$61/60</f>
        <v>1.9166666666666667</v>
      </c>
      <c r="P7" s="450">
        <f>Jan!$V$61/60</f>
        <v>101.28333333333333</v>
      </c>
      <c r="Q7" s="450">
        <f>Jan!$W$61/60</f>
        <v>1.2166666666666666</v>
      </c>
      <c r="R7" s="450">
        <f>Jan!$X$61/60</f>
        <v>0</v>
      </c>
      <c r="S7" s="450">
        <f>Jan!$Y$61/60</f>
        <v>0</v>
      </c>
      <c r="T7" s="450">
        <f>Jan!$Z$61/60</f>
        <v>43.93333333333333</v>
      </c>
      <c r="U7" s="450">
        <f>Jan!$AA$61/60</f>
        <v>0.85</v>
      </c>
      <c r="V7" s="450">
        <f>Jan!$AB$61/60</f>
        <v>5.3833333333333337</v>
      </c>
      <c r="W7" s="450">
        <f>Jan!$AC$61/60</f>
        <v>0</v>
      </c>
      <c r="X7" s="450">
        <f t="shared" ref="X7:X18" si="0">SUM(B7:W7)</f>
        <v>250.36666666666667</v>
      </c>
      <c r="Y7" s="450">
        <f>+AVERAGE($X$7:X7)</f>
        <v>250.36666666666667</v>
      </c>
      <c r="AA7" s="471"/>
    </row>
    <row r="8" spans="1:27">
      <c r="A8" s="449" t="s">
        <v>32</v>
      </c>
      <c r="B8" s="450">
        <f>Feb!H$60/60</f>
        <v>0.25</v>
      </c>
      <c r="C8" s="450">
        <f>Feb!I$60/60</f>
        <v>18.266666666666666</v>
      </c>
      <c r="D8" s="450">
        <f>Feb!J$60/60</f>
        <v>11.316666666666666</v>
      </c>
      <c r="E8" s="450">
        <f>Feb!K$60/60</f>
        <v>0.76666666666666672</v>
      </c>
      <c r="F8" s="450">
        <f>Feb!L$60/60</f>
        <v>0.6166666666666667</v>
      </c>
      <c r="G8" s="450">
        <f>Feb!M$60/60</f>
        <v>1.9833333333333334</v>
      </c>
      <c r="H8" s="450">
        <f>Feb!N$60/60</f>
        <v>6</v>
      </c>
      <c r="I8" s="450">
        <f>Feb!O$60/60</f>
        <v>32.75</v>
      </c>
      <c r="J8" s="450">
        <f>Feb!P$60/60</f>
        <v>61.2</v>
      </c>
      <c r="K8" s="450">
        <f>Feb!Q$60/60</f>
        <v>25.366666666666667</v>
      </c>
      <c r="L8" s="450">
        <f>Feb!R$60/60</f>
        <v>4.1833333333333336</v>
      </c>
      <c r="M8" s="450">
        <f>Feb!S$60/60</f>
        <v>11.4</v>
      </c>
      <c r="N8" s="450">
        <f>Feb!T$60/60</f>
        <v>2.8666666666666667</v>
      </c>
      <c r="O8" s="450">
        <f>Feb!U$60/60</f>
        <v>1.0666666666666667</v>
      </c>
      <c r="P8" s="450">
        <f>Feb!V$60/60</f>
        <v>18.966666666666665</v>
      </c>
      <c r="Q8" s="450">
        <f>Feb!W$60/60</f>
        <v>3.15</v>
      </c>
      <c r="R8" s="450">
        <f>Feb!X$60/60</f>
        <v>3.3</v>
      </c>
      <c r="S8" s="450">
        <f>Feb!Y$60/60</f>
        <v>0.36666666666666664</v>
      </c>
      <c r="T8" s="450">
        <f>Feb!Z$60/60</f>
        <v>26.333333333333332</v>
      </c>
      <c r="U8" s="450">
        <f>Feb!AA$60/60</f>
        <v>0.68333333333333335</v>
      </c>
      <c r="V8" s="450">
        <f>Feb!AB$60/60</f>
        <v>3.9333333333333331</v>
      </c>
      <c r="W8" s="450">
        <f>Feb!AC$60/60</f>
        <v>0</v>
      </c>
      <c r="X8" s="450">
        <f t="shared" si="0"/>
        <v>234.76666666666671</v>
      </c>
      <c r="Y8" s="450">
        <f>+AVERAGE($X$7:X8)</f>
        <v>242.56666666666669</v>
      </c>
      <c r="AA8" s="471"/>
    </row>
    <row r="9" spans="1:27">
      <c r="A9" s="449" t="s">
        <v>33</v>
      </c>
      <c r="B9" s="450">
        <f>Mar!H$62/60</f>
        <v>0.75</v>
      </c>
      <c r="C9" s="450">
        <f>Mar!I$62/60</f>
        <v>20.866666666666667</v>
      </c>
      <c r="D9" s="450">
        <f>Mar!J$62/60</f>
        <v>7.5166666666666666</v>
      </c>
      <c r="E9" s="450">
        <f>Mar!K$62/60</f>
        <v>3.7333333333333334</v>
      </c>
      <c r="F9" s="450">
        <f>Mar!L$62/60</f>
        <v>0.23333333333333334</v>
      </c>
      <c r="G9" s="450">
        <f>Mar!M$62/60</f>
        <v>1.2166666666666666</v>
      </c>
      <c r="H9" s="450">
        <f>Mar!N$62/60</f>
        <v>1.1499999999999999</v>
      </c>
      <c r="I9" s="450">
        <f>Mar!O$62/60</f>
        <v>12.9</v>
      </c>
      <c r="J9" s="450">
        <f>Mar!P$62/60</f>
        <v>69.766666666666666</v>
      </c>
      <c r="K9" s="450">
        <f>Mar!Q$62/60</f>
        <v>13.716666666666667</v>
      </c>
      <c r="L9" s="450">
        <f>Mar!R$62/60</f>
        <v>10.9</v>
      </c>
      <c r="M9" s="450">
        <f>Mar!S$62/60</f>
        <v>10.033333333333333</v>
      </c>
      <c r="N9" s="450">
        <f>Mar!T$62/60</f>
        <v>4.9333333333333336</v>
      </c>
      <c r="O9" s="450">
        <f>Mar!U$62/60</f>
        <v>0.98333333333333328</v>
      </c>
      <c r="P9" s="450">
        <f>Mar!V$62/60</f>
        <v>13.616666666666667</v>
      </c>
      <c r="Q9" s="450">
        <f>Mar!W$62/60</f>
        <v>10</v>
      </c>
      <c r="R9" s="450">
        <f>Mar!X$62/60</f>
        <v>7.666666666666667</v>
      </c>
      <c r="S9" s="450">
        <f>Mar!Y$62/60</f>
        <v>0.18333333333333332</v>
      </c>
      <c r="T9" s="450">
        <f>Mar!Z$62/60</f>
        <v>30.8</v>
      </c>
      <c r="U9" s="450">
        <f>Mar!AA$62/60</f>
        <v>0.41666666666666669</v>
      </c>
      <c r="V9" s="450">
        <f>Mar!AB$62/60</f>
        <v>5.8166666666666664</v>
      </c>
      <c r="W9" s="450">
        <f>Mar!AC$62/60</f>
        <v>0</v>
      </c>
      <c r="X9" s="450">
        <f t="shared" si="0"/>
        <v>227.2</v>
      </c>
      <c r="Y9" s="450">
        <f>+AVERAGE($X$7:X9)</f>
        <v>237.44444444444446</v>
      </c>
      <c r="AA9" s="471"/>
    </row>
    <row r="10" spans="1:27">
      <c r="A10" s="449" t="s">
        <v>34</v>
      </c>
      <c r="B10" s="450">
        <f>Apr!H$54/60</f>
        <v>0.95</v>
      </c>
      <c r="C10" s="450">
        <f>Apr!I$54/60</f>
        <v>21.883333333333333</v>
      </c>
      <c r="D10" s="450">
        <f>Apr!J$54/60</f>
        <v>6.2</v>
      </c>
      <c r="E10" s="450">
        <f>Apr!K$54/60</f>
        <v>0.33333333333333331</v>
      </c>
      <c r="F10" s="450">
        <f>Apr!L$54/60</f>
        <v>1.35</v>
      </c>
      <c r="G10" s="450">
        <f>Apr!M$54/60</f>
        <v>0</v>
      </c>
      <c r="H10" s="450">
        <f>Apr!N$54/60</f>
        <v>2.9166666666666665</v>
      </c>
      <c r="I10" s="450">
        <f>Apr!O$54/60</f>
        <v>7.2666666666666666</v>
      </c>
      <c r="J10" s="450">
        <f>Apr!P$54/60</f>
        <v>29.583333333333332</v>
      </c>
      <c r="K10" s="450">
        <f>Apr!Q$54/60</f>
        <v>10.983333333333333</v>
      </c>
      <c r="L10" s="450">
        <f>Apr!R$54/60</f>
        <v>43.9</v>
      </c>
      <c r="M10" s="450">
        <f>Apr!S$54/60</f>
        <v>2.2333333333333334</v>
      </c>
      <c r="N10" s="450">
        <f>Apr!T$54/60</f>
        <v>9.0166666666666675</v>
      </c>
      <c r="O10" s="450">
        <f>Apr!U$54/60</f>
        <v>3.9</v>
      </c>
      <c r="P10" s="450">
        <f>Apr!V$54/60</f>
        <v>28.583333333333332</v>
      </c>
      <c r="Q10" s="450">
        <f>Apr!W$54/60</f>
        <v>10.116666666666667</v>
      </c>
      <c r="R10" s="450">
        <f>Apr!X$54/60</f>
        <v>5.9666666666666668</v>
      </c>
      <c r="S10" s="450">
        <f>Apr!Y$54/60</f>
        <v>0</v>
      </c>
      <c r="T10" s="450">
        <f>Apr!Z$54/60</f>
        <v>19.033333333333335</v>
      </c>
      <c r="U10" s="450">
        <f>Apr!AA$54/60</f>
        <v>0.11666666666666667</v>
      </c>
      <c r="V10" s="450">
        <f>Apr!AB$54/60</f>
        <v>3.85</v>
      </c>
      <c r="W10" s="450">
        <f>Apr!AC$54/60</f>
        <v>0</v>
      </c>
      <c r="X10" s="450">
        <f t="shared" si="0"/>
        <v>208.18333333333337</v>
      </c>
      <c r="Y10" s="450">
        <f>+AVERAGE($X$7:X10)</f>
        <v>230.12916666666669</v>
      </c>
      <c r="AA10" s="471"/>
    </row>
    <row r="11" spans="1:27">
      <c r="A11" s="449" t="s">
        <v>35</v>
      </c>
      <c r="B11" s="450">
        <f>May!H$63/60</f>
        <v>0</v>
      </c>
      <c r="C11" s="450">
        <f>May!I$63/60</f>
        <v>22.166666666666668</v>
      </c>
      <c r="D11" s="450">
        <f>May!J$63/60</f>
        <v>12.483333333333333</v>
      </c>
      <c r="E11" s="450">
        <f>May!K$63/60</f>
        <v>0.05</v>
      </c>
      <c r="F11" s="450">
        <f>May!L$63/60</f>
        <v>0.91666666666666663</v>
      </c>
      <c r="G11" s="450">
        <f>May!M$63/60</f>
        <v>0.1</v>
      </c>
      <c r="H11" s="450">
        <f>May!N$63/60</f>
        <v>0</v>
      </c>
      <c r="I11" s="450">
        <f>May!O$63/60</f>
        <v>6.9666666666666668</v>
      </c>
      <c r="J11" s="450">
        <f>May!P$63/60</f>
        <v>9.6999999999999993</v>
      </c>
      <c r="K11" s="450">
        <f>May!Q$63/60</f>
        <v>19.583333333333332</v>
      </c>
      <c r="L11" s="450">
        <f>May!R$63/60</f>
        <v>15.2</v>
      </c>
      <c r="M11" s="450">
        <f>May!S$63/60</f>
        <v>1.5833333333333333</v>
      </c>
      <c r="N11" s="450">
        <f>May!T$63/60</f>
        <v>4.916666666666667</v>
      </c>
      <c r="O11" s="450">
        <f>May!U$63/60</f>
        <v>1.2166666666666666</v>
      </c>
      <c r="P11" s="450">
        <f>May!V$63/60</f>
        <v>13.933333333333334</v>
      </c>
      <c r="Q11" s="450">
        <f>May!W$63/60</f>
        <v>3.6</v>
      </c>
      <c r="R11" s="450">
        <f>May!X$63/60</f>
        <v>1.7666666666666666</v>
      </c>
      <c r="S11" s="450">
        <f>May!Y$63/60</f>
        <v>0.1</v>
      </c>
      <c r="T11" s="450">
        <f>May!Z$63/60</f>
        <v>19.883333333333333</v>
      </c>
      <c r="U11" s="450">
        <f>May!AA$63/60</f>
        <v>0.15</v>
      </c>
      <c r="V11" s="450">
        <f>May!AB$63/60</f>
        <v>6.916666666666667</v>
      </c>
      <c r="W11" s="450">
        <f>May!AC$63/60</f>
        <v>0</v>
      </c>
      <c r="X11" s="450">
        <f t="shared" si="0"/>
        <v>141.23333333333332</v>
      </c>
      <c r="Y11" s="450">
        <f>+AVERAGE($X$7:X11)</f>
        <v>212.35</v>
      </c>
      <c r="AA11" s="471"/>
    </row>
    <row r="12" spans="1:27">
      <c r="A12" s="449" t="s">
        <v>36</v>
      </c>
      <c r="B12" s="450">
        <f>Jun!H$57/60</f>
        <v>0.31666666666666665</v>
      </c>
      <c r="C12" s="450">
        <f>Jun!I$57/60</f>
        <v>9.75</v>
      </c>
      <c r="D12" s="450">
        <f>Jun!J$57/60</f>
        <v>2.6666666666666665</v>
      </c>
      <c r="E12" s="450">
        <f>Jun!K$57/60</f>
        <v>1.1499999999999999</v>
      </c>
      <c r="F12" s="450">
        <f>Jun!L$57/60</f>
        <v>1.5666666666666667</v>
      </c>
      <c r="G12" s="450">
        <f>Jun!M$57/60</f>
        <v>0.65</v>
      </c>
      <c r="H12" s="450">
        <f>Jun!N$57/60</f>
        <v>0</v>
      </c>
      <c r="I12" s="450">
        <f>Jun!O$57/60</f>
        <v>1.4166666666666667</v>
      </c>
      <c r="J12" s="450">
        <f>Jun!P$57/60</f>
        <v>6.65</v>
      </c>
      <c r="K12" s="450">
        <f>Jun!Q$57/60</f>
        <v>4.1166666666666663</v>
      </c>
      <c r="L12" s="450">
        <f>Jun!R$57/60</f>
        <v>1.2</v>
      </c>
      <c r="M12" s="450">
        <f>Jun!S$57/60</f>
        <v>44.93333333333333</v>
      </c>
      <c r="N12" s="450">
        <f>Jun!T$57/60</f>
        <v>1.4833333333333334</v>
      </c>
      <c r="O12" s="450">
        <f>Jun!U$57/60</f>
        <v>1.75</v>
      </c>
      <c r="P12" s="450">
        <f>Jun!V$57/60</f>
        <v>6.2166666666666668</v>
      </c>
      <c r="Q12" s="450">
        <f>Jun!W$57/60</f>
        <v>0.15</v>
      </c>
      <c r="R12" s="450">
        <f>Jun!X$57/60</f>
        <v>0</v>
      </c>
      <c r="S12" s="450">
        <f>Jun!Y$57/60</f>
        <v>0</v>
      </c>
      <c r="T12" s="450">
        <f>Jun!Z$57/60</f>
        <v>10.683333333333334</v>
      </c>
      <c r="U12" s="450">
        <f>Jun!AA$57/60</f>
        <v>0.05</v>
      </c>
      <c r="V12" s="450">
        <f>Jun!AB$57/60</f>
        <v>1.0666666666666667</v>
      </c>
      <c r="W12" s="450">
        <f>Jun!AC$57/60</f>
        <v>0</v>
      </c>
      <c r="X12" s="450">
        <f t="shared" si="0"/>
        <v>95.816666666666663</v>
      </c>
      <c r="Y12" s="450">
        <f>+AVERAGE($X$7:X12)</f>
        <v>192.92777777777778</v>
      </c>
      <c r="AA12" s="471"/>
    </row>
    <row r="13" spans="1:27">
      <c r="A13" s="449" t="s">
        <v>37</v>
      </c>
      <c r="B13" s="450">
        <f>Jul!H$61/60</f>
        <v>0.51666666666666672</v>
      </c>
      <c r="C13" s="450">
        <f>Jul!I$61/60</f>
        <v>25.483333333333334</v>
      </c>
      <c r="D13" s="450">
        <f>Jul!J$61/60</f>
        <v>39.35</v>
      </c>
      <c r="E13" s="450">
        <f>Jul!K$61/60</f>
        <v>0</v>
      </c>
      <c r="F13" s="450">
        <f>Jul!L$61/60</f>
        <v>3.4</v>
      </c>
      <c r="G13" s="451">
        <f>Jul!M$61/60</f>
        <v>0.96666666666666667</v>
      </c>
      <c r="H13" s="450">
        <f>Jul!N$61/60</f>
        <v>0</v>
      </c>
      <c r="I13" s="450">
        <f>Jul!O$61/60</f>
        <v>5.4</v>
      </c>
      <c r="J13" s="450">
        <f>Jul!P$61/60</f>
        <v>14.4</v>
      </c>
      <c r="K13" s="450">
        <f>Jul!Q$61/60</f>
        <v>16.116666666666667</v>
      </c>
      <c r="L13" s="450">
        <f>Jul!R$61/60</f>
        <v>8.0500000000000007</v>
      </c>
      <c r="M13" s="450">
        <f>Jul!S$61/60</f>
        <v>25.833333333333332</v>
      </c>
      <c r="N13" s="450">
        <f>Jul!T$61/60</f>
        <v>13.816666666666666</v>
      </c>
      <c r="O13" s="450">
        <f>Jul!U$61/60</f>
        <v>10.15</v>
      </c>
      <c r="P13" s="450">
        <f>Jul!V$61/60</f>
        <v>16.066666666666666</v>
      </c>
      <c r="Q13" s="450">
        <f>Jul!W$61/60</f>
        <v>6.5666666666666664</v>
      </c>
      <c r="R13" s="450">
        <f>Jul!X$61/60</f>
        <v>8.1166666666666671</v>
      </c>
      <c r="S13" s="450">
        <f>Jul!Y$61/60</f>
        <v>0.33333333333333331</v>
      </c>
      <c r="T13" s="450">
        <f>Jul!Z$61/60</f>
        <v>61.283333333333331</v>
      </c>
      <c r="U13" s="450">
        <f>Jul!AA$61/60</f>
        <v>0.48333333333333334</v>
      </c>
      <c r="V13" s="450">
        <f>Jul!AB$61/60</f>
        <v>8.0333333333333332</v>
      </c>
      <c r="W13" s="450">
        <f>Jul!AC$61/60</f>
        <v>0.15</v>
      </c>
      <c r="X13" s="450">
        <f t="shared" si="0"/>
        <v>264.51666666666671</v>
      </c>
      <c r="Y13" s="450">
        <f>+AVERAGE($X$7:X13)</f>
        <v>203.1547619047619</v>
      </c>
      <c r="AA13" s="471"/>
    </row>
    <row r="14" spans="1:27">
      <c r="A14" s="449" t="s">
        <v>38</v>
      </c>
      <c r="B14" s="450">
        <f>Aug!H$68/60</f>
        <v>2.0499999999999998</v>
      </c>
      <c r="C14" s="450">
        <f>Aug!I$68/60</f>
        <v>22.183333333333334</v>
      </c>
      <c r="D14" s="450">
        <f>Aug!J$68/60</f>
        <v>6.35</v>
      </c>
      <c r="E14" s="450">
        <f>Aug!K$68/60</f>
        <v>1.9</v>
      </c>
      <c r="F14" s="450">
        <f>Aug!L$68/60</f>
        <v>1.2166666666666666</v>
      </c>
      <c r="G14" s="450">
        <f>Aug!M$68/60</f>
        <v>0.8666666666666667</v>
      </c>
      <c r="H14" s="450">
        <f>Aug!N$68/60</f>
        <v>0</v>
      </c>
      <c r="I14" s="450">
        <f>Aug!O$68/60</f>
        <v>6.0666666666666664</v>
      </c>
      <c r="J14" s="450">
        <f>Aug!P$68/60</f>
        <v>10.733333333333333</v>
      </c>
      <c r="K14" s="450">
        <f>Aug!Q$68/60</f>
        <v>9.6999999999999993</v>
      </c>
      <c r="L14" s="450">
        <f>Aug!R$68/60</f>
        <v>11.766666666666667</v>
      </c>
      <c r="M14" s="450">
        <f>Aug!S$68/60</f>
        <v>13.216666666666667</v>
      </c>
      <c r="N14" s="450">
        <f>Aug!T68/60</f>
        <v>19.183333333333334</v>
      </c>
      <c r="O14" s="450">
        <f>Aug!U$68/60</f>
        <v>1.3833333333333333</v>
      </c>
      <c r="P14" s="450">
        <f>Aug!V$68/60</f>
        <v>12.916666666666666</v>
      </c>
      <c r="Q14" s="450">
        <f>Aug!W$68/60</f>
        <v>2.4500000000000002</v>
      </c>
      <c r="R14" s="450">
        <f>Aug!X$68/60</f>
        <v>2.9666666666666668</v>
      </c>
      <c r="S14" s="450">
        <f>Aug!Y$68/60</f>
        <v>0</v>
      </c>
      <c r="T14" s="450">
        <f>Aug!Z$68/60</f>
        <v>17.783333333333335</v>
      </c>
      <c r="U14" s="450">
        <f>Aug!AA$68/60</f>
        <v>0.05</v>
      </c>
      <c r="V14" s="450">
        <f>Aug!AB$68/60</f>
        <v>8.7833333333333332</v>
      </c>
      <c r="W14" s="450">
        <f>Aug!AC$68/60</f>
        <v>4.5166666666666666</v>
      </c>
      <c r="X14" s="450">
        <f t="shared" si="0"/>
        <v>156.0833333333334</v>
      </c>
      <c r="Y14" s="450">
        <f>+AVERAGE($X$7:X14)</f>
        <v>197.27083333333334</v>
      </c>
      <c r="AA14" s="471"/>
    </row>
    <row r="15" spans="1:27">
      <c r="A15" s="449" t="s">
        <v>39</v>
      </c>
      <c r="B15" s="450">
        <f>Sept!H$55/60</f>
        <v>0.6333333333333333</v>
      </c>
      <c r="C15" s="450">
        <f>Sept!I$55/60</f>
        <v>16.683333333333334</v>
      </c>
      <c r="D15" s="450">
        <f>Sept!J$55/60</f>
        <v>18.316666666666666</v>
      </c>
      <c r="E15" s="450">
        <f>Sept!K$55/60</f>
        <v>0.85</v>
      </c>
      <c r="F15" s="450">
        <f>Sept!L$55/60</f>
        <v>0.45</v>
      </c>
      <c r="G15" s="450">
        <f>Sept!M$55/60</f>
        <v>0</v>
      </c>
      <c r="H15" s="450">
        <f>Sept!N$55/60</f>
        <v>1.4666666666666666</v>
      </c>
      <c r="I15" s="450">
        <f>Sept!O$55/60</f>
        <v>4.2166666666666668</v>
      </c>
      <c r="J15" s="450">
        <f>Sept!P$55/60</f>
        <v>7.0333333333333332</v>
      </c>
      <c r="K15" s="450">
        <f>Sept!Q$55/60</f>
        <v>6.4333333333333336</v>
      </c>
      <c r="L15" s="450">
        <f>Sept!R$55/60</f>
        <v>11.083333333333334</v>
      </c>
      <c r="M15" s="450">
        <f>Sept!S$55/60</f>
        <v>10.966666666666667</v>
      </c>
      <c r="N15" s="450">
        <f>Sept!T$55/60</f>
        <v>3.2</v>
      </c>
      <c r="O15" s="450">
        <f>Sept!U$55/60</f>
        <v>3.5</v>
      </c>
      <c r="P15" s="450">
        <f>Sept!V$55/60</f>
        <v>6.6333333333333337</v>
      </c>
      <c r="Q15" s="450">
        <f>Sept!W$55/60</f>
        <v>5.8666666666666663</v>
      </c>
      <c r="R15" s="450">
        <f>Sept!X$55/60</f>
        <v>6.5666666666666664</v>
      </c>
      <c r="S15" s="450">
        <f>Sept!Y$55/60</f>
        <v>0.45</v>
      </c>
      <c r="T15" s="450">
        <f>Sept!Z$55/60</f>
        <v>20.683333333333334</v>
      </c>
      <c r="U15" s="450">
        <f>Sept!AA$55/60</f>
        <v>0.15</v>
      </c>
      <c r="V15" s="450">
        <f>Sept!AB$55/60</f>
        <v>4.45</v>
      </c>
      <c r="W15" s="450">
        <f>Sept!AC$55/60</f>
        <v>0</v>
      </c>
      <c r="X15" s="450">
        <f t="shared" si="0"/>
        <v>129.63333333333335</v>
      </c>
      <c r="Y15" s="450">
        <f>+AVERAGE($X$7:X15)</f>
        <v>189.75555555555559</v>
      </c>
      <c r="AA15" s="471"/>
    </row>
    <row r="16" spans="1:27">
      <c r="A16" s="449" t="s">
        <v>40</v>
      </c>
      <c r="B16" s="450">
        <f>Oct!H$71/60</f>
        <v>0</v>
      </c>
      <c r="C16" s="450">
        <f>Oct!I$71/60</f>
        <v>0</v>
      </c>
      <c r="D16" s="450">
        <f>Oct!J$71/60</f>
        <v>0</v>
      </c>
      <c r="E16" s="450">
        <f>Oct!K$71/60</f>
        <v>0</v>
      </c>
      <c r="F16" s="450">
        <f>Oct!L$71/60</f>
        <v>0</v>
      </c>
      <c r="G16" s="450">
        <f>Oct!M$71/60</f>
        <v>0</v>
      </c>
      <c r="H16" s="450">
        <f>Oct!N$71/60</f>
        <v>0</v>
      </c>
      <c r="I16" s="450">
        <f>Oct!O$71/60</f>
        <v>0</v>
      </c>
      <c r="J16" s="450">
        <f>Oct!P$71/60</f>
        <v>6.6666666666666666E-2</v>
      </c>
      <c r="K16" s="450">
        <f>Oct!Q$71/60</f>
        <v>6.6666666666666666E-2</v>
      </c>
      <c r="L16" s="450">
        <f>Oct!R$71/60</f>
        <v>0</v>
      </c>
      <c r="M16" s="450">
        <f>Oct!S$71/60</f>
        <v>0</v>
      </c>
      <c r="N16" s="450">
        <f>Oct!T$71/60</f>
        <v>0</v>
      </c>
      <c r="O16" s="450">
        <f>Oct!U$71/60</f>
        <v>0</v>
      </c>
      <c r="P16" s="450">
        <f>Oct!V$71/60</f>
        <v>6.6666666666666666E-2</v>
      </c>
      <c r="Q16" s="450">
        <f>Oct!W$71/60</f>
        <v>0</v>
      </c>
      <c r="R16" s="450">
        <f>Oct!X$71/60</f>
        <v>0</v>
      </c>
      <c r="S16" s="450">
        <f>Oct!Y$71/60</f>
        <v>0</v>
      </c>
      <c r="T16" s="450">
        <f>Oct!Z$71/60</f>
        <v>0.25</v>
      </c>
      <c r="U16" s="450">
        <f>Oct!AA$71/60</f>
        <v>0</v>
      </c>
      <c r="V16" s="450">
        <f>Oct!AB$71/60</f>
        <v>0</v>
      </c>
      <c r="W16" s="450">
        <f>Oct!AC$71/60</f>
        <v>0</v>
      </c>
      <c r="X16" s="450">
        <f t="shared" si="0"/>
        <v>0.45</v>
      </c>
      <c r="Y16" s="450">
        <f>+AVERAGE($X$7:X16)</f>
        <v>170.82500000000002</v>
      </c>
      <c r="AA16" s="471"/>
    </row>
    <row r="17" spans="1:27">
      <c r="A17" s="449" t="s">
        <v>41</v>
      </c>
      <c r="B17" s="450">
        <f>Nov!H$70/60</f>
        <v>0</v>
      </c>
      <c r="C17" s="450">
        <f>Nov!I$70/60</f>
        <v>0</v>
      </c>
      <c r="D17" s="450">
        <f>Nov!J$70/60</f>
        <v>0</v>
      </c>
      <c r="E17" s="450">
        <f>Nov!K$70/60</f>
        <v>0</v>
      </c>
      <c r="F17" s="450">
        <f>Nov!L$70/60</f>
        <v>0</v>
      </c>
      <c r="G17" s="450">
        <f>Nov!M$70/60</f>
        <v>0</v>
      </c>
      <c r="H17" s="450">
        <f>Nov!N$70/60</f>
        <v>0</v>
      </c>
      <c r="I17" s="450">
        <f>Nov!O$70/60</f>
        <v>0</v>
      </c>
      <c r="J17" s="450">
        <f>Nov!P$70/60</f>
        <v>0</v>
      </c>
      <c r="K17" s="450">
        <f>Nov!Q$70/60</f>
        <v>0</v>
      </c>
      <c r="L17" s="450">
        <f>Nov!R$70/60</f>
        <v>0</v>
      </c>
      <c r="M17" s="450">
        <f>Nov!S$70/60</f>
        <v>0</v>
      </c>
      <c r="N17" s="450">
        <f>Nov!T$70/60</f>
        <v>0</v>
      </c>
      <c r="O17" s="450">
        <f>Nov!U$70/60</f>
        <v>0</v>
      </c>
      <c r="P17" s="450">
        <f>Nov!V$70/60</f>
        <v>0</v>
      </c>
      <c r="Q17" s="450">
        <f>Nov!W$70/60</f>
        <v>0</v>
      </c>
      <c r="R17" s="450">
        <f>Nov!X$70/60</f>
        <v>0</v>
      </c>
      <c r="S17" s="450">
        <f>Nov!Y$70/60</f>
        <v>0</v>
      </c>
      <c r="T17" s="450">
        <f>Nov!Z$70/60</f>
        <v>0</v>
      </c>
      <c r="U17" s="450">
        <f>Nov!AA$70/60</f>
        <v>0</v>
      </c>
      <c r="V17" s="450">
        <f>Nov!AB$70/60</f>
        <v>0</v>
      </c>
      <c r="W17" s="450">
        <f>Nov!AC$70/60</f>
        <v>0</v>
      </c>
      <c r="X17" s="450">
        <f t="shared" si="0"/>
        <v>0</v>
      </c>
      <c r="Y17" s="450">
        <f>+AVERAGE($X$7:X17)</f>
        <v>155.29545454545456</v>
      </c>
      <c r="AA17" s="471"/>
    </row>
    <row r="18" spans="1:27">
      <c r="A18" s="449" t="s">
        <v>42</v>
      </c>
      <c r="B18" s="450">
        <f>Dec!H$58/60</f>
        <v>0</v>
      </c>
      <c r="C18" s="450">
        <f>Dec!I$58/60</f>
        <v>0</v>
      </c>
      <c r="D18" s="450">
        <f>Dec!J$58/60</f>
        <v>0</v>
      </c>
      <c r="E18" s="450">
        <f>Dec!K$58/60</f>
        <v>0</v>
      </c>
      <c r="F18" s="450">
        <f>Dec!L$58/60</f>
        <v>0</v>
      </c>
      <c r="G18" s="450">
        <f>Dec!M$58/60</f>
        <v>0</v>
      </c>
      <c r="H18" s="450">
        <f>Dec!N$58/60</f>
        <v>0</v>
      </c>
      <c r="I18" s="450">
        <f>Dec!O$58/60</f>
        <v>0</v>
      </c>
      <c r="J18" s="450">
        <f>Dec!P$58/60</f>
        <v>0</v>
      </c>
      <c r="K18" s="450">
        <f>Dec!Q$58/60</f>
        <v>0</v>
      </c>
      <c r="L18" s="450">
        <f>Dec!R$58/60</f>
        <v>0</v>
      </c>
      <c r="M18" s="450">
        <f>Dec!S$58/60</f>
        <v>0</v>
      </c>
      <c r="N18" s="450">
        <f>Dec!T$58/60</f>
        <v>0</v>
      </c>
      <c r="O18" s="450">
        <f>Dec!U$58/60</f>
        <v>0</v>
      </c>
      <c r="P18" s="450">
        <f>Dec!V$58/60</f>
        <v>0</v>
      </c>
      <c r="Q18" s="450">
        <f>Dec!W$58/60</f>
        <v>0</v>
      </c>
      <c r="R18" s="450">
        <f>Dec!X$58/60</f>
        <v>0</v>
      </c>
      <c r="S18" s="450">
        <f>Dec!Y$58/60</f>
        <v>0</v>
      </c>
      <c r="T18" s="450">
        <f>Dec!Z$58/60</f>
        <v>0</v>
      </c>
      <c r="U18" s="450">
        <f>Dec!AA$58/60</f>
        <v>0</v>
      </c>
      <c r="V18" s="450">
        <f>Dec!AB$58/60</f>
        <v>0</v>
      </c>
      <c r="W18" s="450">
        <f>Dec!AC$58/60</f>
        <v>0</v>
      </c>
      <c r="X18" s="450">
        <f t="shared" si="0"/>
        <v>0</v>
      </c>
      <c r="Y18" s="450">
        <f>+AVERAGE($X$7:X18)</f>
        <v>142.35416666666669</v>
      </c>
      <c r="AA18" s="471"/>
    </row>
    <row r="19" spans="1:27" ht="12" customHeight="1">
      <c r="A19" s="452" t="s">
        <v>43</v>
      </c>
      <c r="B19" s="453">
        <f t="shared" ref="B19:I19" si="1">SUM(B7:B18)</f>
        <v>7.6499999999999986</v>
      </c>
      <c r="C19" s="453">
        <f t="shared" si="1"/>
        <v>178.86666666666667</v>
      </c>
      <c r="D19" s="453">
        <f t="shared" si="1"/>
        <v>113.75</v>
      </c>
      <c r="E19" s="453">
        <f t="shared" si="1"/>
        <v>9.0166666666666657</v>
      </c>
      <c r="F19" s="453">
        <f t="shared" si="1"/>
        <v>10.016666666666666</v>
      </c>
      <c r="G19" s="453">
        <f t="shared" si="1"/>
        <v>7.1333333333333329</v>
      </c>
      <c r="H19" s="453">
        <f t="shared" si="1"/>
        <v>11.533333333333333</v>
      </c>
      <c r="I19" s="453">
        <f t="shared" si="1"/>
        <v>86.366666666666674</v>
      </c>
      <c r="J19" s="453">
        <f t="shared" ref="J19:X19" si="2">SUM(J7:J18)</f>
        <v>230.49999999999997</v>
      </c>
      <c r="K19" s="453">
        <f t="shared" si="2"/>
        <v>113.51666666666667</v>
      </c>
      <c r="L19" s="453">
        <f t="shared" si="2"/>
        <v>110.89999999999999</v>
      </c>
      <c r="M19" s="453">
        <f t="shared" si="2"/>
        <v>134.61666666666665</v>
      </c>
      <c r="N19" s="453">
        <f t="shared" si="2"/>
        <v>62.816666666666677</v>
      </c>
      <c r="O19" s="453">
        <f t="shared" si="2"/>
        <v>25.866666666666667</v>
      </c>
      <c r="P19" s="453">
        <f t="shared" si="2"/>
        <v>218.28333333333333</v>
      </c>
      <c r="Q19" s="453">
        <f t="shared" si="2"/>
        <v>43.116666666666667</v>
      </c>
      <c r="R19" s="453">
        <f t="shared" si="2"/>
        <v>36.349999999999994</v>
      </c>
      <c r="S19" s="453">
        <f t="shared" si="2"/>
        <v>1.4333333333333331</v>
      </c>
      <c r="T19" s="453">
        <f t="shared" si="2"/>
        <v>250.66666666666666</v>
      </c>
      <c r="U19" s="453">
        <f t="shared" si="2"/>
        <v>2.9499999999999993</v>
      </c>
      <c r="V19" s="453">
        <f t="shared" si="2"/>
        <v>48.233333333333334</v>
      </c>
      <c r="W19" s="453">
        <f t="shared" si="2"/>
        <v>4.666666666666667</v>
      </c>
      <c r="X19" s="468">
        <f t="shared" si="2"/>
        <v>1708.2500000000002</v>
      </c>
      <c r="Y19" s="472"/>
      <c r="AA19" s="473">
        <f>SUM(AA7:AA18)</f>
        <v>0</v>
      </c>
    </row>
    <row r="20" spans="1:27">
      <c r="A20" s="454"/>
      <c r="B20" s="455"/>
      <c r="C20" s="455"/>
      <c r="D20" s="455"/>
      <c r="E20" s="455"/>
      <c r="F20" s="455"/>
      <c r="G20" s="455"/>
      <c r="H20" s="455"/>
      <c r="I20" s="455"/>
      <c r="J20" s="455"/>
      <c r="K20" s="455"/>
      <c r="L20" s="455"/>
      <c r="M20" s="455"/>
      <c r="N20" s="455"/>
      <c r="O20" s="455"/>
      <c r="P20" s="455"/>
      <c r="Q20" s="455"/>
      <c r="R20" s="455"/>
      <c r="S20" s="455"/>
      <c r="T20" s="455"/>
      <c r="U20" s="455"/>
      <c r="V20" s="455"/>
      <c r="W20" s="455"/>
      <c r="X20" s="466"/>
      <c r="Y20" s="474"/>
      <c r="AA20" s="466"/>
    </row>
    <row r="21" spans="1:27" ht="15">
      <c r="A21" s="456" t="s">
        <v>44</v>
      </c>
      <c r="B21" s="457">
        <f t="shared" ref="B21:W21" si="3">(B19/$X19)</f>
        <v>4.4782672325479281E-3</v>
      </c>
      <c r="C21" s="457">
        <f t="shared" si="3"/>
        <v>0.10470754670959558</v>
      </c>
      <c r="D21" s="457">
        <f t="shared" si="3"/>
        <v>6.6588614078735536E-2</v>
      </c>
      <c r="E21" s="457">
        <f t="shared" si="3"/>
        <v>5.2783062588418932E-3</v>
      </c>
      <c r="F21" s="457">
        <f t="shared" si="3"/>
        <v>5.8637006683252826E-3</v>
      </c>
      <c r="G21" s="457">
        <f t="shared" si="3"/>
        <v>4.175813454314844E-3</v>
      </c>
      <c r="H21" s="457">
        <f t="shared" si="3"/>
        <v>6.751548856041757E-3</v>
      </c>
      <c r="I21" s="457">
        <f t="shared" si="3"/>
        <v>5.0558563832382067E-2</v>
      </c>
      <c r="J21" s="457">
        <f t="shared" si="3"/>
        <v>0.13493341138592124</v>
      </c>
      <c r="K21" s="457">
        <f t="shared" si="3"/>
        <v>6.6452022049856077E-2</v>
      </c>
      <c r="L21" s="457">
        <f t="shared" si="3"/>
        <v>6.4920240011707875E-2</v>
      </c>
      <c r="M21" s="457">
        <f t="shared" si="3"/>
        <v>7.8803844089955583E-2</v>
      </c>
      <c r="N21" s="457">
        <f t="shared" si="3"/>
        <v>3.6772525489048247E-2</v>
      </c>
      <c r="O21" s="457">
        <f t="shared" si="3"/>
        <v>1.5142202058637005E-2</v>
      </c>
      <c r="P21" s="457">
        <f t="shared" si="3"/>
        <v>0.12778184301673251</v>
      </c>
      <c r="Q21" s="457">
        <f t="shared" si="3"/>
        <v>2.5240255622225472E-2</v>
      </c>
      <c r="R21" s="457">
        <f t="shared" si="3"/>
        <v>2.12790867847212E-2</v>
      </c>
      <c r="S21" s="457">
        <f t="shared" si="3"/>
        <v>8.3906532025952458E-4</v>
      </c>
      <c r="T21" s="457">
        <f t="shared" si="3"/>
        <v>0.14673886531050293</v>
      </c>
      <c r="U21" s="457">
        <f t="shared" si="3"/>
        <v>1.7269135079759981E-3</v>
      </c>
      <c r="V21" s="457">
        <f t="shared" si="3"/>
        <v>2.8235523684082147E-2</v>
      </c>
      <c r="W21" s="457">
        <f t="shared" si="3"/>
        <v>2.7318405775891507E-3</v>
      </c>
      <c r="X21" s="456"/>
      <c r="Y21" s="456"/>
      <c r="AA21" s="475"/>
    </row>
    <row r="22" spans="1:27">
      <c r="A22" s="458"/>
      <c r="Y22" s="186"/>
    </row>
    <row r="23" spans="1:27">
      <c r="A23" s="458"/>
      <c r="B23" s="352">
        <f t="shared" ref="B23:W23" si="4">B15/$X$15</f>
        <v>4.885574697865774E-3</v>
      </c>
      <c r="C23" s="459">
        <f t="shared" si="4"/>
        <v>0.12869632296220107</v>
      </c>
      <c r="D23" s="459">
        <f t="shared" si="4"/>
        <v>0.14129596297248648</v>
      </c>
      <c r="E23" s="352">
        <f t="shared" si="4"/>
        <v>6.5569555155566969E-3</v>
      </c>
      <c r="F23" s="352">
        <f t="shared" si="4"/>
        <v>3.4713293905888399E-3</v>
      </c>
      <c r="G23" s="352">
        <f t="shared" si="4"/>
        <v>0</v>
      </c>
      <c r="H23" s="352">
        <f t="shared" si="4"/>
        <v>1.1313962458215476E-2</v>
      </c>
      <c r="I23" s="352">
        <f t="shared" si="4"/>
        <v>3.2527642067369501E-2</v>
      </c>
      <c r="J23" s="459">
        <f t="shared" si="4"/>
        <v>5.4255592697351494E-2</v>
      </c>
      <c r="K23" s="459">
        <f t="shared" si="4"/>
        <v>4.9627153509899713E-2</v>
      </c>
      <c r="L23" s="459">
        <f t="shared" si="4"/>
        <v>8.5497557212651051E-2</v>
      </c>
      <c r="M23" s="459">
        <f t="shared" si="4"/>
        <v>8.4597582926202092E-2</v>
      </c>
      <c r="N23" s="459">
        <f t="shared" si="4"/>
        <v>2.4685008999742863E-2</v>
      </c>
      <c r="O23" s="352">
        <f t="shared" si="4"/>
        <v>2.6999228593468753E-2</v>
      </c>
      <c r="P23" s="352">
        <f t="shared" si="4"/>
        <v>5.1169966572383638E-2</v>
      </c>
      <c r="Q23" s="352">
        <f t="shared" si="4"/>
        <v>4.5255849832861905E-2</v>
      </c>
      <c r="R23" s="352">
        <f t="shared" si="4"/>
        <v>5.0655695551555663E-2</v>
      </c>
      <c r="S23" s="352">
        <f t="shared" si="4"/>
        <v>3.4713293905888399E-3</v>
      </c>
      <c r="T23" s="352">
        <f t="shared" si="4"/>
        <v>0.15955258421187965</v>
      </c>
      <c r="U23" s="352">
        <f t="shared" si="4"/>
        <v>1.1571097968629466E-3</v>
      </c>
      <c r="V23" s="352">
        <f t="shared" si="4"/>
        <v>3.4327590640267414E-2</v>
      </c>
      <c r="W23" s="352">
        <f t="shared" si="4"/>
        <v>0</v>
      </c>
      <c r="Y23" s="186"/>
    </row>
    <row r="24" spans="1:27">
      <c r="A24" s="458"/>
      <c r="Y24" s="186"/>
    </row>
    <row r="25" spans="1:27">
      <c r="A25" s="458"/>
      <c r="Y25" s="186"/>
    </row>
    <row r="26" spans="1:27">
      <c r="A26" s="458"/>
      <c r="Y26" s="186"/>
    </row>
    <row r="27" spans="1:27">
      <c r="A27" s="458"/>
      <c r="Y27" s="186"/>
    </row>
    <row r="28" spans="1:27">
      <c r="A28" s="458"/>
      <c r="Y28" s="186"/>
    </row>
    <row r="29" spans="1:27">
      <c r="A29" s="458"/>
      <c r="Y29" s="186"/>
    </row>
    <row r="30" spans="1:27">
      <c r="A30" s="458"/>
      <c r="Y30" s="186"/>
    </row>
    <row r="31" spans="1:27">
      <c r="A31" s="458"/>
      <c r="Y31" s="186"/>
    </row>
    <row r="32" spans="1:27">
      <c r="A32" s="458"/>
      <c r="Y32" s="186"/>
    </row>
    <row r="33" spans="1:27">
      <c r="A33" s="458"/>
      <c r="Y33" s="186"/>
    </row>
    <row r="34" spans="1:27">
      <c r="A34" s="458"/>
      <c r="Y34" s="186"/>
    </row>
    <row r="35" spans="1:27">
      <c r="A35" s="458"/>
      <c r="Y35" s="186"/>
    </row>
    <row r="36" spans="1:27">
      <c r="A36" s="458"/>
      <c r="Y36" s="186"/>
    </row>
    <row r="37" spans="1:27">
      <c r="A37" s="458"/>
      <c r="Y37" s="186"/>
    </row>
    <row r="38" spans="1:27">
      <c r="A38" s="458"/>
      <c r="Y38" s="186"/>
    </row>
    <row r="39" spans="1:27">
      <c r="A39" s="458"/>
      <c r="Y39" s="186"/>
    </row>
    <row r="40" spans="1:27">
      <c r="A40" s="458"/>
      <c r="Y40" s="186"/>
    </row>
    <row r="41" spans="1:27">
      <c r="A41" s="458"/>
      <c r="Y41" s="186"/>
    </row>
    <row r="42" spans="1:27">
      <c r="A42" s="458"/>
      <c r="Y42" s="186"/>
    </row>
    <row r="43" spans="1:27">
      <c r="A43" s="460" t="s">
        <v>45</v>
      </c>
      <c r="B43" s="37"/>
      <c r="C43" s="37"/>
      <c r="D43" s="37"/>
      <c r="E43" s="37"/>
      <c r="F43" s="37"/>
      <c r="G43" s="37"/>
      <c r="H43" s="37"/>
      <c r="I43" s="3"/>
      <c r="J43" s="3"/>
      <c r="K43" s="3"/>
      <c r="L43" s="3"/>
      <c r="M43" s="478" t="s">
        <v>46</v>
      </c>
      <c r="Y43" s="186"/>
      <c r="AA43" s="479" t="s">
        <v>47</v>
      </c>
    </row>
    <row r="44" spans="1:27">
      <c r="A44" s="461"/>
      <c r="B44" s="462"/>
      <c r="C44" s="462"/>
      <c r="D44" s="462"/>
      <c r="E44" s="462"/>
      <c r="F44" s="462"/>
      <c r="G44" s="462"/>
      <c r="H44" s="462"/>
      <c r="I44" s="463"/>
      <c r="J44" s="463"/>
      <c r="K44" s="463"/>
      <c r="L44" s="463"/>
      <c r="M44" s="464"/>
      <c r="N44" s="464"/>
      <c r="O44" s="464"/>
      <c r="P44" s="464"/>
      <c r="Q44" s="464"/>
      <c r="R44" s="464"/>
      <c r="S44" s="464"/>
      <c r="T44" s="464"/>
      <c r="U44" s="464"/>
      <c r="V44" s="464"/>
      <c r="W44" s="464"/>
      <c r="X44" s="464"/>
      <c r="Y44" s="476"/>
      <c r="AA44" s="480" t="s">
        <v>48</v>
      </c>
    </row>
  </sheetData>
  <mergeCells count="2">
    <mergeCell ref="E5:U5"/>
    <mergeCell ref="A5:A6"/>
  </mergeCells>
  <pageMargins left="0.75" right="0.75" top="1" bottom="1" header="0.5" footer="0.5"/>
  <pageSetup paperSize="5" scale="6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
  <sheetViews>
    <sheetView topLeftCell="B1" zoomScale="85" zoomScaleNormal="85" workbookViewId="0">
      <selection activeCell="W34" sqref="W34"/>
    </sheetView>
  </sheetViews>
  <sheetFormatPr defaultColWidth="9" defaultRowHeight="12.75"/>
  <sheetData/>
  <pageMargins left="0.7" right="0.7" top="0.75" bottom="0.75" header="0.3" footer="0.3"/>
  <pageSetup scale="67"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C2:S124"/>
  <sheetViews>
    <sheetView showGridLines="0" showZeros="0" topLeftCell="A49" workbookViewId="0">
      <selection activeCell="D83" sqref="D83"/>
    </sheetView>
  </sheetViews>
  <sheetFormatPr defaultColWidth="9" defaultRowHeight="12.75"/>
  <cols>
    <col min="3" max="3" width="20.5703125" customWidth="1"/>
    <col min="4" max="4" width="10.5703125" customWidth="1"/>
    <col min="5" max="5" width="19.5703125" customWidth="1"/>
    <col min="6" max="6" width="2.5703125" customWidth="1"/>
    <col min="7" max="7" width="20.5703125" customWidth="1"/>
    <col min="9" max="9" width="12.5703125" customWidth="1"/>
    <col min="10" max="10" width="2.5703125" customWidth="1"/>
    <col min="11" max="11" width="20.5703125" customWidth="1"/>
    <col min="12" max="12" width="8" customWidth="1"/>
    <col min="13" max="13" width="11" customWidth="1"/>
    <col min="14" max="14" width="2.5703125" customWidth="1"/>
    <col min="15" max="15" width="20.5703125" customWidth="1"/>
    <col min="17" max="17" width="12.42578125" customWidth="1"/>
  </cols>
  <sheetData>
    <row r="2" spans="3:17" ht="15.75">
      <c r="C2" s="642" t="s">
        <v>49</v>
      </c>
      <c r="D2" s="642"/>
      <c r="E2" s="642"/>
      <c r="G2" s="642" t="s">
        <v>50</v>
      </c>
      <c r="H2" s="642" t="s">
        <v>32</v>
      </c>
      <c r="I2" s="642"/>
      <c r="K2" s="642" t="s">
        <v>51</v>
      </c>
      <c r="L2" s="642" t="s">
        <v>33</v>
      </c>
      <c r="M2" s="642"/>
      <c r="O2" s="642" t="s">
        <v>52</v>
      </c>
      <c r="P2" s="642" t="s">
        <v>34</v>
      </c>
      <c r="Q2" s="642"/>
    </row>
    <row r="3" spans="3:17" ht="25.5">
      <c r="C3" s="410" t="s">
        <v>53</v>
      </c>
      <c r="D3" s="411" t="s">
        <v>54</v>
      </c>
      <c r="E3" s="412" t="s">
        <v>55</v>
      </c>
      <c r="F3" s="37"/>
      <c r="G3" s="410" t="s">
        <v>53</v>
      </c>
      <c r="H3" s="411" t="s">
        <v>54</v>
      </c>
      <c r="I3" s="412" t="s">
        <v>55</v>
      </c>
      <c r="J3" s="37"/>
      <c r="K3" s="410" t="s">
        <v>53</v>
      </c>
      <c r="L3" s="411" t="s">
        <v>54</v>
      </c>
      <c r="M3" s="412" t="s">
        <v>55</v>
      </c>
      <c r="N3" s="37"/>
      <c r="O3" s="410" t="s">
        <v>53</v>
      </c>
      <c r="P3" s="411" t="s">
        <v>54</v>
      </c>
      <c r="Q3" s="412" t="s">
        <v>55</v>
      </c>
    </row>
    <row r="4" spans="3:17">
      <c r="C4" s="413" t="s">
        <v>14</v>
      </c>
      <c r="D4" s="414">
        <f>'Monthly summary loss'!$J$7/'Monthly summary loss'!$X$7</f>
        <v>8.534149913460258E-2</v>
      </c>
      <c r="E4" s="415">
        <f>SUM(D$4:D4)</f>
        <v>8.534149913460258E-2</v>
      </c>
      <c r="G4" s="413" t="s">
        <v>14</v>
      </c>
      <c r="H4" s="414">
        <f>'Monthly summary loss'!$J8/'Monthly summary loss'!$X$8</f>
        <v>0.26068436745704954</v>
      </c>
      <c r="I4" s="415">
        <f>SUM(H$4:H4)</f>
        <v>0.26068436745704954</v>
      </c>
      <c r="K4" s="413" t="s">
        <v>14</v>
      </c>
      <c r="L4" s="414">
        <f>'Monthly summary loss'!$J9/'Monthly summary loss'!$X9</f>
        <v>0.30707159624413144</v>
      </c>
      <c r="M4" s="415">
        <f>SUM(L$4:L4)</f>
        <v>0.30707159624413144</v>
      </c>
      <c r="O4" s="413" t="s">
        <v>14</v>
      </c>
      <c r="P4" s="428">
        <f>'Monthly summary loss'!$J10/'Monthly summary loss'!$X10</f>
        <v>0.14210231366583936</v>
      </c>
      <c r="Q4" s="415">
        <f>SUM(P$4:P4)</f>
        <v>0.14210231366583936</v>
      </c>
    </row>
    <row r="5" spans="3:17">
      <c r="C5" s="413" t="s">
        <v>18</v>
      </c>
      <c r="D5" s="414">
        <f>'Monthly summary loss'!$N$7/'Monthly summary loss'!$X$7</f>
        <v>1.3580082545599786E-2</v>
      </c>
      <c r="E5" s="415">
        <f>SUM(D$4:D5)</f>
        <v>9.8921581680202361E-2</v>
      </c>
      <c r="G5" s="413" t="s">
        <v>7</v>
      </c>
      <c r="H5" s="414">
        <f>'Monthly summary loss'!$C8/'Monthly summary loss'!$X$8</f>
        <v>7.7807752378247885E-2</v>
      </c>
      <c r="I5" s="415">
        <f>SUM(H$4:H5)</f>
        <v>0.33849211983529742</v>
      </c>
      <c r="K5" s="413" t="s">
        <v>8</v>
      </c>
      <c r="L5" s="414">
        <f>'Monthly summary loss'!$D9/'Monthly summary loss'!$X$9</f>
        <v>3.3083920187793429E-2</v>
      </c>
      <c r="M5" s="415">
        <f>SUM(L$4:L5)</f>
        <v>0.34015551643192488</v>
      </c>
      <c r="O5" s="413" t="s">
        <v>56</v>
      </c>
      <c r="P5" s="428">
        <f>'Monthly summary loss'!$W10/'Monthly summary loss'!$X10</f>
        <v>0</v>
      </c>
      <c r="Q5" s="415">
        <f>SUM(P$4:P5)</f>
        <v>0.14210231366583936</v>
      </c>
    </row>
    <row r="6" spans="3:17">
      <c r="C6" s="413" t="s">
        <v>16</v>
      </c>
      <c r="D6" s="414">
        <f>'Monthly summary loss'!$L$7/'Monthly summary loss'!$X$7</f>
        <v>1.8439621887897748E-2</v>
      </c>
      <c r="E6" s="415">
        <f>SUM(D$4:D6)</f>
        <v>0.11736120356810011</v>
      </c>
      <c r="G6" s="413" t="s">
        <v>18</v>
      </c>
      <c r="H6" s="414">
        <f>'Monthly summary loss'!$N8/'Monthly summary loss'!$X$8</f>
        <v>1.2210705665199486E-2</v>
      </c>
      <c r="I6" s="415">
        <f>SUM(H$4:H6)</f>
        <v>0.35070282550049692</v>
      </c>
      <c r="K6" s="413" t="s">
        <v>20</v>
      </c>
      <c r="L6" s="414">
        <f>'Monthly summary loss'!$P9/'Monthly summary loss'!$X9</f>
        <v>5.993251173708921E-2</v>
      </c>
      <c r="M6" s="415">
        <f>SUM(L$4:L6)</f>
        <v>0.40008802816901406</v>
      </c>
      <c r="O6" s="413" t="s">
        <v>18</v>
      </c>
      <c r="P6" s="428">
        <f>'Monthly summary loss'!$N10/'Monthly summary loss'!$X10</f>
        <v>4.3311184052517812E-2</v>
      </c>
      <c r="Q6" s="415">
        <f>SUM(P$4:P6)</f>
        <v>0.18541349771835719</v>
      </c>
    </row>
    <row r="7" spans="3:17" ht="12.75" customHeight="1">
      <c r="C7" s="413" t="s">
        <v>7</v>
      </c>
      <c r="D7" s="414">
        <f>'Monthly summary loss'!$C$7/'Monthly summary loss'!$X$7</f>
        <v>8.620689655172413E-2</v>
      </c>
      <c r="E7" s="415">
        <f>SUM(D$4:D7)</f>
        <v>0.20356810011982424</v>
      </c>
      <c r="G7" s="413" t="s">
        <v>8</v>
      </c>
      <c r="H7" s="414">
        <f>'Monthly summary loss'!$D8/'Monthly summary loss'!$X$8</f>
        <v>4.8203890387618901E-2</v>
      </c>
      <c r="I7" s="415">
        <f>SUM(H$4:H7)</f>
        <v>0.39890671588811583</v>
      </c>
      <c r="K7" s="413" t="s">
        <v>15</v>
      </c>
      <c r="L7" s="414">
        <f>'Monthly summary loss'!$K9/'Monthly summary loss'!$X9</f>
        <v>6.0372652582159625E-2</v>
      </c>
      <c r="M7" s="415">
        <f>SUM(L$4:L7)</f>
        <v>0.46046068075117369</v>
      </c>
      <c r="O7" s="413" t="s">
        <v>24</v>
      </c>
      <c r="P7" s="428">
        <f>'Monthly summary loss'!$T10/'Monthly summary loss'!$X10</f>
        <v>9.1425826595148502E-2</v>
      </c>
      <c r="Q7" s="415">
        <f>SUM(P$4:P7)</f>
        <v>0.27683932431350566</v>
      </c>
    </row>
    <row r="8" spans="3:17" ht="12.75" customHeight="1">
      <c r="C8" s="413" t="s">
        <v>24</v>
      </c>
      <c r="D8" s="414">
        <f>'Monthly summary loss'!$T$7/'Monthly summary loss'!$X$7</f>
        <v>0.17547596857941683</v>
      </c>
      <c r="E8" s="415">
        <f>SUM(D$4:D8)</f>
        <v>0.37904406869924107</v>
      </c>
      <c r="G8" s="413" t="s">
        <v>20</v>
      </c>
      <c r="H8" s="414">
        <f>'Monthly summary loss'!$P8/'Monthly summary loss'!$X$8</f>
        <v>8.078943631975008E-2</v>
      </c>
      <c r="I8" s="415">
        <f>SUM(H$4:H8)</f>
        <v>0.47969615220786588</v>
      </c>
      <c r="K8" s="413" t="s">
        <v>7</v>
      </c>
      <c r="L8" s="414">
        <f>'Monthly summary loss'!$C$9/'Monthly summary loss'!$X$9</f>
        <v>9.1842723004694843E-2</v>
      </c>
      <c r="M8" s="415">
        <f>SUM(L$4:L8)</f>
        <v>0.5523034037558685</v>
      </c>
      <c r="O8" s="413" t="s">
        <v>7</v>
      </c>
      <c r="P8" s="428">
        <f>'Monthly summary loss'!$C$10/'Monthly summary loss'!$X$10</f>
        <v>0.1051156832919702</v>
      </c>
      <c r="Q8" s="415">
        <f>SUM(P$4:P8)</f>
        <v>0.38195500760547585</v>
      </c>
    </row>
    <row r="9" spans="3:17" ht="12.75" customHeight="1">
      <c r="C9" s="413" t="s">
        <v>8</v>
      </c>
      <c r="D9" s="414">
        <f>'Monthly summary loss'!$D$7/'Monthly summary loss'!$X$7</f>
        <v>3.8144055385434694E-2</v>
      </c>
      <c r="E9" s="415">
        <f>SUM(D$4:D9)</f>
        <v>0.41718812408467576</v>
      </c>
      <c r="G9" s="413" t="s">
        <v>16</v>
      </c>
      <c r="H9" s="414">
        <f>'Monthly summary loss'!$L8/'Monthly summary loss'!$X$8</f>
        <v>1.7819111174215529E-2</v>
      </c>
      <c r="I9" s="415">
        <f>SUM(H$4:H9)</f>
        <v>0.49751526338208141</v>
      </c>
      <c r="K9" s="413" t="s">
        <v>18</v>
      </c>
      <c r="L9" s="414">
        <f>'Monthly summary loss'!$N9/'Monthly summary loss'!$X9</f>
        <v>2.171361502347418E-2</v>
      </c>
      <c r="M9" s="415">
        <f>SUM(L$4:L9)</f>
        <v>0.57401701877934264</v>
      </c>
      <c r="O9" s="413" t="s">
        <v>16</v>
      </c>
      <c r="P9" s="428">
        <f>'Monthly summary loss'!$L10/'Monthly summary loss'!$X10</f>
        <v>0.21087182771595545</v>
      </c>
      <c r="Q9" s="415">
        <f>SUM(P$4:P9)</f>
        <v>0.59282683532143132</v>
      </c>
    </row>
    <row r="10" spans="3:17" ht="12.75" customHeight="1">
      <c r="C10" s="413" t="s">
        <v>20</v>
      </c>
      <c r="D10" s="414">
        <f>'Monthly summary loss'!$P$7/'Monthly summary loss'!$X$7</f>
        <v>0.40454000798828382</v>
      </c>
      <c r="E10" s="415">
        <f>SUM(D$4:D10)</f>
        <v>0.82172813207295958</v>
      </c>
      <c r="G10" s="413" t="s">
        <v>12</v>
      </c>
      <c r="H10" s="414">
        <f>'Monthly summary loss'!$H8/'Monthly summary loss'!$X$8</f>
        <v>2.5557290927161715E-2</v>
      </c>
      <c r="I10" s="415">
        <f>SUM(H$4:H10)</f>
        <v>0.52307255430924315</v>
      </c>
      <c r="K10" s="413" t="s">
        <v>16</v>
      </c>
      <c r="L10" s="414">
        <f>'Monthly summary loss'!$L9/'Monthly summary loss'!$X9</f>
        <v>4.7975352112676062E-2</v>
      </c>
      <c r="M10" s="415">
        <f>SUM(L$4:L10)</f>
        <v>0.62199237089201875</v>
      </c>
      <c r="O10" s="413" t="s">
        <v>11</v>
      </c>
      <c r="P10" s="428">
        <f>'Monthly summary loss'!$G10/'Monthly summary loss'!$X10</f>
        <v>0</v>
      </c>
      <c r="Q10" s="415">
        <f>SUM(P$4:P10)</f>
        <v>0.59282683532143132</v>
      </c>
    </row>
    <row r="11" spans="3:17" ht="13.35" customHeight="1">
      <c r="C11" s="413" t="s">
        <v>15</v>
      </c>
      <c r="D11" s="414">
        <f>'Monthly summary loss'!$K$7/'Monthly summary loss'!$X$7</f>
        <v>2.9689788310477964E-2</v>
      </c>
      <c r="E11" s="415">
        <f>SUM(D$4:D11)</f>
        <v>0.85141792038343755</v>
      </c>
      <c r="G11" s="413" t="s">
        <v>24</v>
      </c>
      <c r="H11" s="414">
        <f>'Monthly summary loss'!$T8/'Monthly summary loss'!$X$8</f>
        <v>0.11216811018032086</v>
      </c>
      <c r="I11" s="415">
        <f>SUM(H$4:H11)</f>
        <v>0.63524066448956407</v>
      </c>
      <c r="K11" s="413" t="s">
        <v>56</v>
      </c>
      <c r="L11" s="414">
        <f>'Monthly summary loss'!$W$9/'Monthly summary loss'!$X$9</f>
        <v>0</v>
      </c>
      <c r="M11" s="415">
        <f>SUM(L$4:L11)</f>
        <v>0.62199237089201875</v>
      </c>
      <c r="O11" s="413" t="s">
        <v>15</v>
      </c>
      <c r="P11" s="428">
        <f>'Monthly summary loss'!$K10/'Monthly summary loss'!$X10</f>
        <v>5.2757985749739798E-2</v>
      </c>
      <c r="Q11" s="415">
        <f>SUM(P$4:P11)</f>
        <v>0.6455848210711711</v>
      </c>
    </row>
    <row r="12" spans="3:17">
      <c r="C12" s="413" t="s">
        <v>11</v>
      </c>
      <c r="D12" s="414">
        <f>'Monthly summary loss'!$G$7/'Monthly summary loss'!$X$7</f>
        <v>5.3920915989881506E-3</v>
      </c>
      <c r="E12" s="415">
        <f>SUM(D$4:D12)</f>
        <v>0.85681001198242568</v>
      </c>
      <c r="G12" s="413" t="s">
        <v>11</v>
      </c>
      <c r="H12" s="414">
        <f>'Monthly summary loss'!$G8/'Monthly summary loss'!$X$8</f>
        <v>8.4481045009229001E-3</v>
      </c>
      <c r="I12" s="415">
        <f>SUM(H$4:H12)</f>
        <v>0.64368876899048699</v>
      </c>
      <c r="K12" s="413" t="s">
        <v>24</v>
      </c>
      <c r="L12" s="414">
        <f>'Monthly summary loss'!$T9/'Monthly summary loss'!$X9</f>
        <v>0.13556338028169015</v>
      </c>
      <c r="M12" s="415">
        <f>SUM(L$4:L12)</f>
        <v>0.75755575117370888</v>
      </c>
      <c r="O12" s="413" t="s">
        <v>20</v>
      </c>
      <c r="P12" s="428">
        <f>'Monthly summary loss'!$P10/'Monthly summary loss'!$X10</f>
        <v>0.13729885517572649</v>
      </c>
      <c r="Q12" s="415">
        <f>SUM(P$4:P12)</f>
        <v>0.78288367624689759</v>
      </c>
    </row>
    <row r="13" spans="3:17" ht="12.75" customHeight="1">
      <c r="C13" s="413" t="s">
        <v>21</v>
      </c>
      <c r="D13" s="414">
        <f>'Monthly summary loss'!$Q$7/'Monthly summary loss'!$X$7</f>
        <v>4.8595393422979621E-3</v>
      </c>
      <c r="E13" s="415">
        <f>SUM(D$4:D13)</f>
        <v>0.86166955132472367</v>
      </c>
      <c r="G13" s="413" t="s">
        <v>56</v>
      </c>
      <c r="H13" s="414">
        <f>'Monthly summary loss'!W8/'Monthly summary loss'!$X$8</f>
        <v>0</v>
      </c>
      <c r="I13" s="415">
        <f>SUM(H$4:H13)</f>
        <v>0.64368876899048699</v>
      </c>
      <c r="K13" s="413" t="s">
        <v>17</v>
      </c>
      <c r="L13" s="414">
        <f>'Monthly summary loss'!$M9/'Monthly summary loss'!$X9</f>
        <v>4.4160798122065727E-2</v>
      </c>
      <c r="M13" s="415">
        <f>SUM(L$4:L13)</f>
        <v>0.80171654929577463</v>
      </c>
      <c r="O13" s="413" t="s">
        <v>13</v>
      </c>
      <c r="P13" s="428">
        <f>'Monthly summary loss'!$I10/'Monthly summary loss'!$X10</f>
        <v>3.4905131694820263E-2</v>
      </c>
      <c r="Q13" s="415">
        <f>SUM(P$4:P13)</f>
        <v>0.81778880794171782</v>
      </c>
    </row>
    <row r="14" spans="3:17" ht="12.75" customHeight="1">
      <c r="C14" s="413" t="s">
        <v>57</v>
      </c>
      <c r="D14" s="414">
        <f>'Monthly summary loss'!$M$7/'Monthly summary loss'!$X$7</f>
        <v>5.7582212754626542E-2</v>
      </c>
      <c r="E14" s="415">
        <f>SUM(D$4:D14)</f>
        <v>0.91925176407935016</v>
      </c>
      <c r="G14" s="413" t="s">
        <v>21</v>
      </c>
      <c r="H14" s="414">
        <f>'Monthly summary loss'!$Q8/'Monthly summary loss'!$X$8</f>
        <v>1.3417577736759901E-2</v>
      </c>
      <c r="I14" s="415">
        <f>SUM(H$4:H14)</f>
        <v>0.65710634672724688</v>
      </c>
      <c r="K14" s="413" t="s">
        <v>11</v>
      </c>
      <c r="L14" s="414">
        <f>'Monthly summary loss'!$G9/'Monthly summary loss'!$X9</f>
        <v>5.3550469483568076E-3</v>
      </c>
      <c r="M14" s="415">
        <f>SUM(L$4:L14)</f>
        <v>0.80707159624413138</v>
      </c>
      <c r="O14" s="413" t="s">
        <v>9</v>
      </c>
      <c r="P14" s="423">
        <f>'Monthly summary loss'!$E10/'Monthly summary loss'!$X10</f>
        <v>1.6011528300376267E-3</v>
      </c>
      <c r="Q14" s="415">
        <f>SUM(P$4:P14)</f>
        <v>0.81938996077175541</v>
      </c>
    </row>
    <row r="15" spans="3:17" ht="12.75" customHeight="1">
      <c r="C15" s="413" t="s">
        <v>58</v>
      </c>
      <c r="D15" s="414">
        <f>'Monthly summary loss'!$E$7/'Monthly summary loss'!$X$7</f>
        <v>9.3196644920782849E-4</v>
      </c>
      <c r="E15" s="415">
        <f>SUM(D$4:D15)</f>
        <v>0.92018373052855795</v>
      </c>
      <c r="G15" s="413" t="s">
        <v>15</v>
      </c>
      <c r="H15" s="414">
        <f>'Monthly summary loss'!$K8/'Monthly summary loss'!$X$8</f>
        <v>0.10805054664205592</v>
      </c>
      <c r="I15" s="415">
        <f>SUM(H$4:H15)</f>
        <v>0.76515689336930282</v>
      </c>
      <c r="K15" s="413" t="s">
        <v>13</v>
      </c>
      <c r="L15" s="414">
        <f>'Monthly summary loss'!$I9/'Monthly summary loss'!$X9</f>
        <v>5.6778169014084515E-2</v>
      </c>
      <c r="M15" s="415">
        <f>SUM(L$4:L15)</f>
        <v>0.86384976525821588</v>
      </c>
      <c r="O15" s="413" t="s">
        <v>8</v>
      </c>
      <c r="P15" s="428">
        <f>'Monthly summary loss'!$D10/'Monthly summary loss'!$X$10</f>
        <v>2.9781442638699859E-2</v>
      </c>
      <c r="Q15" s="415">
        <f>SUM(P$4:P15)</f>
        <v>0.84917140341045527</v>
      </c>
    </row>
    <row r="16" spans="3:17" ht="12.75" customHeight="1">
      <c r="C16" s="413" t="s">
        <v>59</v>
      </c>
      <c r="D16" s="414">
        <f>'Monthly summary loss'!$O$7/'Monthly summary loss'!$X$7</f>
        <v>7.6554386899214486E-3</v>
      </c>
      <c r="E16" s="415">
        <f>SUM(D$4:D16)</f>
        <v>0.92783916921847942</v>
      </c>
      <c r="G16" s="413" t="s">
        <v>9</v>
      </c>
      <c r="H16" s="414">
        <f>'Monthly summary loss'!$E8/'Monthly summary loss'!$X$8</f>
        <v>3.2656538406928863E-3</v>
      </c>
      <c r="I16" s="415">
        <f>SUM(H$4:H16)</f>
        <v>0.7684225472099957</v>
      </c>
      <c r="K16" s="413" t="s">
        <v>12</v>
      </c>
      <c r="L16" s="414">
        <f>'Monthly summary loss'!$H9/'Monthly summary loss'!$X9</f>
        <v>5.0616197183098594E-3</v>
      </c>
      <c r="M16" s="415">
        <f>SUM(L$4:L16)</f>
        <v>0.86891138497652576</v>
      </c>
      <c r="O16" s="413" t="s">
        <v>12</v>
      </c>
      <c r="P16" s="428">
        <f>'Monthly summary loss'!$H10/'Monthly summary loss'!$X10</f>
        <v>1.4010087262829235E-2</v>
      </c>
      <c r="Q16" s="415">
        <f>SUM(P$4:P16)</f>
        <v>0.86318149067328453</v>
      </c>
    </row>
    <row r="17" spans="3:17" ht="14.25" customHeight="1">
      <c r="C17" s="413" t="s">
        <v>56</v>
      </c>
      <c r="D17" s="414">
        <f>'Monthly summary loss'!$W$7/'Monthly summary loss'!$X$7</f>
        <v>0</v>
      </c>
      <c r="E17" s="415">
        <f>SUM(D$4:D17)</f>
        <v>0.92783916921847942</v>
      </c>
      <c r="G17" s="413" t="s">
        <v>13</v>
      </c>
      <c r="H17" s="414">
        <f>'Monthly summary loss'!$I$8/'Monthly summary loss'!$X$8</f>
        <v>0.13950021297742438</v>
      </c>
      <c r="I17" s="415">
        <f>SUM(H$4:H17)</f>
        <v>0.90792276018742002</v>
      </c>
      <c r="K17" s="413" t="s">
        <v>59</v>
      </c>
      <c r="L17" s="414">
        <f>'Monthly summary loss'!$O9/'Monthly summary loss'!$X9</f>
        <v>4.3280516431924883E-3</v>
      </c>
      <c r="M17" s="415">
        <f>SUM(L$4:L17)</f>
        <v>0.87323943661971826</v>
      </c>
      <c r="O17" s="413" t="s">
        <v>60</v>
      </c>
      <c r="P17" s="423">
        <f>'Monthly summary loss'!$F10/'Monthly summary loss'!$X10</f>
        <v>6.4846689616523895E-3</v>
      </c>
      <c r="Q17" s="415">
        <f>SUM(P$4:P17)</f>
        <v>0.86966615963493688</v>
      </c>
    </row>
    <row r="18" spans="3:17" ht="12.75" customHeight="1">
      <c r="C18" s="413" t="s">
        <v>12</v>
      </c>
      <c r="D18" s="414">
        <f>'Monthly summary loss'!$H$7/'Monthly summary loss'!$X$7</f>
        <v>0</v>
      </c>
      <c r="E18" s="415">
        <f>SUM(D$4:D18)</f>
        <v>0.92783916921847942</v>
      </c>
      <c r="G18" s="413" t="s">
        <v>59</v>
      </c>
      <c r="H18" s="414">
        <f>'Monthly summary loss'!$O$8/'Monthly summary loss'!$X$8</f>
        <v>4.5435183870509719E-3</v>
      </c>
      <c r="I18" s="415">
        <f>SUM(H$4:H18)</f>
        <v>0.91246627857447105</v>
      </c>
      <c r="K18" s="413" t="s">
        <v>21</v>
      </c>
      <c r="L18" s="414">
        <f>'Monthly summary loss'!$Q9/'Monthly summary loss'!$X9</f>
        <v>4.4014084507042257E-2</v>
      </c>
      <c r="M18" s="415">
        <f>SUM(L$4:L18)</f>
        <v>0.91725352112676051</v>
      </c>
      <c r="O18" s="413" t="s">
        <v>6</v>
      </c>
      <c r="P18" s="428">
        <f>'Monthly summary loss'!$B$10/'Monthly summary loss'!$X$10</f>
        <v>4.5632855656072367E-3</v>
      </c>
      <c r="Q18" s="415">
        <f>SUM(P$4:P18)</f>
        <v>0.87422944520054413</v>
      </c>
    </row>
    <row r="19" spans="3:17" ht="12.75" customHeight="1">
      <c r="C19" s="413" t="s">
        <v>13</v>
      </c>
      <c r="D19" s="414">
        <f>'Monthly summary loss'!$I$7/'Monthly summary loss'!$X$7</f>
        <v>3.7478365064571958E-2</v>
      </c>
      <c r="E19" s="415">
        <f>SUM(D$4:D19)</f>
        <v>0.96531753428305134</v>
      </c>
      <c r="G19" s="413" t="s">
        <v>25</v>
      </c>
      <c r="H19" s="414">
        <f>'Monthly summary loss'!$U$8/'Monthly summary loss'!$X$8</f>
        <v>2.9106914667045287E-3</v>
      </c>
      <c r="I19" s="415">
        <f>SUM(H$4:H19)</f>
        <v>0.91537697004117557</v>
      </c>
      <c r="K19" s="413" t="s">
        <v>9</v>
      </c>
      <c r="L19" s="414">
        <f>'Monthly summary loss'!$E9/'Monthly summary loss'!$X9</f>
        <v>1.6431924882629109E-2</v>
      </c>
      <c r="M19" s="415">
        <f>SUM(L$4:L19)</f>
        <v>0.93368544600938963</v>
      </c>
      <c r="O19" s="413" t="s">
        <v>21</v>
      </c>
      <c r="P19" s="428">
        <f>'Monthly summary loss'!$Q10/'Monthly summary loss'!$X10</f>
        <v>4.8594988391641974E-2</v>
      </c>
      <c r="Q19" s="415">
        <f>SUM(P$4:P19)</f>
        <v>0.92282443359218613</v>
      </c>
    </row>
    <row r="20" spans="3:17" ht="12.75" customHeight="1">
      <c r="C20" s="413" t="s">
        <v>6</v>
      </c>
      <c r="D20" s="414">
        <f>'Monthly summary loss'!$B$7/'Monthly summary loss'!$X$7</f>
        <v>8.7205432033018223E-3</v>
      </c>
      <c r="E20" s="415">
        <f>SUM(D$4:D20)</f>
        <v>0.97403807748635318</v>
      </c>
      <c r="G20" s="413" t="s">
        <v>6</v>
      </c>
      <c r="H20" s="414">
        <f>'Monthly summary loss'!$B$8/'Monthly summary loss'!$X$8</f>
        <v>1.0648871219650715E-3</v>
      </c>
      <c r="I20" s="415">
        <f>SUM(H$4:H20)</f>
        <v>0.91644185716314064</v>
      </c>
      <c r="K20" s="413" t="s">
        <v>6</v>
      </c>
      <c r="L20" s="414">
        <f>'Monthly summary loss'!$B$9/'Monthly summary loss'!$X$9</f>
        <v>3.3010563380281694E-3</v>
      </c>
      <c r="M20" s="415">
        <f>SUM(L$4:L20)</f>
        <v>0.93698650234741776</v>
      </c>
      <c r="O20" s="413" t="s">
        <v>59</v>
      </c>
      <c r="P20" s="428">
        <f>'Monthly summary loss'!$O10/'Monthly summary loss'!$X10</f>
        <v>1.8733488111440235E-2</v>
      </c>
      <c r="Q20" s="415">
        <f>SUM(P$4:P20)</f>
        <v>0.9415579217036264</v>
      </c>
    </row>
    <row r="21" spans="3:17" ht="12.75" customHeight="1">
      <c r="C21" s="413" t="s">
        <v>60</v>
      </c>
      <c r="D21" s="414">
        <f>'Monthly summary loss'!$F$7/'Monthly summary loss'!$X$7</f>
        <v>1.0651045133803754E-3</v>
      </c>
      <c r="E21" s="415">
        <f>SUM(D$4:D21)</f>
        <v>0.97510318199973356</v>
      </c>
      <c r="G21" s="413" t="s">
        <v>60</v>
      </c>
      <c r="H21" s="414">
        <f>'Monthly summary loss'!$F8/'Monthly summary loss'!$X$8</f>
        <v>2.626721567513843E-3</v>
      </c>
      <c r="I21" s="415">
        <f>SUM(H$4:H21)</f>
        <v>0.91906857873065451</v>
      </c>
      <c r="K21" s="413" t="s">
        <v>61</v>
      </c>
      <c r="L21" s="414">
        <f>'Monthly summary loss'!$F9/'Monthly summary loss'!$X9</f>
        <v>1.0269953051643193E-3</v>
      </c>
      <c r="M21" s="415">
        <f>SUM(L$4:L21)</f>
        <v>0.93801349765258213</v>
      </c>
      <c r="O21" s="413" t="s">
        <v>17</v>
      </c>
      <c r="P21" s="428">
        <f>'Monthly summary loss'!$M10/'Monthly summary loss'!$X10</f>
        <v>1.07277239612521E-2</v>
      </c>
      <c r="Q21" s="415">
        <f>SUM(P$4:P21)</f>
        <v>0.9522856456648785</v>
      </c>
    </row>
    <row r="22" spans="3:17" ht="12.75" customHeight="1">
      <c r="C22" s="413" t="s">
        <v>25</v>
      </c>
      <c r="D22" s="414">
        <f>'Monthly summary loss'!$U$7/'Monthly summary loss'!$X$7</f>
        <v>3.3950206363999465E-3</v>
      </c>
      <c r="E22" s="415">
        <f>SUM(D$4:D22)</f>
        <v>0.97849820263613352</v>
      </c>
      <c r="G22" s="413" t="s">
        <v>23</v>
      </c>
      <c r="H22" s="414">
        <f>'Monthly summary loss'!$S8/'Monthly summary loss'!$X$8</f>
        <v>1.5618344455487715E-3</v>
      </c>
      <c r="I22" s="415">
        <f>SUM(H$4:H22)</f>
        <v>0.92063041317620331</v>
      </c>
      <c r="K22" s="413" t="s">
        <v>25</v>
      </c>
      <c r="L22" s="414">
        <f>'Monthly summary loss'!U9/'Monthly summary loss'!X9</f>
        <v>1.8339201877934275E-3</v>
      </c>
      <c r="M22" s="415">
        <f>SUM(L$4:L22)</f>
        <v>0.93984741784037551</v>
      </c>
      <c r="O22" s="413" t="s">
        <v>23</v>
      </c>
      <c r="P22" s="428">
        <f>'Monthly summary loss'!$S10/'Monthly summary loss'!$X10</f>
        <v>0</v>
      </c>
      <c r="Q22" s="415">
        <f>SUM(P$4:P22)</f>
        <v>0.9522856456648785</v>
      </c>
    </row>
    <row r="23" spans="3:17" ht="12.75" customHeight="1">
      <c r="C23" s="413" t="s">
        <v>22</v>
      </c>
      <c r="D23" s="414">
        <f>'Monthly summary loss'!$R$7/'Monthly summary loss'!$X$7</f>
        <v>0</v>
      </c>
      <c r="E23" s="415">
        <f>SUM(D$4:D23)</f>
        <v>0.97849820263613352</v>
      </c>
      <c r="G23" s="413" t="s">
        <v>57</v>
      </c>
      <c r="H23" s="414">
        <f>'Monthly summary loss'!$M8/'Monthly summary loss'!$X$8</f>
        <v>4.8558852761607263E-2</v>
      </c>
      <c r="I23" s="415">
        <f>SUM(H$4:H23)</f>
        <v>0.96918926593781052</v>
      </c>
      <c r="K23" s="413" t="s">
        <v>22</v>
      </c>
      <c r="L23" s="414">
        <f>'Monthly summary loss'!$R9/'Monthly summary loss'!$X9</f>
        <v>3.3744131455399062E-2</v>
      </c>
      <c r="M23" s="415">
        <f>SUM(L$4:L23)</f>
        <v>0.97359154929577452</v>
      </c>
      <c r="O23" s="413" t="s">
        <v>25</v>
      </c>
      <c r="P23" s="428">
        <f>'Monthly summary loss'!U10/'Monthly summary loss'!X10</f>
        <v>5.6040349051316937E-4</v>
      </c>
      <c r="Q23" s="415">
        <f>SUM(P$4:P23)</f>
        <v>0.95284604915539162</v>
      </c>
    </row>
    <row r="24" spans="3:17" ht="12.75" customHeight="1">
      <c r="C24" s="416" t="s">
        <v>23</v>
      </c>
      <c r="D24" s="417">
        <f>'Monthly summary loss'!$S$7/'Monthly summary loss'!$X$7</f>
        <v>0</v>
      </c>
      <c r="E24" s="418">
        <f>SUM(D$4:D24)</f>
        <v>0.97849820263613352</v>
      </c>
      <c r="G24" s="416" t="s">
        <v>22</v>
      </c>
      <c r="H24" s="417">
        <f>'Monthly summary loss'!$R8/'Monthly summary loss'!$X$8</f>
        <v>1.4056510009938943E-2</v>
      </c>
      <c r="I24" s="418">
        <f>SUM(H$4:H24)</f>
        <v>0.98324577594774942</v>
      </c>
      <c r="K24" s="416" t="s">
        <v>23</v>
      </c>
      <c r="L24" s="417">
        <f>'Monthly summary loss'!$S9/'Monthly summary loss'!$X9</f>
        <v>8.0692488262910792E-4</v>
      </c>
      <c r="M24" s="418">
        <f>SUM(L$4:L24)</f>
        <v>0.97439847417840364</v>
      </c>
      <c r="O24" s="416" t="s">
        <v>22</v>
      </c>
      <c r="P24" s="429">
        <f>'Monthly summary loss'!$R10/'Monthly summary loss'!$X$10</f>
        <v>2.866063565767352E-2</v>
      </c>
      <c r="Q24" s="418">
        <f>SUM(P$4:P24)</f>
        <v>0.98150668481306513</v>
      </c>
    </row>
    <row r="25" spans="3:17">
      <c r="C25" s="363"/>
      <c r="D25" s="363"/>
      <c r="E25" s="363"/>
    </row>
    <row r="26" spans="3:17" ht="15.75">
      <c r="C26" s="642" t="s">
        <v>35</v>
      </c>
      <c r="D26" s="642"/>
      <c r="E26" s="642"/>
      <c r="G26" s="642" t="s">
        <v>62</v>
      </c>
      <c r="H26" s="642"/>
      <c r="I26" s="642"/>
      <c r="K26" s="642" t="s">
        <v>63</v>
      </c>
      <c r="L26" s="642"/>
      <c r="M26" s="642"/>
      <c r="O26" s="642" t="s">
        <v>64</v>
      </c>
      <c r="P26" s="642"/>
      <c r="Q26" s="642"/>
    </row>
    <row r="27" spans="3:17" ht="12.75" customHeight="1">
      <c r="C27" s="419"/>
      <c r="D27" s="419"/>
      <c r="E27" s="420"/>
      <c r="G27" s="419"/>
      <c r="H27" s="419"/>
      <c r="I27" s="420"/>
      <c r="K27" s="419"/>
      <c r="L27" s="419"/>
      <c r="M27" s="420"/>
      <c r="O27" s="419"/>
      <c r="P27" s="419"/>
      <c r="Q27" s="420"/>
    </row>
    <row r="28" spans="3:17" ht="25.5">
      <c r="C28" s="419" t="s">
        <v>53</v>
      </c>
      <c r="D28" s="419" t="s">
        <v>54</v>
      </c>
      <c r="E28" s="420" t="s">
        <v>55</v>
      </c>
      <c r="G28" s="419" t="s">
        <v>53</v>
      </c>
      <c r="H28" s="419" t="s">
        <v>54</v>
      </c>
      <c r="I28" s="420" t="s">
        <v>55</v>
      </c>
      <c r="K28" s="419" t="s">
        <v>53</v>
      </c>
      <c r="L28" s="419" t="s">
        <v>54</v>
      </c>
      <c r="M28" s="420" t="s">
        <v>55</v>
      </c>
      <c r="O28" s="419" t="s">
        <v>53</v>
      </c>
      <c r="P28" s="419" t="s">
        <v>54</v>
      </c>
      <c r="Q28" s="420" t="s">
        <v>55</v>
      </c>
    </row>
    <row r="29" spans="3:17">
      <c r="C29" s="413" t="s">
        <v>14</v>
      </c>
      <c r="D29" s="421">
        <f>'Monthly summary loss'!$J11/'Monthly summary loss'!$X11</f>
        <v>6.868067028557942E-2</v>
      </c>
      <c r="E29" s="422">
        <f>SUM(D$29:D29)</f>
        <v>6.868067028557942E-2</v>
      </c>
      <c r="G29" s="413" t="s">
        <v>14</v>
      </c>
      <c r="H29" s="423">
        <f>'Monthly summary loss'!$J12/'Monthly summary loss'!$X12</f>
        <v>6.9403374499913031E-2</v>
      </c>
      <c r="I29" s="427">
        <f>SUM(H$29:H29)</f>
        <v>6.9403374499913031E-2</v>
      </c>
      <c r="K29" s="413" t="s">
        <v>14</v>
      </c>
      <c r="L29" s="423">
        <f>'Monthly summary loss'!$J13/'Monthly summary loss'!$X13</f>
        <v>5.4438913742045229E-2</v>
      </c>
      <c r="M29" s="427">
        <f>+L29</f>
        <v>5.4438913742045229E-2</v>
      </c>
      <c r="O29" s="413" t="s">
        <v>16</v>
      </c>
      <c r="P29" s="423">
        <f>'Monthly summary loss'!$L$14/'Monthly summary loss'!$X$14</f>
        <v>7.5387079551521602E-2</v>
      </c>
      <c r="Q29" s="427">
        <f>SUM(P$29:P29)</f>
        <v>7.5387079551521602E-2</v>
      </c>
    </row>
    <row r="30" spans="3:17">
      <c r="C30" s="413" t="s">
        <v>16</v>
      </c>
      <c r="D30" s="421">
        <f>'Monthly summary loss'!$L11/'Monthly summary loss'!$X11</f>
        <v>0.10762331838565023</v>
      </c>
      <c r="E30" s="422">
        <f>SUM(D$29:D30)</f>
        <v>0.17630398867122965</v>
      </c>
      <c r="G30" s="413" t="s">
        <v>24</v>
      </c>
      <c r="H30" s="423">
        <f>'Monthly summary loss'!$T12/'Monthly summary loss'!$X12</f>
        <v>0.11149765176552445</v>
      </c>
      <c r="I30" s="427">
        <f>SUM(H$29:H30)</f>
        <v>0.18090102626543747</v>
      </c>
      <c r="K30" s="413" t="s">
        <v>24</v>
      </c>
      <c r="L30" s="423">
        <f>'Monthly summary loss'!$T13/'Monthly summary loss'!$X13</f>
        <v>0.23168042341377351</v>
      </c>
      <c r="M30" s="427">
        <f>SUM(L$29:L30)</f>
        <v>0.28611933715581872</v>
      </c>
      <c r="O30" s="413" t="s">
        <v>18</v>
      </c>
      <c r="P30" s="423">
        <f>'Monthly summary loss'!$N$14/'Monthly summary loss'!$X$14</f>
        <v>0.12290443139348634</v>
      </c>
      <c r="Q30" s="427">
        <f>SUM(P$29:P30)</f>
        <v>0.19829151094500794</v>
      </c>
    </row>
    <row r="31" spans="3:17">
      <c r="C31" s="413" t="s">
        <v>12</v>
      </c>
      <c r="D31" s="421">
        <f>'Monthly summary loss'!$H11/'Monthly summary loss'!$X11</f>
        <v>0</v>
      </c>
      <c r="E31" s="422">
        <f>SUM(D$29:D31)</f>
        <v>0.17630398867122965</v>
      </c>
      <c r="G31" s="413" t="s">
        <v>20</v>
      </c>
      <c r="H31" s="423">
        <f>'Monthly summary loss'!$P12/'Monthly summary loss'!$X12</f>
        <v>6.4880848843277092E-2</v>
      </c>
      <c r="I31" s="427">
        <f>SUM(H$29:H31)</f>
        <v>0.24578187510871458</v>
      </c>
      <c r="K31" s="413" t="s">
        <v>20</v>
      </c>
      <c r="L31" s="423">
        <f>'Monthly summary loss'!$P13/'Monthly summary loss'!$X13</f>
        <v>6.0739713943670837E-2</v>
      </c>
      <c r="M31" s="427">
        <f>SUM(L$29:L31)</f>
        <v>0.34685905109948956</v>
      </c>
      <c r="O31" s="413" t="s">
        <v>14</v>
      </c>
      <c r="P31" s="423">
        <f>'Monthly summary loss'!$J$14/'Monthly summary loss'!$X$14</f>
        <v>6.8766684463427624E-2</v>
      </c>
      <c r="Q31" s="427">
        <f>+P31</f>
        <v>6.8766684463427624E-2</v>
      </c>
    </row>
    <row r="32" spans="3:17" ht="12.75" customHeight="1">
      <c r="C32" s="413" t="s">
        <v>24</v>
      </c>
      <c r="D32" s="421">
        <f>'Monthly summary loss'!$T11/'Monthly summary loss'!$X$11</f>
        <v>0.14078357328298324</v>
      </c>
      <c r="E32" s="422">
        <f>SUM(D$29:D32)</f>
        <v>0.31708756195421289</v>
      </c>
      <c r="G32" s="413" t="s">
        <v>11</v>
      </c>
      <c r="H32" s="423">
        <f>'Monthly summary loss'!$G12/'Monthly summary loss'!$X12</f>
        <v>6.7837884849539058E-3</v>
      </c>
      <c r="I32" s="427">
        <f>SUM(H$29:H32)</f>
        <v>0.2525656635936685</v>
      </c>
      <c r="K32" s="413" t="s">
        <v>8</v>
      </c>
      <c r="L32" s="423">
        <f>'Monthly summary loss'!$D13/'Monthly summary loss'!$X$13</f>
        <v>0.14876189276038054</v>
      </c>
      <c r="M32" s="427">
        <f>SUM(L$29:L32)</f>
        <v>0.4956209438598701</v>
      </c>
      <c r="O32" s="413" t="s">
        <v>24</v>
      </c>
      <c r="P32" s="423">
        <f>'Monthly summary loss'!$T$14/'Monthly summary loss'!$X$14</f>
        <v>0.1139348638547784</v>
      </c>
      <c r="Q32" s="427">
        <f>SUM(P$29:P32)</f>
        <v>0.38099305926321397</v>
      </c>
    </row>
    <row r="33" spans="3:17">
      <c r="C33" s="413" t="s">
        <v>8</v>
      </c>
      <c r="D33" s="421">
        <f>'Monthly summary loss'!$D11/'Monthly summary loss'!$X11</f>
        <v>8.8388010384706159E-2</v>
      </c>
      <c r="E33" s="422">
        <f>SUM(D$29:D33)</f>
        <v>0.40547557233891907</v>
      </c>
      <c r="G33" s="413" t="s">
        <v>16</v>
      </c>
      <c r="H33" s="423">
        <f>'Monthly summary loss'!$L12/'Monthly summary loss'!$X12</f>
        <v>1.2523917202991825E-2</v>
      </c>
      <c r="I33" s="427">
        <f>SUM(H$29:H33)</f>
        <v>0.26508958079666034</v>
      </c>
      <c r="K33" s="413" t="s">
        <v>7</v>
      </c>
      <c r="L33" s="423">
        <f>'Monthly summary loss'!$C$13/'Monthly summary loss'!$X$13</f>
        <v>9.6339235082855509E-2</v>
      </c>
      <c r="M33" s="427">
        <f>SUM(L$29:L33)</f>
        <v>0.59196017894272557</v>
      </c>
      <c r="O33" s="413" t="s">
        <v>20</v>
      </c>
      <c r="P33" s="423">
        <f>'Monthly summary loss'!$P$14/'Monthly summary loss'!$X$14</f>
        <v>8.2754938601174541E-2</v>
      </c>
      <c r="Q33" s="427">
        <f>SUM(P$29:P33)</f>
        <v>0.46374799786438853</v>
      </c>
    </row>
    <row r="34" spans="3:17">
      <c r="C34" s="413" t="s">
        <v>20</v>
      </c>
      <c r="D34" s="421">
        <f>'Monthly summary loss'!$P11/'Monthly summary loss'!$X11</f>
        <v>9.8654708520179379E-2</v>
      </c>
      <c r="E34" s="422">
        <f>SUM(D$29:D34)</f>
        <v>0.50413028085909839</v>
      </c>
      <c r="G34" s="413" t="s">
        <v>15</v>
      </c>
      <c r="H34" s="423">
        <f>'Monthly summary loss'!$K12/'Monthly summary loss'!$X12</f>
        <v>4.2963993738041398E-2</v>
      </c>
      <c r="I34" s="427">
        <f>SUM(H$29:H34)</f>
        <v>0.30805357453470172</v>
      </c>
      <c r="K34" s="413" t="s">
        <v>12</v>
      </c>
      <c r="L34" s="423">
        <f>'Monthly summary loss'!$H13/'Monthly summary loss'!$X13</f>
        <v>0</v>
      </c>
      <c r="M34" s="427">
        <f>SUM(L$29:L34)</f>
        <v>0.59196017894272557</v>
      </c>
      <c r="O34" s="413" t="s">
        <v>7</v>
      </c>
      <c r="P34" s="423">
        <f>'Monthly summary loss'!$C$14/'Monthly summary loss'!$X$14</f>
        <v>0.14212493326214623</v>
      </c>
      <c r="Q34" s="427">
        <f>SUM(P$29:P34)</f>
        <v>0.60587293112653473</v>
      </c>
    </row>
    <row r="35" spans="3:17" ht="14.25" customHeight="1">
      <c r="C35" s="413" t="s">
        <v>15</v>
      </c>
      <c r="D35" s="421">
        <f>'Monthly summary loss'!$K11/'Monthly summary loss'!$X11</f>
        <v>0.1386594288411612</v>
      </c>
      <c r="E35" s="422">
        <f>SUM(D$29:D35)</f>
        <v>0.64278970970025961</v>
      </c>
      <c r="G35" s="413" t="s">
        <v>7</v>
      </c>
      <c r="H35" s="423">
        <f>'Monthly summary loss'!$C$12/'Monthly summary loss'!$X$12</f>
        <v>0.10175682727430858</v>
      </c>
      <c r="I35" s="427">
        <f>SUM(H$29:H35)</f>
        <v>0.40981040180901029</v>
      </c>
      <c r="K35" s="413" t="s">
        <v>16</v>
      </c>
      <c r="L35" s="423">
        <f>'Monthly summary loss'!$L13/'Monthly summary loss'!$X13</f>
        <v>3.0432864973851677E-2</v>
      </c>
      <c r="M35" s="427">
        <f>SUM(L$29:L35)</f>
        <v>0.62239304391657724</v>
      </c>
      <c r="O35" s="413" t="s">
        <v>13</v>
      </c>
      <c r="P35" s="423">
        <f>'Monthly summary loss'!$I$14/'Monthly summary loss'!$X$14</f>
        <v>3.8868126001067788E-2</v>
      </c>
      <c r="Q35" s="427">
        <f>SUM(P$29:P35)</f>
        <v>0.64474105712760255</v>
      </c>
    </row>
    <row r="36" spans="3:17">
      <c r="C36" s="413" t="s">
        <v>13</v>
      </c>
      <c r="D36" s="421">
        <f>'Monthly summary loss'!$I11/'Monthly summary loss'!$X11</f>
        <v>4.932735426008969E-2</v>
      </c>
      <c r="E36" s="422">
        <f>SUM(D$29:D36)</f>
        <v>0.69211706396034933</v>
      </c>
      <c r="G36" s="413" t="s">
        <v>13</v>
      </c>
      <c r="H36" s="423">
        <f>'Monthly summary loss'!$I12/'Monthly summary loss'!$X12</f>
        <v>1.4785180031309795E-2</v>
      </c>
      <c r="I36" s="427">
        <f>SUM(H$29:H36)</f>
        <v>0.42459558184032009</v>
      </c>
      <c r="K36" s="413" t="s">
        <v>18</v>
      </c>
      <c r="L36" s="423">
        <f>'Monthly summary loss'!$N13/'Monthly summary loss'!$X13</f>
        <v>5.2233633671476265E-2</v>
      </c>
      <c r="M36" s="427">
        <f>SUM(L$29:L36)</f>
        <v>0.6746266775880535</v>
      </c>
      <c r="O36" s="413" t="s">
        <v>15</v>
      </c>
      <c r="P36" s="423">
        <f>'Monthly summary loss'!$K$14/'Monthly summary loss'!$X$14</f>
        <v>6.214628937533366E-2</v>
      </c>
      <c r="Q36" s="427">
        <f>SUM(P$29:P36)</f>
        <v>0.70688734650293616</v>
      </c>
    </row>
    <row r="37" spans="3:17">
      <c r="C37" s="413" t="s">
        <v>18</v>
      </c>
      <c r="D37" s="421">
        <f>'Monthly summary loss'!$N11/'Monthly summary loss'!$X11</f>
        <v>3.4812367240972392E-2</v>
      </c>
      <c r="E37" s="422">
        <f>SUM(D$29:D37)</f>
        <v>0.7269294312013217</v>
      </c>
      <c r="G37" s="413" t="s">
        <v>8</v>
      </c>
      <c r="H37" s="423">
        <f>'Monthly summary loss'!$D12/'Monthly summary loss'!$X$12</f>
        <v>2.7830927117759609E-2</v>
      </c>
      <c r="I37" s="427">
        <f>SUM(H$29:H37)</f>
        <v>0.45242650895807968</v>
      </c>
      <c r="K37" s="413" t="s">
        <v>13</v>
      </c>
      <c r="L37" s="423">
        <f>'Monthly summary loss'!$I13/'Monthly summary loss'!$X13</f>
        <v>2.0414592653266964E-2</v>
      </c>
      <c r="M37" s="427">
        <f>SUM(L$29:L37)</f>
        <v>0.69504127024132045</v>
      </c>
      <c r="O37" s="413" t="s">
        <v>8</v>
      </c>
      <c r="P37" s="423">
        <f>'Monthly summary loss'!$D$14/'Monthly summary loss'!$X$14</f>
        <v>4.0683395621996778E-2</v>
      </c>
      <c r="Q37" s="427">
        <f>SUM(P$29:P37)</f>
        <v>0.74757074212493291</v>
      </c>
    </row>
    <row r="38" spans="3:17" ht="14.25" customHeight="1">
      <c r="C38" s="413" t="s">
        <v>21</v>
      </c>
      <c r="D38" s="421">
        <f>'Monthly summary loss'!$Q11/'Monthly summary loss'!$X$11</f>
        <v>2.548973330186453E-2</v>
      </c>
      <c r="E38" s="422">
        <f>SUM(D$29:D38)</f>
        <v>0.75241916450318624</v>
      </c>
      <c r="G38" s="413" t="s">
        <v>18</v>
      </c>
      <c r="H38" s="423">
        <f>'Monthly summary loss'!$N12/'Monthly summary loss'!$X12</f>
        <v>1.5480953209253785E-2</v>
      </c>
      <c r="I38" s="427">
        <f>SUM(H$29:H38)</f>
        <v>0.46790746216733348</v>
      </c>
      <c r="K38" s="413" t="s">
        <v>15</v>
      </c>
      <c r="L38" s="423">
        <f>'Monthly summary loss'!$K13/'Monthly summary loss'!$X13</f>
        <v>6.0928737949719605E-2</v>
      </c>
      <c r="M38" s="427">
        <f>SUM(L$29:L38)</f>
        <v>0.7559700081910401</v>
      </c>
      <c r="O38" s="413" t="s">
        <v>59</v>
      </c>
      <c r="P38" s="423">
        <f>'Monthly summary loss'!$O$14/'Monthly summary loss'!$X$14</f>
        <v>8.8627869727709516E-3</v>
      </c>
      <c r="Q38" s="427">
        <f>SUM(P$29:P38)</f>
        <v>0.75643352909770389</v>
      </c>
    </row>
    <row r="39" spans="3:17" ht="14.25" customHeight="1">
      <c r="C39" s="413" t="s">
        <v>7</v>
      </c>
      <c r="D39" s="421">
        <f>'Monthly summary loss'!$C$11/'Monthly summary loss'!$X$11</f>
        <v>0.15695067264573995</v>
      </c>
      <c r="E39" s="422">
        <f>SUM(D$29:D39)</f>
        <v>0.90936983714892616</v>
      </c>
      <c r="G39" s="413" t="s">
        <v>12</v>
      </c>
      <c r="H39" s="423">
        <f>'Monthly summary loss'!$H12/'Monthly summary loss'!$X12</f>
        <v>0</v>
      </c>
      <c r="I39" s="427">
        <f>SUM(H$29:H39)</f>
        <v>0.46790746216733348</v>
      </c>
      <c r="K39" s="413" t="s">
        <v>11</v>
      </c>
      <c r="L39" s="423">
        <f>'Monthly summary loss'!$G13/'Monthly summary loss'!$X13</f>
        <v>3.6544641169428513E-3</v>
      </c>
      <c r="M39" s="427">
        <f>SUM(L$29:L39)</f>
        <v>0.75962447230798291</v>
      </c>
      <c r="O39" s="413" t="s">
        <v>12</v>
      </c>
      <c r="P39" s="423">
        <f>'Monthly summary loss'!$H$14/'Monthly summary loss'!$X$14</f>
        <v>0</v>
      </c>
      <c r="Q39" s="427">
        <f>SUM(P$29:P39)</f>
        <v>0.75643352909770389</v>
      </c>
    </row>
    <row r="40" spans="3:17" ht="12.75" customHeight="1">
      <c r="C40" s="413" t="s">
        <v>9</v>
      </c>
      <c r="D40" s="421">
        <f>'Monthly summary loss'!$E11/'Monthly summary loss'!$X11</f>
        <v>3.5402407363700739E-4</v>
      </c>
      <c r="E40" s="422">
        <f>SUM(D$29:D40)</f>
        <v>0.90972386122256321</v>
      </c>
      <c r="G40" s="413" t="s">
        <v>17</v>
      </c>
      <c r="H40" s="423">
        <f>'Monthly summary loss'!$M12/'Monthly summary loss'!$X12</f>
        <v>0.46895112193424943</v>
      </c>
      <c r="I40" s="427">
        <f>SUM(H$29:H40)</f>
        <v>0.93685858410158285</v>
      </c>
      <c r="K40" s="413" t="s">
        <v>21</v>
      </c>
      <c r="L40" s="423">
        <f>'Monthly summary loss'!$Q13/'Monthly summary loss'!$X13</f>
        <v>2.4825152794404885E-2</v>
      </c>
      <c r="M40" s="427">
        <f>SUM(L$29:L40)</f>
        <v>0.7844496251023878</v>
      </c>
      <c r="O40" s="413" t="s">
        <v>57</v>
      </c>
      <c r="P40" s="423">
        <f>'Monthly summary loss'!$M$14/'Monthly summary loss'!$X$14</f>
        <v>8.4676988788040544E-2</v>
      </c>
      <c r="Q40" s="427">
        <f>SUM(P$29:P40)</f>
        <v>0.84111051788574442</v>
      </c>
    </row>
    <row r="41" spans="3:17" ht="12.75" customHeight="1">
      <c r="C41" s="413" t="s">
        <v>59</v>
      </c>
      <c r="D41" s="421">
        <f>'Monthly summary loss'!$O11/'Monthly summary loss'!$X11</f>
        <v>8.6145857918338443E-3</v>
      </c>
      <c r="E41" s="422">
        <f>SUM(D$29:D41)</f>
        <v>0.91833844701439704</v>
      </c>
      <c r="G41" s="413" t="s">
        <v>60</v>
      </c>
      <c r="H41" s="423">
        <f>'Monthly summary loss'!$F12/'Monthly summary loss'!$X12</f>
        <v>1.635066968168377E-2</v>
      </c>
      <c r="I41" s="427">
        <f>SUM(H$29:H41)</f>
        <v>0.9532092537832666</v>
      </c>
      <c r="K41" s="413" t="s">
        <v>57</v>
      </c>
      <c r="L41" s="423">
        <f>'Monthly summary loss'!$M13/'Monthly summary loss'!$X13</f>
        <v>9.7662403125196875E-2</v>
      </c>
      <c r="M41" s="427">
        <f>SUM(L$29:L41)</f>
        <v>0.88211202822758472</v>
      </c>
      <c r="O41" s="413" t="s">
        <v>11</v>
      </c>
      <c r="P41" s="423">
        <f>'Monthly summary loss'!$G$14/'Monthly summary loss'!$X$14</f>
        <v>5.5525894287239697E-3</v>
      </c>
      <c r="Q41" s="427">
        <f>SUM(P$29:P41)</f>
        <v>0.84666310731446837</v>
      </c>
    </row>
    <row r="42" spans="3:17" ht="12.75" customHeight="1">
      <c r="C42" s="413" t="s">
        <v>11</v>
      </c>
      <c r="D42" s="421">
        <f>'Monthly summary loss'!$G11/'Monthly summary loss'!$X11</f>
        <v>7.0804814727401478E-4</v>
      </c>
      <c r="E42" s="422">
        <f>SUM(D$29:D42)</f>
        <v>0.91904649516167103</v>
      </c>
      <c r="G42" s="413" t="s">
        <v>59</v>
      </c>
      <c r="H42" s="423">
        <f>'Monthly summary loss'!$O12/'Monthly summary loss'!$X12</f>
        <v>1.8264045921029745E-2</v>
      </c>
      <c r="I42" s="427">
        <f>SUM(H$29:H42)</f>
        <v>0.9714732997042963</v>
      </c>
      <c r="K42" s="413" t="s">
        <v>59</v>
      </c>
      <c r="L42" s="423">
        <f>'Monthly summary loss'!$O13/'Monthly summary loss'!$X13</f>
        <v>3.8371873227899936E-2</v>
      </c>
      <c r="M42" s="427">
        <f>SUM(L$29:L42)</f>
        <v>0.92048390145548464</v>
      </c>
      <c r="O42" s="413" t="s">
        <v>21</v>
      </c>
      <c r="P42" s="423">
        <f>'Monthly summary loss'!$Q$14/'Monthly summary loss'!$X$14</f>
        <v>1.5696743192738918E-2</v>
      </c>
      <c r="Q42" s="427">
        <f>SUM(P$29:P42)</f>
        <v>0.86235985050720732</v>
      </c>
    </row>
    <row r="43" spans="3:17" ht="14.25" customHeight="1">
      <c r="C43" s="413" t="s">
        <v>6</v>
      </c>
      <c r="D43" s="421">
        <f>'Monthly summary loss'!$B$11/'Monthly summary loss'!$X$11</f>
        <v>0</v>
      </c>
      <c r="E43" s="422">
        <f>SUM(D$29:D43)</f>
        <v>0.91904649516167103</v>
      </c>
      <c r="G43" s="413" t="s">
        <v>9</v>
      </c>
      <c r="H43" s="423">
        <f>'Monthly summary loss'!$E12/'Monthly summary loss'!$X12</f>
        <v>1.2002087319533832E-2</v>
      </c>
      <c r="I43" s="427">
        <f>SUM(H$29:H43)</f>
        <v>0.98347538702383008</v>
      </c>
      <c r="K43" s="413" t="s">
        <v>60</v>
      </c>
      <c r="L43" s="423">
        <f>'Monthly summary loss'!$F13/'Monthly summary loss'!$X13</f>
        <v>1.2853632411316235E-2</v>
      </c>
      <c r="M43" s="427">
        <f>SUM(L$29:L43)</f>
        <v>0.93333753386680085</v>
      </c>
      <c r="O43" s="413" t="s">
        <v>9</v>
      </c>
      <c r="P43" s="423">
        <f>'Monthly summary loss'!$E$14/'Monthly summary loss'!$X$14</f>
        <v>1.2172984516817933E-2</v>
      </c>
      <c r="Q43" s="427">
        <f>SUM(P$29:P43)</f>
        <v>0.87453283502402523</v>
      </c>
    </row>
    <row r="44" spans="3:17">
      <c r="C44" s="413" t="s">
        <v>17</v>
      </c>
      <c r="D44" s="421">
        <f>'Monthly summary loss'!$M11/'Monthly summary loss'!$X11</f>
        <v>1.1210762331838566E-2</v>
      </c>
      <c r="E44" s="422">
        <f>SUM(D$29:D44)</f>
        <v>0.93025725749350963</v>
      </c>
      <c r="G44" s="413" t="s">
        <v>21</v>
      </c>
      <c r="H44" s="423">
        <f>'Monthly summary loss'!$Q12/'Monthly summary loss'!$X12</f>
        <v>1.5654896503739782E-3</v>
      </c>
      <c r="I44" s="427">
        <f>SUM(H$29:H44)</f>
        <v>0.98504087667420404</v>
      </c>
      <c r="K44" s="413" t="s">
        <v>6</v>
      </c>
      <c r="L44" s="423">
        <f>'Monthly summary loss'!$B$13/'Monthly summary loss'!$X$13</f>
        <v>1.9532480625039381E-3</v>
      </c>
      <c r="M44" s="427">
        <f>SUM(L$29:L44)</f>
        <v>0.93529078192930482</v>
      </c>
      <c r="O44" s="413" t="s">
        <v>25</v>
      </c>
      <c r="P44" s="423">
        <f>'Monthly summary loss'!U14/'Monthly summary loss'!X14</f>
        <v>3.203416978109983E-4</v>
      </c>
      <c r="Q44" s="427">
        <f>SUM(P$29:P44)</f>
        <v>0.87485317672183627</v>
      </c>
    </row>
    <row r="45" spans="3:17" ht="12.75" customHeight="1">
      <c r="C45" s="413" t="s">
        <v>25</v>
      </c>
      <c r="D45" s="421">
        <f>'Monthly summary loss'!$U11/'Monthly summary loss'!$X11</f>
        <v>1.062072220911022E-3</v>
      </c>
      <c r="E45" s="422">
        <f>SUM(D$29:D45)</f>
        <v>0.93131932971442066</v>
      </c>
      <c r="G45" s="413" t="s">
        <v>6</v>
      </c>
      <c r="H45" s="423">
        <f>'Monthly summary loss'!$B$12/'Monthly summary loss'!$X$12</f>
        <v>3.3049225952339538E-3</v>
      </c>
      <c r="I45" s="427">
        <f>SUM(H$29:H45)</f>
        <v>0.988345799269438</v>
      </c>
      <c r="K45" s="413" t="s">
        <v>9</v>
      </c>
      <c r="L45" s="423">
        <f>'Monthly summary loss'!$E13/'Monthly summary loss'!$X13</f>
        <v>0</v>
      </c>
      <c r="M45" s="427">
        <f>SUM(L$29:L45)</f>
        <v>0.93529078192930482</v>
      </c>
      <c r="O45" s="413" t="s">
        <v>60</v>
      </c>
      <c r="P45" s="423">
        <f>'Monthly summary loss'!$F$14/'Monthly summary loss'!$X$14</f>
        <v>7.7949813134009574E-3</v>
      </c>
      <c r="Q45" s="427">
        <f>SUM(P$29:P45)</f>
        <v>0.88264815803523722</v>
      </c>
    </row>
    <row r="46" spans="3:17" ht="13.35" customHeight="1">
      <c r="C46" s="413" t="s">
        <v>60</v>
      </c>
      <c r="D46" s="421">
        <f>'Monthly summary loss'!$F11/'Monthly summary loss'!$X11</f>
        <v>6.4904413500118012E-3</v>
      </c>
      <c r="E46" s="422">
        <f>SUM(D$29:D46)</f>
        <v>0.93780977106443242</v>
      </c>
      <c r="G46" s="413" t="s">
        <v>22</v>
      </c>
      <c r="H46" s="423">
        <f>'Monthly summary loss'!R12/'Monthly summary loss'!X12</f>
        <v>0</v>
      </c>
      <c r="I46" s="427">
        <f>SUM(H$29:H46)</f>
        <v>0.988345799269438</v>
      </c>
      <c r="K46" s="413" t="s">
        <v>22</v>
      </c>
      <c r="L46" s="423">
        <f>'Monthly summary loss'!R13/'Monthly summary loss'!X13</f>
        <v>3.06848969819167E-2</v>
      </c>
      <c r="M46" s="427">
        <f>SUM(L$29:L46)</f>
        <v>0.96597567891122149</v>
      </c>
      <c r="O46" s="413" t="s">
        <v>6</v>
      </c>
      <c r="P46" s="423">
        <f>'Monthly summary loss'!$B$14/'Monthly summary loss'!$X$14</f>
        <v>1.3134009610250928E-2</v>
      </c>
      <c r="Q46" s="427">
        <f>SUM(P$29:P46)</f>
        <v>0.89578216764548813</v>
      </c>
    </row>
    <row r="47" spans="3:17" ht="12.75" customHeight="1">
      <c r="C47" s="413" t="s">
        <v>22</v>
      </c>
      <c r="D47" s="421">
        <f>'Monthly summary loss'!R11/'Monthly summary loss'!X11</f>
        <v>1.2508850601840926E-2</v>
      </c>
      <c r="E47" s="422">
        <f>SUM(D$29:D47)</f>
        <v>0.95031862166627334</v>
      </c>
      <c r="G47" s="413" t="s">
        <v>25</v>
      </c>
      <c r="H47" s="423">
        <f>'Monthly summary loss'!U12/'Monthly summary loss'!X12</f>
        <v>5.2182988345799276E-4</v>
      </c>
      <c r="I47" s="427">
        <f>SUM(H$29:H47)</f>
        <v>0.98886762915289594</v>
      </c>
      <c r="K47" s="413" t="s">
        <v>25</v>
      </c>
      <c r="L47" s="423">
        <f>'Monthly summary loss'!$U13/'Monthly summary loss'!$X13</f>
        <v>1.8272320584714256E-3</v>
      </c>
      <c r="M47" s="427">
        <f>SUM(L$29:L47)</f>
        <v>0.96780291096969295</v>
      </c>
      <c r="O47" s="413" t="s">
        <v>22</v>
      </c>
      <c r="P47" s="423">
        <f>'Monthly summary loss'!R14/'Monthly summary loss'!X14</f>
        <v>1.9006940736785896E-2</v>
      </c>
      <c r="Q47" s="427">
        <f>SUM(P$29:P47)</f>
        <v>0.91478910838227401</v>
      </c>
    </row>
    <row r="48" spans="3:17" ht="12.75" customHeight="1">
      <c r="C48" s="416" t="s">
        <v>23</v>
      </c>
      <c r="D48" s="424">
        <f>'Monthly summary loss'!$S11/'Monthly summary loss'!$X$11</f>
        <v>7.0804814727401478E-4</v>
      </c>
      <c r="E48" s="425">
        <f>SUM(D$29:D48)</f>
        <v>0.95102666981354733</v>
      </c>
      <c r="G48" s="416" t="s">
        <v>23</v>
      </c>
      <c r="H48" s="426">
        <f>'Monthly summary loss'!$S12/'Monthly summary loss'!$X12</f>
        <v>0</v>
      </c>
      <c r="I48" s="430">
        <f>SUM(H$29:H48)</f>
        <v>0.98886762915289594</v>
      </c>
      <c r="K48" s="416" t="s">
        <v>23</v>
      </c>
      <c r="L48" s="426">
        <f>'Monthly summary loss'!$S13/'Monthly summary loss'!$X13</f>
        <v>1.260160040325121E-3</v>
      </c>
      <c r="M48" s="430">
        <f>SUM(L$29:L48)</f>
        <v>0.9690630710100181</v>
      </c>
      <c r="O48" s="416" t="s">
        <v>23</v>
      </c>
      <c r="P48" s="426">
        <f>'Monthly summary loss'!$S$14/'Monthly summary loss'!$X$14</f>
        <v>0</v>
      </c>
      <c r="Q48" s="430">
        <f>SUM(P$29:P48)</f>
        <v>0.91478910838227401</v>
      </c>
    </row>
    <row r="50" spans="3:17" ht="15.75">
      <c r="C50" s="642" t="s">
        <v>65</v>
      </c>
      <c r="D50" s="642"/>
      <c r="E50" s="642"/>
      <c r="G50" s="642" t="s">
        <v>66</v>
      </c>
      <c r="H50" s="642"/>
      <c r="I50" s="642"/>
      <c r="K50" s="642" t="s">
        <v>67</v>
      </c>
      <c r="L50" s="642"/>
      <c r="M50" s="642"/>
      <c r="O50" s="642" t="s">
        <v>68</v>
      </c>
      <c r="P50" s="642"/>
      <c r="Q50" s="642"/>
    </row>
    <row r="51" spans="3:17" ht="12.75" customHeight="1">
      <c r="C51" s="411"/>
      <c r="D51" s="411"/>
      <c r="E51" s="412"/>
      <c r="G51" s="419"/>
      <c r="H51" s="419"/>
      <c r="I51" s="420"/>
      <c r="K51" s="419"/>
      <c r="L51" s="419"/>
      <c r="M51" s="420"/>
      <c r="O51" s="419"/>
      <c r="P51" s="419"/>
      <c r="Q51" s="420"/>
    </row>
    <row r="52" spans="3:17" ht="25.5">
      <c r="C52" s="411" t="s">
        <v>53</v>
      </c>
      <c r="D52" s="411" t="s">
        <v>54</v>
      </c>
      <c r="E52" s="412" t="s">
        <v>55</v>
      </c>
      <c r="G52" s="419" t="s">
        <v>53</v>
      </c>
      <c r="H52" s="419" t="s">
        <v>54</v>
      </c>
      <c r="I52" s="420" t="s">
        <v>55</v>
      </c>
      <c r="K52" s="419" t="s">
        <v>53</v>
      </c>
      <c r="L52" s="419" t="s">
        <v>54</v>
      </c>
      <c r="M52" s="420" t="s">
        <v>55</v>
      </c>
      <c r="O52" s="419" t="s">
        <v>53</v>
      </c>
      <c r="P52" s="419" t="s">
        <v>54</v>
      </c>
      <c r="Q52" s="412" t="s">
        <v>55</v>
      </c>
    </row>
    <row r="53" spans="3:17">
      <c r="C53" s="413" t="s">
        <v>20</v>
      </c>
      <c r="D53" s="423">
        <f>'Monthly summary loss'!$P$15/'Monthly summary loss'!$X$15</f>
        <v>5.1169966572383638E-2</v>
      </c>
      <c r="E53" s="427">
        <f>SUM($D$53:D53)</f>
        <v>5.1169966572383638E-2</v>
      </c>
      <c r="G53" s="413" t="s">
        <v>15</v>
      </c>
      <c r="H53" s="423">
        <f>'Monthly summary loss'!$K$16/'Monthly summary loss'!$X$16</f>
        <v>0.14814814814814814</v>
      </c>
      <c r="I53" s="427">
        <f>SUM($H$53:H53)</f>
        <v>0.14814814814814814</v>
      </c>
      <c r="K53" s="413" t="s">
        <v>14</v>
      </c>
      <c r="L53" s="423" t="e">
        <f>'Monthly summary loss'!$J$17/'Monthly summary loss'!$X$17</f>
        <v>#DIV/0!</v>
      </c>
      <c r="M53" s="427" t="e">
        <f>+L53</f>
        <v>#DIV/0!</v>
      </c>
      <c r="O53" s="413" t="s">
        <v>14</v>
      </c>
      <c r="P53" s="423" t="e">
        <f>'Monthly summary loss'!$J$18/'Monthly summary loss'!$X$18</f>
        <v>#DIV/0!</v>
      </c>
      <c r="Q53" s="427" t="e">
        <f>SUM($P$53:P53)</f>
        <v>#DIV/0!</v>
      </c>
    </row>
    <row r="54" spans="3:17">
      <c r="C54" s="413" t="s">
        <v>24</v>
      </c>
      <c r="D54" s="423">
        <f>'Monthly summary loss'!$T$15/'Monthly summary loss'!$X$15</f>
        <v>0.15955258421187965</v>
      </c>
      <c r="E54" s="427">
        <f>SUM($D$53:D54)</f>
        <v>0.21072255078426327</v>
      </c>
      <c r="G54" s="413" t="s">
        <v>26</v>
      </c>
      <c r="H54" s="423">
        <f>'Monthly summary loss'!$W$16/'Monthly summary loss'!$X$16</f>
        <v>0</v>
      </c>
      <c r="I54" s="427">
        <f>SUM($H$53:H54)</f>
        <v>0.14814814814814814</v>
      </c>
      <c r="K54" s="413" t="s">
        <v>15</v>
      </c>
      <c r="L54" s="423" t="e">
        <f>'Monthly summary loss'!$K$17/'Monthly summary loss'!$X$17</f>
        <v>#DIV/0!</v>
      </c>
      <c r="M54" s="427" t="e">
        <f>SUM($L$53:L54)</f>
        <v>#DIV/0!</v>
      </c>
      <c r="O54" s="413" t="s">
        <v>26</v>
      </c>
      <c r="P54" s="423">
        <f>'Monthly summary loss'!$W$16/'Monthly summary loss'!$X$16</f>
        <v>0</v>
      </c>
      <c r="Q54" s="427" t="e">
        <f>SUM($P$53:P54)</f>
        <v>#DIV/0!</v>
      </c>
    </row>
    <row r="55" spans="3:17">
      <c r="C55" s="413" t="s">
        <v>18</v>
      </c>
      <c r="D55" s="423">
        <f>'Monthly summary loss'!$N$15/'Monthly summary loss'!$X$15</f>
        <v>2.4685008999742863E-2</v>
      </c>
      <c r="E55" s="427">
        <f>SUM($D$53:D55)</f>
        <v>0.23540755978400613</v>
      </c>
      <c r="G55" s="413" t="s">
        <v>14</v>
      </c>
      <c r="H55" s="423">
        <f>'Monthly summary loss'!$J$16/'Monthly summary loss'!$X$16</f>
        <v>0.14814814814814814</v>
      </c>
      <c r="I55" s="427">
        <f>+H55</f>
        <v>0.14814814814814814</v>
      </c>
      <c r="K55" s="413" t="s">
        <v>26</v>
      </c>
      <c r="L55" s="423">
        <f>'Monthly summary loss'!$W$16/'Monthly summary loss'!$X$16</f>
        <v>0</v>
      </c>
      <c r="M55" s="427" t="e">
        <f>SUM($L$53:L55)</f>
        <v>#DIV/0!</v>
      </c>
      <c r="O55" s="413" t="s">
        <v>24</v>
      </c>
      <c r="P55" s="423" t="e">
        <f>'Monthly summary loss'!$T$18/'Monthly summary loss'!$X$18</f>
        <v>#DIV/0!</v>
      </c>
      <c r="Q55" s="427" t="e">
        <f>SUM($P$53:P55)</f>
        <v>#DIV/0!</v>
      </c>
    </row>
    <row r="56" spans="3:17">
      <c r="C56" s="413" t="s">
        <v>16</v>
      </c>
      <c r="D56" s="423">
        <f>'Monthly summary loss'!$L$15/'Monthly summary loss'!$X$15</f>
        <v>8.5497557212651051E-2</v>
      </c>
      <c r="E56" s="427">
        <f>SUM($D$53:D56)</f>
        <v>0.32090511699665719</v>
      </c>
      <c r="G56" s="413" t="s">
        <v>24</v>
      </c>
      <c r="H56" s="423">
        <f>'Monthly summary loss'!$T$16/'Monthly summary loss'!$X$16</f>
        <v>0.55555555555555558</v>
      </c>
      <c r="I56" s="427">
        <f>SUM($H$53:H56)</f>
        <v>0.85185185185185186</v>
      </c>
      <c r="K56" s="413" t="s">
        <v>7</v>
      </c>
      <c r="L56" s="423" t="e">
        <f>'Monthly summary loss'!$C$17/'Monthly summary loss'!$X$17</f>
        <v>#DIV/0!</v>
      </c>
      <c r="M56" s="427" t="e">
        <f>SUM($L$53:L56)</f>
        <v>#DIV/0!</v>
      </c>
      <c r="O56" s="413" t="s">
        <v>15</v>
      </c>
      <c r="P56" s="423" t="e">
        <f>'Monthly summary loss'!$K$18/'Monthly summary loss'!$X$18</f>
        <v>#DIV/0!</v>
      </c>
      <c r="Q56" s="427" t="e">
        <f>SUM($P$53:P56)</f>
        <v>#DIV/0!</v>
      </c>
    </row>
    <row r="57" spans="3:17">
      <c r="C57" s="413" t="s">
        <v>14</v>
      </c>
      <c r="D57" s="423">
        <f>'Monthly summary loss'!$J$15/'Monthly summary loss'!$X$15</f>
        <v>5.4255592697351494E-2</v>
      </c>
      <c r="E57" s="427">
        <f>+D57</f>
        <v>5.4255592697351494E-2</v>
      </c>
      <c r="G57" s="413" t="s">
        <v>7</v>
      </c>
      <c r="H57" s="423">
        <f>'Monthly summary loss'!$C$16/'Monthly summary loss'!$X$16</f>
        <v>0</v>
      </c>
      <c r="I57" s="427">
        <f>SUM($H$53:H57)</f>
        <v>0.85185185185185186</v>
      </c>
      <c r="K57" s="413" t="s">
        <v>20</v>
      </c>
      <c r="L57" s="423" t="e">
        <f>'Monthly summary loss'!$P$17/'Monthly summary loss'!$X$17</f>
        <v>#DIV/0!</v>
      </c>
      <c r="M57" s="427" t="e">
        <f>SUM($L$53:L57)</f>
        <v>#DIV/0!</v>
      </c>
      <c r="O57" s="413" t="s">
        <v>7</v>
      </c>
      <c r="P57" s="423" t="e">
        <f>'Monthly summary loss'!$C$18/'Monthly summary loss'!$X$18</f>
        <v>#DIV/0!</v>
      </c>
      <c r="Q57" s="427" t="e">
        <f>SUM($P$53:P57)</f>
        <v>#DIV/0!</v>
      </c>
    </row>
    <row r="58" spans="3:17">
      <c r="C58" s="413" t="s">
        <v>26</v>
      </c>
      <c r="D58" s="423">
        <f>'Monthly summary loss'!$W$15/'Monthly summary loss'!$X$15</f>
        <v>0</v>
      </c>
      <c r="E58" s="427">
        <f>SUM($D$53:D58)</f>
        <v>0.37516070969400866</v>
      </c>
      <c r="G58" s="413" t="s">
        <v>21</v>
      </c>
      <c r="H58" s="423">
        <f>'Monthly summary loss'!$Q$16/'Monthly summary loss'!$X$16</f>
        <v>0</v>
      </c>
      <c r="I58" s="427">
        <f>SUM($H$53:H58)</f>
        <v>0.85185185185185186</v>
      </c>
      <c r="K58" s="413" t="s">
        <v>13</v>
      </c>
      <c r="L58" s="423" t="e">
        <f>'Monthly summary loss'!$I$17/'Monthly summary loss'!$X$17</f>
        <v>#DIV/0!</v>
      </c>
      <c r="M58" s="427" t="e">
        <f>SUM($L$53:L58)</f>
        <v>#DIV/0!</v>
      </c>
      <c r="O58" s="413" t="s">
        <v>20</v>
      </c>
      <c r="P58" s="423" t="e">
        <f>'Monthly summary loss'!$P$18/'Monthly summary loss'!$X$18</f>
        <v>#DIV/0!</v>
      </c>
      <c r="Q58" s="427" t="e">
        <f>SUM($P$53:P58)</f>
        <v>#DIV/0!</v>
      </c>
    </row>
    <row r="59" spans="3:17">
      <c r="C59" s="413" t="s">
        <v>11</v>
      </c>
      <c r="D59" s="423">
        <f>'Monthly summary loss'!$G$15/'Monthly summary loss'!$X$15</f>
        <v>0</v>
      </c>
      <c r="E59" s="427">
        <f>SUM($D$53:D59)</f>
        <v>0.37516070969400866</v>
      </c>
      <c r="G59" s="413" t="s">
        <v>20</v>
      </c>
      <c r="H59" s="423">
        <f>'Monthly summary loss'!$P$16/'Monthly summary loss'!$X$16</f>
        <v>0.14814814814814814</v>
      </c>
      <c r="I59" s="427">
        <f>SUM($H$53:H59)</f>
        <v>1</v>
      </c>
      <c r="K59" s="413" t="s">
        <v>16</v>
      </c>
      <c r="L59" s="423" t="e">
        <f>'Monthly summary loss'!$L$17/'Monthly summary loss'!$X$17</f>
        <v>#DIV/0!</v>
      </c>
      <c r="M59" s="427" t="e">
        <f>SUM($L$53:L59)</f>
        <v>#DIV/0!</v>
      </c>
      <c r="O59" s="413" t="s">
        <v>8</v>
      </c>
      <c r="P59" s="423" t="e">
        <f>'Monthly summary loss'!$D$18/'Monthly summary loss'!$X$18</f>
        <v>#DIV/0!</v>
      </c>
      <c r="Q59" s="427" t="e">
        <f>SUM($P$53:P59)</f>
        <v>#DIV/0!</v>
      </c>
    </row>
    <row r="60" spans="3:17">
      <c r="C60" s="413" t="s">
        <v>7</v>
      </c>
      <c r="D60" s="423">
        <f>'Monthly summary loss'!$C$15/'Monthly summary loss'!$X$15</f>
        <v>0.12869632296220107</v>
      </c>
      <c r="E60" s="427">
        <f>SUM($D$53:D60)</f>
        <v>0.50385703265620974</v>
      </c>
      <c r="G60" s="413" t="s">
        <v>8</v>
      </c>
      <c r="H60" s="423">
        <f>'Monthly summary loss'!$D$16/'Monthly summary loss'!$X$16</f>
        <v>0</v>
      </c>
      <c r="I60" s="427">
        <f>SUM($H$53:H60)</f>
        <v>1</v>
      </c>
      <c r="K60" s="413" t="s">
        <v>24</v>
      </c>
      <c r="L60" s="423" t="e">
        <f>'Monthly summary loss'!$T$17/'Monthly summary loss'!$X$17</f>
        <v>#DIV/0!</v>
      </c>
      <c r="M60" s="427" t="e">
        <f>SUM($L$53:L60)</f>
        <v>#DIV/0!</v>
      </c>
      <c r="O60" s="413" t="s">
        <v>18</v>
      </c>
      <c r="P60" s="423" t="e">
        <f>'Monthly summary loss'!$N$18/'Monthly summary loss'!$X$18</f>
        <v>#DIV/0!</v>
      </c>
      <c r="Q60" s="427" t="e">
        <f>SUM($P$53:P60)</f>
        <v>#DIV/0!</v>
      </c>
    </row>
    <row r="61" spans="3:17" ht="13.35" customHeight="1">
      <c r="C61" s="413" t="s">
        <v>15</v>
      </c>
      <c r="D61" s="423">
        <f>'Monthly summary loss'!$K$15/'Monthly summary loss'!$X$15</f>
        <v>4.9627153509899713E-2</v>
      </c>
      <c r="E61" s="427">
        <f>SUM($D$53:D61)</f>
        <v>0.5534841861661095</v>
      </c>
      <c r="G61" s="413" t="s">
        <v>18</v>
      </c>
      <c r="H61" s="423">
        <f>'Monthly summary loss'!$N$16/'Monthly summary loss'!$X$16</f>
        <v>0</v>
      </c>
      <c r="I61" s="427">
        <f>SUM($H$53:H61)</f>
        <v>1</v>
      </c>
      <c r="K61" s="413" t="s">
        <v>18</v>
      </c>
      <c r="L61" s="423" t="e">
        <f>'Monthly summary loss'!$N$17/'Monthly summary loss'!$X$17</f>
        <v>#DIV/0!</v>
      </c>
      <c r="M61" s="427" t="e">
        <f>SUM($L$53:L61)</f>
        <v>#DIV/0!</v>
      </c>
      <c r="O61" s="413" t="s">
        <v>16</v>
      </c>
      <c r="P61" s="423" t="e">
        <f>'Monthly summary loss'!$L$18/'Monthly summary loss'!$X$18</f>
        <v>#DIV/0!</v>
      </c>
      <c r="Q61" s="427" t="e">
        <f>SUM($P$53:P61)</f>
        <v>#DIV/0!</v>
      </c>
    </row>
    <row r="62" spans="3:17">
      <c r="C62" s="413" t="s">
        <v>12</v>
      </c>
      <c r="D62" s="423">
        <f>'Monthly summary loss'!$H$15/'Monthly summary loss'!$X$15</f>
        <v>1.1313962458215476E-2</v>
      </c>
      <c r="E62" s="427">
        <f>SUM($D$53:D62)</f>
        <v>0.56479814862432498</v>
      </c>
      <c r="G62" s="413" t="s">
        <v>16</v>
      </c>
      <c r="H62" s="423">
        <f>'Monthly summary loss'!$L$16/'Monthly summary loss'!$X$16</f>
        <v>0</v>
      </c>
      <c r="I62" s="427">
        <f>SUM($H$53:H62)</f>
        <v>1</v>
      </c>
      <c r="K62" s="413" t="s">
        <v>57</v>
      </c>
      <c r="L62" s="423" t="e">
        <f>'Monthly summary loss'!$M$17/'Monthly summary loss'!$X$17</f>
        <v>#DIV/0!</v>
      </c>
      <c r="M62" s="427" t="e">
        <f>SUM($L$53:L62)</f>
        <v>#DIV/0!</v>
      </c>
      <c r="O62" s="413" t="s">
        <v>13</v>
      </c>
      <c r="P62" s="423" t="e">
        <f>'Monthly summary loss'!$I$18/'Monthly summary loss'!$X$18</f>
        <v>#DIV/0!</v>
      </c>
      <c r="Q62" s="427" t="e">
        <f>SUM($P$53:P62)</f>
        <v>#DIV/0!</v>
      </c>
    </row>
    <row r="63" spans="3:17">
      <c r="C63" s="413" t="s">
        <v>13</v>
      </c>
      <c r="D63" s="423">
        <f>'Monthly summary loss'!$I$15/'Monthly summary loss'!$X$15</f>
        <v>3.2527642067369501E-2</v>
      </c>
      <c r="E63" s="427">
        <f>SUM($D$53:D63)</f>
        <v>0.59732579069169445</v>
      </c>
      <c r="G63" s="413" t="s">
        <v>12</v>
      </c>
      <c r="H63" s="423">
        <f>'Monthly summary loss'!$H$16/'Monthly summary loss'!$X$16</f>
        <v>0</v>
      </c>
      <c r="I63" s="427">
        <f>SUM($H$53:H63)</f>
        <v>1</v>
      </c>
      <c r="K63" s="413" t="s">
        <v>12</v>
      </c>
      <c r="L63" s="423" t="e">
        <f>'Monthly summary loss'!$H$17/'Monthly summary loss'!$X$17</f>
        <v>#DIV/0!</v>
      </c>
      <c r="M63" s="427" t="e">
        <f>SUM($L$53:L63)</f>
        <v>#DIV/0!</v>
      </c>
      <c r="O63" s="413" t="s">
        <v>21</v>
      </c>
      <c r="P63" s="423" t="e">
        <f>'Monthly summary loss'!$Q$18/'Monthly summary loss'!$X$18</f>
        <v>#DIV/0!</v>
      </c>
      <c r="Q63" s="427" t="e">
        <f>SUM($P$53:P63)</f>
        <v>#DIV/0!</v>
      </c>
    </row>
    <row r="64" spans="3:17">
      <c r="C64" s="413" t="s">
        <v>22</v>
      </c>
      <c r="D64" s="423">
        <f>'Monthly summary loss'!R15/'Monthly summary loss'!X15</f>
        <v>5.0655695551555663E-2</v>
      </c>
      <c r="E64" s="427">
        <f>SUM($D$53:D64)</f>
        <v>0.64798148624325014</v>
      </c>
      <c r="G64" s="413" t="s">
        <v>59</v>
      </c>
      <c r="H64" s="423">
        <f>'Monthly summary loss'!$O$16/'Monthly summary loss'!$X$16</f>
        <v>0</v>
      </c>
      <c r="I64" s="427">
        <f>SUM($H$53:H64)</f>
        <v>1</v>
      </c>
      <c r="K64" s="413" t="s">
        <v>8</v>
      </c>
      <c r="L64" s="423" t="e">
        <f>'Monthly summary loss'!$D$17/'Monthly summary loss'!$X$17</f>
        <v>#DIV/0!</v>
      </c>
      <c r="M64" s="427" t="e">
        <f>SUM($L$53:L64)</f>
        <v>#DIV/0!</v>
      </c>
      <c r="O64" s="413" t="s">
        <v>59</v>
      </c>
      <c r="P64" s="423" t="e">
        <f>'Monthly summary loss'!$O$18/'Monthly summary loss'!$X$18</f>
        <v>#DIV/0!</v>
      </c>
      <c r="Q64" s="427" t="e">
        <f>SUM($P$53:P64)</f>
        <v>#DIV/0!</v>
      </c>
    </row>
    <row r="65" spans="3:17">
      <c r="C65" s="413" t="s">
        <v>21</v>
      </c>
      <c r="D65" s="423">
        <f>'Monthly summary loss'!$Q$15/'Monthly summary loss'!$X$15</f>
        <v>4.5255849832861905E-2</v>
      </c>
      <c r="E65" s="427">
        <f>SUM($D$53:D65)</f>
        <v>0.69323733607611204</v>
      </c>
      <c r="G65" s="413" t="s">
        <v>6</v>
      </c>
      <c r="H65" s="423">
        <f>'Monthly summary loss'!$B$16/'Monthly summary loss'!$X$16</f>
        <v>0</v>
      </c>
      <c r="I65" s="427">
        <f>SUM($H$53:H65)</f>
        <v>1</v>
      </c>
      <c r="K65" s="413" t="s">
        <v>59</v>
      </c>
      <c r="L65" s="423" t="e">
        <f>'Monthly summary loss'!$O$17/'Monthly summary loss'!$X$17</f>
        <v>#DIV/0!</v>
      </c>
      <c r="M65" s="427" t="e">
        <f>SUM($L$53:L65)</f>
        <v>#DIV/0!</v>
      </c>
      <c r="O65" s="413" t="s">
        <v>11</v>
      </c>
      <c r="P65" s="423" t="e">
        <f>'Monthly summary loss'!$G$18/'Monthly summary loss'!$X$18</f>
        <v>#DIV/0!</v>
      </c>
      <c r="Q65" s="427" t="e">
        <f>SUM($P$53:P65)</f>
        <v>#DIV/0!</v>
      </c>
    </row>
    <row r="66" spans="3:17">
      <c r="C66" s="413" t="s">
        <v>59</v>
      </c>
      <c r="D66" s="423">
        <f>'Monthly summary loss'!$O$15/'Monthly summary loss'!$X$15</f>
        <v>2.6999228593468753E-2</v>
      </c>
      <c r="E66" s="427">
        <f>SUM($D$53:D66)</f>
        <v>0.72023656466958075</v>
      </c>
      <c r="G66" s="413" t="s">
        <v>9</v>
      </c>
      <c r="H66" s="423">
        <f>'Monthly summary loss'!$E$16/'Monthly summary loss'!$X$16</f>
        <v>0</v>
      </c>
      <c r="I66" s="427">
        <f>SUM($H$53:H66)</f>
        <v>1</v>
      </c>
      <c r="K66" s="413" t="s">
        <v>25</v>
      </c>
      <c r="L66" s="423" t="e">
        <f>'Monthly summary loss'!U17/'Monthly summary loss'!X17</f>
        <v>#DIV/0!</v>
      </c>
      <c r="M66" s="427" t="e">
        <f>SUM($L$53:L66)</f>
        <v>#DIV/0!</v>
      </c>
      <c r="O66" s="413" t="s">
        <v>22</v>
      </c>
      <c r="P66" s="423" t="e">
        <f>'Monthly summary loss'!$R$18/'Monthly summary loss'!$X$18</f>
        <v>#DIV/0!</v>
      </c>
      <c r="Q66" s="427" t="e">
        <f>SUM($P$53:P66)</f>
        <v>#DIV/0!</v>
      </c>
    </row>
    <row r="67" spans="3:17" ht="14.25" customHeight="1">
      <c r="C67" s="413" t="s">
        <v>9</v>
      </c>
      <c r="D67" s="423">
        <f>'Monthly summary loss'!$E$15/'Monthly summary loss'!$X$15</f>
        <v>6.5569555155566969E-3</v>
      </c>
      <c r="E67" s="427">
        <f>SUM($D$53:D67)</f>
        <v>0.72679352018513743</v>
      </c>
      <c r="G67" s="413" t="s">
        <v>11</v>
      </c>
      <c r="H67" s="423">
        <f>'Monthly summary loss'!$G$16/'Monthly summary loss'!$X$16</f>
        <v>0</v>
      </c>
      <c r="I67" s="427">
        <f>SUM($H$53:H67)</f>
        <v>1</v>
      </c>
      <c r="K67" s="413" t="s">
        <v>11</v>
      </c>
      <c r="L67" s="423" t="e">
        <f>'Monthly summary loss'!$G$17/'Monthly summary loss'!$X$17</f>
        <v>#DIV/0!</v>
      </c>
      <c r="M67" s="427" t="e">
        <f>SUM($L$53:L67)</f>
        <v>#DIV/0!</v>
      </c>
      <c r="O67" s="413" t="s">
        <v>57</v>
      </c>
      <c r="P67" s="423" t="e">
        <f>'Monthly summary loss'!$M$18/'Monthly summary loss'!$X$18</f>
        <v>#DIV/0!</v>
      </c>
      <c r="Q67" s="427" t="e">
        <f>SUM($P$53:P67)</f>
        <v>#DIV/0!</v>
      </c>
    </row>
    <row r="68" spans="3:17" ht="13.35" customHeight="1">
      <c r="C68" s="413" t="s">
        <v>60</v>
      </c>
      <c r="D68" s="423">
        <f>'Monthly summary loss'!$F$15/'Monthly summary loss'!$X$15</f>
        <v>3.4713293905888399E-3</v>
      </c>
      <c r="E68" s="427">
        <f>SUM($D$53:D68)</f>
        <v>0.73026484957572624</v>
      </c>
      <c r="G68" s="413" t="s">
        <v>23</v>
      </c>
      <c r="H68" s="423">
        <f>'Monthly summary loss'!$S$16/'Monthly summary loss'!$X$16</f>
        <v>0</v>
      </c>
      <c r="I68" s="427">
        <f>SUM($H$53:H68)</f>
        <v>1</v>
      </c>
      <c r="K68" s="413" t="s">
        <v>22</v>
      </c>
      <c r="L68" s="423" t="e">
        <f>'Monthly summary loss'!R17/'Monthly summary loss'!X17</f>
        <v>#DIV/0!</v>
      </c>
      <c r="M68" s="427" t="e">
        <f>SUM($L$53:L68)</f>
        <v>#DIV/0!</v>
      </c>
      <c r="O68" s="413" t="s">
        <v>6</v>
      </c>
      <c r="P68" s="423" t="e">
        <f>'Monthly summary loss'!$B$18/'Monthly summary loss'!$X$18</f>
        <v>#DIV/0!</v>
      </c>
      <c r="Q68" s="427" t="e">
        <f>SUM($P$53:P68)</f>
        <v>#DIV/0!</v>
      </c>
    </row>
    <row r="69" spans="3:17" ht="14.25" customHeight="1">
      <c r="C69" s="413" t="s">
        <v>8</v>
      </c>
      <c r="D69" s="423">
        <f>'Monthly summary loss'!$D$15/'Monthly summary loss'!$X$15</f>
        <v>0.14129596297248648</v>
      </c>
      <c r="E69" s="427">
        <f>SUM($D$53:D69)</f>
        <v>0.87156081254821272</v>
      </c>
      <c r="G69" s="413" t="s">
        <v>57</v>
      </c>
      <c r="H69" s="423">
        <f>'Monthly summary loss'!$M$16/'Monthly summary loss'!$X$16</f>
        <v>0</v>
      </c>
      <c r="I69" s="427">
        <f>SUM($H$53:H69)</f>
        <v>1</v>
      </c>
      <c r="K69" s="413" t="s">
        <v>60</v>
      </c>
      <c r="L69" s="423" t="e">
        <f>'Monthly summary loss'!$F$17/'Monthly summary loss'!$X$17</f>
        <v>#DIV/0!</v>
      </c>
      <c r="M69" s="427" t="e">
        <f>SUM($L$53:L69)</f>
        <v>#DIV/0!</v>
      </c>
      <c r="O69" s="413" t="s">
        <v>60</v>
      </c>
      <c r="P69" s="423" t="e">
        <f>'Monthly summary loss'!$F$18/'Monthly summary loss'!$X$18</f>
        <v>#DIV/0!</v>
      </c>
      <c r="Q69" s="427" t="e">
        <f>SUM($P$53:P69)</f>
        <v>#DIV/0!</v>
      </c>
    </row>
    <row r="70" spans="3:17">
      <c r="C70" s="413" t="s">
        <v>57</v>
      </c>
      <c r="D70" s="423">
        <f>'Monthly summary loss'!$M$15/'Monthly summary loss'!$X$15</f>
        <v>8.4597582926202092E-2</v>
      </c>
      <c r="E70" s="427">
        <f>SUM($D$53:D70)</f>
        <v>0.95615839547441484</v>
      </c>
      <c r="G70" s="413" t="s">
        <v>25</v>
      </c>
      <c r="H70" s="423">
        <f>'Monthly summary loss'!U16/'Monthly summary loss'!$X$16</f>
        <v>0</v>
      </c>
      <c r="I70" s="427">
        <f>SUM($H$53:H70)</f>
        <v>1</v>
      </c>
      <c r="K70" s="413" t="s">
        <v>6</v>
      </c>
      <c r="L70" s="423" t="e">
        <f>'Monthly summary loss'!$B$17/'Monthly summary loss'!$X$17</f>
        <v>#DIV/0!</v>
      </c>
      <c r="M70" s="427" t="e">
        <f>SUM($L$53:L70)</f>
        <v>#DIV/0!</v>
      </c>
      <c r="O70" s="413" t="s">
        <v>9</v>
      </c>
      <c r="P70" s="423" t="e">
        <f>'Monthly summary loss'!$E$18/'Monthly summary loss'!$X$18</f>
        <v>#DIV/0!</v>
      </c>
      <c r="Q70" s="427" t="e">
        <f>SUM($P$53:P70)</f>
        <v>#DIV/0!</v>
      </c>
    </row>
    <row r="71" spans="3:17" ht="15.6" customHeight="1">
      <c r="C71" s="413" t="s">
        <v>25</v>
      </c>
      <c r="D71" s="423">
        <f>'Monthly summary loss'!U15/'Monthly summary loss'!X15</f>
        <v>1.1571097968629466E-3</v>
      </c>
      <c r="E71" s="427">
        <f>SUM($D$53:D71)</f>
        <v>0.95731550527127773</v>
      </c>
      <c r="G71" s="413" t="s">
        <v>22</v>
      </c>
      <c r="H71" s="423">
        <f>'Monthly summary loss'!$R$16/'Monthly summary loss'!$X$16</f>
        <v>0</v>
      </c>
      <c r="I71" s="427">
        <f>SUM($H$53:H71)</f>
        <v>1</v>
      </c>
      <c r="K71" s="413" t="s">
        <v>21</v>
      </c>
      <c r="L71" s="423" t="e">
        <f>'Monthly summary loss'!$Q$17/'Monthly summary loss'!$X$17</f>
        <v>#DIV/0!</v>
      </c>
      <c r="M71" s="427" t="e">
        <f>SUM($L$53:L71)</f>
        <v>#DIV/0!</v>
      </c>
      <c r="O71" s="413" t="s">
        <v>23</v>
      </c>
      <c r="P71" s="423" t="e">
        <f>'Monthly summary loss'!$S$18/'Monthly summary loss'!$X$18</f>
        <v>#DIV/0!</v>
      </c>
      <c r="Q71" s="427" t="e">
        <f>SUM($P$53:P71)</f>
        <v>#DIV/0!</v>
      </c>
    </row>
    <row r="72" spans="3:17">
      <c r="C72" s="413" t="s">
        <v>23</v>
      </c>
      <c r="D72" s="423">
        <f>'Monthly summary loss'!$S$15/'Monthly summary loss'!$X$15</f>
        <v>3.4713293905888399E-3</v>
      </c>
      <c r="E72" s="427">
        <f>SUM($D$53:D72)</f>
        <v>0.96078683466186654</v>
      </c>
      <c r="G72" s="413" t="s">
        <v>13</v>
      </c>
      <c r="H72" s="423">
        <f>'Monthly summary loss'!$I$16/'Monthly summary loss'!$X$16</f>
        <v>0</v>
      </c>
      <c r="I72" s="427">
        <f>SUM($H$53:H72)</f>
        <v>1</v>
      </c>
      <c r="K72" s="413" t="s">
        <v>9</v>
      </c>
      <c r="L72" s="423" t="e">
        <f>'Monthly summary loss'!$E$17/'Monthly summary loss'!$X$17</f>
        <v>#DIV/0!</v>
      </c>
      <c r="M72" s="427" t="e">
        <f>SUM($L$53:L72)</f>
        <v>#DIV/0!</v>
      </c>
      <c r="O72" s="413" t="s">
        <v>25</v>
      </c>
      <c r="P72" s="423" t="e">
        <f>'Monthly summary loss'!$U$18/'Monthly summary loss'!$X$18</f>
        <v>#DIV/0!</v>
      </c>
      <c r="Q72" s="427" t="e">
        <f>SUM($P$53:P72)</f>
        <v>#DIV/0!</v>
      </c>
    </row>
    <row r="73" spans="3:17" ht="12.75" customHeight="1">
      <c r="C73" s="416" t="s">
        <v>6</v>
      </c>
      <c r="D73" s="426">
        <f>'Monthly summary loss'!$B$15/'Monthly summary loss'!$X$15</f>
        <v>4.885574697865774E-3</v>
      </c>
      <c r="E73" s="430">
        <f>SUM($D$53:D73)</f>
        <v>0.96567240935973231</v>
      </c>
      <c r="G73" s="416" t="s">
        <v>60</v>
      </c>
      <c r="H73" s="426">
        <f>'Monthly summary loss'!$F$16/'Monthly summary loss'!$X$16</f>
        <v>0</v>
      </c>
      <c r="I73" s="430">
        <f>SUM($H$53:H73)</f>
        <v>1</v>
      </c>
      <c r="K73" s="416" t="s">
        <v>23</v>
      </c>
      <c r="L73" s="426" t="e">
        <f>'Monthly summary loss'!$S$17/'Monthly summary loss'!$X$17</f>
        <v>#DIV/0!</v>
      </c>
      <c r="M73" s="430" t="e">
        <f>SUM($L$53:L73)</f>
        <v>#DIV/0!</v>
      </c>
      <c r="O73" s="416" t="s">
        <v>12</v>
      </c>
      <c r="P73" s="426" t="e">
        <f>'Monthly summary loss'!$H$18/'Monthly summary loss'!$X$18</f>
        <v>#DIV/0!</v>
      </c>
      <c r="Q73" s="430" t="e">
        <f>SUM($P$53:P73)</f>
        <v>#DIV/0!</v>
      </c>
    </row>
    <row r="75" spans="3:17" ht="15">
      <c r="C75" s="643" t="s">
        <v>69</v>
      </c>
      <c r="D75" s="643"/>
      <c r="E75" s="643"/>
    </row>
    <row r="76" spans="3:17" ht="25.5">
      <c r="C76" s="431" t="s">
        <v>53</v>
      </c>
      <c r="D76" s="431" t="s">
        <v>54</v>
      </c>
      <c r="E76" s="432" t="s">
        <v>70</v>
      </c>
    </row>
    <row r="77" spans="3:17">
      <c r="C77" s="433" t="s">
        <v>6</v>
      </c>
      <c r="D77" s="434">
        <f>'Monthly summary loss'!B19/'Monthly summary loss'!X19</f>
        <v>4.4782672325479281E-3</v>
      </c>
      <c r="E77" s="435">
        <f>SUM($D$77:D77)</f>
        <v>4.4782672325479281E-3</v>
      </c>
    </row>
    <row r="78" spans="3:17" ht="12.75" customHeight="1">
      <c r="C78" s="436" t="s">
        <v>7</v>
      </c>
      <c r="D78" s="188">
        <f>'Monthly summary loss'!C19/'Monthly summary loss'!X19</f>
        <v>0.10470754670959558</v>
      </c>
      <c r="E78" s="437">
        <f>SUM($D$77:D78)</f>
        <v>0.10918581394214351</v>
      </c>
    </row>
    <row r="79" spans="3:17" ht="12.75" customHeight="1">
      <c r="C79" s="436" t="s">
        <v>8</v>
      </c>
      <c r="D79" s="188">
        <f>'Monthly summary loss'!D19/'Monthly summary loss'!X19</f>
        <v>6.6588614078735536E-2</v>
      </c>
      <c r="E79" s="437">
        <f>SUM($D$77:D79)</f>
        <v>0.17577442802087906</v>
      </c>
    </row>
    <row r="80" spans="3:17">
      <c r="C80" s="436" t="s">
        <v>9</v>
      </c>
      <c r="D80" s="188">
        <f>'Monthly summary loss'!E19/'Monthly summary loss'!X19</f>
        <v>5.2783062588418932E-3</v>
      </c>
      <c r="E80" s="437">
        <f>SUM($D$77:D80)</f>
        <v>0.18105273427972096</v>
      </c>
    </row>
    <row r="81" spans="3:5" ht="12.75" customHeight="1">
      <c r="C81" s="436" t="s">
        <v>61</v>
      </c>
      <c r="D81" s="188">
        <f>'Monthly summary loss'!F19/'Monthly summary loss'!X19</f>
        <v>5.8637006683252826E-3</v>
      </c>
      <c r="E81" s="437">
        <f>SUM($D$77:D81)</f>
        <v>0.18691643494804625</v>
      </c>
    </row>
    <row r="82" spans="3:5" ht="12.75" customHeight="1">
      <c r="C82" s="436" t="s">
        <v>11</v>
      </c>
      <c r="D82" s="188">
        <f>'Monthly summary loss'!G19/'Monthly summary loss'!X19</f>
        <v>4.175813454314844E-3</v>
      </c>
      <c r="E82" s="437">
        <f>SUM($D$77:D82)</f>
        <v>0.19109224840236108</v>
      </c>
    </row>
    <row r="83" spans="3:5" ht="12.75" customHeight="1">
      <c r="C83" s="436" t="s">
        <v>12</v>
      </c>
      <c r="D83" s="188">
        <f>'Monthly summary loss'!H19/'Monthly summary loss'!X19</f>
        <v>6.751548856041757E-3</v>
      </c>
      <c r="E83" s="437">
        <f>SUM($D$77:D83)</f>
        <v>0.19784379725840284</v>
      </c>
    </row>
    <row r="84" spans="3:5" ht="12.75" customHeight="1">
      <c r="C84" s="413" t="s">
        <v>13</v>
      </c>
      <c r="D84" s="414">
        <f>'Monthly summary loss'!$I$19/'Monthly summary loss'!$X$19</f>
        <v>5.0558563832382067E-2</v>
      </c>
      <c r="E84" s="437">
        <f>SUM($D$77:D84)</f>
        <v>0.2484023610907849</v>
      </c>
    </row>
    <row r="85" spans="3:5">
      <c r="C85" s="436" t="s">
        <v>14</v>
      </c>
      <c r="D85" s="188">
        <f>'Monthly summary loss'!J19/'Monthly summary loss'!X19</f>
        <v>0.13493341138592124</v>
      </c>
      <c r="E85" s="437">
        <f>SUM($D$77:D85)</f>
        <v>0.38333577247670614</v>
      </c>
    </row>
    <row r="86" spans="3:5" ht="12.75" customHeight="1">
      <c r="C86" s="436" t="s">
        <v>15</v>
      </c>
      <c r="D86" s="188">
        <f>'Monthly summary loss'!K19/'Monthly summary loss'!X19</f>
        <v>6.6452022049856077E-2</v>
      </c>
      <c r="E86" s="437">
        <f>SUM($D$77:D86)</f>
        <v>0.4497877945265622</v>
      </c>
    </row>
    <row r="87" spans="3:5" ht="12.75" customHeight="1">
      <c r="C87" s="436" t="s">
        <v>16</v>
      </c>
      <c r="D87" s="188">
        <f>'Monthly summary loss'!L19/'Monthly summary loss'!X19</f>
        <v>6.4920240011707875E-2</v>
      </c>
      <c r="E87" s="437">
        <f>SUM($D$77:D87)</f>
        <v>0.51470803453827008</v>
      </c>
    </row>
    <row r="88" spans="3:5" ht="12.75" customHeight="1">
      <c r="C88" s="413" t="s">
        <v>17</v>
      </c>
      <c r="D88" s="188">
        <f>'Monthly summary loss'!M19/'Monthly summary loss'!X19</f>
        <v>7.8803844089955583E-2</v>
      </c>
      <c r="E88" s="437">
        <f>SUM($D$77:D88)</f>
        <v>0.59351187862822563</v>
      </c>
    </row>
    <row r="89" spans="3:5" ht="12.75" customHeight="1">
      <c r="C89" s="436" t="s">
        <v>18</v>
      </c>
      <c r="D89" s="188">
        <f>'Monthly summary loss'!N19/'Monthly summary loss'!X19</f>
        <v>3.6772525489048247E-2</v>
      </c>
      <c r="E89" s="437">
        <f>SUM($D$77:D89)</f>
        <v>0.63028440411727393</v>
      </c>
    </row>
    <row r="90" spans="3:5" ht="12.75" customHeight="1">
      <c r="C90" s="436" t="s">
        <v>19</v>
      </c>
      <c r="D90" s="188">
        <f>'Monthly summary loss'!O19/'Monthly summary loss'!X19</f>
        <v>1.5142202058637005E-2</v>
      </c>
      <c r="E90" s="437">
        <f>SUM($D$77:D90)</f>
        <v>0.64542660617591097</v>
      </c>
    </row>
    <row r="91" spans="3:5" ht="12.75" customHeight="1">
      <c r="C91" s="436" t="s">
        <v>20</v>
      </c>
      <c r="D91" s="188">
        <f>'Monthly summary loss'!P19/'Monthly summary loss'!X19</f>
        <v>0.12778184301673251</v>
      </c>
      <c r="E91" s="437">
        <f>SUM($D$77:D91)</f>
        <v>0.77320844919264342</v>
      </c>
    </row>
    <row r="92" spans="3:5" ht="15.75" customHeight="1">
      <c r="C92" s="413" t="s">
        <v>21</v>
      </c>
      <c r="D92" s="414">
        <f>'Monthly summary loss'!Q19/'Monthly summary loss'!X19</f>
        <v>2.5240255622225472E-2</v>
      </c>
      <c r="E92" s="437">
        <f>SUM($D$77:D92)</f>
        <v>0.79844870481486885</v>
      </c>
    </row>
    <row r="93" spans="3:5" ht="12.75" customHeight="1">
      <c r="C93" s="413" t="s">
        <v>22</v>
      </c>
      <c r="D93" s="188">
        <f>'Monthly summary loss'!R19/'Monthly summary loss'!X19</f>
        <v>2.12790867847212E-2</v>
      </c>
      <c r="E93" s="437">
        <f>SUM($D$77:D93)</f>
        <v>0.81972779159959008</v>
      </c>
    </row>
    <row r="94" spans="3:5" ht="14.25" customHeight="1">
      <c r="C94" s="436" t="s">
        <v>23</v>
      </c>
      <c r="D94" s="188">
        <f>'Monthly summary loss'!S19/'Monthly summary loss'!X19</f>
        <v>8.3906532025952458E-4</v>
      </c>
      <c r="E94" s="437">
        <f>SUM($D$77:D94)</f>
        <v>0.82056685691984965</v>
      </c>
    </row>
    <row r="95" spans="3:5" ht="14.25" customHeight="1">
      <c r="C95" s="436" t="s">
        <v>24</v>
      </c>
      <c r="D95" s="188">
        <f>'Monthly summary loss'!T19/'Monthly summary loss'!X19</f>
        <v>0.14673886531050293</v>
      </c>
      <c r="E95" s="437">
        <f>SUM($D$77:D95)</f>
        <v>0.9673057222303526</v>
      </c>
    </row>
    <row r="96" spans="3:5" ht="12.75" customHeight="1">
      <c r="C96" s="436" t="s">
        <v>25</v>
      </c>
      <c r="D96" s="188">
        <f>'Monthly summary loss'!U19/'Monthly summary loss'!X19</f>
        <v>1.7269135079759981E-3</v>
      </c>
      <c r="E96" s="437">
        <f>SUM($D$77:D96)</f>
        <v>0.96903263573832865</v>
      </c>
    </row>
    <row r="97" spans="3:19" ht="12.75" customHeight="1">
      <c r="C97" s="413" t="s">
        <v>26</v>
      </c>
      <c r="D97" s="188">
        <f>'Monthly summary loss'!V19/'Monthly summary loss'!X19</f>
        <v>2.8235523684082147E-2</v>
      </c>
      <c r="E97" s="437">
        <f>SUM($D$77:D97)</f>
        <v>0.99726815942241076</v>
      </c>
    </row>
    <row r="98" spans="3:19">
      <c r="C98" s="413" t="s">
        <v>27</v>
      </c>
      <c r="D98" s="188">
        <f>'Monthly summary loss'!W19/'Monthly summary loss'!X19</f>
        <v>2.7318405775891507E-3</v>
      </c>
      <c r="E98" s="418">
        <f>SUM($D$77:D98)</f>
        <v>0.99999999999999989</v>
      </c>
    </row>
    <row r="100" spans="3:19">
      <c r="C100" s="438"/>
      <c r="D100" s="438"/>
      <c r="E100" s="438"/>
      <c r="F100" s="438"/>
      <c r="G100" s="438"/>
      <c r="H100" s="438"/>
      <c r="I100" s="438"/>
      <c r="J100" s="438"/>
      <c r="K100" s="438"/>
      <c r="L100" s="438"/>
      <c r="M100" s="438"/>
      <c r="N100" s="438"/>
      <c r="O100" s="438"/>
      <c r="P100" s="438"/>
      <c r="Q100" s="438"/>
      <c r="R100" s="438"/>
      <c r="S100" s="438"/>
    </row>
    <row r="104" spans="3:19" ht="89.25">
      <c r="C104" s="381" t="s">
        <v>71</v>
      </c>
      <c r="D104" s="381" t="s">
        <v>72</v>
      </c>
      <c r="E104" s="381" t="s">
        <v>73</v>
      </c>
      <c r="F104" s="381" t="s">
        <v>54</v>
      </c>
      <c r="G104" s="439"/>
      <c r="H104" s="439"/>
      <c r="I104" s="439"/>
      <c r="J104" s="439"/>
      <c r="K104" s="439"/>
      <c r="L104" s="442"/>
      <c r="M104" s="442"/>
      <c r="N104" s="442"/>
      <c r="O104" s="442"/>
    </row>
    <row r="105" spans="3:19">
      <c r="C105" t="s">
        <v>15</v>
      </c>
      <c r="D105" t="e">
        <f>#REF!</f>
        <v>#REF!</v>
      </c>
      <c r="E105" t="e">
        <f>SUM(D105)</f>
        <v>#REF!</v>
      </c>
      <c r="F105" s="440" t="e">
        <f t="shared" ref="F105:F123" si="0">E105/$D$124</f>
        <v>#REF!</v>
      </c>
    </row>
    <row r="106" spans="3:19">
      <c r="C106" t="s">
        <v>74</v>
      </c>
      <c r="D106" t="e">
        <f>#REF!</f>
        <v>#REF!</v>
      </c>
      <c r="E106" t="e">
        <f>SUM($D$105:D106)</f>
        <v>#REF!</v>
      </c>
      <c r="F106" s="440" t="e">
        <f t="shared" si="0"/>
        <v>#REF!</v>
      </c>
    </row>
    <row r="107" spans="3:19">
      <c r="C107" t="s">
        <v>75</v>
      </c>
      <c r="D107" t="e">
        <f>#REF!</f>
        <v>#REF!</v>
      </c>
      <c r="E107" t="e">
        <f>SUM($D$105:D107)</f>
        <v>#REF!</v>
      </c>
      <c r="F107" s="440" t="e">
        <f t="shared" si="0"/>
        <v>#REF!</v>
      </c>
    </row>
    <row r="108" spans="3:19">
      <c r="C108" t="s">
        <v>7</v>
      </c>
      <c r="D108" t="e">
        <f>#REF!</f>
        <v>#REF!</v>
      </c>
      <c r="E108" t="e">
        <f>SUM($D$105:D108)</f>
        <v>#REF!</v>
      </c>
      <c r="F108" s="440" t="e">
        <f t="shared" si="0"/>
        <v>#REF!</v>
      </c>
    </row>
    <row r="109" spans="3:19">
      <c r="C109" t="s">
        <v>14</v>
      </c>
      <c r="D109" t="e">
        <f>#REF!</f>
        <v>#REF!</v>
      </c>
      <c r="E109" t="e">
        <f>SUM($D$105:D109)</f>
        <v>#REF!</v>
      </c>
      <c r="F109" s="440" t="e">
        <f t="shared" si="0"/>
        <v>#REF!</v>
      </c>
    </row>
    <row r="110" spans="3:19">
      <c r="C110" t="s">
        <v>16</v>
      </c>
      <c r="D110" t="e">
        <f>#REF!</f>
        <v>#REF!</v>
      </c>
      <c r="E110" t="e">
        <f>SUM($D$105:D110)</f>
        <v>#REF!</v>
      </c>
      <c r="F110" s="440" t="e">
        <f t="shared" si="0"/>
        <v>#REF!</v>
      </c>
    </row>
    <row r="111" spans="3:19">
      <c r="C111" t="s">
        <v>21</v>
      </c>
      <c r="D111" t="e">
        <f>#REF!</f>
        <v>#REF!</v>
      </c>
      <c r="E111" t="e">
        <f>SUM($D$105:D111)</f>
        <v>#REF!</v>
      </c>
      <c r="F111" s="440" t="e">
        <f t="shared" si="0"/>
        <v>#REF!</v>
      </c>
    </row>
    <row r="112" spans="3:19">
      <c r="C112" t="s">
        <v>76</v>
      </c>
      <c r="D112" t="e">
        <f>#REF!</f>
        <v>#REF!</v>
      </c>
      <c r="E112" t="e">
        <f>SUM($D$105:D112)</f>
        <v>#REF!</v>
      </c>
      <c r="F112" s="440" t="e">
        <f t="shared" si="0"/>
        <v>#REF!</v>
      </c>
    </row>
    <row r="113" spans="3:6">
      <c r="C113" t="s">
        <v>77</v>
      </c>
      <c r="D113" t="e">
        <f>#REF!</f>
        <v>#REF!</v>
      </c>
      <c r="E113" t="e">
        <f>SUM($D$105:D113)</f>
        <v>#REF!</v>
      </c>
      <c r="F113" s="440" t="e">
        <f t="shared" si="0"/>
        <v>#REF!</v>
      </c>
    </row>
    <row r="114" spans="3:6">
      <c r="C114" t="s">
        <v>59</v>
      </c>
      <c r="D114" t="e">
        <f>#REF!</f>
        <v>#REF!</v>
      </c>
      <c r="E114" t="e">
        <f>SUM($D$105:D114)</f>
        <v>#REF!</v>
      </c>
      <c r="F114" s="440" t="e">
        <f t="shared" si="0"/>
        <v>#REF!</v>
      </c>
    </row>
    <row r="115" spans="3:6">
      <c r="C115" t="s">
        <v>78</v>
      </c>
      <c r="D115" t="e">
        <f>#REF!</f>
        <v>#REF!</v>
      </c>
      <c r="E115" t="e">
        <f>SUM($D$105:D115)</f>
        <v>#REF!</v>
      </c>
      <c r="F115" s="440" t="e">
        <f t="shared" si="0"/>
        <v>#REF!</v>
      </c>
    </row>
    <row r="116" spans="3:6">
      <c r="C116" t="s">
        <v>18</v>
      </c>
      <c r="D116" t="e">
        <f>#REF!</f>
        <v>#REF!</v>
      </c>
      <c r="E116" t="e">
        <f>SUM($D$105:D116)</f>
        <v>#REF!</v>
      </c>
      <c r="F116" s="440" t="e">
        <f t="shared" si="0"/>
        <v>#REF!</v>
      </c>
    </row>
    <row r="117" spans="3:6">
      <c r="C117" t="s">
        <v>11</v>
      </c>
      <c r="D117" t="e">
        <f>#REF!</f>
        <v>#REF!</v>
      </c>
      <c r="E117" t="e">
        <f>SUM($D$105:D117)</f>
        <v>#REF!</v>
      </c>
      <c r="F117" s="440" t="e">
        <f t="shared" si="0"/>
        <v>#REF!</v>
      </c>
    </row>
    <row r="118" spans="3:6">
      <c r="C118" t="s">
        <v>8</v>
      </c>
      <c r="D118" t="e">
        <f>#REF!</f>
        <v>#REF!</v>
      </c>
      <c r="E118" t="e">
        <f>SUM($D$105:D118)</f>
        <v>#REF!</v>
      </c>
      <c r="F118" s="440" t="e">
        <f t="shared" si="0"/>
        <v>#REF!</v>
      </c>
    </row>
    <row r="119" spans="3:6">
      <c r="C119" t="s">
        <v>12</v>
      </c>
      <c r="D119" t="e">
        <f>#REF!</f>
        <v>#REF!</v>
      </c>
      <c r="E119" t="e">
        <f>SUM($D$105:D119)</f>
        <v>#REF!</v>
      </c>
      <c r="F119" s="440" t="e">
        <f t="shared" si="0"/>
        <v>#REF!</v>
      </c>
    </row>
    <row r="120" spans="3:6">
      <c r="C120" t="s">
        <v>79</v>
      </c>
      <c r="D120" t="e">
        <f>#REF!</f>
        <v>#REF!</v>
      </c>
      <c r="E120" t="e">
        <f>SUM($D$105:D120)</f>
        <v>#REF!</v>
      </c>
      <c r="F120" s="440" t="e">
        <f t="shared" si="0"/>
        <v>#REF!</v>
      </c>
    </row>
    <row r="121" spans="3:6">
      <c r="C121" t="s">
        <v>61</v>
      </c>
      <c r="D121" t="e">
        <f>#REF!</f>
        <v>#REF!</v>
      </c>
      <c r="E121" t="e">
        <f>SUM($D$105:D121)</f>
        <v>#REF!</v>
      </c>
      <c r="F121" s="440" t="e">
        <f t="shared" si="0"/>
        <v>#REF!</v>
      </c>
    </row>
    <row r="122" spans="3:6">
      <c r="C122" t="s">
        <v>23</v>
      </c>
      <c r="D122" t="e">
        <f>#REF!</f>
        <v>#REF!</v>
      </c>
      <c r="E122" t="e">
        <f>SUM($D$105:D122)</f>
        <v>#REF!</v>
      </c>
      <c r="F122" s="440" t="e">
        <f t="shared" si="0"/>
        <v>#REF!</v>
      </c>
    </row>
    <row r="123" spans="3:6">
      <c r="C123" t="s">
        <v>80</v>
      </c>
      <c r="D123" t="e">
        <f>#REF!</f>
        <v>#REF!</v>
      </c>
      <c r="E123" t="e">
        <f>SUM($D$105:D123)</f>
        <v>#REF!</v>
      </c>
      <c r="F123" s="440" t="e">
        <f t="shared" si="0"/>
        <v>#REF!</v>
      </c>
    </row>
    <row r="124" spans="3:6">
      <c r="C124" t="s">
        <v>28</v>
      </c>
      <c r="D124" s="441" t="e">
        <f>SUM(D105:D123)</f>
        <v>#REF!</v>
      </c>
    </row>
  </sheetData>
  <sortState xmlns:xlrd2="http://schemas.microsoft.com/office/spreadsheetml/2017/richdata2" ref="O29:Q48">
    <sortCondition descending="1" ref="P29:P48"/>
  </sortState>
  <mergeCells count="13">
    <mergeCell ref="C50:E50"/>
    <mergeCell ref="G50:I50"/>
    <mergeCell ref="K50:M50"/>
    <mergeCell ref="O50:Q50"/>
    <mergeCell ref="C75:E75"/>
    <mergeCell ref="C2:E2"/>
    <mergeCell ref="G2:I2"/>
    <mergeCell ref="K2:M2"/>
    <mergeCell ref="O2:Q2"/>
    <mergeCell ref="C26:E26"/>
    <mergeCell ref="G26:I26"/>
    <mergeCell ref="K26:M26"/>
    <mergeCell ref="O26:Q26"/>
  </mergeCells>
  <pageMargins left="0.75" right="0.75" top="1" bottom="1" header="0.5" footer="0.5"/>
  <pageSetup orientation="portrait"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dimension ref="A1"/>
  <sheetViews>
    <sheetView topLeftCell="A22" zoomScale="90" zoomScaleNormal="90" workbookViewId="0">
      <selection activeCell="AC22" sqref="AC22"/>
    </sheetView>
  </sheetViews>
  <sheetFormatPr defaultColWidth="9" defaultRowHeight="12.75"/>
  <cols>
    <col min="2" max="2" width="12.5703125" customWidth="1"/>
    <col min="4" max="4" width="16.5703125" customWidth="1"/>
  </cols>
  <sheetData/>
  <pageMargins left="0.75" right="0.75" top="1" bottom="1" header="0.5" footer="0.5"/>
  <pageSetup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
    <tabColor theme="5" tint="0.39988402966399123"/>
  </sheetPr>
  <dimension ref="A3:AO734"/>
  <sheetViews>
    <sheetView topLeftCell="A2" zoomScaleNormal="100" workbookViewId="0">
      <pane xSplit="1" ySplit="3" topLeftCell="B551" activePane="bottomRight" state="frozen"/>
      <selection pane="topRight"/>
      <selection pane="bottomLeft"/>
      <selection pane="bottomRight" activeCell="K528" sqref="K528"/>
    </sheetView>
  </sheetViews>
  <sheetFormatPr defaultColWidth="9" defaultRowHeight="12.75"/>
  <cols>
    <col min="1" max="1" width="10.42578125" customWidth="1"/>
    <col min="2" max="5" width="15.42578125" customWidth="1"/>
    <col min="6" max="7" width="11.42578125" customWidth="1"/>
    <col min="8" max="8" width="13.5703125" customWidth="1"/>
    <col min="9" max="9" width="13" customWidth="1"/>
    <col min="10" max="10" width="16.5703125" customWidth="1"/>
    <col min="11" max="13" width="12.5703125" customWidth="1"/>
    <col min="14" max="14" width="13.85546875" customWidth="1"/>
    <col min="15" max="15" width="14.5703125" customWidth="1"/>
    <col min="16" max="16" width="13" customWidth="1"/>
    <col min="17" max="17" width="10.5703125" customWidth="1"/>
    <col min="18" max="18" width="10" customWidth="1"/>
    <col min="19" max="19" width="14.5703125" customWidth="1"/>
    <col min="20" max="20" width="11.5703125" customWidth="1"/>
    <col min="21" max="21" width="15.42578125" customWidth="1"/>
    <col min="22" max="23" width="11.5703125" customWidth="1"/>
    <col min="24" max="26" width="15.42578125" customWidth="1"/>
    <col min="27" max="28" width="12.42578125" customWidth="1"/>
    <col min="29" max="29" width="12.5703125" customWidth="1"/>
    <col min="30" max="30" width="11.5703125" customWidth="1"/>
    <col min="31" max="31" width="15.42578125" customWidth="1"/>
    <col min="32" max="32" width="10.5703125" customWidth="1"/>
  </cols>
  <sheetData>
    <row r="3" spans="1:34" ht="15">
      <c r="B3" s="644"/>
      <c r="C3" s="644"/>
      <c r="D3" s="644"/>
      <c r="E3" s="644"/>
      <c r="F3" s="644"/>
      <c r="G3" s="644"/>
      <c r="H3" s="644"/>
      <c r="I3" s="644"/>
      <c r="J3" s="644"/>
      <c r="K3" s="644"/>
      <c r="L3" s="644"/>
      <c r="M3" s="644"/>
      <c r="N3" s="644"/>
      <c r="O3" s="644"/>
      <c r="P3" s="644"/>
      <c r="Q3" s="644"/>
      <c r="R3" s="644"/>
      <c r="S3" s="644"/>
      <c r="T3" s="644"/>
      <c r="U3" s="644"/>
      <c r="V3" s="644"/>
      <c r="W3" s="644"/>
      <c r="X3" s="644"/>
      <c r="Y3" s="644"/>
      <c r="Z3" s="644"/>
      <c r="AA3" s="644"/>
      <c r="AB3" s="644"/>
      <c r="AC3" s="644"/>
      <c r="AD3" s="644"/>
      <c r="AE3" s="644"/>
      <c r="AF3" s="644"/>
    </row>
    <row r="4" spans="1:34" s="182" customFormat="1" ht="63.75">
      <c r="A4" s="388" t="s">
        <v>81</v>
      </c>
      <c r="B4" s="381" t="s">
        <v>82</v>
      </c>
      <c r="C4" s="381" t="s">
        <v>83</v>
      </c>
      <c r="D4" s="381" t="s">
        <v>84</v>
      </c>
      <c r="E4" s="381" t="s">
        <v>85</v>
      </c>
      <c r="F4" s="381" t="s">
        <v>86</v>
      </c>
      <c r="G4" s="381" t="s">
        <v>87</v>
      </c>
      <c r="H4" s="381" t="s">
        <v>88</v>
      </c>
      <c r="I4" s="408" t="s">
        <v>89</v>
      </c>
      <c r="J4" s="381" t="s">
        <v>90</v>
      </c>
      <c r="K4" s="350" t="s">
        <v>91</v>
      </c>
      <c r="L4" s="381" t="s">
        <v>92</v>
      </c>
      <c r="M4" s="381" t="s">
        <v>93</v>
      </c>
      <c r="N4" s="381" t="s">
        <v>94</v>
      </c>
      <c r="O4" s="381" t="s">
        <v>95</v>
      </c>
      <c r="P4" s="349" t="s">
        <v>96</v>
      </c>
      <c r="Q4" s="381" t="s">
        <v>97</v>
      </c>
      <c r="R4" s="381" t="s">
        <v>98</v>
      </c>
      <c r="S4" s="582" t="s">
        <v>99</v>
      </c>
      <c r="T4" s="560" t="s">
        <v>100</v>
      </c>
      <c r="U4" s="381" t="s">
        <v>101</v>
      </c>
      <c r="V4" s="381" t="s">
        <v>102</v>
      </c>
      <c r="W4" s="381" t="s">
        <v>103</v>
      </c>
      <c r="X4" s="381" t="s">
        <v>104</v>
      </c>
      <c r="Y4" s="349" t="s">
        <v>105</v>
      </c>
      <c r="Z4" s="381" t="s">
        <v>106</v>
      </c>
      <c r="AA4" s="381" t="s">
        <v>107</v>
      </c>
      <c r="AB4" s="381" t="s">
        <v>108</v>
      </c>
      <c r="AC4" s="381" t="s">
        <v>109</v>
      </c>
      <c r="AD4" s="381" t="s">
        <v>110</v>
      </c>
      <c r="AE4" s="381" t="s">
        <v>111</v>
      </c>
      <c r="AF4" s="381" t="s">
        <v>112</v>
      </c>
    </row>
    <row r="6" spans="1:34" s="378" customFormat="1" ht="26.25">
      <c r="A6" s="379">
        <v>2026</v>
      </c>
    </row>
    <row r="7" spans="1:34">
      <c r="A7" s="165">
        <f>'Conveyor Downtime (new)'!A6</f>
        <v>46024</v>
      </c>
      <c r="AG7">
        <f t="shared" ref="AG7:AG38" si="0">SUM(B7:AF7)</f>
        <v>0</v>
      </c>
      <c r="AH7" s="351">
        <f t="shared" ref="AH7:AH51" si="1">AG7/$AG$68</f>
        <v>0</v>
      </c>
    </row>
    <row r="8" spans="1:34">
      <c r="A8" s="165">
        <f>'Conveyor Downtime (new)'!A7</f>
        <v>46027</v>
      </c>
      <c r="B8" s="346"/>
      <c r="C8" s="346"/>
      <c r="D8" s="346"/>
      <c r="E8" s="346"/>
      <c r="F8" s="346"/>
      <c r="G8" s="346"/>
      <c r="H8" s="346"/>
      <c r="I8" s="346"/>
      <c r="J8" s="346"/>
      <c r="K8" s="346"/>
      <c r="L8" s="346"/>
      <c r="M8" s="346"/>
      <c r="N8" s="346"/>
      <c r="O8" s="346"/>
      <c r="P8" s="346"/>
      <c r="Q8" s="346"/>
      <c r="R8" s="346"/>
      <c r="S8" s="346"/>
      <c r="T8" s="346"/>
      <c r="U8" s="346"/>
      <c r="V8" s="346"/>
      <c r="W8" s="346"/>
      <c r="X8" s="346"/>
      <c r="Y8" s="346"/>
      <c r="Z8" s="346"/>
      <c r="AA8" s="346"/>
      <c r="AB8" s="346"/>
      <c r="AC8" s="346"/>
      <c r="AD8" s="346"/>
      <c r="AE8" s="346"/>
      <c r="AF8" s="346"/>
      <c r="AG8">
        <f t="shared" si="0"/>
        <v>0</v>
      </c>
      <c r="AH8" s="351">
        <f t="shared" si="1"/>
        <v>0</v>
      </c>
    </row>
    <row r="9" spans="1:34">
      <c r="A9" s="165">
        <f>'Conveyor Downtime (new)'!A8</f>
        <v>46028</v>
      </c>
      <c r="AG9">
        <f t="shared" si="0"/>
        <v>0</v>
      </c>
      <c r="AH9" s="351">
        <f t="shared" si="1"/>
        <v>0</v>
      </c>
    </row>
    <row r="10" spans="1:34" ht="13.5" customHeight="1">
      <c r="A10" s="165">
        <f>'Conveyor Downtime (new)'!A9</f>
        <v>46029</v>
      </c>
      <c r="B10" s="346"/>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f t="shared" si="0"/>
        <v>0</v>
      </c>
      <c r="AH10" s="351">
        <f t="shared" si="1"/>
        <v>0</v>
      </c>
    </row>
    <row r="11" spans="1:34">
      <c r="A11" s="165">
        <f>'Conveyor Downtime (new)'!A10</f>
        <v>46030</v>
      </c>
      <c r="AG11">
        <f t="shared" si="0"/>
        <v>0</v>
      </c>
      <c r="AH11" s="351">
        <f t="shared" si="1"/>
        <v>0</v>
      </c>
    </row>
    <row r="12" spans="1:34">
      <c r="A12" s="165">
        <f>'Conveyor Downtime (new)'!A11</f>
        <v>46031</v>
      </c>
      <c r="B12" s="346"/>
      <c r="C12" s="346"/>
      <c r="D12" s="346"/>
      <c r="E12" s="346"/>
      <c r="F12" s="346"/>
      <c r="G12" s="346"/>
      <c r="H12" s="346"/>
      <c r="I12" s="346"/>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f t="shared" si="0"/>
        <v>0</v>
      </c>
      <c r="AH12" s="351">
        <f t="shared" si="1"/>
        <v>0</v>
      </c>
    </row>
    <row r="13" spans="1:34">
      <c r="A13" s="165">
        <f>'Conveyor Downtime (new)'!A12</f>
        <v>46031</v>
      </c>
      <c r="K13">
        <v>5</v>
      </c>
      <c r="AF13">
        <f>4</f>
        <v>4</v>
      </c>
      <c r="AG13">
        <f t="shared" si="0"/>
        <v>9</v>
      </c>
      <c r="AH13" s="351">
        <f t="shared" si="1"/>
        <v>1.5985790408525755E-2</v>
      </c>
    </row>
    <row r="14" spans="1:34">
      <c r="A14" s="165">
        <f>'Conveyor Downtime (new)'!A13</f>
        <v>46032</v>
      </c>
      <c r="B14" s="346"/>
      <c r="C14" s="346"/>
      <c r="D14" s="346"/>
      <c r="E14" s="346"/>
      <c r="F14" s="346"/>
      <c r="G14" s="346"/>
      <c r="H14" s="346"/>
      <c r="I14" s="346"/>
      <c r="J14" s="346"/>
      <c r="K14" s="346"/>
      <c r="L14" s="346"/>
      <c r="M14" s="346"/>
      <c r="N14" s="346"/>
      <c r="O14" s="346"/>
      <c r="P14" s="346"/>
      <c r="Q14" s="346"/>
      <c r="R14" s="346"/>
      <c r="S14" s="346"/>
      <c r="T14" s="346"/>
      <c r="U14" s="346"/>
      <c r="V14" s="346"/>
      <c r="W14" s="346"/>
      <c r="X14" s="346"/>
      <c r="Y14" s="346"/>
      <c r="Z14" s="346"/>
      <c r="AA14" s="346"/>
      <c r="AB14" s="346"/>
      <c r="AC14" s="346"/>
      <c r="AD14" s="346"/>
      <c r="AE14" s="346"/>
      <c r="AF14" s="346"/>
      <c r="AG14">
        <f t="shared" si="0"/>
        <v>0</v>
      </c>
      <c r="AH14" s="351">
        <f t="shared" si="1"/>
        <v>0</v>
      </c>
    </row>
    <row r="15" spans="1:34">
      <c r="A15" s="165">
        <f>'Conveyor Downtime (new)'!A14</f>
        <v>46034</v>
      </c>
      <c r="K15">
        <f>8+3+6</f>
        <v>17</v>
      </c>
      <c r="S15">
        <f>7+3</f>
        <v>10</v>
      </c>
      <c r="AG15">
        <f t="shared" si="0"/>
        <v>27</v>
      </c>
      <c r="AH15" s="351">
        <f t="shared" si="1"/>
        <v>4.7957371225577264E-2</v>
      </c>
    </row>
    <row r="16" spans="1:34">
      <c r="A16" s="165">
        <f>'Conveyor Downtime (new)'!A15</f>
        <v>46034</v>
      </c>
      <c r="B16" s="346"/>
      <c r="C16" s="346"/>
      <c r="D16" s="346"/>
      <c r="E16" s="346"/>
      <c r="F16" s="346"/>
      <c r="G16" s="346"/>
      <c r="H16" s="346"/>
      <c r="I16" s="346"/>
      <c r="J16" s="346"/>
      <c r="K16" s="346"/>
      <c r="L16" s="346"/>
      <c r="M16" s="346"/>
      <c r="N16" s="346"/>
      <c r="O16" s="346"/>
      <c r="P16" s="346"/>
      <c r="Q16" s="346"/>
      <c r="R16" s="346"/>
      <c r="S16" s="346"/>
      <c r="T16" s="346"/>
      <c r="U16" s="346"/>
      <c r="V16" s="346"/>
      <c r="W16" s="346"/>
      <c r="X16" s="346"/>
      <c r="Y16" s="346"/>
      <c r="Z16" s="346"/>
      <c r="AA16" s="346"/>
      <c r="AB16" s="346"/>
      <c r="AC16" s="346"/>
      <c r="AD16" s="346">
        <f>5+29</f>
        <v>34</v>
      </c>
      <c r="AE16" s="346"/>
      <c r="AF16" s="346"/>
      <c r="AG16">
        <f t="shared" si="0"/>
        <v>34</v>
      </c>
      <c r="AH16" s="351">
        <f t="shared" si="1"/>
        <v>6.0390763765541741E-2</v>
      </c>
    </row>
    <row r="17" spans="1:34">
      <c r="A17" s="165">
        <f>'Conveyor Downtime (new)'!A16</f>
        <v>46034</v>
      </c>
      <c r="AG17">
        <f t="shared" si="0"/>
        <v>0</v>
      </c>
      <c r="AH17" s="351">
        <f t="shared" si="1"/>
        <v>0</v>
      </c>
    </row>
    <row r="18" spans="1:34">
      <c r="A18" s="165">
        <f>'Conveyor Downtime (new)'!A17</f>
        <v>46035</v>
      </c>
      <c r="B18" s="346"/>
      <c r="C18" s="346"/>
      <c r="D18" s="346"/>
      <c r="E18" s="346"/>
      <c r="F18" s="346"/>
      <c r="G18" s="346"/>
      <c r="H18" s="346"/>
      <c r="I18" s="346"/>
      <c r="J18" s="346"/>
      <c r="K18" s="346">
        <f>2+3</f>
        <v>5</v>
      </c>
      <c r="L18" s="346"/>
      <c r="M18" s="346"/>
      <c r="N18" s="346"/>
      <c r="O18" s="346"/>
      <c r="P18" s="346"/>
      <c r="Q18" s="346"/>
      <c r="R18" s="346"/>
      <c r="S18" s="346">
        <f>6+3+3</f>
        <v>12</v>
      </c>
      <c r="T18" s="346"/>
      <c r="U18" s="346"/>
      <c r="V18" s="346"/>
      <c r="W18" s="346"/>
      <c r="X18" s="346"/>
      <c r="Y18" s="346"/>
      <c r="Z18" s="346"/>
      <c r="AA18" s="346"/>
      <c r="AB18" s="346"/>
      <c r="AC18" s="346"/>
      <c r="AD18" s="346"/>
      <c r="AE18" s="346"/>
      <c r="AF18" s="346"/>
      <c r="AG18">
        <f t="shared" si="0"/>
        <v>17</v>
      </c>
      <c r="AH18" s="351">
        <f t="shared" si="1"/>
        <v>3.0195381882770871E-2</v>
      </c>
    </row>
    <row r="19" spans="1:34">
      <c r="A19" s="165">
        <f>'Conveyor Downtime (new)'!A18</f>
        <v>46035</v>
      </c>
      <c r="K19">
        <f>2</f>
        <v>2</v>
      </c>
      <c r="AG19">
        <f t="shared" si="0"/>
        <v>2</v>
      </c>
      <c r="AH19" s="351">
        <f t="shared" si="1"/>
        <v>3.552397868561279E-3</v>
      </c>
    </row>
    <row r="20" spans="1:34">
      <c r="A20" s="165">
        <f>'Conveyor Downtime (new)'!A19</f>
        <v>46036</v>
      </c>
      <c r="B20" s="346"/>
      <c r="C20" s="346"/>
      <c r="D20" s="346"/>
      <c r="E20" s="346"/>
      <c r="F20" s="346"/>
      <c r="G20" s="346"/>
      <c r="H20" s="346"/>
      <c r="I20" s="346"/>
      <c r="J20" s="34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f t="shared" si="0"/>
        <v>0</v>
      </c>
      <c r="AH20" s="351">
        <f t="shared" si="1"/>
        <v>0</v>
      </c>
    </row>
    <row r="21" spans="1:34">
      <c r="A21" s="165">
        <f>'Conveyor Downtime (new)'!A20</f>
        <v>46036</v>
      </c>
      <c r="K21">
        <f>3+5</f>
        <v>8</v>
      </c>
      <c r="T21">
        <f>24</f>
        <v>24</v>
      </c>
      <c r="AG21">
        <f t="shared" si="0"/>
        <v>32</v>
      </c>
      <c r="AH21" s="351">
        <f t="shared" si="1"/>
        <v>5.6838365896980464E-2</v>
      </c>
    </row>
    <row r="22" spans="1:34">
      <c r="A22" s="165">
        <f>'Conveyor Downtime (new)'!A21</f>
        <v>46037</v>
      </c>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f t="shared" si="0"/>
        <v>0</v>
      </c>
      <c r="AH22" s="351">
        <f t="shared" si="1"/>
        <v>0</v>
      </c>
    </row>
    <row r="23" spans="1:34">
      <c r="A23" s="165">
        <f>'Conveyor Downtime (new)'!A22</f>
        <v>46037</v>
      </c>
      <c r="AG23">
        <f t="shared" si="0"/>
        <v>0</v>
      </c>
      <c r="AH23" s="351">
        <f t="shared" si="1"/>
        <v>0</v>
      </c>
    </row>
    <row r="24" spans="1:34">
      <c r="A24" s="165">
        <f>'Conveyor Downtime (new)'!A23</f>
        <v>46038</v>
      </c>
      <c r="B24" s="346"/>
      <c r="C24" s="346"/>
      <c r="D24" s="346"/>
      <c r="E24" s="346"/>
      <c r="F24" s="346"/>
      <c r="G24" s="346"/>
      <c r="H24" s="346"/>
      <c r="I24" s="346"/>
      <c r="J24" s="346"/>
      <c r="K24" s="346"/>
      <c r="L24" s="346"/>
      <c r="M24" s="346"/>
      <c r="N24" s="346"/>
      <c r="O24" s="346"/>
      <c r="P24" s="346"/>
      <c r="Q24" s="346"/>
      <c r="R24" s="346"/>
      <c r="S24" s="346"/>
      <c r="T24" s="346">
        <f>2</f>
        <v>2</v>
      </c>
      <c r="U24" s="346"/>
      <c r="V24" s="346"/>
      <c r="W24" s="346"/>
      <c r="X24" s="346"/>
      <c r="Y24" s="346"/>
      <c r="Z24" s="346"/>
      <c r="AA24" s="346"/>
      <c r="AB24" s="346">
        <f>6</f>
        <v>6</v>
      </c>
      <c r="AC24" s="346"/>
      <c r="AD24" s="346"/>
      <c r="AE24" s="346"/>
      <c r="AF24" s="346"/>
      <c r="AG24">
        <f t="shared" si="0"/>
        <v>8</v>
      </c>
      <c r="AH24" s="351">
        <f t="shared" si="1"/>
        <v>1.4209591474245116E-2</v>
      </c>
    </row>
    <row r="25" spans="1:34">
      <c r="A25" s="165">
        <f>'Conveyor Downtime (new)'!A24</f>
        <v>46038</v>
      </c>
      <c r="P25">
        <f>12</f>
        <v>12</v>
      </c>
      <c r="AG25">
        <f t="shared" si="0"/>
        <v>12</v>
      </c>
      <c r="AH25" s="351">
        <f t="shared" si="1"/>
        <v>2.1314387211367674E-2</v>
      </c>
    </row>
    <row r="26" spans="1:34">
      <c r="A26" s="165">
        <f>'Conveyor Downtime (new)'!A25</f>
        <v>46041</v>
      </c>
      <c r="B26" s="346"/>
      <c r="C26" s="346"/>
      <c r="D26" s="346"/>
      <c r="E26" s="346"/>
      <c r="F26" s="346"/>
      <c r="G26" s="346"/>
      <c r="H26" s="346">
        <f>5+7</f>
        <v>12</v>
      </c>
      <c r="I26" s="346"/>
      <c r="J26" s="346"/>
      <c r="K26" s="346"/>
      <c r="L26" s="346"/>
      <c r="M26" s="346"/>
      <c r="N26" s="346"/>
      <c r="O26" s="346"/>
      <c r="P26" s="346"/>
      <c r="Q26" s="346"/>
      <c r="R26" s="346"/>
      <c r="S26" s="346"/>
      <c r="T26" s="346"/>
      <c r="U26" s="346"/>
      <c r="V26" s="346"/>
      <c r="W26" s="346"/>
      <c r="X26" s="346"/>
      <c r="Y26" s="346"/>
      <c r="Z26" s="346"/>
      <c r="AA26" s="346"/>
      <c r="AB26" s="346"/>
      <c r="AC26" s="346"/>
      <c r="AD26" s="346">
        <v>37</v>
      </c>
      <c r="AE26" s="346"/>
      <c r="AF26" s="346"/>
      <c r="AG26">
        <f t="shared" si="0"/>
        <v>49</v>
      </c>
      <c r="AH26" s="351">
        <f t="shared" si="1"/>
        <v>8.7033747779751328E-2</v>
      </c>
    </row>
    <row r="27" spans="1:34">
      <c r="A27" s="165">
        <f>'Conveyor Downtime (new)'!A26</f>
        <v>46041</v>
      </c>
      <c r="K27">
        <f>2</f>
        <v>2</v>
      </c>
      <c r="AG27">
        <f t="shared" si="0"/>
        <v>2</v>
      </c>
      <c r="AH27" s="351">
        <f t="shared" si="1"/>
        <v>3.552397868561279E-3</v>
      </c>
    </row>
    <row r="28" spans="1:34">
      <c r="A28" s="165">
        <f>'Conveyor Downtime (new)'!A27</f>
        <v>46042</v>
      </c>
      <c r="B28" s="346"/>
      <c r="C28" s="346"/>
      <c r="D28" s="346"/>
      <c r="E28" s="346"/>
      <c r="F28" s="346"/>
      <c r="G28" s="346"/>
      <c r="H28" s="346"/>
      <c r="I28" s="346"/>
      <c r="J28" s="346"/>
      <c r="K28" s="346">
        <f>4</f>
        <v>4</v>
      </c>
      <c r="L28" s="346"/>
      <c r="M28" s="346"/>
      <c r="N28" s="346"/>
      <c r="O28" s="346"/>
      <c r="P28" s="346"/>
      <c r="Q28" s="346"/>
      <c r="R28" s="346"/>
      <c r="S28" s="346"/>
      <c r="T28" s="346"/>
      <c r="U28" s="346"/>
      <c r="V28" s="346"/>
      <c r="W28" s="346"/>
      <c r="X28" s="346"/>
      <c r="Y28" s="346"/>
      <c r="Z28" s="346"/>
      <c r="AA28" s="346"/>
      <c r="AB28" s="346"/>
      <c r="AC28" s="346"/>
      <c r="AD28" s="346"/>
      <c r="AE28" s="346"/>
      <c r="AF28" s="346"/>
      <c r="AG28">
        <f t="shared" si="0"/>
        <v>4</v>
      </c>
      <c r="AH28" s="351">
        <f t="shared" si="1"/>
        <v>7.104795737122558E-3</v>
      </c>
    </row>
    <row r="29" spans="1:34">
      <c r="A29" s="165">
        <f>'Conveyor Downtime (new)'!A28</f>
        <v>46042</v>
      </c>
      <c r="D29">
        <f>2</f>
        <v>2</v>
      </c>
      <c r="AG29">
        <f t="shared" si="0"/>
        <v>2</v>
      </c>
      <c r="AH29" s="351">
        <f t="shared" si="1"/>
        <v>3.552397868561279E-3</v>
      </c>
    </row>
    <row r="30" spans="1:34">
      <c r="A30" s="165">
        <f>'Conveyor Downtime (new)'!A29</f>
        <v>46043</v>
      </c>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46"/>
      <c r="AA30" s="346"/>
      <c r="AB30" s="346"/>
      <c r="AC30" s="346"/>
      <c r="AD30" s="346"/>
      <c r="AE30" s="346"/>
      <c r="AF30" s="346"/>
      <c r="AG30">
        <f t="shared" si="0"/>
        <v>0</v>
      </c>
      <c r="AH30" s="351">
        <f t="shared" si="1"/>
        <v>0</v>
      </c>
    </row>
    <row r="31" spans="1:34">
      <c r="A31" s="165">
        <f>'Conveyor Downtime (new)'!A30</f>
        <v>46043</v>
      </c>
      <c r="P31">
        <f>4+2+8+3</f>
        <v>17</v>
      </c>
      <c r="T31">
        <f>25+60+60+30</f>
        <v>175</v>
      </c>
      <c r="AE31">
        <f>2+1+1+8</f>
        <v>12</v>
      </c>
      <c r="AG31">
        <f t="shared" si="0"/>
        <v>204</v>
      </c>
      <c r="AH31" s="351">
        <f t="shared" si="1"/>
        <v>0.36234458259325042</v>
      </c>
    </row>
    <row r="32" spans="1:34">
      <c r="A32" s="165">
        <f>'Conveyor Downtime (new)'!A31</f>
        <v>46043</v>
      </c>
      <c r="B32" s="346"/>
      <c r="C32" s="346"/>
      <c r="D32" s="346"/>
      <c r="E32" s="346"/>
      <c r="F32" s="346"/>
      <c r="G32" s="346"/>
      <c r="H32" s="346"/>
      <c r="I32" s="346"/>
      <c r="J32" s="346"/>
      <c r="K32" s="346">
        <f>3</f>
        <v>3</v>
      </c>
      <c r="L32" s="346"/>
      <c r="M32" s="346"/>
      <c r="N32" s="346"/>
      <c r="O32" s="346"/>
      <c r="P32" s="346"/>
      <c r="Q32" s="346"/>
      <c r="R32" s="346"/>
      <c r="S32" s="346"/>
      <c r="T32" s="346"/>
      <c r="U32" s="346"/>
      <c r="V32" s="346"/>
      <c r="W32" s="346"/>
      <c r="X32" s="346"/>
      <c r="Y32" s="346"/>
      <c r="Z32" s="346"/>
      <c r="AA32" s="346"/>
      <c r="AB32" s="346"/>
      <c r="AC32" s="346"/>
      <c r="AD32" s="346"/>
      <c r="AE32" s="346">
        <v>5</v>
      </c>
      <c r="AF32" s="346"/>
      <c r="AG32">
        <f t="shared" si="0"/>
        <v>8</v>
      </c>
      <c r="AH32" s="351">
        <f t="shared" si="1"/>
        <v>1.4209591474245116E-2</v>
      </c>
    </row>
    <row r="33" spans="1:34">
      <c r="A33" s="165">
        <f>'Conveyor Downtime (new)'!A32</f>
        <v>46043</v>
      </c>
      <c r="AG33">
        <f t="shared" si="0"/>
        <v>0</v>
      </c>
      <c r="AH33" s="351">
        <f t="shared" si="1"/>
        <v>0</v>
      </c>
    </row>
    <row r="34" spans="1:34">
      <c r="A34" s="165">
        <f>'Conveyor Downtime (new)'!A33</f>
        <v>46044</v>
      </c>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6"/>
      <c r="AC34" s="346"/>
      <c r="AD34" s="346"/>
      <c r="AE34" s="346"/>
      <c r="AF34" s="346"/>
      <c r="AG34">
        <f t="shared" si="0"/>
        <v>0</v>
      </c>
      <c r="AH34" s="351">
        <f t="shared" si="1"/>
        <v>0</v>
      </c>
    </row>
    <row r="35" spans="1:34">
      <c r="A35" s="165">
        <f>'Conveyor Downtime (new)'!A34</f>
        <v>46045</v>
      </c>
      <c r="AG35">
        <f t="shared" si="0"/>
        <v>0</v>
      </c>
      <c r="AH35" s="351">
        <f t="shared" si="1"/>
        <v>0</v>
      </c>
    </row>
    <row r="36" spans="1:34" ht="13.5" customHeight="1">
      <c r="A36" s="165">
        <f>'Conveyor Downtime (new)'!A35</f>
        <v>46045</v>
      </c>
      <c r="B36" s="346"/>
      <c r="C36" s="346"/>
      <c r="D36" s="346"/>
      <c r="E36" s="346"/>
      <c r="F36" s="346"/>
      <c r="G36" s="346"/>
      <c r="H36" s="346"/>
      <c r="I36" s="346"/>
      <c r="J36" s="346"/>
      <c r="K36" s="346">
        <f>2</f>
        <v>2</v>
      </c>
      <c r="L36" s="346"/>
      <c r="M36" s="346"/>
      <c r="N36" s="346"/>
      <c r="O36" s="346"/>
      <c r="P36" s="346"/>
      <c r="Q36" s="346"/>
      <c r="R36" s="346"/>
      <c r="S36" s="346"/>
      <c r="T36" s="346"/>
      <c r="U36" s="346"/>
      <c r="V36" s="346"/>
      <c r="W36" s="346"/>
      <c r="X36" s="346"/>
      <c r="Y36" s="346"/>
      <c r="Z36" s="346"/>
      <c r="AA36" s="346"/>
      <c r="AB36" s="346"/>
      <c r="AC36" s="346"/>
      <c r="AD36" s="346"/>
      <c r="AE36" s="346"/>
      <c r="AF36" s="346"/>
      <c r="AG36">
        <f t="shared" si="0"/>
        <v>2</v>
      </c>
      <c r="AH36" s="351">
        <f t="shared" si="1"/>
        <v>3.552397868561279E-3</v>
      </c>
    </row>
    <row r="37" spans="1:34">
      <c r="A37" s="165">
        <f>'Conveyor Downtime (new)'!A36</f>
        <v>46045</v>
      </c>
      <c r="K37">
        <f>3</f>
        <v>3</v>
      </c>
      <c r="AE37">
        <v>2</v>
      </c>
      <c r="AG37">
        <f t="shared" si="0"/>
        <v>5</v>
      </c>
      <c r="AH37" s="351">
        <f t="shared" si="1"/>
        <v>8.8809946714031966E-3</v>
      </c>
    </row>
    <row r="38" spans="1:34">
      <c r="A38" s="165">
        <f>'Conveyor Downtime (new)'!A37</f>
        <v>46045</v>
      </c>
      <c r="B38" s="346"/>
      <c r="C38" s="346"/>
      <c r="D38" s="346"/>
      <c r="E38" s="346"/>
      <c r="F38" s="346"/>
      <c r="G38" s="346"/>
      <c r="H38" s="346"/>
      <c r="I38" s="346"/>
      <c r="J38" s="34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f t="shared" si="0"/>
        <v>0</v>
      </c>
      <c r="AH38" s="351">
        <f t="shared" si="1"/>
        <v>0</v>
      </c>
    </row>
    <row r="39" spans="1:34">
      <c r="A39" s="165">
        <f>'Conveyor Downtime (new)'!A38</f>
        <v>46048</v>
      </c>
      <c r="AG39">
        <f t="shared" ref="AG39:AG51" si="2">SUM(B39:AF39)</f>
        <v>0</v>
      </c>
      <c r="AH39" s="351">
        <f t="shared" si="1"/>
        <v>0</v>
      </c>
    </row>
    <row r="40" spans="1:34">
      <c r="A40" s="165">
        <f>'Conveyor Downtime (new)'!A39</f>
        <v>46048</v>
      </c>
      <c r="B40" s="346"/>
      <c r="C40" s="346"/>
      <c r="D40" s="346"/>
      <c r="E40" s="346"/>
      <c r="F40" s="346"/>
      <c r="G40" s="346"/>
      <c r="H40" s="346"/>
      <c r="I40" s="346"/>
      <c r="J40" s="346"/>
      <c r="K40" s="346">
        <f>3+2+5</f>
        <v>10</v>
      </c>
      <c r="L40" s="346"/>
      <c r="M40" s="346"/>
      <c r="N40" s="346"/>
      <c r="O40" s="346"/>
      <c r="P40" s="346"/>
      <c r="Q40" s="346"/>
      <c r="R40" s="346"/>
      <c r="S40" s="346"/>
      <c r="T40" s="346">
        <f>4</f>
        <v>4</v>
      </c>
      <c r="U40" s="346"/>
      <c r="V40" s="346"/>
      <c r="W40" s="346"/>
      <c r="X40" s="346"/>
      <c r="Y40" s="346"/>
      <c r="Z40" s="346"/>
      <c r="AA40" s="346"/>
      <c r="AB40" s="346"/>
      <c r="AC40" s="346"/>
      <c r="AD40" s="346"/>
      <c r="AE40" s="346"/>
      <c r="AF40" s="346"/>
      <c r="AG40">
        <f t="shared" si="2"/>
        <v>14</v>
      </c>
      <c r="AH40" s="351">
        <f t="shared" si="1"/>
        <v>2.4866785079928951E-2</v>
      </c>
    </row>
    <row r="41" spans="1:34">
      <c r="A41" s="165">
        <f>'Conveyor Downtime (new)'!A40</f>
        <v>46049</v>
      </c>
      <c r="K41">
        <f>3+2+2+3+2+2+2+3+4</f>
        <v>23</v>
      </c>
      <c r="S41">
        <f>7</f>
        <v>7</v>
      </c>
      <c r="AG41">
        <f t="shared" si="2"/>
        <v>30</v>
      </c>
      <c r="AH41" s="351">
        <f t="shared" si="1"/>
        <v>5.328596802841918E-2</v>
      </c>
    </row>
    <row r="42" spans="1:34">
      <c r="A42" s="165">
        <f>'Conveyor Downtime (new)'!A41</f>
        <v>46049</v>
      </c>
      <c r="B42" s="346"/>
      <c r="C42" s="346"/>
      <c r="D42" s="346"/>
      <c r="E42" s="346"/>
      <c r="F42" s="346"/>
      <c r="G42" s="346"/>
      <c r="H42" s="346"/>
      <c r="I42" s="346"/>
      <c r="J42" s="346"/>
      <c r="K42" s="346">
        <f>10</f>
        <v>10</v>
      </c>
      <c r="L42" s="346"/>
      <c r="M42" s="346"/>
      <c r="N42" s="346"/>
      <c r="O42" s="346"/>
      <c r="P42" s="346"/>
      <c r="Q42" s="346"/>
      <c r="R42" s="346"/>
      <c r="S42" s="346"/>
      <c r="T42" s="346"/>
      <c r="U42" s="346"/>
      <c r="V42" s="346"/>
      <c r="W42" s="346"/>
      <c r="X42" s="346"/>
      <c r="Y42" s="346"/>
      <c r="Z42" s="346"/>
      <c r="AA42" s="346"/>
      <c r="AB42" s="346"/>
      <c r="AC42" s="346"/>
      <c r="AD42" s="346"/>
      <c r="AE42" s="346"/>
      <c r="AF42" s="346"/>
      <c r="AG42">
        <f t="shared" si="2"/>
        <v>10</v>
      </c>
      <c r="AH42" s="351">
        <f t="shared" si="1"/>
        <v>1.7761989342806393E-2</v>
      </c>
    </row>
    <row r="43" spans="1:34">
      <c r="A43" s="165">
        <f>'Conveyor Downtime (new)'!A42</f>
        <v>46050</v>
      </c>
      <c r="K43">
        <f>3+3+7+4</f>
        <v>17</v>
      </c>
      <c r="AG43">
        <f t="shared" si="2"/>
        <v>17</v>
      </c>
      <c r="AH43" s="351">
        <f t="shared" si="1"/>
        <v>3.0195381882770871E-2</v>
      </c>
    </row>
    <row r="44" spans="1:34">
      <c r="A44" s="165">
        <f>'Conveyor Downtime (new)'!A43</f>
        <v>46050</v>
      </c>
      <c r="B44" s="346"/>
      <c r="C44" s="346"/>
      <c r="D44" s="346"/>
      <c r="E44" s="346"/>
      <c r="F44" s="346"/>
      <c r="G44" s="346"/>
      <c r="H44" s="346"/>
      <c r="I44" s="346"/>
      <c r="J44" s="346"/>
      <c r="K44" s="346">
        <f>9+11+6+5</f>
        <v>31</v>
      </c>
      <c r="L44" s="346"/>
      <c r="M44" s="346"/>
      <c r="N44" s="346"/>
      <c r="O44" s="346"/>
      <c r="P44" s="346"/>
      <c r="Q44" s="346"/>
      <c r="R44" s="346"/>
      <c r="S44" s="346"/>
      <c r="T44" s="346"/>
      <c r="U44" s="346"/>
      <c r="V44" s="346"/>
      <c r="W44" s="346"/>
      <c r="X44" s="346"/>
      <c r="Y44" s="346"/>
      <c r="Z44" s="346"/>
      <c r="AA44" s="346"/>
      <c r="AB44" s="346"/>
      <c r="AC44" s="346"/>
      <c r="AD44" s="346"/>
      <c r="AE44" s="346"/>
      <c r="AF44" s="346"/>
      <c r="AG44">
        <f t="shared" si="2"/>
        <v>31</v>
      </c>
      <c r="AH44" s="351">
        <f t="shared" si="1"/>
        <v>5.5062166962699825E-2</v>
      </c>
    </row>
    <row r="45" spans="1:34">
      <c r="A45" s="165">
        <f>'Conveyor Downtime (new)'!A44</f>
        <v>46050</v>
      </c>
      <c r="AG45">
        <f t="shared" si="2"/>
        <v>0</v>
      </c>
      <c r="AH45" s="351">
        <f t="shared" si="1"/>
        <v>0</v>
      </c>
    </row>
    <row r="46" spans="1:34">
      <c r="A46" s="165">
        <f>'Conveyor Downtime (new)'!A45</f>
        <v>46051</v>
      </c>
      <c r="B46" s="346"/>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f t="shared" si="2"/>
        <v>0</v>
      </c>
      <c r="AH46" s="351">
        <f t="shared" si="1"/>
        <v>0</v>
      </c>
    </row>
    <row r="47" spans="1:34">
      <c r="A47" s="165">
        <f>'Conveyor Downtime (new)'!A46</f>
        <v>46051</v>
      </c>
      <c r="AG47">
        <f t="shared" si="2"/>
        <v>0</v>
      </c>
      <c r="AH47" s="351">
        <f t="shared" si="1"/>
        <v>0</v>
      </c>
    </row>
    <row r="48" spans="1:34">
      <c r="A48" s="165">
        <f>'Conveyor Downtime (new)'!A47</f>
        <v>46051</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f t="shared" si="2"/>
        <v>0</v>
      </c>
      <c r="AH48" s="351">
        <f t="shared" si="1"/>
        <v>0</v>
      </c>
    </row>
    <row r="49" spans="1:34">
      <c r="A49" s="165">
        <f>'Conveyor Downtime (new)'!A48</f>
        <v>46051</v>
      </c>
      <c r="K49">
        <f>2+2+2</f>
        <v>6</v>
      </c>
      <c r="AG49">
        <f t="shared" si="2"/>
        <v>6</v>
      </c>
      <c r="AH49" s="351">
        <f t="shared" si="1"/>
        <v>1.0657193605683837E-2</v>
      </c>
    </row>
    <row r="50" spans="1:34">
      <c r="A50" s="165">
        <f>'Conveyor Downtime (new)'!A49</f>
        <v>46052</v>
      </c>
      <c r="B50" s="346"/>
      <c r="C50" s="346"/>
      <c r="D50" s="346"/>
      <c r="E50" s="346"/>
      <c r="F50" s="346"/>
      <c r="G50" s="346"/>
      <c r="H50" s="346"/>
      <c r="I50" s="346"/>
      <c r="J50" s="346"/>
      <c r="K50" s="346">
        <f>2+2+2+3+2+2+3+4+4+2</f>
        <v>26</v>
      </c>
      <c r="L50" s="346"/>
      <c r="M50" s="346"/>
      <c r="N50" s="346"/>
      <c r="O50" s="346"/>
      <c r="P50" s="346"/>
      <c r="Q50" s="346"/>
      <c r="R50" s="346"/>
      <c r="S50" s="346"/>
      <c r="T50" s="346"/>
      <c r="U50" s="346"/>
      <c r="V50" s="346"/>
      <c r="W50" s="346"/>
      <c r="X50" s="346"/>
      <c r="Y50" s="346"/>
      <c r="Z50" s="346"/>
      <c r="AA50" s="346"/>
      <c r="AB50" s="346"/>
      <c r="AC50" s="346"/>
      <c r="AD50" s="346"/>
      <c r="AE50" s="346"/>
      <c r="AF50" s="346"/>
      <c r="AG50">
        <f t="shared" si="2"/>
        <v>26</v>
      </c>
      <c r="AH50" s="351">
        <f t="shared" si="1"/>
        <v>4.6181172291296625E-2</v>
      </c>
    </row>
    <row r="51" spans="1:34">
      <c r="A51" s="165">
        <f>'Conveyor Downtime (new)'!A50</f>
        <v>46052</v>
      </c>
      <c r="K51">
        <f>3+4+2</f>
        <v>9</v>
      </c>
      <c r="S51">
        <f>3</f>
        <v>3</v>
      </c>
      <c r="AG51">
        <f t="shared" si="2"/>
        <v>12</v>
      </c>
      <c r="AH51" s="351">
        <f t="shared" si="1"/>
        <v>2.1314387211367674E-2</v>
      </c>
    </row>
    <row r="52" spans="1:34">
      <c r="A52" s="165">
        <f>'Conveyor Downtime (new)'!A51</f>
        <v>0</v>
      </c>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6"/>
      <c r="AG52">
        <f t="shared" ref="AG52:AG67" si="3">SUM(B52:AF52)</f>
        <v>0</v>
      </c>
      <c r="AH52" s="351">
        <f t="shared" ref="AH52:AH67" si="4">AG52/$AG$68</f>
        <v>0</v>
      </c>
    </row>
    <row r="53" spans="1:34">
      <c r="A53" s="165">
        <f>'Conveyor Downtime (new)'!A52</f>
        <v>0</v>
      </c>
      <c r="AG53">
        <f t="shared" si="3"/>
        <v>0</v>
      </c>
      <c r="AH53" s="351">
        <f t="shared" si="4"/>
        <v>0</v>
      </c>
    </row>
    <row r="54" spans="1:34">
      <c r="A54" s="165">
        <f>'Conveyor Downtime (new)'!A53</f>
        <v>0</v>
      </c>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c r="AG54">
        <f t="shared" si="3"/>
        <v>0</v>
      </c>
      <c r="AH54" s="351">
        <f t="shared" si="4"/>
        <v>0</v>
      </c>
    </row>
    <row r="55" spans="1:34">
      <c r="A55" s="165">
        <f>'Conveyor Downtime (new)'!A54</f>
        <v>0</v>
      </c>
      <c r="AG55">
        <f t="shared" si="3"/>
        <v>0</v>
      </c>
      <c r="AH55" s="351">
        <f t="shared" si="4"/>
        <v>0</v>
      </c>
    </row>
    <row r="56" spans="1:34">
      <c r="A56" s="165">
        <f>'Conveyor Downtime (new)'!A55</f>
        <v>0</v>
      </c>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346"/>
      <c r="AC56" s="346"/>
      <c r="AD56" s="346"/>
      <c r="AE56" s="346"/>
      <c r="AF56" s="346"/>
      <c r="AG56">
        <f t="shared" si="3"/>
        <v>0</v>
      </c>
      <c r="AH56" s="351">
        <f t="shared" si="4"/>
        <v>0</v>
      </c>
    </row>
    <row r="57" spans="1:34">
      <c r="A57" s="165">
        <f>'Conveyor Downtime (new)'!A56</f>
        <v>0</v>
      </c>
      <c r="AG57">
        <f t="shared" si="3"/>
        <v>0</v>
      </c>
      <c r="AH57" s="351">
        <f t="shared" si="4"/>
        <v>0</v>
      </c>
    </row>
    <row r="58" spans="1:34">
      <c r="A58" s="165">
        <f>'Conveyor Downtime (new)'!A57</f>
        <v>0</v>
      </c>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f t="shared" si="3"/>
        <v>0</v>
      </c>
      <c r="AH58" s="351">
        <f t="shared" si="4"/>
        <v>0</v>
      </c>
    </row>
    <row r="59" spans="1:34">
      <c r="A59" s="165">
        <f>'Conveyor Downtime (new)'!A58</f>
        <v>0</v>
      </c>
      <c r="AG59">
        <f t="shared" si="3"/>
        <v>0</v>
      </c>
      <c r="AH59" s="351">
        <f t="shared" si="4"/>
        <v>0</v>
      </c>
    </row>
    <row r="60" spans="1:34">
      <c r="A60" s="165">
        <f>'Conveyor Downtime (new)'!A59</f>
        <v>0</v>
      </c>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f t="shared" si="3"/>
        <v>0</v>
      </c>
      <c r="AH60" s="351">
        <f t="shared" si="4"/>
        <v>0</v>
      </c>
    </row>
    <row r="61" spans="1:34">
      <c r="A61" s="165">
        <f>'Conveyor Downtime (new)'!A60</f>
        <v>0</v>
      </c>
      <c r="AG61">
        <f t="shared" si="3"/>
        <v>0</v>
      </c>
      <c r="AH61" s="351">
        <f t="shared" si="4"/>
        <v>0</v>
      </c>
    </row>
    <row r="62" spans="1:34">
      <c r="A62" s="165"/>
      <c r="B62" s="346"/>
      <c r="C62" s="346"/>
      <c r="D62" s="346"/>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c r="AC62" s="346"/>
      <c r="AD62" s="346"/>
      <c r="AE62" s="346"/>
      <c r="AF62" s="346"/>
      <c r="AG62">
        <f t="shared" si="3"/>
        <v>0</v>
      </c>
      <c r="AH62" s="351">
        <f t="shared" si="4"/>
        <v>0</v>
      </c>
    </row>
    <row r="63" spans="1:34">
      <c r="A63" s="165"/>
      <c r="AG63">
        <f t="shared" si="3"/>
        <v>0</v>
      </c>
      <c r="AH63" s="351">
        <f t="shared" si="4"/>
        <v>0</v>
      </c>
    </row>
    <row r="64" spans="1:34">
      <c r="A64" s="165"/>
      <c r="B64" s="346"/>
      <c r="C64" s="346"/>
      <c r="D64" s="346"/>
      <c r="E64" s="346"/>
      <c r="F64" s="346"/>
      <c r="G64" s="346"/>
      <c r="H64" s="346"/>
      <c r="I64" s="346"/>
      <c r="J64" s="346"/>
      <c r="K64" s="346"/>
      <c r="L64" s="346"/>
      <c r="M64" s="346"/>
      <c r="N64" s="346"/>
      <c r="O64" s="346"/>
      <c r="P64" s="346"/>
      <c r="Q64" s="346"/>
      <c r="R64" s="346"/>
      <c r="S64" s="346"/>
      <c r="T64" s="346"/>
      <c r="U64" s="346"/>
      <c r="V64" s="346"/>
      <c r="W64" s="346"/>
      <c r="X64" s="346"/>
      <c r="Y64" s="346"/>
      <c r="Z64" s="346"/>
      <c r="AA64" s="346"/>
      <c r="AB64" s="346"/>
      <c r="AC64" s="346"/>
      <c r="AD64" s="346"/>
      <c r="AE64" s="346"/>
      <c r="AF64" s="346"/>
      <c r="AG64">
        <f t="shared" si="3"/>
        <v>0</v>
      </c>
      <c r="AH64" s="351">
        <f t="shared" si="4"/>
        <v>0</v>
      </c>
    </row>
    <row r="65" spans="1:34">
      <c r="A65" s="165"/>
      <c r="AG65">
        <f t="shared" si="3"/>
        <v>0</v>
      </c>
      <c r="AH65" s="351">
        <f t="shared" si="4"/>
        <v>0</v>
      </c>
    </row>
    <row r="66" spans="1:34">
      <c r="A66" s="165"/>
      <c r="B66" s="346"/>
      <c r="C66" s="346"/>
      <c r="D66" s="346"/>
      <c r="E66" s="346"/>
      <c r="F66" s="346"/>
      <c r="G66" s="346"/>
      <c r="H66" s="346"/>
      <c r="I66" s="346"/>
      <c r="J66" s="346"/>
      <c r="K66" s="346"/>
      <c r="L66" s="346"/>
      <c r="M66" s="346"/>
      <c r="N66" s="346"/>
      <c r="O66" s="346"/>
      <c r="P66" s="346"/>
      <c r="Q66" s="346"/>
      <c r="R66" s="346"/>
      <c r="S66" s="346"/>
      <c r="T66" s="346"/>
      <c r="U66" s="346"/>
      <c r="V66" s="346"/>
      <c r="W66" s="346"/>
      <c r="X66" s="346"/>
      <c r="Y66" s="346"/>
      <c r="Z66" s="346"/>
      <c r="AA66" s="346"/>
      <c r="AB66" s="346"/>
      <c r="AC66" s="346"/>
      <c r="AD66" s="346"/>
      <c r="AE66" s="346"/>
      <c r="AF66" s="346"/>
      <c r="AG66">
        <f t="shared" si="3"/>
        <v>0</v>
      </c>
      <c r="AH66" s="351">
        <f t="shared" si="4"/>
        <v>0</v>
      </c>
    </row>
    <row r="67" spans="1:34">
      <c r="A67" s="165"/>
      <c r="AG67">
        <f t="shared" si="3"/>
        <v>0</v>
      </c>
      <c r="AH67" s="351">
        <f t="shared" si="4"/>
        <v>0</v>
      </c>
    </row>
    <row r="68" spans="1:34" ht="15">
      <c r="A68" s="165"/>
      <c r="B68" s="347">
        <f t="shared" ref="B68:AF68" si="5">SUM(B7:B67)</f>
        <v>0</v>
      </c>
      <c r="C68" s="347">
        <f t="shared" si="5"/>
        <v>0</v>
      </c>
      <c r="D68" s="347">
        <f t="shared" si="5"/>
        <v>2</v>
      </c>
      <c r="E68" s="347">
        <f t="shared" si="5"/>
        <v>0</v>
      </c>
      <c r="F68" s="347">
        <f t="shared" si="5"/>
        <v>0</v>
      </c>
      <c r="G68" s="347">
        <f t="shared" si="5"/>
        <v>0</v>
      </c>
      <c r="H68" s="347">
        <f t="shared" si="5"/>
        <v>12</v>
      </c>
      <c r="I68" s="347">
        <f t="shared" si="5"/>
        <v>0</v>
      </c>
      <c r="J68" s="347">
        <f t="shared" si="5"/>
        <v>0</v>
      </c>
      <c r="K68" s="347">
        <f t="shared" si="5"/>
        <v>183</v>
      </c>
      <c r="L68" s="347">
        <f t="shared" si="5"/>
        <v>0</v>
      </c>
      <c r="M68" s="347">
        <f t="shared" si="5"/>
        <v>0</v>
      </c>
      <c r="N68" s="347">
        <f t="shared" si="5"/>
        <v>0</v>
      </c>
      <c r="O68" s="347">
        <f t="shared" si="5"/>
        <v>0</v>
      </c>
      <c r="P68" s="347">
        <f t="shared" si="5"/>
        <v>29</v>
      </c>
      <c r="Q68" s="347">
        <f t="shared" si="5"/>
        <v>0</v>
      </c>
      <c r="R68" s="347">
        <f t="shared" si="5"/>
        <v>0</v>
      </c>
      <c r="S68" s="347">
        <f t="shared" si="5"/>
        <v>32</v>
      </c>
      <c r="T68" s="347">
        <f t="shared" si="5"/>
        <v>205</v>
      </c>
      <c r="U68" s="347">
        <f t="shared" si="5"/>
        <v>0</v>
      </c>
      <c r="V68" s="347">
        <f t="shared" si="5"/>
        <v>0</v>
      </c>
      <c r="W68" s="347">
        <f t="shared" si="5"/>
        <v>0</v>
      </c>
      <c r="X68" s="347">
        <f t="shared" si="5"/>
        <v>0</v>
      </c>
      <c r="Y68" s="347">
        <f t="shared" si="5"/>
        <v>0</v>
      </c>
      <c r="Z68" s="347">
        <f t="shared" si="5"/>
        <v>0</v>
      </c>
      <c r="AA68" s="347">
        <f t="shared" si="5"/>
        <v>0</v>
      </c>
      <c r="AB68" s="347">
        <f t="shared" si="5"/>
        <v>6</v>
      </c>
      <c r="AC68" s="347">
        <f t="shared" si="5"/>
        <v>0</v>
      </c>
      <c r="AD68" s="347">
        <f t="shared" si="5"/>
        <v>71</v>
      </c>
      <c r="AE68" s="347">
        <f t="shared" si="5"/>
        <v>19</v>
      </c>
      <c r="AF68" s="347">
        <f t="shared" si="5"/>
        <v>4</v>
      </c>
      <c r="AG68" s="347">
        <f>SUM(AG7:AG67)</f>
        <v>563</v>
      </c>
    </row>
    <row r="69" spans="1:34" ht="15">
      <c r="A69" s="165" t="str">
        <f>'Conveyor Downtime (new)'!A63</f>
        <v>Total MTD</v>
      </c>
      <c r="B69" s="348">
        <f>B68/$AG68</f>
        <v>0</v>
      </c>
      <c r="C69" s="348">
        <f>C68/$AG68</f>
        <v>0</v>
      </c>
      <c r="D69" s="348">
        <f>D68/$AG68</f>
        <v>3.552397868561279E-3</v>
      </c>
      <c r="E69" s="348">
        <f t="shared" ref="E69:AF69" si="6">E68/$AG68</f>
        <v>0</v>
      </c>
      <c r="F69" s="348">
        <f t="shared" si="6"/>
        <v>0</v>
      </c>
      <c r="G69" s="348">
        <f t="shared" si="6"/>
        <v>0</v>
      </c>
      <c r="H69" s="348">
        <f t="shared" si="6"/>
        <v>2.1314387211367674E-2</v>
      </c>
      <c r="I69" s="348">
        <f t="shared" si="6"/>
        <v>0</v>
      </c>
      <c r="J69" s="348">
        <f t="shared" si="6"/>
        <v>0</v>
      </c>
      <c r="K69" s="348">
        <f t="shared" si="6"/>
        <v>0.32504440497335702</v>
      </c>
      <c r="L69" s="348">
        <f t="shared" si="6"/>
        <v>0</v>
      </c>
      <c r="M69" s="348">
        <f t="shared" si="6"/>
        <v>0</v>
      </c>
      <c r="N69" s="348">
        <f t="shared" si="6"/>
        <v>0</v>
      </c>
      <c r="O69" s="348">
        <f t="shared" si="6"/>
        <v>0</v>
      </c>
      <c r="P69" s="348">
        <f t="shared" si="6"/>
        <v>5.1509769094138541E-2</v>
      </c>
      <c r="Q69" s="348">
        <f t="shared" si="6"/>
        <v>0</v>
      </c>
      <c r="R69" s="348">
        <f t="shared" si="6"/>
        <v>0</v>
      </c>
      <c r="S69" s="348">
        <f t="shared" si="6"/>
        <v>5.6838365896980464E-2</v>
      </c>
      <c r="T69" s="348">
        <f t="shared" si="6"/>
        <v>0.36412078152753108</v>
      </c>
      <c r="U69" s="348">
        <f t="shared" si="6"/>
        <v>0</v>
      </c>
      <c r="V69" s="348">
        <f t="shared" si="6"/>
        <v>0</v>
      </c>
      <c r="W69" s="348">
        <f t="shared" si="6"/>
        <v>0</v>
      </c>
      <c r="X69" s="348">
        <f t="shared" si="6"/>
        <v>0</v>
      </c>
      <c r="Y69" s="348">
        <f t="shared" si="6"/>
        <v>0</v>
      </c>
      <c r="Z69" s="348">
        <f t="shared" si="6"/>
        <v>0</v>
      </c>
      <c r="AA69" s="348">
        <f t="shared" si="6"/>
        <v>0</v>
      </c>
      <c r="AB69" s="348">
        <f t="shared" si="6"/>
        <v>1.0657193605683837E-2</v>
      </c>
      <c r="AC69" s="348">
        <f t="shared" si="6"/>
        <v>0</v>
      </c>
      <c r="AD69" s="348">
        <f t="shared" si="6"/>
        <v>0.12611012433392541</v>
      </c>
      <c r="AE69" s="348">
        <f t="shared" si="6"/>
        <v>3.3747779751332148E-2</v>
      </c>
      <c r="AF69" s="348">
        <f t="shared" si="6"/>
        <v>7.104795737122558E-3</v>
      </c>
      <c r="AG69" s="351"/>
    </row>
    <row r="72" spans="1:34">
      <c r="A72" s="165">
        <f>'Conveyor Downtime (new)'!A67</f>
        <v>46055</v>
      </c>
      <c r="K72">
        <f>5+5</f>
        <v>10</v>
      </c>
      <c r="AG72">
        <f t="shared" ref="AG72:AG122" si="7">SUM(B72:AF72)</f>
        <v>10</v>
      </c>
      <c r="AH72" s="351">
        <f t="shared" ref="AH72:AH88" si="8">AG72/$AG$123</f>
        <v>5.0890585241730284E-3</v>
      </c>
    </row>
    <row r="73" spans="1:34">
      <c r="A73" s="165">
        <f>'Conveyor Downtime (new)'!A68</f>
        <v>46055</v>
      </c>
      <c r="B73" s="346"/>
      <c r="C73" s="346"/>
      <c r="D73" s="346"/>
      <c r="E73" s="346"/>
      <c r="F73" s="346"/>
      <c r="G73" s="346"/>
      <c r="H73" s="346"/>
      <c r="I73" s="346"/>
      <c r="J73" s="346"/>
      <c r="K73" s="346">
        <f>5+4+5+2</f>
        <v>16</v>
      </c>
      <c r="L73" s="346"/>
      <c r="M73" s="346"/>
      <c r="N73" s="346"/>
      <c r="O73" s="346"/>
      <c r="P73" s="346">
        <f>8</f>
        <v>8</v>
      </c>
      <c r="Q73" s="346"/>
      <c r="R73" s="346"/>
      <c r="S73" s="346"/>
      <c r="T73" s="346"/>
      <c r="U73" s="346"/>
      <c r="V73" s="346"/>
      <c r="W73" s="346"/>
      <c r="X73" s="346"/>
      <c r="Y73" s="346"/>
      <c r="Z73" s="346"/>
      <c r="AA73" s="346"/>
      <c r="AB73" s="346"/>
      <c r="AC73" s="346"/>
      <c r="AD73" s="346"/>
      <c r="AE73" s="346"/>
      <c r="AF73" s="346"/>
      <c r="AG73">
        <f t="shared" si="7"/>
        <v>24</v>
      </c>
      <c r="AH73" s="351">
        <f t="shared" si="8"/>
        <v>1.2213740458015267E-2</v>
      </c>
    </row>
    <row r="74" spans="1:34">
      <c r="A74" s="165">
        <f>'Conveyor Downtime (new)'!A69</f>
        <v>46056</v>
      </c>
      <c r="K74">
        <f>1+4</f>
        <v>5</v>
      </c>
      <c r="R74" s="187"/>
      <c r="S74">
        <f>12+5+6+6+6</f>
        <v>35</v>
      </c>
      <c r="AG74">
        <f t="shared" si="7"/>
        <v>40</v>
      </c>
      <c r="AH74" s="351">
        <f t="shared" si="8"/>
        <v>2.0356234096692113E-2</v>
      </c>
    </row>
    <row r="75" spans="1:34">
      <c r="A75" s="165">
        <f>'Conveyor Downtime (new)'!A70</f>
        <v>46057</v>
      </c>
      <c r="B75" s="346">
        <f>20</f>
        <v>20</v>
      </c>
      <c r="C75" s="346"/>
      <c r="D75" s="346"/>
      <c r="E75" s="346"/>
      <c r="F75" s="346"/>
      <c r="G75" s="346"/>
      <c r="H75" s="346"/>
      <c r="I75" s="346"/>
      <c r="J75" s="346"/>
      <c r="K75" s="346">
        <f>13+2+8</f>
        <v>23</v>
      </c>
      <c r="L75" s="346"/>
      <c r="M75" s="346"/>
      <c r="N75" s="346"/>
      <c r="O75" s="346"/>
      <c r="P75" s="346"/>
      <c r="Q75" s="346"/>
      <c r="R75" s="346"/>
      <c r="S75" s="346"/>
      <c r="T75" s="346"/>
      <c r="U75" s="346"/>
      <c r="V75" s="346"/>
      <c r="W75" s="346"/>
      <c r="X75" s="346"/>
      <c r="Y75" s="346"/>
      <c r="Z75" s="346"/>
      <c r="AA75" s="346"/>
      <c r="AB75" s="346"/>
      <c r="AC75" s="346"/>
      <c r="AD75" s="346"/>
      <c r="AE75" s="346"/>
      <c r="AF75" s="346"/>
      <c r="AG75">
        <f t="shared" si="7"/>
        <v>43</v>
      </c>
      <c r="AH75" s="351">
        <f t="shared" si="8"/>
        <v>2.1882951653944022E-2</v>
      </c>
    </row>
    <row r="76" spans="1:34">
      <c r="A76" s="165">
        <f>'Conveyor Downtime (new)'!A71</f>
        <v>46057</v>
      </c>
      <c r="B76">
        <f>8+4</f>
        <v>12</v>
      </c>
      <c r="K76">
        <f>3+3+3+3</f>
        <v>12</v>
      </c>
      <c r="AG76">
        <f t="shared" si="7"/>
        <v>24</v>
      </c>
      <c r="AH76" s="351">
        <f t="shared" si="8"/>
        <v>1.2213740458015267E-2</v>
      </c>
    </row>
    <row r="77" spans="1:34">
      <c r="A77" s="165">
        <f>'Conveyor Downtime (new)'!A72</f>
        <v>46058</v>
      </c>
      <c r="B77" s="346"/>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f t="shared" si="7"/>
        <v>0</v>
      </c>
      <c r="AH77" s="351">
        <f t="shared" si="8"/>
        <v>0</v>
      </c>
    </row>
    <row r="78" spans="1:34">
      <c r="A78" s="165">
        <f>'Conveyor Downtime (new)'!A73</f>
        <v>46058</v>
      </c>
      <c r="B78">
        <f>2</f>
        <v>2</v>
      </c>
      <c r="K78">
        <f>12+3+5+8+6+16</f>
        <v>50</v>
      </c>
      <c r="S78">
        <f>6+7</f>
        <v>13</v>
      </c>
      <c r="T78">
        <f>12</f>
        <v>12</v>
      </c>
      <c r="AB78">
        <f>16</f>
        <v>16</v>
      </c>
      <c r="AG78">
        <f t="shared" si="7"/>
        <v>93</v>
      </c>
      <c r="AH78" s="351">
        <f t="shared" si="8"/>
        <v>4.732824427480916E-2</v>
      </c>
    </row>
    <row r="79" spans="1:34">
      <c r="A79" s="165">
        <f>'Conveyor Downtime (new)'!A74</f>
        <v>46058</v>
      </c>
      <c r="B79" s="346"/>
      <c r="C79" s="346"/>
      <c r="D79" s="346"/>
      <c r="E79" s="346"/>
      <c r="F79" s="346"/>
      <c r="G79" s="346"/>
      <c r="H79" s="346"/>
      <c r="I79" s="346"/>
      <c r="J79" s="346"/>
      <c r="K79" s="346"/>
      <c r="L79" s="346"/>
      <c r="M79" s="346"/>
      <c r="N79" s="346"/>
      <c r="O79" s="346"/>
      <c r="P79" s="346"/>
      <c r="Q79" s="346"/>
      <c r="R79" s="346"/>
      <c r="S79" s="346"/>
      <c r="T79" s="346">
        <f>8+11+20</f>
        <v>39</v>
      </c>
      <c r="U79" s="346"/>
      <c r="V79" s="346"/>
      <c r="W79" s="346"/>
      <c r="X79" s="346"/>
      <c r="Y79" s="346"/>
      <c r="Z79" s="346"/>
      <c r="AA79" s="346"/>
      <c r="AB79" s="346"/>
      <c r="AC79" s="346"/>
      <c r="AD79" s="346"/>
      <c r="AE79" s="346"/>
      <c r="AF79" s="346"/>
      <c r="AG79">
        <f t="shared" si="7"/>
        <v>39</v>
      </c>
      <c r="AH79" s="351">
        <f t="shared" si="8"/>
        <v>1.984732824427481E-2</v>
      </c>
    </row>
    <row r="80" spans="1:34">
      <c r="A80" s="165">
        <f>'Conveyor Downtime (new)'!A75</f>
        <v>46059</v>
      </c>
      <c r="K80">
        <f>15+11+3+6+9+3+10</f>
        <v>57</v>
      </c>
      <c r="T80">
        <f>10+60+27+9+19+17+5</f>
        <v>147</v>
      </c>
      <c r="AG80">
        <f t="shared" si="7"/>
        <v>204</v>
      </c>
      <c r="AH80" s="351">
        <f t="shared" si="8"/>
        <v>0.10381679389312977</v>
      </c>
    </row>
    <row r="81" spans="1:34">
      <c r="A81" s="165">
        <f>'Conveyor Downtime (new)'!A76</f>
        <v>46059</v>
      </c>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f t="shared" si="7"/>
        <v>0</v>
      </c>
      <c r="AH81" s="351">
        <f t="shared" si="8"/>
        <v>0</v>
      </c>
    </row>
    <row r="82" spans="1:34">
      <c r="A82" s="165">
        <f>'Conveyor Downtime (new)'!A77</f>
        <v>46062</v>
      </c>
      <c r="K82">
        <f>11+7+6+4+22+3</f>
        <v>53</v>
      </c>
      <c r="P82">
        <f>18+7</f>
        <v>25</v>
      </c>
      <c r="AG82">
        <f t="shared" si="7"/>
        <v>78</v>
      </c>
      <c r="AH82" s="351">
        <f t="shared" si="8"/>
        <v>3.9694656488549619E-2</v>
      </c>
    </row>
    <row r="83" spans="1:34">
      <c r="A83" s="165">
        <f>'Conveyor Downtime (new)'!A78</f>
        <v>46062</v>
      </c>
      <c r="B83" s="346"/>
      <c r="C83" s="346"/>
      <c r="D83" s="346"/>
      <c r="E83" s="346"/>
      <c r="F83" s="346"/>
      <c r="G83" s="346"/>
      <c r="H83" s="346"/>
      <c r="I83" s="346"/>
      <c r="J83" s="346"/>
      <c r="K83" s="346"/>
      <c r="L83" s="346"/>
      <c r="M83" s="346"/>
      <c r="N83" s="346"/>
      <c r="O83" s="346"/>
      <c r="P83" s="346">
        <f>4+9+3+3+7+5</f>
        <v>31</v>
      </c>
      <c r="Q83" s="346"/>
      <c r="R83" s="346"/>
      <c r="S83" s="346"/>
      <c r="T83" s="346"/>
      <c r="U83" s="346"/>
      <c r="V83" s="346"/>
      <c r="W83" s="346"/>
      <c r="X83" s="346"/>
      <c r="Y83" s="346"/>
      <c r="Z83" s="346"/>
      <c r="AA83" s="346"/>
      <c r="AB83" s="346"/>
      <c r="AC83" s="346"/>
      <c r="AD83" s="346"/>
      <c r="AE83" s="346"/>
      <c r="AF83" s="346"/>
      <c r="AG83">
        <f t="shared" si="7"/>
        <v>31</v>
      </c>
      <c r="AH83" s="351">
        <f t="shared" si="8"/>
        <v>1.5776081424936386E-2</v>
      </c>
    </row>
    <row r="84" spans="1:34">
      <c r="A84" s="165">
        <f>'Conveyor Downtime (new)'!A79</f>
        <v>46062</v>
      </c>
      <c r="K84">
        <f>3+4+29+3+5+3</f>
        <v>47</v>
      </c>
      <c r="T84">
        <f>4+3+4+40+4</f>
        <v>55</v>
      </c>
      <c r="AG84">
        <f t="shared" si="7"/>
        <v>102</v>
      </c>
      <c r="AH84" s="351">
        <f t="shared" si="8"/>
        <v>5.1908396946564885E-2</v>
      </c>
    </row>
    <row r="85" spans="1:34">
      <c r="A85" s="165">
        <f>'Conveyor Downtime (new)'!A80</f>
        <v>46063</v>
      </c>
      <c r="B85" s="346"/>
      <c r="C85" s="346"/>
      <c r="D85" s="346"/>
      <c r="E85" s="346"/>
      <c r="F85" s="346"/>
      <c r="G85" s="346"/>
      <c r="H85" s="346"/>
      <c r="I85" s="346"/>
      <c r="J85" s="346"/>
      <c r="K85" s="346">
        <f>2</f>
        <v>2</v>
      </c>
      <c r="L85" s="346"/>
      <c r="M85" s="346"/>
      <c r="N85" s="346"/>
      <c r="O85" s="346"/>
      <c r="P85" s="346"/>
      <c r="Q85" s="346"/>
      <c r="R85" s="346"/>
      <c r="S85" s="346"/>
      <c r="T85" s="346"/>
      <c r="U85" s="346"/>
      <c r="V85" s="346"/>
      <c r="W85" s="346"/>
      <c r="X85" s="346"/>
      <c r="Y85" s="346"/>
      <c r="Z85" s="346"/>
      <c r="AA85" s="346"/>
      <c r="AB85" s="346"/>
      <c r="AC85" s="346"/>
      <c r="AD85" s="346"/>
      <c r="AE85" s="346"/>
      <c r="AF85" s="346"/>
      <c r="AG85">
        <f t="shared" si="7"/>
        <v>2</v>
      </c>
      <c r="AH85" s="351">
        <f t="shared" si="8"/>
        <v>1.0178117048346056E-3</v>
      </c>
    </row>
    <row r="86" spans="1:34">
      <c r="A86" s="165">
        <f>'Conveyor Downtime (new)'!A81</f>
        <v>46063</v>
      </c>
      <c r="K86">
        <f>3+4+14+5</f>
        <v>26</v>
      </c>
      <c r="AG86">
        <f t="shared" si="7"/>
        <v>26</v>
      </c>
      <c r="AH86" s="351">
        <f t="shared" si="8"/>
        <v>1.3231552162849873E-2</v>
      </c>
    </row>
    <row r="87" spans="1:34">
      <c r="A87" s="165">
        <f>'Conveyor Downtime (new)'!A82</f>
        <v>46063</v>
      </c>
      <c r="B87" s="346"/>
      <c r="C87" s="346"/>
      <c r="D87" s="346"/>
      <c r="E87" s="346"/>
      <c r="F87" s="346"/>
      <c r="G87" s="346"/>
      <c r="H87" s="346"/>
      <c r="I87" s="346"/>
      <c r="J87" s="346"/>
      <c r="K87" s="346">
        <f>2+3+3+6</f>
        <v>14</v>
      </c>
      <c r="L87" s="346"/>
      <c r="M87" s="346"/>
      <c r="N87" s="346"/>
      <c r="O87" s="346"/>
      <c r="P87" s="346"/>
      <c r="Q87" s="346"/>
      <c r="R87" s="346"/>
      <c r="S87" s="346"/>
      <c r="T87" s="346"/>
      <c r="U87" s="346"/>
      <c r="V87" s="346"/>
      <c r="W87" s="346"/>
      <c r="X87" s="346"/>
      <c r="Y87" s="346"/>
      <c r="Z87" s="346"/>
      <c r="AA87" s="346"/>
      <c r="AB87" s="346"/>
      <c r="AC87" s="346"/>
      <c r="AD87" s="346"/>
      <c r="AE87" s="346"/>
      <c r="AF87" s="346"/>
      <c r="AG87">
        <f t="shared" si="7"/>
        <v>14</v>
      </c>
      <c r="AH87" s="351">
        <f t="shared" si="8"/>
        <v>7.1246819338422395E-3</v>
      </c>
    </row>
    <row r="88" spans="1:34">
      <c r="A88" s="165">
        <f>'Conveyor Downtime (new)'!A83</f>
        <v>46064</v>
      </c>
      <c r="S88">
        <f>4</f>
        <v>4</v>
      </c>
      <c r="AG88">
        <f t="shared" si="7"/>
        <v>4</v>
      </c>
      <c r="AH88" s="351">
        <f t="shared" si="8"/>
        <v>2.0356234096692112E-3</v>
      </c>
    </row>
    <row r="89" spans="1:34">
      <c r="A89" s="165">
        <f>'Conveyor Downtime (new)'!A84</f>
        <v>46064</v>
      </c>
      <c r="B89" s="346"/>
      <c r="C89" s="346"/>
      <c r="D89" s="346"/>
      <c r="E89" s="346"/>
      <c r="F89" s="346"/>
      <c r="G89" s="346"/>
      <c r="H89" s="346"/>
      <c r="I89" s="346"/>
      <c r="J89" s="346"/>
      <c r="K89" s="346">
        <f>3+5</f>
        <v>8</v>
      </c>
      <c r="L89" s="346"/>
      <c r="M89" s="346"/>
      <c r="N89" s="346"/>
      <c r="O89" s="346"/>
      <c r="P89" s="346">
        <f>2</f>
        <v>2</v>
      </c>
      <c r="Q89" s="346"/>
      <c r="R89" s="346"/>
      <c r="S89" s="346">
        <f>7+2+3+3+2+2</f>
        <v>19</v>
      </c>
      <c r="T89" s="346"/>
      <c r="U89" s="346"/>
      <c r="V89" s="346"/>
      <c r="W89" s="346"/>
      <c r="X89" s="346"/>
      <c r="Y89" s="346">
        <f>7</f>
        <v>7</v>
      </c>
      <c r="Z89" s="346"/>
      <c r="AA89" s="346"/>
      <c r="AB89" s="346"/>
      <c r="AC89" s="346"/>
      <c r="AD89" s="346"/>
      <c r="AE89" s="346"/>
      <c r="AF89" s="346"/>
      <c r="AG89">
        <f t="shared" ref="AG89:AG97" si="9">SUM(B89:AF89)</f>
        <v>36</v>
      </c>
      <c r="AH89" s="351">
        <f t="shared" ref="AH89:AH97" si="10">AG89/$AG$123</f>
        <v>1.8320610687022901E-2</v>
      </c>
    </row>
    <row r="90" spans="1:34">
      <c r="A90" s="165">
        <f>'Conveyor Downtime (new)'!A85</f>
        <v>46065</v>
      </c>
      <c r="K90">
        <f>3+1</f>
        <v>4</v>
      </c>
      <c r="S90">
        <f>10+10+6+7+5+17+21+20+6+12+9</f>
        <v>123</v>
      </c>
      <c r="AG90">
        <f t="shared" si="9"/>
        <v>127</v>
      </c>
      <c r="AH90" s="351">
        <f t="shared" si="10"/>
        <v>6.463104325699745E-2</v>
      </c>
    </row>
    <row r="91" spans="1:34">
      <c r="A91" s="165">
        <f>'Conveyor Downtime (new)'!A86</f>
        <v>46066</v>
      </c>
      <c r="B91" s="346"/>
      <c r="C91" s="346"/>
      <c r="D91" s="346"/>
      <c r="E91" s="346"/>
      <c r="F91" s="346"/>
      <c r="G91" s="346"/>
      <c r="H91" s="346"/>
      <c r="I91" s="346"/>
      <c r="J91" s="346"/>
      <c r="K91" s="346"/>
      <c r="L91" s="346"/>
      <c r="M91" s="346"/>
      <c r="N91" s="346"/>
      <c r="O91" s="346"/>
      <c r="P91" s="346"/>
      <c r="Q91" s="346"/>
      <c r="R91" s="346"/>
      <c r="S91" s="346">
        <f>7+5+9+5+6</f>
        <v>32</v>
      </c>
      <c r="T91" s="346"/>
      <c r="U91" s="346"/>
      <c r="V91" s="346"/>
      <c r="W91" s="346"/>
      <c r="X91" s="346"/>
      <c r="Y91" s="346"/>
      <c r="Z91" s="346"/>
      <c r="AA91" s="346"/>
      <c r="AB91" s="346"/>
      <c r="AC91" s="346"/>
      <c r="AD91" s="346"/>
      <c r="AE91" s="346"/>
      <c r="AF91" s="346"/>
      <c r="AG91">
        <f t="shared" si="9"/>
        <v>32</v>
      </c>
      <c r="AH91" s="351">
        <f t="shared" si="10"/>
        <v>1.6284987277353689E-2</v>
      </c>
    </row>
    <row r="92" spans="1:34">
      <c r="A92" s="165">
        <f>'Conveyor Downtime (new)'!A87</f>
        <v>46066</v>
      </c>
      <c r="K92">
        <f>4</f>
        <v>4</v>
      </c>
      <c r="T92">
        <f>11+9+6</f>
        <v>26</v>
      </c>
      <c r="AE92">
        <f>12</f>
        <v>12</v>
      </c>
      <c r="AG92">
        <f t="shared" si="9"/>
        <v>42</v>
      </c>
      <c r="AH92" s="351">
        <f t="shared" si="10"/>
        <v>2.1374045801526718E-2</v>
      </c>
    </row>
    <row r="93" spans="1:34">
      <c r="A93" s="165">
        <f>'Conveyor Downtime (new)'!A88</f>
        <v>46069</v>
      </c>
      <c r="B93" s="346"/>
      <c r="C93" s="346"/>
      <c r="D93" s="346"/>
      <c r="E93" s="346"/>
      <c r="F93" s="346"/>
      <c r="G93" s="346"/>
      <c r="H93" s="346"/>
      <c r="I93" s="346"/>
      <c r="J93" s="346"/>
      <c r="K93" s="346">
        <f>3+4</f>
        <v>7</v>
      </c>
      <c r="L93" s="346"/>
      <c r="M93" s="346"/>
      <c r="N93" s="346"/>
      <c r="O93" s="346"/>
      <c r="P93" s="346">
        <f>4+7</f>
        <v>11</v>
      </c>
      <c r="Q93" s="346"/>
      <c r="R93" s="346"/>
      <c r="S93" s="346">
        <f>4</f>
        <v>4</v>
      </c>
      <c r="T93" s="346"/>
      <c r="U93" s="346"/>
      <c r="V93" s="346"/>
      <c r="W93" s="346"/>
      <c r="X93" s="346"/>
      <c r="Y93" s="346"/>
      <c r="Z93" s="346"/>
      <c r="AA93" s="346"/>
      <c r="AB93" s="346"/>
      <c r="AC93" s="346"/>
      <c r="AD93" s="346"/>
      <c r="AE93" s="346"/>
      <c r="AF93" s="346"/>
      <c r="AG93">
        <f t="shared" si="9"/>
        <v>22</v>
      </c>
      <c r="AH93" s="351">
        <f t="shared" si="10"/>
        <v>1.1195928753180661E-2</v>
      </c>
    </row>
    <row r="94" spans="1:34">
      <c r="A94" s="165">
        <f>'Conveyor Downtime (new)'!A89</f>
        <v>46070</v>
      </c>
      <c r="S94">
        <f>9</f>
        <v>9</v>
      </c>
      <c r="AG94">
        <f t="shared" si="9"/>
        <v>9</v>
      </c>
      <c r="AH94" s="351">
        <f t="shared" si="10"/>
        <v>4.5801526717557254E-3</v>
      </c>
    </row>
    <row r="95" spans="1:34">
      <c r="A95" s="165">
        <f>'Conveyor Downtime (new)'!A90</f>
        <v>46071</v>
      </c>
      <c r="B95" s="346"/>
      <c r="C95" s="346"/>
      <c r="D95" s="346"/>
      <c r="E95" s="346"/>
      <c r="F95" s="346"/>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f t="shared" si="9"/>
        <v>0</v>
      </c>
      <c r="AH95" s="351">
        <f t="shared" si="10"/>
        <v>0</v>
      </c>
    </row>
    <row r="96" spans="1:34">
      <c r="A96" s="165">
        <f>'Conveyor Downtime (new)'!A91</f>
        <v>46072</v>
      </c>
      <c r="B96" s="346"/>
      <c r="C96" s="346"/>
      <c r="D96" s="346"/>
      <c r="E96" s="346"/>
      <c r="F96" s="346"/>
      <c r="G96" s="346"/>
      <c r="H96" s="346"/>
      <c r="I96" s="346"/>
      <c r="J96" s="346"/>
      <c r="K96" s="346">
        <f>4+3</f>
        <v>7</v>
      </c>
      <c r="L96" s="346"/>
      <c r="M96" s="346"/>
      <c r="N96" s="346"/>
      <c r="O96" s="346"/>
      <c r="P96" s="346"/>
      <c r="Q96" s="346"/>
      <c r="R96" s="346"/>
      <c r="S96" s="346">
        <f>2+10+60+40+7+6+5+16+24</f>
        <v>170</v>
      </c>
      <c r="T96" s="346"/>
      <c r="U96" s="346"/>
      <c r="V96" s="346"/>
      <c r="W96" s="346"/>
      <c r="X96" s="346"/>
      <c r="Y96" s="346"/>
      <c r="Z96" s="346"/>
      <c r="AA96" s="346"/>
      <c r="AB96" s="346"/>
      <c r="AC96" s="346"/>
      <c r="AD96" s="346"/>
      <c r="AE96" s="346"/>
      <c r="AF96" s="346"/>
      <c r="AG96">
        <f t="shared" si="9"/>
        <v>177</v>
      </c>
      <c r="AH96" s="351">
        <f t="shared" si="10"/>
        <v>9.0076335877862596E-2</v>
      </c>
    </row>
    <row r="97" spans="1:34">
      <c r="A97" s="165">
        <f>'Conveyor Downtime (new)'!A92</f>
        <v>46072</v>
      </c>
      <c r="S97">
        <f>5+4+11+4+4+13+7+3+6</f>
        <v>57</v>
      </c>
      <c r="AG97">
        <f t="shared" si="9"/>
        <v>57</v>
      </c>
      <c r="AH97" s="351">
        <f t="shared" si="10"/>
        <v>2.9007633587786259E-2</v>
      </c>
    </row>
    <row r="98" spans="1:34">
      <c r="A98" s="165">
        <f>'Conveyor Downtime (new)'!A93</f>
        <v>46072</v>
      </c>
      <c r="B98" s="346"/>
      <c r="C98" s="346"/>
      <c r="D98" s="346"/>
      <c r="E98" s="346"/>
      <c r="F98" s="346"/>
      <c r="G98" s="346"/>
      <c r="H98" s="346"/>
      <c r="I98" s="346"/>
      <c r="J98" s="346"/>
      <c r="K98" s="346"/>
      <c r="L98" s="346"/>
      <c r="M98" s="346"/>
      <c r="N98" s="346"/>
      <c r="O98" s="346"/>
      <c r="P98" s="346"/>
      <c r="Q98" s="346"/>
      <c r="R98" s="346"/>
      <c r="S98" s="346">
        <f>15+13+1+60</f>
        <v>89</v>
      </c>
      <c r="T98" s="346"/>
      <c r="U98" s="346"/>
      <c r="V98" s="346"/>
      <c r="W98" s="346"/>
      <c r="X98" s="346"/>
      <c r="Y98" s="346"/>
      <c r="Z98" s="346"/>
      <c r="AA98" s="346"/>
      <c r="AB98" s="346"/>
      <c r="AC98" s="346"/>
      <c r="AD98" s="346"/>
      <c r="AE98" s="346"/>
      <c r="AF98" s="346"/>
      <c r="AG98">
        <f t="shared" si="7"/>
        <v>89</v>
      </c>
      <c r="AH98" s="351">
        <f t="shared" ref="AH98:AH122" si="11">AG98/$AG$123</f>
        <v>4.5292620865139951E-2</v>
      </c>
    </row>
    <row r="99" spans="1:34">
      <c r="A99" s="165">
        <f>'Conveyor Downtime (new)'!A94</f>
        <v>46073</v>
      </c>
      <c r="K99">
        <f>2+6+4+4+2+3+4+2+5+9</f>
        <v>41</v>
      </c>
      <c r="S99">
        <f>9+4+5+6+4+4+2+2+54</f>
        <v>90</v>
      </c>
      <c r="AG99">
        <f t="shared" si="7"/>
        <v>131</v>
      </c>
      <c r="AH99" s="351">
        <f t="shared" si="11"/>
        <v>6.6666666666666666E-2</v>
      </c>
    </row>
    <row r="100" spans="1:34">
      <c r="A100" s="165">
        <f>'Conveyor Downtime (new)'!A95</f>
        <v>46073</v>
      </c>
      <c r="B100" s="346"/>
      <c r="C100" s="346"/>
      <c r="D100" s="346"/>
      <c r="E100" s="346"/>
      <c r="F100" s="346"/>
      <c r="G100" s="346"/>
      <c r="H100" s="346"/>
      <c r="I100" s="346"/>
      <c r="J100" s="346"/>
      <c r="K100" s="346">
        <f>3+3+5+6+4</f>
        <v>21</v>
      </c>
      <c r="L100" s="346"/>
      <c r="M100" s="346"/>
      <c r="N100" s="346"/>
      <c r="O100" s="346"/>
      <c r="P100" s="346"/>
      <c r="Q100" s="346"/>
      <c r="R100" s="346"/>
      <c r="S100" s="346">
        <f>22+10+30+3+7+3+11+6+2</f>
        <v>94</v>
      </c>
      <c r="T100" s="346"/>
      <c r="U100" s="346">
        <f>4</f>
        <v>4</v>
      </c>
      <c r="V100" s="346"/>
      <c r="W100" s="346"/>
      <c r="X100" s="346"/>
      <c r="Y100" s="346"/>
      <c r="Z100" s="346"/>
      <c r="AA100" s="346"/>
      <c r="AB100" s="346"/>
      <c r="AC100" s="346"/>
      <c r="AD100" s="346"/>
      <c r="AE100" s="346"/>
      <c r="AF100" s="346"/>
      <c r="AG100">
        <f t="shared" si="7"/>
        <v>119</v>
      </c>
      <c r="AH100" s="351">
        <f t="shared" si="11"/>
        <v>6.0559796437659033E-2</v>
      </c>
    </row>
    <row r="101" spans="1:34">
      <c r="A101" s="165">
        <f>'Conveyor Downtime (new)'!A96</f>
        <v>46076</v>
      </c>
      <c r="K101">
        <f>4+5</f>
        <v>9</v>
      </c>
      <c r="P101">
        <v>8</v>
      </c>
      <c r="S101">
        <f>4+5+3+20+2+9+2+7+6+5+7+10+3+16+22+8+3+7+10+3</f>
        <v>152</v>
      </c>
      <c r="AG101">
        <f t="shared" si="7"/>
        <v>169</v>
      </c>
      <c r="AH101" s="351">
        <f t="shared" si="11"/>
        <v>8.6005089058524178E-2</v>
      </c>
    </row>
    <row r="102" spans="1:34">
      <c r="A102" s="165">
        <f>'Conveyor Downtime (new)'!A97</f>
        <v>46077</v>
      </c>
      <c r="B102" s="346"/>
      <c r="C102" s="346"/>
      <c r="D102" s="346"/>
      <c r="E102" s="346"/>
      <c r="F102" s="346"/>
      <c r="G102" s="346"/>
      <c r="H102" s="346"/>
      <c r="I102" s="346"/>
      <c r="J102" s="346"/>
      <c r="K102" s="346">
        <f>3</f>
        <v>3</v>
      </c>
      <c r="L102" s="346"/>
      <c r="M102" s="346"/>
      <c r="N102" s="346"/>
      <c r="O102" s="346"/>
      <c r="P102" s="346"/>
      <c r="Q102" s="346"/>
      <c r="R102" s="346"/>
      <c r="S102" s="346">
        <f>3+4+10</f>
        <v>17</v>
      </c>
      <c r="T102" s="346"/>
      <c r="U102" s="346"/>
      <c r="V102" s="346"/>
      <c r="W102" s="346"/>
      <c r="X102" s="346"/>
      <c r="Y102" s="346"/>
      <c r="Z102" s="346"/>
      <c r="AA102" s="346"/>
      <c r="AB102" s="346"/>
      <c r="AC102" s="346"/>
      <c r="AD102" s="346"/>
      <c r="AE102" s="346"/>
      <c r="AF102" s="346"/>
      <c r="AG102">
        <f t="shared" si="7"/>
        <v>20</v>
      </c>
      <c r="AH102" s="351">
        <f t="shared" si="11"/>
        <v>1.0178117048346057E-2</v>
      </c>
    </row>
    <row r="103" spans="1:34">
      <c r="A103" s="165">
        <f>'Conveyor Downtime (new)'!A98</f>
        <v>46077</v>
      </c>
      <c r="K103">
        <f>4</f>
        <v>4</v>
      </c>
      <c r="P103">
        <v>4</v>
      </c>
      <c r="S103">
        <f>10+6</f>
        <v>16</v>
      </c>
      <c r="AG103">
        <f t="shared" si="7"/>
        <v>24</v>
      </c>
      <c r="AH103" s="351">
        <f t="shared" si="11"/>
        <v>1.2213740458015267E-2</v>
      </c>
    </row>
    <row r="104" spans="1:34">
      <c r="A104" s="165">
        <f>'Conveyor Downtime (new)'!A99</f>
        <v>46078</v>
      </c>
      <c r="B104" s="346"/>
      <c r="C104" s="346"/>
      <c r="D104" s="346"/>
      <c r="E104" s="346"/>
      <c r="F104" s="346"/>
      <c r="G104" s="346"/>
      <c r="H104" s="346"/>
      <c r="I104" s="346"/>
      <c r="J104" s="346"/>
      <c r="K104" s="346"/>
      <c r="L104" s="346"/>
      <c r="M104" s="346"/>
      <c r="N104" s="346"/>
      <c r="O104" s="346"/>
      <c r="P104" s="346">
        <f>5+38+10+3</f>
        <v>56</v>
      </c>
      <c r="Q104" s="346"/>
      <c r="R104" s="346"/>
      <c r="S104" s="346">
        <f>9+6+7</f>
        <v>22</v>
      </c>
      <c r="T104" s="346">
        <f>16</f>
        <v>16</v>
      </c>
      <c r="U104" s="346"/>
      <c r="V104" s="346"/>
      <c r="W104" s="346"/>
      <c r="X104" s="346"/>
      <c r="Y104" s="346"/>
      <c r="Z104" s="346"/>
      <c r="AA104" s="346"/>
      <c r="AB104" s="346"/>
      <c r="AC104" s="346"/>
      <c r="AD104" s="346"/>
      <c r="AE104" s="346"/>
      <c r="AF104" s="346"/>
      <c r="AG104">
        <f t="shared" si="7"/>
        <v>94</v>
      </c>
      <c r="AH104" s="351">
        <f t="shared" si="11"/>
        <v>4.783715012722646E-2</v>
      </c>
    </row>
    <row r="105" spans="1:34">
      <c r="A105" s="165">
        <f>'Conveyor Downtime (new)'!A100</f>
        <v>46079</v>
      </c>
      <c r="S105">
        <f>6+11</f>
        <v>17</v>
      </c>
      <c r="AG105">
        <f t="shared" si="7"/>
        <v>17</v>
      </c>
      <c r="AH105" s="351">
        <f t="shared" si="11"/>
        <v>8.6513994910941468E-3</v>
      </c>
    </row>
    <row r="106" spans="1:34">
      <c r="A106" s="165">
        <f>'Conveyor Downtime (new)'!A101</f>
        <v>46079</v>
      </c>
      <c r="B106" s="346"/>
      <c r="C106" s="346"/>
      <c r="D106" s="346"/>
      <c r="E106" s="346"/>
      <c r="F106" s="346"/>
      <c r="G106" s="346"/>
      <c r="H106" s="346"/>
      <c r="I106" s="346"/>
      <c r="J106" s="346"/>
      <c r="K106" s="346">
        <f>10+2</f>
        <v>12</v>
      </c>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f t="shared" si="7"/>
        <v>12</v>
      </c>
      <c r="AH106" s="351">
        <f t="shared" si="11"/>
        <v>6.1068702290076335E-3</v>
      </c>
    </row>
    <row r="107" spans="1:34">
      <c r="A107" s="165">
        <f>'Conveyor Downtime (new)'!A102</f>
        <v>46080</v>
      </c>
      <c r="K107">
        <f>3+3</f>
        <v>6</v>
      </c>
      <c r="S107">
        <f>6+4</f>
        <v>10</v>
      </c>
      <c r="AG107">
        <f t="shared" si="7"/>
        <v>16</v>
      </c>
      <c r="AH107" s="351">
        <f t="shared" si="11"/>
        <v>8.1424936386768447E-3</v>
      </c>
    </row>
    <row r="108" spans="1:34">
      <c r="A108" s="165">
        <f>'Conveyor Downtime (new)'!A103</f>
        <v>46080</v>
      </c>
      <c r="B108" s="346"/>
      <c r="C108" s="346"/>
      <c r="D108" s="346"/>
      <c r="E108" s="346"/>
      <c r="F108" s="346"/>
      <c r="G108" s="346"/>
      <c r="H108" s="346"/>
      <c r="I108" s="346"/>
      <c r="J108" s="346"/>
      <c r="K108" s="346">
        <f>3+3+3</f>
        <v>9</v>
      </c>
      <c r="L108" s="346"/>
      <c r="M108" s="346"/>
      <c r="N108" s="346"/>
      <c r="O108" s="346"/>
      <c r="P108" s="346"/>
      <c r="Q108" s="346"/>
      <c r="R108" s="346"/>
      <c r="S108" s="346">
        <f>8+8+4</f>
        <v>20</v>
      </c>
      <c r="T108" s="346"/>
      <c r="U108" s="346"/>
      <c r="V108" s="346"/>
      <c r="W108" s="346"/>
      <c r="X108" s="346"/>
      <c r="Y108" s="346"/>
      <c r="Z108" s="346"/>
      <c r="AA108" s="346"/>
      <c r="AB108" s="346"/>
      <c r="AC108" s="346"/>
      <c r="AD108" s="346"/>
      <c r="AE108" s="346"/>
      <c r="AF108" s="346"/>
      <c r="AG108">
        <f t="shared" si="7"/>
        <v>29</v>
      </c>
      <c r="AH108" s="351">
        <f t="shared" si="11"/>
        <v>1.4758269720101781E-2</v>
      </c>
    </row>
    <row r="109" spans="1:34">
      <c r="A109" s="165">
        <f>'Conveyor Downtime (new)'!A104</f>
        <v>46080</v>
      </c>
      <c r="K109">
        <f>6+3</f>
        <v>9</v>
      </c>
      <c r="AG109">
        <f t="shared" si="7"/>
        <v>9</v>
      </c>
      <c r="AH109" s="351">
        <f t="shared" si="11"/>
        <v>4.5801526717557254E-3</v>
      </c>
    </row>
    <row r="110" spans="1:34">
      <c r="A110" s="165">
        <f>'Conveyor Downtime (new)'!A105</f>
        <v>46081</v>
      </c>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f t="shared" si="7"/>
        <v>0</v>
      </c>
      <c r="AH110" s="351">
        <f t="shared" si="11"/>
        <v>0</v>
      </c>
    </row>
    <row r="111" spans="1:34">
      <c r="A111" s="165">
        <f>'Conveyor Downtime (new)'!A106</f>
        <v>46081</v>
      </c>
      <c r="AG111">
        <f t="shared" si="7"/>
        <v>0</v>
      </c>
      <c r="AH111" s="351">
        <f t="shared" si="11"/>
        <v>0</v>
      </c>
    </row>
    <row r="112" spans="1:34">
      <c r="A112" s="165">
        <f>'Conveyor Downtime (new)'!A107</f>
        <v>0</v>
      </c>
      <c r="B112" s="346"/>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f t="shared" si="7"/>
        <v>0</v>
      </c>
      <c r="AH112" s="351">
        <f t="shared" si="11"/>
        <v>0</v>
      </c>
    </row>
    <row r="113" spans="1:34">
      <c r="A113" s="165">
        <f>'Conveyor Downtime (new)'!A108</f>
        <v>0</v>
      </c>
      <c r="AG113">
        <f t="shared" si="7"/>
        <v>0</v>
      </c>
      <c r="AH113" s="351">
        <f t="shared" si="11"/>
        <v>0</v>
      </c>
    </row>
    <row r="114" spans="1:34">
      <c r="A114" s="165">
        <f>'Conveyor Downtime (new)'!A109</f>
        <v>0</v>
      </c>
      <c r="B114" s="346"/>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f t="shared" si="7"/>
        <v>0</v>
      </c>
      <c r="AH114" s="351">
        <f t="shared" si="11"/>
        <v>0</v>
      </c>
    </row>
    <row r="115" spans="1:34">
      <c r="A115" s="165">
        <f>'Conveyor Downtime (new)'!A110</f>
        <v>0</v>
      </c>
      <c r="AG115">
        <f t="shared" si="7"/>
        <v>0</v>
      </c>
      <c r="AH115" s="351">
        <f t="shared" si="11"/>
        <v>0</v>
      </c>
    </row>
    <row r="116" spans="1:34">
      <c r="A116" s="165">
        <f>'Conveyor Downtime (new)'!A111</f>
        <v>0</v>
      </c>
      <c r="B116" s="346"/>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f t="shared" si="7"/>
        <v>0</v>
      </c>
      <c r="AH116" s="351">
        <f t="shared" si="11"/>
        <v>0</v>
      </c>
    </row>
    <row r="117" spans="1:34">
      <c r="A117" s="165">
        <f>'Conveyor Downtime (new)'!A112</f>
        <v>0</v>
      </c>
      <c r="AG117">
        <f t="shared" si="7"/>
        <v>0</v>
      </c>
      <c r="AH117" s="351">
        <f t="shared" si="11"/>
        <v>0</v>
      </c>
    </row>
    <row r="118" spans="1:34">
      <c r="A118" s="165">
        <f>'Conveyor Downtime (new)'!A113</f>
        <v>0</v>
      </c>
      <c r="B118" s="346"/>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f t="shared" si="7"/>
        <v>0</v>
      </c>
      <c r="AH118" s="351">
        <f t="shared" si="11"/>
        <v>0</v>
      </c>
    </row>
    <row r="119" spans="1:34">
      <c r="A119" s="165">
        <f>'Conveyor Downtime (new)'!A114</f>
        <v>0</v>
      </c>
      <c r="AG119">
        <f t="shared" si="7"/>
        <v>0</v>
      </c>
      <c r="AH119" s="351">
        <f t="shared" si="11"/>
        <v>0</v>
      </c>
    </row>
    <row r="120" spans="1:34">
      <c r="A120" s="165">
        <f>'Conveyor Downtime (new)'!A115</f>
        <v>0</v>
      </c>
      <c r="B120" s="346"/>
      <c r="C120" s="346"/>
      <c r="D120" s="346"/>
      <c r="E120" s="346"/>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f t="shared" si="7"/>
        <v>0</v>
      </c>
      <c r="AH120" s="351">
        <f t="shared" si="11"/>
        <v>0</v>
      </c>
    </row>
    <row r="121" spans="1:34">
      <c r="A121" s="165"/>
      <c r="AG121">
        <f t="shared" si="7"/>
        <v>0</v>
      </c>
      <c r="AH121" s="351">
        <f t="shared" si="11"/>
        <v>0</v>
      </c>
    </row>
    <row r="122" spans="1:34">
      <c r="A122" s="165"/>
      <c r="AG122">
        <f t="shared" si="7"/>
        <v>0</v>
      </c>
      <c r="AH122" s="351">
        <f t="shared" si="11"/>
        <v>0</v>
      </c>
    </row>
    <row r="123" spans="1:34" ht="15">
      <c r="A123" s="165"/>
      <c r="B123" s="347">
        <f t="shared" ref="B123:AF123" si="12">SUM(B72:B122)</f>
        <v>34</v>
      </c>
      <c r="C123" s="347">
        <f t="shared" si="12"/>
        <v>0</v>
      </c>
      <c r="D123" s="347">
        <f t="shared" si="12"/>
        <v>0</v>
      </c>
      <c r="E123" s="347">
        <f t="shared" si="12"/>
        <v>0</v>
      </c>
      <c r="F123" s="347">
        <f t="shared" si="12"/>
        <v>0</v>
      </c>
      <c r="G123" s="347">
        <f t="shared" si="12"/>
        <v>0</v>
      </c>
      <c r="H123" s="347">
        <f t="shared" si="12"/>
        <v>0</v>
      </c>
      <c r="I123" s="347">
        <f t="shared" si="12"/>
        <v>0</v>
      </c>
      <c r="J123" s="347">
        <f t="shared" si="12"/>
        <v>0</v>
      </c>
      <c r="K123" s="347">
        <f t="shared" si="12"/>
        <v>459</v>
      </c>
      <c r="L123" s="347">
        <f t="shared" si="12"/>
        <v>0</v>
      </c>
      <c r="M123" s="347">
        <f t="shared" si="12"/>
        <v>0</v>
      </c>
      <c r="N123" s="347">
        <f t="shared" si="12"/>
        <v>0</v>
      </c>
      <c r="O123" s="347">
        <f t="shared" si="12"/>
        <v>0</v>
      </c>
      <c r="P123" s="347">
        <f t="shared" si="12"/>
        <v>145</v>
      </c>
      <c r="Q123" s="347">
        <f t="shared" si="12"/>
        <v>0</v>
      </c>
      <c r="R123" s="347">
        <f t="shared" si="12"/>
        <v>0</v>
      </c>
      <c r="S123" s="347">
        <f t="shared" si="12"/>
        <v>993</v>
      </c>
      <c r="T123" s="347">
        <f t="shared" si="12"/>
        <v>295</v>
      </c>
      <c r="U123" s="347">
        <f t="shared" si="12"/>
        <v>4</v>
      </c>
      <c r="V123" s="347">
        <f t="shared" si="12"/>
        <v>0</v>
      </c>
      <c r="W123" s="347">
        <f t="shared" si="12"/>
        <v>0</v>
      </c>
      <c r="X123" s="347">
        <f t="shared" si="12"/>
        <v>0</v>
      </c>
      <c r="Y123" s="347">
        <f t="shared" si="12"/>
        <v>7</v>
      </c>
      <c r="Z123" s="347">
        <f t="shared" si="12"/>
        <v>0</v>
      </c>
      <c r="AA123" s="347">
        <f t="shared" si="12"/>
        <v>0</v>
      </c>
      <c r="AB123" s="347">
        <f t="shared" si="12"/>
        <v>16</v>
      </c>
      <c r="AC123" s="347">
        <f t="shared" si="12"/>
        <v>0</v>
      </c>
      <c r="AD123" s="347">
        <f t="shared" si="12"/>
        <v>0</v>
      </c>
      <c r="AE123" s="347">
        <f t="shared" si="12"/>
        <v>12</v>
      </c>
      <c r="AF123" s="347">
        <f t="shared" si="12"/>
        <v>0</v>
      </c>
      <c r="AG123" s="347">
        <f>SUM(AG72:AG122)</f>
        <v>1965</v>
      </c>
    </row>
    <row r="124" spans="1:34" ht="15.75" thickBot="1">
      <c r="A124" s="165" t="str">
        <f>'Conveyor Downtime (new)'!A119</f>
        <v>MTD</v>
      </c>
      <c r="B124" s="348">
        <f>B123/$AG123</f>
        <v>1.7302798982188294E-2</v>
      </c>
      <c r="C124" s="348">
        <f t="shared" ref="C124:AF124" si="13">C123/$AG123</f>
        <v>0</v>
      </c>
      <c r="D124" s="348">
        <f t="shared" si="13"/>
        <v>0</v>
      </c>
      <c r="E124" s="348">
        <f t="shared" si="13"/>
        <v>0</v>
      </c>
      <c r="F124" s="348">
        <f t="shared" si="13"/>
        <v>0</v>
      </c>
      <c r="G124" s="348">
        <f t="shared" si="13"/>
        <v>0</v>
      </c>
      <c r="H124" s="348">
        <f t="shared" si="13"/>
        <v>0</v>
      </c>
      <c r="I124" s="348">
        <f t="shared" si="13"/>
        <v>0</v>
      </c>
      <c r="J124" s="348">
        <f t="shared" si="13"/>
        <v>0</v>
      </c>
      <c r="K124" s="348">
        <f t="shared" si="13"/>
        <v>0.23358778625954199</v>
      </c>
      <c r="L124" s="348">
        <f t="shared" si="13"/>
        <v>0</v>
      </c>
      <c r="M124" s="348">
        <f t="shared" si="13"/>
        <v>0</v>
      </c>
      <c r="N124" s="348">
        <f t="shared" si="13"/>
        <v>0</v>
      </c>
      <c r="O124" s="348">
        <f t="shared" si="13"/>
        <v>0</v>
      </c>
      <c r="P124" s="348">
        <f t="shared" si="13"/>
        <v>7.3791348600508899E-2</v>
      </c>
      <c r="Q124" s="348">
        <f t="shared" si="13"/>
        <v>0</v>
      </c>
      <c r="R124" s="348">
        <f t="shared" si="13"/>
        <v>0</v>
      </c>
      <c r="S124" s="348">
        <f t="shared" si="13"/>
        <v>0.5053435114503817</v>
      </c>
      <c r="T124" s="348">
        <f t="shared" si="13"/>
        <v>0.15012722646310434</v>
      </c>
      <c r="U124" s="348">
        <f t="shared" si="13"/>
        <v>2.0356234096692112E-3</v>
      </c>
      <c r="V124" s="348">
        <f t="shared" si="13"/>
        <v>0</v>
      </c>
      <c r="W124" s="348">
        <f t="shared" si="13"/>
        <v>0</v>
      </c>
      <c r="X124" s="348">
        <f t="shared" si="13"/>
        <v>0</v>
      </c>
      <c r="Y124" s="348">
        <f t="shared" si="13"/>
        <v>3.5623409669211198E-3</v>
      </c>
      <c r="Z124" s="348">
        <f t="shared" si="13"/>
        <v>0</v>
      </c>
      <c r="AA124" s="348">
        <f t="shared" si="13"/>
        <v>0</v>
      </c>
      <c r="AB124" s="348">
        <f t="shared" si="13"/>
        <v>8.1424936386768447E-3</v>
      </c>
      <c r="AC124" s="348">
        <f t="shared" si="13"/>
        <v>0</v>
      </c>
      <c r="AD124" s="348">
        <f t="shared" si="13"/>
        <v>0</v>
      </c>
      <c r="AE124" s="348">
        <f t="shared" si="13"/>
        <v>6.1068702290076335E-3</v>
      </c>
      <c r="AF124" s="348">
        <f t="shared" si="13"/>
        <v>0</v>
      </c>
      <c r="AG124" s="351"/>
    </row>
    <row r="127" spans="1:34">
      <c r="A127" s="165"/>
      <c r="AH127" s="351"/>
    </row>
    <row r="128" spans="1:34">
      <c r="A128" s="165">
        <f>'Conveyor Downtime (new)'!A124</f>
        <v>46083</v>
      </c>
      <c r="B128" s="346"/>
      <c r="C128" s="346"/>
      <c r="D128" s="346"/>
      <c r="E128" s="346"/>
      <c r="F128" s="346"/>
      <c r="G128" s="346"/>
      <c r="H128" s="346"/>
      <c r="I128" s="346"/>
      <c r="J128" s="346"/>
      <c r="K128" s="346"/>
      <c r="L128" s="346"/>
      <c r="M128" s="346"/>
      <c r="N128" s="346"/>
      <c r="O128" s="346"/>
      <c r="P128" s="346"/>
      <c r="Q128" s="346"/>
      <c r="R128" s="346"/>
      <c r="S128" s="346">
        <f>7</f>
        <v>7</v>
      </c>
      <c r="T128" s="346">
        <f>8+6+7+15</f>
        <v>36</v>
      </c>
      <c r="U128" s="346"/>
      <c r="V128" s="346"/>
      <c r="W128" s="346"/>
      <c r="X128" s="346"/>
      <c r="Y128" s="346"/>
      <c r="Z128" s="346"/>
      <c r="AA128" s="346"/>
      <c r="AB128" s="346"/>
      <c r="AC128" s="346"/>
      <c r="AD128" s="346"/>
      <c r="AE128" s="346"/>
      <c r="AF128" s="346"/>
      <c r="AG128">
        <f t="shared" ref="AG128:AG181" si="14">SUM(B128:AF128)</f>
        <v>43</v>
      </c>
      <c r="AH128" s="351">
        <f t="shared" ref="AH128:AH181" si="15">AG128/$AG$182</f>
        <v>5.771812080536913E-2</v>
      </c>
    </row>
    <row r="129" spans="1:34">
      <c r="A129" s="165">
        <f>'Conveyor Downtime (new)'!A125</f>
        <v>46083</v>
      </c>
      <c r="K129">
        <f>3</f>
        <v>3</v>
      </c>
      <c r="P129">
        <f>21+13+10</f>
        <v>44</v>
      </c>
      <c r="X129">
        <f>6</f>
        <v>6</v>
      </c>
      <c r="AB129">
        <f>8</f>
        <v>8</v>
      </c>
      <c r="AG129">
        <f t="shared" si="14"/>
        <v>61</v>
      </c>
      <c r="AH129" s="351">
        <f t="shared" si="15"/>
        <v>8.1879194630872482E-2</v>
      </c>
    </row>
    <row r="130" spans="1:34">
      <c r="A130" s="165">
        <f>'Conveyor Downtime (new)'!A126</f>
        <v>46084</v>
      </c>
      <c r="B130" s="346"/>
      <c r="C130" s="346"/>
      <c r="D130" s="346"/>
      <c r="E130" s="346"/>
      <c r="F130" s="346"/>
      <c r="G130" s="346"/>
      <c r="H130" s="346"/>
      <c r="I130" s="346"/>
      <c r="J130" s="346"/>
      <c r="K130" s="346">
        <f>3+4+3+7</f>
        <v>17</v>
      </c>
      <c r="L130" s="346"/>
      <c r="M130" s="346"/>
      <c r="N130" s="346"/>
      <c r="O130" s="346"/>
      <c r="P130" s="346"/>
      <c r="Q130" s="346"/>
      <c r="R130" s="346"/>
      <c r="S130" s="346">
        <f>10</f>
        <v>10</v>
      </c>
      <c r="T130" s="346">
        <f>23+60</f>
        <v>83</v>
      </c>
      <c r="U130" s="346"/>
      <c r="V130" s="346"/>
      <c r="W130" s="346"/>
      <c r="X130" s="346">
        <f>15+12</f>
        <v>27</v>
      </c>
      <c r="Y130" s="346"/>
      <c r="Z130" s="346"/>
      <c r="AA130" s="346"/>
      <c r="AB130" s="346"/>
      <c r="AC130" s="346"/>
      <c r="AD130" s="346"/>
      <c r="AE130" s="346"/>
      <c r="AF130" s="346"/>
      <c r="AG130">
        <f t="shared" si="14"/>
        <v>137</v>
      </c>
      <c r="AH130" s="351">
        <f t="shared" si="15"/>
        <v>0.18389261744966443</v>
      </c>
    </row>
    <row r="131" spans="1:34">
      <c r="A131" s="165">
        <f>'Conveyor Downtime (new)'!A127</f>
        <v>46085</v>
      </c>
      <c r="K131">
        <f>5+2</f>
        <v>7</v>
      </c>
      <c r="S131">
        <f>15+7+8+10+14</f>
        <v>54</v>
      </c>
      <c r="AG131">
        <f t="shared" si="14"/>
        <v>61</v>
      </c>
      <c r="AH131" s="351">
        <f t="shared" si="15"/>
        <v>8.1879194630872482E-2</v>
      </c>
    </row>
    <row r="132" spans="1:34">
      <c r="A132" s="165">
        <f>'Conveyor Downtime (new)'!A128</f>
        <v>46085</v>
      </c>
      <c r="B132" s="346"/>
      <c r="C132" s="346"/>
      <c r="D132" s="346"/>
      <c r="E132" s="346"/>
      <c r="F132" s="346"/>
      <c r="G132" s="346"/>
      <c r="H132" s="346"/>
      <c r="I132" s="346"/>
      <c r="J132" s="346"/>
      <c r="K132" s="346">
        <f>5+2+2</f>
        <v>9</v>
      </c>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f t="shared" si="14"/>
        <v>9</v>
      </c>
      <c r="AH132" s="351">
        <f t="shared" si="15"/>
        <v>1.2080536912751677E-2</v>
      </c>
    </row>
    <row r="133" spans="1:34">
      <c r="A133" s="165">
        <f>'Conveyor Downtime (new)'!A129</f>
        <v>46086</v>
      </c>
      <c r="AG133">
        <f t="shared" si="14"/>
        <v>0</v>
      </c>
      <c r="AH133" s="351">
        <f t="shared" si="15"/>
        <v>0</v>
      </c>
    </row>
    <row r="134" spans="1:34">
      <c r="A134" s="165">
        <f>'Conveyor Downtime (new)'!A130</f>
        <v>46086</v>
      </c>
      <c r="B134" s="346"/>
      <c r="C134" s="346"/>
      <c r="D134" s="346"/>
      <c r="E134" s="346"/>
      <c r="F134" s="346"/>
      <c r="G134" s="346"/>
      <c r="H134" s="346"/>
      <c r="I134" s="346"/>
      <c r="J134" s="346"/>
      <c r="K134" s="346">
        <f>3+3</f>
        <v>6</v>
      </c>
      <c r="L134" s="346"/>
      <c r="M134" s="346"/>
      <c r="N134" s="346"/>
      <c r="O134" s="346"/>
      <c r="P134" s="346"/>
      <c r="Q134" s="346"/>
      <c r="R134" s="346"/>
      <c r="S134" s="346">
        <f>6+10+8</f>
        <v>24</v>
      </c>
      <c r="T134" s="346"/>
      <c r="U134" s="346"/>
      <c r="V134" s="346"/>
      <c r="W134" s="346"/>
      <c r="X134" s="346"/>
      <c r="Y134" s="346"/>
      <c r="Z134" s="346"/>
      <c r="AA134" s="346"/>
      <c r="AB134" s="346"/>
      <c r="AC134" s="346"/>
      <c r="AD134" s="346"/>
      <c r="AE134" s="346"/>
      <c r="AF134" s="346"/>
      <c r="AG134">
        <f t="shared" si="14"/>
        <v>30</v>
      </c>
      <c r="AH134" s="351">
        <f t="shared" si="15"/>
        <v>4.0268456375838924E-2</v>
      </c>
    </row>
    <row r="135" spans="1:34">
      <c r="A135" s="165">
        <f>'Conveyor Downtime (new)'!A131</f>
        <v>46087</v>
      </c>
      <c r="AG135">
        <f t="shared" si="14"/>
        <v>0</v>
      </c>
      <c r="AH135" s="351">
        <f t="shared" si="15"/>
        <v>0</v>
      </c>
    </row>
    <row r="136" spans="1:34">
      <c r="A136" s="165">
        <f>'Conveyor Downtime (new)'!A132</f>
        <v>46087</v>
      </c>
      <c r="B136" s="346"/>
      <c r="C136" s="346"/>
      <c r="D136" s="346"/>
      <c r="E136" s="346"/>
      <c r="F136" s="346"/>
      <c r="G136" s="346"/>
      <c r="H136" s="346"/>
      <c r="I136" s="346"/>
      <c r="J136" s="346"/>
      <c r="K136" s="346">
        <f>3</f>
        <v>3</v>
      </c>
      <c r="L136" s="346"/>
      <c r="M136" s="346"/>
      <c r="N136" s="346"/>
      <c r="O136" s="346"/>
      <c r="P136" s="346">
        <f>6</f>
        <v>6</v>
      </c>
      <c r="Q136" s="346"/>
      <c r="R136" s="346"/>
      <c r="S136" s="346"/>
      <c r="T136" s="346"/>
      <c r="U136" s="346"/>
      <c r="V136" s="346"/>
      <c r="W136" s="346"/>
      <c r="X136" s="346"/>
      <c r="Y136" s="346"/>
      <c r="Z136" s="346"/>
      <c r="AA136" s="346"/>
      <c r="AB136" s="346"/>
      <c r="AC136" s="346"/>
      <c r="AD136" s="346"/>
      <c r="AE136" s="346"/>
      <c r="AF136" s="346"/>
      <c r="AG136">
        <f t="shared" si="14"/>
        <v>9</v>
      </c>
      <c r="AH136" s="351">
        <f t="shared" si="15"/>
        <v>1.2080536912751677E-2</v>
      </c>
    </row>
    <row r="137" spans="1:34">
      <c r="A137" s="165">
        <f>'Conveyor Downtime (new)'!A133</f>
        <v>46087</v>
      </c>
      <c r="AG137">
        <f t="shared" si="14"/>
        <v>0</v>
      </c>
      <c r="AH137" s="351">
        <f t="shared" si="15"/>
        <v>0</v>
      </c>
    </row>
    <row r="138" spans="1:34">
      <c r="A138" s="165">
        <f>'Conveyor Downtime (new)'!A134</f>
        <v>46089</v>
      </c>
      <c r="B138" s="346"/>
      <c r="C138" s="346"/>
      <c r="D138" s="346"/>
      <c r="E138" s="346"/>
      <c r="F138" s="346"/>
      <c r="G138" s="346"/>
      <c r="H138" s="346"/>
      <c r="I138" s="346"/>
      <c r="J138" s="346"/>
      <c r="K138" s="346">
        <f>4+3</f>
        <v>7</v>
      </c>
      <c r="L138" s="346"/>
      <c r="M138" s="346"/>
      <c r="N138" s="346"/>
      <c r="O138" s="346"/>
      <c r="P138" s="346">
        <f>5+12+13+23</f>
        <v>53</v>
      </c>
      <c r="Q138" s="346"/>
      <c r="R138" s="346"/>
      <c r="S138" s="346"/>
      <c r="T138" s="346">
        <f>3</f>
        <v>3</v>
      </c>
      <c r="U138" s="346"/>
      <c r="V138" s="346"/>
      <c r="W138" s="346"/>
      <c r="X138" s="346"/>
      <c r="Y138" s="346"/>
      <c r="Z138" s="346"/>
      <c r="AA138" s="346"/>
      <c r="AB138" s="346"/>
      <c r="AC138" s="346"/>
      <c r="AD138" s="346"/>
      <c r="AE138" s="346"/>
      <c r="AF138" s="346"/>
      <c r="AG138">
        <f t="shared" si="14"/>
        <v>63</v>
      </c>
      <c r="AH138" s="351">
        <f t="shared" si="15"/>
        <v>8.4563758389261751E-2</v>
      </c>
    </row>
    <row r="139" spans="1:34" ht="13.5" customHeight="1">
      <c r="A139" s="165">
        <f>'Conveyor Downtime (new)'!A135</f>
        <v>46090</v>
      </c>
      <c r="K139">
        <f>4+4</f>
        <v>8</v>
      </c>
      <c r="P139">
        <f>10+5+3+2</f>
        <v>20</v>
      </c>
      <c r="S139">
        <f>5</f>
        <v>5</v>
      </c>
      <c r="AG139">
        <f t="shared" si="14"/>
        <v>33</v>
      </c>
      <c r="AH139" s="351">
        <f t="shared" si="15"/>
        <v>4.429530201342282E-2</v>
      </c>
    </row>
    <row r="140" spans="1:34">
      <c r="A140" s="165">
        <f>'Conveyor Downtime (new)'!A136</f>
        <v>46091</v>
      </c>
      <c r="B140" s="346"/>
      <c r="C140" s="346"/>
      <c r="D140" s="346"/>
      <c r="E140" s="346"/>
      <c r="F140" s="346"/>
      <c r="G140" s="346"/>
      <c r="H140" s="346"/>
      <c r="I140" s="346"/>
      <c r="J140" s="346"/>
      <c r="K140" s="346">
        <f>3+3</f>
        <v>6</v>
      </c>
      <c r="L140" s="346"/>
      <c r="M140" s="346"/>
      <c r="N140" s="346"/>
      <c r="O140" s="346"/>
      <c r="P140" s="346"/>
      <c r="Q140" s="346"/>
      <c r="R140" s="346"/>
      <c r="S140" s="346"/>
      <c r="T140" s="346">
        <f>4+40</f>
        <v>44</v>
      </c>
      <c r="U140" s="346"/>
      <c r="V140" s="346"/>
      <c r="W140" s="346"/>
      <c r="X140" s="346"/>
      <c r="Y140" s="346"/>
      <c r="Z140" s="346"/>
      <c r="AA140" s="346"/>
      <c r="AB140" s="346"/>
      <c r="AC140" s="346"/>
      <c r="AD140" s="346"/>
      <c r="AE140" s="346"/>
      <c r="AF140" s="346"/>
      <c r="AG140">
        <f t="shared" si="14"/>
        <v>50</v>
      </c>
      <c r="AH140" s="351">
        <f t="shared" si="15"/>
        <v>6.7114093959731544E-2</v>
      </c>
    </row>
    <row r="141" spans="1:34">
      <c r="A141" s="165">
        <f>'Conveyor Downtime (new)'!A137</f>
        <v>46091</v>
      </c>
      <c r="K141">
        <f>5</f>
        <v>5</v>
      </c>
      <c r="AG141">
        <f t="shared" si="14"/>
        <v>5</v>
      </c>
      <c r="AH141" s="351">
        <f t="shared" si="15"/>
        <v>6.7114093959731542E-3</v>
      </c>
    </row>
    <row r="142" spans="1:34">
      <c r="A142" s="165">
        <f>'Conveyor Downtime (new)'!A138</f>
        <v>46092</v>
      </c>
      <c r="B142" s="346"/>
      <c r="C142" s="346"/>
      <c r="D142" s="346"/>
      <c r="E142" s="346"/>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f t="shared" si="14"/>
        <v>0</v>
      </c>
      <c r="AH142" s="351">
        <f t="shared" si="15"/>
        <v>0</v>
      </c>
    </row>
    <row r="143" spans="1:34">
      <c r="A143" s="165">
        <f>'Conveyor Downtime (new)'!A139</f>
        <v>46092</v>
      </c>
      <c r="K143">
        <f>17+5</f>
        <v>22</v>
      </c>
      <c r="AG143">
        <f t="shared" si="14"/>
        <v>22</v>
      </c>
      <c r="AH143" s="351">
        <f t="shared" si="15"/>
        <v>2.9530201342281879E-2</v>
      </c>
    </row>
    <row r="144" spans="1:34">
      <c r="A144" s="165">
        <f>'Conveyor Downtime (new)'!A140</f>
        <v>46092</v>
      </c>
      <c r="B144" s="346"/>
      <c r="C144" s="346"/>
      <c r="D144" s="346"/>
      <c r="E144" s="346"/>
      <c r="F144" s="346"/>
      <c r="G144" s="346"/>
      <c r="H144" s="346"/>
      <c r="I144" s="346"/>
      <c r="J144" s="346"/>
      <c r="K144" s="346">
        <f>10+2</f>
        <v>12</v>
      </c>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f t="shared" si="14"/>
        <v>12</v>
      </c>
      <c r="AH144" s="351">
        <f t="shared" si="15"/>
        <v>1.6107382550335572E-2</v>
      </c>
    </row>
    <row r="145" spans="1:34">
      <c r="A145" s="165">
        <f>'Conveyor Downtime (new)'!A141</f>
        <v>46093</v>
      </c>
      <c r="K145">
        <f>2+1+3</f>
        <v>6</v>
      </c>
      <c r="AG145">
        <f t="shared" si="14"/>
        <v>6</v>
      </c>
      <c r="AH145" s="351">
        <f t="shared" si="15"/>
        <v>8.0536912751677861E-3</v>
      </c>
    </row>
    <row r="146" spans="1:34">
      <c r="A146" s="165">
        <f>'Conveyor Downtime (new)'!A142</f>
        <v>46093</v>
      </c>
      <c r="B146" s="346"/>
      <c r="C146" s="346"/>
      <c r="D146" s="346"/>
      <c r="E146" s="346"/>
      <c r="F146" s="346"/>
      <c r="G146" s="346"/>
      <c r="H146" s="346"/>
      <c r="I146" s="346"/>
      <c r="J146" s="346"/>
      <c r="K146" s="346">
        <f>4+5+2</f>
        <v>11</v>
      </c>
      <c r="L146" s="346"/>
      <c r="M146" s="346"/>
      <c r="N146" s="346"/>
      <c r="O146" s="346"/>
      <c r="P146" s="346">
        <f>8+12</f>
        <v>20</v>
      </c>
      <c r="Q146" s="346"/>
      <c r="R146" s="346"/>
      <c r="S146" s="346">
        <f>4+7+6+5</f>
        <v>22</v>
      </c>
      <c r="T146" s="346"/>
      <c r="U146" s="346"/>
      <c r="V146" s="346"/>
      <c r="W146" s="346"/>
      <c r="X146" s="346"/>
      <c r="Y146" s="346"/>
      <c r="Z146" s="346"/>
      <c r="AA146" s="346"/>
      <c r="AB146" s="346"/>
      <c r="AC146" s="346"/>
      <c r="AD146" s="346"/>
      <c r="AE146" s="346"/>
      <c r="AF146" s="346"/>
      <c r="AG146">
        <f t="shared" si="14"/>
        <v>53</v>
      </c>
      <c r="AH146" s="351">
        <f t="shared" si="15"/>
        <v>7.1140939597315433E-2</v>
      </c>
    </row>
    <row r="147" spans="1:34">
      <c r="A147" s="165">
        <f>'Conveyor Downtime (new)'!A143</f>
        <v>46094</v>
      </c>
      <c r="K147">
        <f>4+9+3+2+3+2+3</f>
        <v>26</v>
      </c>
      <c r="AG147">
        <f t="shared" si="14"/>
        <v>26</v>
      </c>
      <c r="AH147" s="351">
        <f t="shared" si="15"/>
        <v>3.4899328859060399E-2</v>
      </c>
    </row>
    <row r="148" spans="1:34">
      <c r="A148" s="165">
        <f>'Conveyor Downtime (new)'!A144</f>
        <v>46094</v>
      </c>
      <c r="B148" s="346"/>
      <c r="C148" s="346"/>
      <c r="D148" s="346"/>
      <c r="E148" s="346"/>
      <c r="F148" s="346"/>
      <c r="G148" s="346"/>
      <c r="H148" s="346"/>
      <c r="I148" s="346"/>
      <c r="J148" s="346"/>
      <c r="K148" s="346">
        <f>2+3</f>
        <v>5</v>
      </c>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f t="shared" si="14"/>
        <v>5</v>
      </c>
      <c r="AH148" s="351">
        <f t="shared" si="15"/>
        <v>6.7114093959731542E-3</v>
      </c>
    </row>
    <row r="149" spans="1:34">
      <c r="A149" s="165">
        <f>'Conveyor Downtime (new)'!A145</f>
        <v>46097</v>
      </c>
      <c r="AG149">
        <f t="shared" si="14"/>
        <v>0</v>
      </c>
      <c r="AH149" s="351">
        <f t="shared" si="15"/>
        <v>0</v>
      </c>
    </row>
    <row r="150" spans="1:34">
      <c r="A150" s="165">
        <f>'Conveyor Downtime (new)'!A146</f>
        <v>46098</v>
      </c>
      <c r="B150" s="346"/>
      <c r="C150" s="346"/>
      <c r="D150" s="346"/>
      <c r="E150" s="346"/>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f t="shared" si="14"/>
        <v>0</v>
      </c>
      <c r="AH150" s="351">
        <f t="shared" si="15"/>
        <v>0</v>
      </c>
    </row>
    <row r="151" spans="1:34">
      <c r="A151" s="165">
        <f>'Conveyor Downtime (new)'!A147</f>
        <v>46099</v>
      </c>
      <c r="K151">
        <f>3+3+4+2</f>
        <v>12</v>
      </c>
      <c r="AG151">
        <f t="shared" si="14"/>
        <v>12</v>
      </c>
      <c r="AH151" s="351">
        <f t="shared" si="15"/>
        <v>1.6107382550335572E-2</v>
      </c>
    </row>
    <row r="152" spans="1:34">
      <c r="A152" s="165">
        <f>'Conveyor Downtime (new)'!A148</f>
        <v>46099</v>
      </c>
      <c r="B152" s="346">
        <f>5+7+6</f>
        <v>18</v>
      </c>
      <c r="C152" s="346"/>
      <c r="D152" s="346"/>
      <c r="E152" s="346"/>
      <c r="F152" s="346"/>
      <c r="G152" s="346"/>
      <c r="H152" s="346"/>
      <c r="I152" s="346"/>
      <c r="J152" s="346"/>
      <c r="K152" s="346">
        <v>2</v>
      </c>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f t="shared" si="14"/>
        <v>20</v>
      </c>
      <c r="AH152" s="351">
        <f t="shared" si="15"/>
        <v>2.6845637583892617E-2</v>
      </c>
    </row>
    <row r="153" spans="1:34">
      <c r="A153" s="165">
        <f>'Conveyor Downtime (new)'!A149</f>
        <v>46100</v>
      </c>
      <c r="P153">
        <v>6</v>
      </c>
      <c r="AG153">
        <f t="shared" si="14"/>
        <v>6</v>
      </c>
      <c r="AH153" s="351">
        <f t="shared" si="15"/>
        <v>8.0536912751677861E-3</v>
      </c>
    </row>
    <row r="154" spans="1:34">
      <c r="A154" s="165">
        <f>'Conveyor Downtime (new)'!A150</f>
        <v>46100</v>
      </c>
      <c r="B154" s="346"/>
      <c r="C154" s="346"/>
      <c r="D154" s="346"/>
      <c r="E154" s="346"/>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46"/>
      <c r="AE154" s="346"/>
      <c r="AF154" s="346"/>
      <c r="AG154">
        <f t="shared" si="14"/>
        <v>0</v>
      </c>
      <c r="AH154" s="351">
        <f t="shared" si="15"/>
        <v>0</v>
      </c>
    </row>
    <row r="155" spans="1:34" ht="12" customHeight="1">
      <c r="A155" s="165">
        <f>'Conveyor Downtime (new)'!A151</f>
        <v>46100</v>
      </c>
      <c r="AG155">
        <f t="shared" si="14"/>
        <v>0</v>
      </c>
      <c r="AH155" s="351">
        <f t="shared" si="15"/>
        <v>0</v>
      </c>
    </row>
    <row r="156" spans="1:34">
      <c r="A156" s="165">
        <f>'Conveyor Downtime (new)'!A152</f>
        <v>46101</v>
      </c>
      <c r="B156" s="346"/>
      <c r="C156" s="346"/>
      <c r="D156" s="346"/>
      <c r="E156" s="346"/>
      <c r="F156" s="346"/>
      <c r="G156" s="346"/>
      <c r="H156" s="346"/>
      <c r="I156" s="346"/>
      <c r="J156" s="346"/>
      <c r="K156" s="346">
        <f>3+2+7</f>
        <v>12</v>
      </c>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f t="shared" si="14"/>
        <v>12</v>
      </c>
      <c r="AH156" s="351">
        <f t="shared" si="15"/>
        <v>1.6107382550335572E-2</v>
      </c>
    </row>
    <row r="157" spans="1:34">
      <c r="A157" s="165">
        <f>'Conveyor Downtime (new)'!A153</f>
        <v>46101</v>
      </c>
      <c r="AG157">
        <f t="shared" si="14"/>
        <v>0</v>
      </c>
      <c r="AH157" s="351">
        <f t="shared" si="15"/>
        <v>0</v>
      </c>
    </row>
    <row r="158" spans="1:34">
      <c r="A158" s="165">
        <f>'Conveyor Downtime (new)'!A154</f>
        <v>46104</v>
      </c>
      <c r="B158" s="346"/>
      <c r="C158" s="346"/>
      <c r="D158" s="346"/>
      <c r="E158" s="346"/>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c r="AB158" s="346"/>
      <c r="AC158" s="346"/>
      <c r="AD158" s="346"/>
      <c r="AE158" s="346"/>
      <c r="AF158" s="346"/>
      <c r="AG158">
        <f t="shared" si="14"/>
        <v>0</v>
      </c>
      <c r="AH158" s="351">
        <f t="shared" si="15"/>
        <v>0</v>
      </c>
    </row>
    <row r="159" spans="1:34">
      <c r="A159" s="165">
        <f>'Conveyor Downtime (new)'!A155</f>
        <v>46104</v>
      </c>
      <c r="K159">
        <f>4</f>
        <v>4</v>
      </c>
      <c r="AG159">
        <f t="shared" si="14"/>
        <v>4</v>
      </c>
      <c r="AH159" s="351">
        <f t="shared" si="15"/>
        <v>5.3691275167785232E-3</v>
      </c>
    </row>
    <row r="160" spans="1:34">
      <c r="A160" s="165">
        <f>'Conveyor Downtime (new)'!A156</f>
        <v>46104</v>
      </c>
      <c r="B160" s="346"/>
      <c r="C160" s="346"/>
      <c r="D160" s="346"/>
      <c r="E160" s="346"/>
      <c r="F160" s="346"/>
      <c r="G160" s="346"/>
      <c r="H160" s="346"/>
      <c r="I160" s="346"/>
      <c r="J160" s="346"/>
      <c r="K160" s="346">
        <f>4</f>
        <v>4</v>
      </c>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f t="shared" si="14"/>
        <v>4</v>
      </c>
      <c r="AH160" s="351">
        <f t="shared" si="15"/>
        <v>5.3691275167785232E-3</v>
      </c>
    </row>
    <row r="161" spans="1:34">
      <c r="A161" s="165">
        <f>'Conveyor Downtime (new)'!A157</f>
        <v>46105</v>
      </c>
      <c r="K161">
        <f>4+3</f>
        <v>7</v>
      </c>
      <c r="AG161">
        <f t="shared" si="14"/>
        <v>7</v>
      </c>
      <c r="AH161" s="351">
        <f t="shared" si="15"/>
        <v>9.3959731543624154E-3</v>
      </c>
    </row>
    <row r="162" spans="1:34">
      <c r="A162" s="165">
        <f>'Conveyor Downtime (new)'!A158</f>
        <v>46105</v>
      </c>
      <c r="B162" s="346"/>
      <c r="C162" s="346"/>
      <c r="D162" s="346"/>
      <c r="E162" s="346"/>
      <c r="F162" s="346"/>
      <c r="G162" s="346"/>
      <c r="H162" s="346"/>
      <c r="I162" s="346"/>
      <c r="J162" s="346"/>
      <c r="K162" s="346">
        <f>2+3+3+2+2</f>
        <v>12</v>
      </c>
      <c r="L162" s="346"/>
      <c r="M162" s="346"/>
      <c r="N162" s="346"/>
      <c r="O162" s="346"/>
      <c r="P162" s="346"/>
      <c r="Q162" s="346"/>
      <c r="R162" s="346"/>
      <c r="S162" s="346"/>
      <c r="T162" s="346"/>
      <c r="U162" s="346"/>
      <c r="V162" s="346"/>
      <c r="W162" s="346"/>
      <c r="X162" s="346"/>
      <c r="Y162" s="346"/>
      <c r="Z162" s="346"/>
      <c r="AA162" s="346"/>
      <c r="AB162" s="346"/>
      <c r="AC162" s="346"/>
      <c r="AD162" s="346"/>
      <c r="AE162" s="346"/>
      <c r="AF162" s="346"/>
      <c r="AG162">
        <f t="shared" si="14"/>
        <v>12</v>
      </c>
      <c r="AH162" s="351">
        <f t="shared" si="15"/>
        <v>1.6107382550335572E-2</v>
      </c>
    </row>
    <row r="163" spans="1:34">
      <c r="A163" s="165">
        <f>'Conveyor Downtime (new)'!A159</f>
        <v>46106</v>
      </c>
      <c r="K163">
        <f>4+7+5+7</f>
        <v>23</v>
      </c>
      <c r="AG163">
        <f t="shared" si="14"/>
        <v>23</v>
      </c>
      <c r="AH163" s="351">
        <f t="shared" si="15"/>
        <v>3.087248322147651E-2</v>
      </c>
    </row>
    <row r="164" spans="1:34">
      <c r="A164" s="165">
        <f>'Conveyor Downtime (new)'!A160</f>
        <v>46106</v>
      </c>
      <c r="B164" s="346"/>
      <c r="C164" s="346"/>
      <c r="D164" s="346"/>
      <c r="E164" s="346"/>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f t="shared" si="14"/>
        <v>0</v>
      </c>
      <c r="AH164" s="351">
        <f t="shared" si="15"/>
        <v>0</v>
      </c>
    </row>
    <row r="165" spans="1:34">
      <c r="A165" s="165">
        <f>'Conveyor Downtime (new)'!A161</f>
        <v>46106</v>
      </c>
      <c r="AG165">
        <f t="shared" si="14"/>
        <v>0</v>
      </c>
      <c r="AH165" s="351">
        <f t="shared" si="15"/>
        <v>0</v>
      </c>
    </row>
    <row r="166" spans="1:34">
      <c r="A166" s="165">
        <f>'Conveyor Downtime (new)'!A162</f>
        <v>46106</v>
      </c>
      <c r="B166" s="346"/>
      <c r="C166" s="346"/>
      <c r="D166" s="346"/>
      <c r="E166" s="346"/>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f t="shared" si="14"/>
        <v>0</v>
      </c>
      <c r="AH166" s="351">
        <f t="shared" si="15"/>
        <v>0</v>
      </c>
    </row>
    <row r="167" spans="1:34">
      <c r="A167" s="165">
        <f>'Conveyor Downtime (new)'!A163</f>
        <v>46107</v>
      </c>
      <c r="AG167">
        <f t="shared" si="14"/>
        <v>0</v>
      </c>
      <c r="AH167" s="351">
        <f t="shared" si="15"/>
        <v>0</v>
      </c>
    </row>
    <row r="168" spans="1:34">
      <c r="A168" s="165">
        <f>'Conveyor Downtime (new)'!A164</f>
        <v>46107</v>
      </c>
      <c r="B168" s="346"/>
      <c r="C168" s="346"/>
      <c r="D168" s="346"/>
      <c r="E168" s="346"/>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f t="shared" si="14"/>
        <v>0</v>
      </c>
      <c r="AH168" s="351">
        <f t="shared" si="15"/>
        <v>0</v>
      </c>
    </row>
    <row r="169" spans="1:34">
      <c r="A169" s="165">
        <f>'Conveyor Downtime (new)'!A165</f>
        <v>46107</v>
      </c>
      <c r="AG169">
        <f t="shared" si="14"/>
        <v>0</v>
      </c>
      <c r="AH169" s="351">
        <f t="shared" si="15"/>
        <v>0</v>
      </c>
    </row>
    <row r="170" spans="1:34">
      <c r="A170" s="165">
        <f>'Conveyor Downtime (new)'!A166</f>
        <v>46107</v>
      </c>
      <c r="B170" s="346"/>
      <c r="C170" s="346"/>
      <c r="D170" s="346"/>
      <c r="E170" s="346"/>
      <c r="F170" s="346"/>
      <c r="G170" s="346"/>
      <c r="H170" s="346"/>
      <c r="I170" s="346"/>
      <c r="J170" s="346"/>
      <c r="K170">
        <f>5+3+2+3+4+3</f>
        <v>20</v>
      </c>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f t="shared" si="14"/>
        <v>20</v>
      </c>
      <c r="AH170" s="351">
        <f t="shared" si="15"/>
        <v>2.6845637583892617E-2</v>
      </c>
    </row>
    <row r="171" spans="1:34">
      <c r="A171" s="165">
        <f>'Conveyor Downtime (new)'!A167</f>
        <v>46108</v>
      </c>
      <c r="AG171">
        <f t="shared" si="14"/>
        <v>0</v>
      </c>
      <c r="AH171" s="351">
        <f t="shared" si="15"/>
        <v>0</v>
      </c>
    </row>
    <row r="172" spans="1:34">
      <c r="A172" s="165">
        <f>'Conveyor Downtime (new)'!A168</f>
        <v>46108</v>
      </c>
      <c r="B172" s="346"/>
      <c r="C172" s="346"/>
      <c r="D172" s="346"/>
      <c r="E172" s="346"/>
      <c r="F172" s="346"/>
      <c r="G172" s="346"/>
      <c r="H172" s="346"/>
      <c r="I172" s="346"/>
      <c r="J172" s="346"/>
      <c r="K172">
        <f>10+4+5</f>
        <v>19</v>
      </c>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f t="shared" si="14"/>
        <v>19</v>
      </c>
      <c r="AH172" s="351">
        <f t="shared" si="15"/>
        <v>2.5503355704697986E-2</v>
      </c>
    </row>
    <row r="173" spans="1:34">
      <c r="A173" s="165">
        <f>'Conveyor Downtime (new)'!A170</f>
        <v>46112</v>
      </c>
      <c r="AG173">
        <f t="shared" si="14"/>
        <v>0</v>
      </c>
      <c r="AH173" s="351">
        <f t="shared" si="15"/>
        <v>0</v>
      </c>
    </row>
    <row r="174" spans="1:34">
      <c r="A174" s="165">
        <f>'Conveyor Downtime (new)'!A171</f>
        <v>46112</v>
      </c>
      <c r="B174" s="346"/>
      <c r="C174" s="346"/>
      <c r="D174" s="346"/>
      <c r="E174" s="346"/>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f t="shared" si="14"/>
        <v>0</v>
      </c>
      <c r="AH174" s="351">
        <f t="shared" si="15"/>
        <v>0</v>
      </c>
    </row>
    <row r="175" spans="1:34">
      <c r="A175" s="165">
        <f>'Conveyor Downtime (new)'!A172</f>
        <v>46112</v>
      </c>
      <c r="X175">
        <f>9</f>
        <v>9</v>
      </c>
      <c r="AG175">
        <f t="shared" si="14"/>
        <v>9</v>
      </c>
      <c r="AH175" s="351">
        <f t="shared" si="15"/>
        <v>1.2080536912751677E-2</v>
      </c>
    </row>
    <row r="176" spans="1:34">
      <c r="A176" s="165">
        <f>'Conveyor Downtime (new)'!A173</f>
        <v>46112</v>
      </c>
      <c r="B176" s="346"/>
      <c r="C176" s="346"/>
      <c r="D176" s="346"/>
      <c r="E176" s="346"/>
      <c r="F176" s="346"/>
      <c r="G176" s="346"/>
      <c r="H176" s="346"/>
      <c r="I176" s="346"/>
      <c r="J176" s="346"/>
      <c r="K176" s="346">
        <f>1</f>
        <v>1</v>
      </c>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f t="shared" si="14"/>
        <v>1</v>
      </c>
      <c r="AH176" s="351">
        <f t="shared" si="15"/>
        <v>1.3422818791946308E-3</v>
      </c>
    </row>
    <row r="177" spans="1:34">
      <c r="A177" s="165">
        <f>'Conveyor Downtime (new)'!A174</f>
        <v>0</v>
      </c>
      <c r="AG177">
        <f t="shared" si="14"/>
        <v>0</v>
      </c>
      <c r="AH177" s="351">
        <f t="shared" si="15"/>
        <v>0</v>
      </c>
    </row>
    <row r="178" spans="1:34">
      <c r="A178" s="165">
        <f>'Conveyor Downtime (new)'!A175</f>
        <v>0</v>
      </c>
      <c r="B178" s="346"/>
      <c r="C178" s="346"/>
      <c r="D178" s="346"/>
      <c r="E178" s="346"/>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f t="shared" si="14"/>
        <v>0</v>
      </c>
      <c r="AH178" s="351">
        <f t="shared" si="15"/>
        <v>0</v>
      </c>
    </row>
    <row r="179" spans="1:34">
      <c r="A179" s="165">
        <f>'Conveyor Downtime (new)'!A176</f>
        <v>0</v>
      </c>
      <c r="AG179">
        <f t="shared" si="14"/>
        <v>0</v>
      </c>
      <c r="AH179" s="351">
        <f t="shared" si="15"/>
        <v>0</v>
      </c>
    </row>
    <row r="180" spans="1:34">
      <c r="A180" s="165">
        <f>'Conveyor Downtime (new)'!A177</f>
        <v>0</v>
      </c>
      <c r="B180" s="346"/>
      <c r="C180" s="346"/>
      <c r="D180" s="346"/>
      <c r="E180" s="346"/>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f t="shared" si="14"/>
        <v>0</v>
      </c>
      <c r="AH180" s="351">
        <f t="shared" si="15"/>
        <v>0</v>
      </c>
    </row>
    <row r="181" spans="1:34" ht="13.5" thickBot="1">
      <c r="A181" s="165">
        <f>'Conveyor Downtime (new)'!A178</f>
        <v>0</v>
      </c>
      <c r="AG181">
        <f t="shared" si="14"/>
        <v>0</v>
      </c>
      <c r="AH181" s="351">
        <f t="shared" si="15"/>
        <v>0</v>
      </c>
    </row>
    <row r="182" spans="1:34" ht="15">
      <c r="A182" s="645" t="str">
        <f>'Conveyor Downtime (new)'!A182</f>
        <v>MTD</v>
      </c>
      <c r="B182" s="347">
        <f>SUM(B127:B171)</f>
        <v>18</v>
      </c>
      <c r="C182" s="347">
        <f t="shared" ref="C182:I182" si="16">SUM(C127:C171)</f>
        <v>0</v>
      </c>
      <c r="D182" s="347">
        <f t="shared" si="16"/>
        <v>0</v>
      </c>
      <c r="E182" s="347">
        <f t="shared" si="16"/>
        <v>0</v>
      </c>
      <c r="F182" s="347">
        <f t="shared" si="16"/>
        <v>0</v>
      </c>
      <c r="G182" s="347">
        <f t="shared" si="16"/>
        <v>0</v>
      </c>
      <c r="H182" s="347">
        <f t="shared" si="16"/>
        <v>0</v>
      </c>
      <c r="I182" s="347">
        <f t="shared" si="16"/>
        <v>0</v>
      </c>
      <c r="J182" s="347">
        <f t="shared" ref="J182:AG182" si="17">SUM(J127:J171)</f>
        <v>0</v>
      </c>
      <c r="K182" s="347">
        <f t="shared" si="17"/>
        <v>249</v>
      </c>
      <c r="L182" s="347">
        <f t="shared" si="17"/>
        <v>0</v>
      </c>
      <c r="M182" s="347">
        <f t="shared" si="17"/>
        <v>0</v>
      </c>
      <c r="N182" s="347">
        <f t="shared" si="17"/>
        <v>0</v>
      </c>
      <c r="O182" s="347">
        <f t="shared" si="17"/>
        <v>0</v>
      </c>
      <c r="P182" s="347">
        <f t="shared" si="17"/>
        <v>149</v>
      </c>
      <c r="Q182" s="347">
        <f t="shared" si="17"/>
        <v>0</v>
      </c>
      <c r="R182" s="347">
        <f t="shared" si="17"/>
        <v>0</v>
      </c>
      <c r="S182" s="347">
        <f t="shared" si="17"/>
        <v>122</v>
      </c>
      <c r="T182" s="347">
        <f t="shared" si="17"/>
        <v>166</v>
      </c>
      <c r="U182" s="347">
        <f t="shared" si="17"/>
        <v>0</v>
      </c>
      <c r="V182" s="347">
        <f t="shared" si="17"/>
        <v>0</v>
      </c>
      <c r="W182" s="347">
        <f t="shared" si="17"/>
        <v>0</v>
      </c>
      <c r="X182" s="347">
        <f t="shared" si="17"/>
        <v>33</v>
      </c>
      <c r="Y182" s="347">
        <f t="shared" si="17"/>
        <v>0</v>
      </c>
      <c r="Z182" s="347">
        <f t="shared" si="17"/>
        <v>0</v>
      </c>
      <c r="AA182" s="347">
        <f t="shared" si="17"/>
        <v>0</v>
      </c>
      <c r="AB182" s="347">
        <f t="shared" si="17"/>
        <v>8</v>
      </c>
      <c r="AC182" s="347">
        <f t="shared" si="17"/>
        <v>0</v>
      </c>
      <c r="AD182" s="347">
        <f t="shared" si="17"/>
        <v>0</v>
      </c>
      <c r="AE182" s="347">
        <f t="shared" si="17"/>
        <v>0</v>
      </c>
      <c r="AF182" s="347">
        <f t="shared" si="17"/>
        <v>0</v>
      </c>
      <c r="AG182" s="347">
        <f t="shared" si="17"/>
        <v>745</v>
      </c>
    </row>
    <row r="183" spans="1:34" ht="15.75" thickBot="1">
      <c r="A183" s="646"/>
      <c r="B183" s="348">
        <f>B182/$AG182</f>
        <v>2.4161073825503355E-2</v>
      </c>
      <c r="C183" s="348">
        <f t="shared" ref="C183:I183" si="18">C182/$AG182</f>
        <v>0</v>
      </c>
      <c r="D183" s="348">
        <f t="shared" si="18"/>
        <v>0</v>
      </c>
      <c r="E183" s="348">
        <f t="shared" si="18"/>
        <v>0</v>
      </c>
      <c r="F183" s="348">
        <f t="shared" si="18"/>
        <v>0</v>
      </c>
      <c r="G183" s="348">
        <f t="shared" si="18"/>
        <v>0</v>
      </c>
      <c r="H183" s="348">
        <f t="shared" si="18"/>
        <v>0</v>
      </c>
      <c r="I183" s="348">
        <f t="shared" si="18"/>
        <v>0</v>
      </c>
      <c r="J183" s="348">
        <f t="shared" ref="J183" si="19">J182/$AG182</f>
        <v>0</v>
      </c>
      <c r="K183" s="348">
        <f t="shared" ref="K183" si="20">K182/$AG182</f>
        <v>0.33422818791946307</v>
      </c>
      <c r="L183" s="348">
        <f t="shared" ref="L183" si="21">L182/$AG182</f>
        <v>0</v>
      </c>
      <c r="M183" s="348">
        <f t="shared" ref="M183" si="22">M182/$AG182</f>
        <v>0</v>
      </c>
      <c r="N183" s="348">
        <f t="shared" ref="N183" si="23">N182/$AG182</f>
        <v>0</v>
      </c>
      <c r="O183" s="348">
        <f t="shared" ref="O183:P183" si="24">O182/$AG182</f>
        <v>0</v>
      </c>
      <c r="P183" s="348">
        <f t="shared" si="24"/>
        <v>0.2</v>
      </c>
      <c r="Q183" s="348">
        <f t="shared" ref="Q183" si="25">Q182/$AG182</f>
        <v>0</v>
      </c>
      <c r="R183" s="348">
        <f t="shared" ref="R183" si="26">R182/$AG182</f>
        <v>0</v>
      </c>
      <c r="S183" s="348">
        <f t="shared" ref="S183" si="27">S182/$AG182</f>
        <v>0.16375838926174496</v>
      </c>
      <c r="T183" s="348">
        <f t="shared" ref="T183" si="28">T182/$AG182</f>
        <v>0.22281879194630871</v>
      </c>
      <c r="U183" s="348">
        <f t="shared" ref="U183" si="29">U182/$AG182</f>
        <v>0</v>
      </c>
      <c r="V183" s="348">
        <f t="shared" ref="V183:W183" si="30">V182/$AG182</f>
        <v>0</v>
      </c>
      <c r="W183" s="348">
        <f t="shared" si="30"/>
        <v>0</v>
      </c>
      <c r="X183" s="348">
        <f t="shared" ref="X183" si="31">X182/$AG182</f>
        <v>4.429530201342282E-2</v>
      </c>
      <c r="Y183" s="348">
        <f t="shared" ref="Y183" si="32">Y182/$AG182</f>
        <v>0</v>
      </c>
      <c r="Z183" s="348">
        <f t="shared" ref="Z183" si="33">Z182/$AG182</f>
        <v>0</v>
      </c>
      <c r="AA183" s="348">
        <f t="shared" ref="AA183" si="34">AA182/$AG182</f>
        <v>0</v>
      </c>
      <c r="AB183" s="348">
        <f t="shared" ref="AB183" si="35">AB182/$AG182</f>
        <v>1.0738255033557046E-2</v>
      </c>
      <c r="AC183" s="348">
        <f t="shared" ref="AC183:AD183" si="36">AC182/$AG182</f>
        <v>0</v>
      </c>
      <c r="AD183" s="348">
        <f t="shared" si="36"/>
        <v>0</v>
      </c>
      <c r="AE183" s="348">
        <f t="shared" ref="AE183" si="37">AE182/$AG182</f>
        <v>0</v>
      </c>
      <c r="AF183" s="348">
        <f t="shared" ref="AF183" si="38">AF182/$AG182</f>
        <v>0</v>
      </c>
    </row>
    <row r="187" spans="1:34">
      <c r="A187" s="165">
        <f>'Conveyor Downtime (new)'!A187</f>
        <v>46113</v>
      </c>
      <c r="AG187">
        <f t="shared" ref="AG187:AG232" si="39">SUM(B187:AF187)</f>
        <v>0</v>
      </c>
      <c r="AH187" s="351">
        <f t="shared" ref="AH187:AH214" si="40">AG187/$AG$243</f>
        <v>0</v>
      </c>
    </row>
    <row r="188" spans="1:34">
      <c r="A188" s="165">
        <f>'Conveyor Downtime (new)'!A188</f>
        <v>46113</v>
      </c>
      <c r="B188" s="346"/>
      <c r="C188" s="346"/>
      <c r="D188" s="346"/>
      <c r="E188" s="346"/>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s="346"/>
      <c r="AE188" s="346"/>
      <c r="AF188" s="346"/>
      <c r="AG188">
        <f t="shared" si="39"/>
        <v>0</v>
      </c>
      <c r="AH188" s="351">
        <f t="shared" si="40"/>
        <v>0</v>
      </c>
    </row>
    <row r="189" spans="1:34">
      <c r="A189" s="165">
        <f>'Conveyor Downtime (new)'!A189</f>
        <v>46113</v>
      </c>
      <c r="AG189">
        <f t="shared" si="39"/>
        <v>0</v>
      </c>
      <c r="AH189" s="351">
        <f t="shared" si="40"/>
        <v>0</v>
      </c>
    </row>
    <row r="190" spans="1:34">
      <c r="A190" s="165">
        <f>'Conveyor Downtime (new)'!A190</f>
        <v>46114</v>
      </c>
      <c r="B190" s="346"/>
      <c r="C190" s="346"/>
      <c r="D190" s="346"/>
      <c r="E190" s="346"/>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f t="shared" si="39"/>
        <v>0</v>
      </c>
      <c r="AH190" s="351">
        <f t="shared" si="40"/>
        <v>0</v>
      </c>
    </row>
    <row r="191" spans="1:34">
      <c r="A191" s="165">
        <f>'Conveyor Downtime (new)'!A191</f>
        <v>46114</v>
      </c>
      <c r="B191">
        <f>5+14+15+26+13+37</f>
        <v>110</v>
      </c>
      <c r="P191">
        <v>7</v>
      </c>
      <c r="AG191">
        <f t="shared" si="39"/>
        <v>117</v>
      </c>
      <c r="AH191" s="351">
        <f t="shared" si="40"/>
        <v>0.26834862385321101</v>
      </c>
    </row>
    <row r="192" spans="1:34">
      <c r="A192" s="165">
        <f>'Conveyor Downtime (new)'!A192</f>
        <v>46119</v>
      </c>
      <c r="B192" s="346"/>
      <c r="C192" s="346"/>
      <c r="D192" s="346"/>
      <c r="E192" s="346"/>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f t="shared" si="39"/>
        <v>0</v>
      </c>
      <c r="AH192" s="351">
        <f t="shared" si="40"/>
        <v>0</v>
      </c>
    </row>
    <row r="193" spans="1:34">
      <c r="A193" s="165">
        <f>'Conveyor Downtime (new)'!A193</f>
        <v>46119</v>
      </c>
      <c r="AG193">
        <f t="shared" si="39"/>
        <v>0</v>
      </c>
      <c r="AH193" s="351">
        <f t="shared" si="40"/>
        <v>0</v>
      </c>
    </row>
    <row r="194" spans="1:34">
      <c r="A194" s="165">
        <f>'Conveyor Downtime (new)'!A194</f>
        <v>46120</v>
      </c>
      <c r="B194" s="346"/>
      <c r="C194" s="346"/>
      <c r="D194" s="346"/>
      <c r="E194" s="346"/>
      <c r="F194" s="346"/>
      <c r="G194" s="346"/>
      <c r="H194" s="346"/>
      <c r="I194" s="346"/>
      <c r="J194" s="346"/>
      <c r="K194" s="346">
        <f>2+2+3+2+8</f>
        <v>17</v>
      </c>
      <c r="L194" s="346"/>
      <c r="M194" s="346"/>
      <c r="N194" s="346"/>
      <c r="O194" s="346"/>
      <c r="P194" s="346">
        <f>10</f>
        <v>10</v>
      </c>
      <c r="Q194" s="346"/>
      <c r="R194" s="346"/>
      <c r="S194" s="346"/>
      <c r="T194" s="346"/>
      <c r="U194" s="346"/>
      <c r="V194" s="346"/>
      <c r="W194" s="346"/>
      <c r="X194" s="346"/>
      <c r="Y194" s="346"/>
      <c r="Z194" s="346"/>
      <c r="AA194" s="346"/>
      <c r="AB194" s="346"/>
      <c r="AC194" s="346"/>
      <c r="AD194" s="346"/>
      <c r="AE194" s="346"/>
      <c r="AF194" s="346"/>
      <c r="AG194">
        <f t="shared" si="39"/>
        <v>27</v>
      </c>
      <c r="AH194" s="351">
        <f t="shared" si="40"/>
        <v>6.1926605504587159E-2</v>
      </c>
    </row>
    <row r="195" spans="1:34">
      <c r="A195" s="165">
        <f>'Conveyor Downtime (new)'!A195</f>
        <v>46120</v>
      </c>
      <c r="K195">
        <f>4</f>
        <v>4</v>
      </c>
      <c r="P195">
        <f>9</f>
        <v>9</v>
      </c>
      <c r="AG195">
        <f t="shared" si="39"/>
        <v>13</v>
      </c>
      <c r="AH195" s="351">
        <f t="shared" si="40"/>
        <v>2.9816513761467892E-2</v>
      </c>
    </row>
    <row r="196" spans="1:34">
      <c r="A196" s="165">
        <f>'Conveyor Downtime (new)'!A196</f>
        <v>46121</v>
      </c>
      <c r="B196" s="346"/>
      <c r="C196" s="346"/>
      <c r="D196" s="346"/>
      <c r="E196" s="346"/>
      <c r="F196" s="346"/>
      <c r="G196" s="346"/>
      <c r="H196" s="346"/>
      <c r="I196" s="346"/>
      <c r="J196" s="346"/>
      <c r="K196" s="346">
        <f>4+3+3+4+4+2</f>
        <v>20</v>
      </c>
      <c r="L196" s="346"/>
      <c r="M196" s="346"/>
      <c r="N196" s="346">
        <f>4</f>
        <v>4</v>
      </c>
      <c r="O196" s="346"/>
      <c r="P196" s="346"/>
      <c r="R196" s="346"/>
      <c r="S196" s="346"/>
      <c r="T196" s="346"/>
      <c r="U196" s="346"/>
      <c r="V196" s="346"/>
      <c r="W196" s="346"/>
      <c r="X196" s="346"/>
      <c r="Y196" s="346"/>
      <c r="Z196" s="346"/>
      <c r="AA196" s="346"/>
      <c r="AB196" s="346"/>
      <c r="AC196" s="346"/>
      <c r="AD196" s="346"/>
      <c r="AE196" s="346"/>
      <c r="AF196" s="346"/>
      <c r="AG196">
        <f t="shared" si="39"/>
        <v>24</v>
      </c>
      <c r="AH196" s="351">
        <f t="shared" si="40"/>
        <v>5.5045871559633031E-2</v>
      </c>
    </row>
    <row r="197" spans="1:34">
      <c r="A197" s="165">
        <f>'Conveyor Downtime (new)'!A197</f>
        <v>46122</v>
      </c>
      <c r="K197">
        <f>2+3+7</f>
        <v>12</v>
      </c>
      <c r="AG197">
        <f t="shared" si="39"/>
        <v>12</v>
      </c>
      <c r="AH197" s="351">
        <f t="shared" si="40"/>
        <v>2.7522935779816515E-2</v>
      </c>
    </row>
    <row r="198" spans="1:34">
      <c r="A198" s="165">
        <f>'Conveyor Downtime (new)'!A198</f>
        <v>46125</v>
      </c>
      <c r="B198" s="346"/>
      <c r="C198" s="346"/>
      <c r="D198" s="346"/>
      <c r="E198" s="346"/>
      <c r="F198" s="346"/>
      <c r="G198" s="346"/>
      <c r="H198" s="346"/>
      <c r="I198" s="346"/>
      <c r="J198" s="346"/>
      <c r="K198" s="346">
        <f>11+4</f>
        <v>15</v>
      </c>
      <c r="L198" s="346"/>
      <c r="M198" s="346"/>
      <c r="N198" s="346"/>
      <c r="O198" s="346"/>
      <c r="P198" s="346">
        <f>10+7</f>
        <v>17</v>
      </c>
      <c r="Q198" s="346"/>
      <c r="R198" s="346"/>
      <c r="S198" s="346"/>
      <c r="T198" s="346"/>
      <c r="U198" s="346"/>
      <c r="V198" s="346"/>
      <c r="W198" s="346"/>
      <c r="X198" s="346"/>
      <c r="Y198" s="346"/>
      <c r="Z198" s="346"/>
      <c r="AA198" s="346"/>
      <c r="AB198" s="346"/>
      <c r="AC198" s="346"/>
      <c r="AD198" s="346"/>
      <c r="AE198" s="346"/>
      <c r="AF198" s="346"/>
      <c r="AG198">
        <f t="shared" si="39"/>
        <v>32</v>
      </c>
      <c r="AH198" s="351">
        <f t="shared" si="40"/>
        <v>7.3394495412844041E-2</v>
      </c>
    </row>
    <row r="199" spans="1:34">
      <c r="A199" s="165">
        <f>'Conveyor Downtime (new)'!A199</f>
        <v>46125</v>
      </c>
      <c r="K199">
        <f>3</f>
        <v>3</v>
      </c>
      <c r="AG199">
        <f t="shared" si="39"/>
        <v>3</v>
      </c>
      <c r="AH199" s="351">
        <f t="shared" si="40"/>
        <v>6.8807339449541288E-3</v>
      </c>
    </row>
    <row r="200" spans="1:34">
      <c r="A200" s="165">
        <f>'Conveyor Downtime (new)'!A200</f>
        <v>46126</v>
      </c>
      <c r="B200" s="346"/>
      <c r="C200" s="346"/>
      <c r="D200" s="346"/>
      <c r="E200" s="346"/>
      <c r="F200" s="346"/>
      <c r="G200" s="346"/>
      <c r="H200" s="346"/>
      <c r="I200" s="346"/>
      <c r="J200" s="346"/>
      <c r="K200" s="346">
        <f>4+3+4</f>
        <v>11</v>
      </c>
      <c r="L200" s="346"/>
      <c r="M200" s="346"/>
      <c r="N200" s="346"/>
      <c r="O200" s="346"/>
      <c r="P200" s="346">
        <f>9+4+6</f>
        <v>19</v>
      </c>
      <c r="Q200" s="346"/>
      <c r="R200" s="346"/>
      <c r="S200" s="346"/>
      <c r="T200" s="346"/>
      <c r="U200" s="346"/>
      <c r="V200" s="346"/>
      <c r="W200" s="346"/>
      <c r="X200" s="346"/>
      <c r="Y200" s="346"/>
      <c r="Z200" s="346"/>
      <c r="AA200" s="346"/>
      <c r="AB200" s="346"/>
      <c r="AC200" s="346"/>
      <c r="AD200" s="346"/>
      <c r="AE200" s="346"/>
      <c r="AF200" s="346"/>
      <c r="AG200">
        <f t="shared" si="39"/>
        <v>30</v>
      </c>
      <c r="AH200" s="351">
        <f t="shared" si="40"/>
        <v>6.8807339449541288E-2</v>
      </c>
    </row>
    <row r="201" spans="1:34">
      <c r="A201" s="165">
        <f>'Conveyor Downtime (new)'!A201</f>
        <v>46126</v>
      </c>
      <c r="K201">
        <f>7</f>
        <v>7</v>
      </c>
      <c r="AG201">
        <f t="shared" si="39"/>
        <v>7</v>
      </c>
      <c r="AH201" s="351">
        <f t="shared" si="40"/>
        <v>1.6055045871559634E-2</v>
      </c>
    </row>
    <row r="202" spans="1:34">
      <c r="A202" s="165">
        <f>'Conveyor Downtime (new)'!A202</f>
        <v>46126</v>
      </c>
      <c r="B202" s="346"/>
      <c r="C202" s="346"/>
      <c r="D202" s="346"/>
      <c r="E202" s="346"/>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s="346"/>
      <c r="AE202" s="346"/>
      <c r="AF202" s="346"/>
      <c r="AG202">
        <f t="shared" si="39"/>
        <v>0</v>
      </c>
      <c r="AH202" s="351">
        <f t="shared" si="40"/>
        <v>0</v>
      </c>
    </row>
    <row r="203" spans="1:34">
      <c r="A203" s="165">
        <f>'Conveyor Downtime (new)'!A203</f>
        <v>46126</v>
      </c>
      <c r="AG203">
        <f t="shared" si="39"/>
        <v>0</v>
      </c>
      <c r="AH203" s="351">
        <f t="shared" si="40"/>
        <v>0</v>
      </c>
    </row>
    <row r="204" spans="1:34">
      <c r="A204" s="165">
        <f>'Conveyor Downtime (new)'!A204</f>
        <v>46127</v>
      </c>
      <c r="B204" s="346"/>
      <c r="C204" s="346"/>
      <c r="D204" s="346"/>
      <c r="E204" s="346"/>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f t="shared" si="39"/>
        <v>0</v>
      </c>
      <c r="AH204" s="351">
        <f t="shared" si="40"/>
        <v>0</v>
      </c>
    </row>
    <row r="205" spans="1:34">
      <c r="A205" s="165">
        <f>'Conveyor Downtime (new)'!A205</f>
        <v>46127</v>
      </c>
      <c r="AG205">
        <f t="shared" si="39"/>
        <v>0</v>
      </c>
      <c r="AH205" s="351">
        <f t="shared" si="40"/>
        <v>0</v>
      </c>
    </row>
    <row r="206" spans="1:34">
      <c r="A206" s="165">
        <f>'Conveyor Downtime (new)'!A206</f>
        <v>46127</v>
      </c>
      <c r="B206" s="346"/>
      <c r="C206" s="346"/>
      <c r="D206" s="346"/>
      <c r="E206" s="346"/>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f t="shared" si="39"/>
        <v>0</v>
      </c>
      <c r="AH206" s="351">
        <f t="shared" si="40"/>
        <v>0</v>
      </c>
    </row>
    <row r="207" spans="1:34">
      <c r="A207" s="165">
        <f>'Conveyor Downtime (new)'!A207</f>
        <v>46128</v>
      </c>
      <c r="AG207">
        <f t="shared" si="39"/>
        <v>0</v>
      </c>
      <c r="AH207" s="351">
        <f t="shared" si="40"/>
        <v>0</v>
      </c>
    </row>
    <row r="208" spans="1:34">
      <c r="A208" s="165">
        <f>'Conveyor Downtime (new)'!A208</f>
        <v>46128</v>
      </c>
      <c r="B208" s="346"/>
      <c r="C208" s="346"/>
      <c r="D208" s="346"/>
      <c r="E208" s="346"/>
      <c r="F208" s="346"/>
      <c r="G208" s="346"/>
      <c r="H208" s="346"/>
      <c r="I208" s="346"/>
      <c r="J208" s="346"/>
      <c r="K208" s="346">
        <f>3</f>
        <v>3</v>
      </c>
      <c r="L208" s="346"/>
      <c r="M208" s="346"/>
      <c r="N208" s="346"/>
      <c r="O208" s="346"/>
      <c r="P208" s="346">
        <f>7</f>
        <v>7</v>
      </c>
      <c r="Q208" s="346"/>
      <c r="R208" s="346"/>
      <c r="S208" s="346">
        <v>4</v>
      </c>
      <c r="T208" s="346"/>
      <c r="U208" s="346"/>
      <c r="V208" s="346"/>
      <c r="W208" s="346"/>
      <c r="X208" s="346"/>
      <c r="Y208" s="346"/>
      <c r="Z208" s="346"/>
      <c r="AA208" s="346"/>
      <c r="AB208" s="346"/>
      <c r="AC208" s="346"/>
      <c r="AD208" s="346"/>
      <c r="AE208" s="346"/>
      <c r="AF208" s="346"/>
      <c r="AG208">
        <f t="shared" si="39"/>
        <v>14</v>
      </c>
      <c r="AH208" s="351">
        <f t="shared" si="40"/>
        <v>3.2110091743119268E-2</v>
      </c>
    </row>
    <row r="209" spans="1:34">
      <c r="A209" s="165">
        <f>'Conveyor Downtime (new)'!A209</f>
        <v>46129</v>
      </c>
      <c r="I209">
        <f>6</f>
        <v>6</v>
      </c>
      <c r="P209">
        <f>5</f>
        <v>5</v>
      </c>
      <c r="AG209">
        <f t="shared" si="39"/>
        <v>11</v>
      </c>
      <c r="AH209" s="351">
        <f t="shared" si="40"/>
        <v>2.5229357798165139E-2</v>
      </c>
    </row>
    <row r="210" spans="1:34">
      <c r="A210" s="165">
        <f>'Conveyor Downtime (new)'!A210</f>
        <v>46129</v>
      </c>
      <c r="B210" s="346"/>
      <c r="C210" s="346"/>
      <c r="D210" s="346"/>
      <c r="E210" s="346"/>
      <c r="F210" s="346"/>
      <c r="G210" s="346"/>
      <c r="H210" s="346"/>
      <c r="I210" s="346"/>
      <c r="J210" s="346"/>
      <c r="K210" s="346">
        <f>3+6</f>
        <v>9</v>
      </c>
      <c r="L210" s="346"/>
      <c r="M210" s="346"/>
      <c r="N210" s="346"/>
      <c r="O210" s="346"/>
      <c r="P210" s="346">
        <v>4</v>
      </c>
      <c r="Q210" s="346"/>
      <c r="R210" s="346"/>
      <c r="S210" s="346"/>
      <c r="T210" s="346"/>
      <c r="U210" s="346"/>
      <c r="V210" s="346"/>
      <c r="W210" s="346"/>
      <c r="X210" s="346"/>
      <c r="Y210" s="346"/>
      <c r="Z210" s="346"/>
      <c r="AA210" s="346"/>
      <c r="AB210" s="346"/>
      <c r="AC210" s="346"/>
      <c r="AD210" s="346"/>
      <c r="AE210" s="346"/>
      <c r="AF210" s="346"/>
      <c r="AG210">
        <f t="shared" si="39"/>
        <v>13</v>
      </c>
      <c r="AH210" s="351">
        <f t="shared" si="40"/>
        <v>2.9816513761467892E-2</v>
      </c>
    </row>
    <row r="211" spans="1:34">
      <c r="A211" s="165">
        <f>'Conveyor Downtime (new)'!A211</f>
        <v>46132</v>
      </c>
      <c r="B211">
        <f>25+10+5</f>
        <v>40</v>
      </c>
      <c r="AG211">
        <f t="shared" si="39"/>
        <v>40</v>
      </c>
      <c r="AH211" s="351">
        <f t="shared" si="40"/>
        <v>9.1743119266055051E-2</v>
      </c>
    </row>
    <row r="212" spans="1:34">
      <c r="A212" s="165">
        <f>'Conveyor Downtime (new)'!A212</f>
        <v>46132</v>
      </c>
      <c r="B212" s="346"/>
      <c r="C212" s="346"/>
      <c r="D212" s="346"/>
      <c r="E212" s="346"/>
      <c r="F212" s="346"/>
      <c r="G212" s="346"/>
      <c r="H212" s="346"/>
      <c r="I212" s="346"/>
      <c r="J212" s="346"/>
      <c r="K212" s="346">
        <f>6+3</f>
        <v>9</v>
      </c>
      <c r="L212" s="346"/>
      <c r="M212" s="346"/>
      <c r="N212" s="346"/>
      <c r="O212" s="346"/>
      <c r="P212" s="346"/>
      <c r="Q212" s="346"/>
      <c r="R212" s="346"/>
      <c r="S212" s="346"/>
      <c r="T212" s="346"/>
      <c r="U212" s="346"/>
      <c r="V212" s="346"/>
      <c r="W212" s="346"/>
      <c r="X212" s="346"/>
      <c r="Y212" s="346"/>
      <c r="Z212" s="346"/>
      <c r="AA212" s="346"/>
      <c r="AB212" s="346"/>
      <c r="AC212" s="346"/>
      <c r="AD212" s="346"/>
      <c r="AE212" s="346"/>
      <c r="AF212" s="346"/>
      <c r="AG212">
        <f t="shared" si="39"/>
        <v>9</v>
      </c>
      <c r="AH212" s="351">
        <f t="shared" si="40"/>
        <v>2.0642201834862386E-2</v>
      </c>
    </row>
    <row r="213" spans="1:34">
      <c r="A213" s="165">
        <f>'Conveyor Downtime (new)'!A213</f>
        <v>46132</v>
      </c>
      <c r="B213" s="346"/>
      <c r="C213" s="346"/>
      <c r="D213" s="346"/>
      <c r="E213" s="346"/>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f t="shared" si="39"/>
        <v>0</v>
      </c>
      <c r="AH213" s="351">
        <f t="shared" si="40"/>
        <v>0</v>
      </c>
    </row>
    <row r="214" spans="1:34">
      <c r="A214" s="165">
        <f>'Conveyor Downtime (new)'!A214</f>
        <v>46133</v>
      </c>
      <c r="T214">
        <f>10+10</f>
        <v>20</v>
      </c>
      <c r="AG214">
        <f t="shared" si="39"/>
        <v>20</v>
      </c>
      <c r="AH214" s="351">
        <f t="shared" si="40"/>
        <v>4.5871559633027525E-2</v>
      </c>
    </row>
    <row r="215" spans="1:34">
      <c r="A215" s="165">
        <f>'Conveyor Downtime (new)'!A215</f>
        <v>46133</v>
      </c>
      <c r="B215" s="346"/>
      <c r="C215" s="346"/>
      <c r="D215" s="346"/>
      <c r="E215" s="346"/>
      <c r="F215" s="346"/>
      <c r="G215" s="346"/>
      <c r="H215" s="346"/>
      <c r="I215" s="346"/>
      <c r="J215" s="346"/>
      <c r="K215" s="346">
        <f>3</f>
        <v>3</v>
      </c>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f t="shared" si="39"/>
        <v>3</v>
      </c>
      <c r="AH215" s="351">
        <f t="shared" ref="AH215:AH242" si="41">AG215/$AG$243</f>
        <v>6.8807339449541288E-3</v>
      </c>
    </row>
    <row r="216" spans="1:34">
      <c r="A216" s="165">
        <f>'Conveyor Downtime (new)'!A216</f>
        <v>46134</v>
      </c>
      <c r="K216">
        <f>3</f>
        <v>3</v>
      </c>
      <c r="AG216">
        <f t="shared" si="39"/>
        <v>3</v>
      </c>
      <c r="AH216" s="351">
        <f t="shared" si="41"/>
        <v>6.8807339449541288E-3</v>
      </c>
    </row>
    <row r="217" spans="1:34">
      <c r="A217" s="165">
        <f>'Conveyor Downtime (new)'!A217</f>
        <v>46134</v>
      </c>
      <c r="B217" s="346"/>
      <c r="C217" s="346"/>
      <c r="D217" s="346"/>
      <c r="E217" s="346"/>
      <c r="F217" s="346"/>
      <c r="G217" s="346"/>
      <c r="H217" s="346"/>
      <c r="I217" s="346"/>
      <c r="J217" s="346"/>
      <c r="K217" s="346">
        <f>3+3</f>
        <v>6</v>
      </c>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f t="shared" si="39"/>
        <v>6</v>
      </c>
      <c r="AH217" s="351">
        <f t="shared" si="41"/>
        <v>1.3761467889908258E-2</v>
      </c>
    </row>
    <row r="218" spans="1:34">
      <c r="A218" s="165">
        <f>'Conveyor Downtime (new)'!A218</f>
        <v>46135</v>
      </c>
      <c r="AG218">
        <f t="shared" si="39"/>
        <v>0</v>
      </c>
      <c r="AH218" s="351">
        <f t="shared" si="41"/>
        <v>0</v>
      </c>
    </row>
    <row r="219" spans="1:34">
      <c r="A219" s="165">
        <f>'Conveyor Downtime (new)'!A219</f>
        <v>46135</v>
      </c>
      <c r="B219" s="346"/>
      <c r="C219" s="346"/>
      <c r="D219" s="346"/>
      <c r="E219" s="346"/>
      <c r="F219" s="346"/>
      <c r="G219" s="346"/>
      <c r="H219" s="346"/>
      <c r="I219" s="346"/>
      <c r="J219" s="346"/>
      <c r="K219" s="346">
        <f>2</f>
        <v>2</v>
      </c>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f t="shared" si="39"/>
        <v>2</v>
      </c>
      <c r="AH219" s="351">
        <f t="shared" si="41"/>
        <v>4.5871559633027525E-3</v>
      </c>
    </row>
    <row r="220" spans="1:34">
      <c r="A220" s="165">
        <f>'Conveyor Downtime (new)'!A220</f>
        <v>46136</v>
      </c>
      <c r="AG220">
        <f t="shared" si="39"/>
        <v>0</v>
      </c>
      <c r="AH220" s="351">
        <f t="shared" si="41"/>
        <v>0</v>
      </c>
    </row>
    <row r="221" spans="1:34">
      <c r="A221" s="165">
        <f>'Conveyor Downtime (new)'!A221</f>
        <v>46136</v>
      </c>
      <c r="B221" s="346"/>
      <c r="C221" s="346"/>
      <c r="D221" s="346"/>
      <c r="E221" s="346"/>
      <c r="F221" s="346"/>
      <c r="G221" s="346"/>
      <c r="H221" s="346"/>
      <c r="I221" s="346"/>
      <c r="J221" s="346"/>
      <c r="K221" s="346">
        <v>4</v>
      </c>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f t="shared" si="39"/>
        <v>4</v>
      </c>
      <c r="AH221" s="351">
        <f t="shared" si="41"/>
        <v>9.1743119266055051E-3</v>
      </c>
    </row>
    <row r="222" spans="1:34">
      <c r="A222" s="165">
        <f>'Conveyor Downtime (new)'!A222</f>
        <v>46139</v>
      </c>
      <c r="K222" s="358">
        <f>3+2</f>
        <v>5</v>
      </c>
      <c r="P222">
        <v>9</v>
      </c>
      <c r="Y222">
        <v>12</v>
      </c>
      <c r="AG222">
        <f t="shared" si="39"/>
        <v>26</v>
      </c>
      <c r="AH222" s="351">
        <f t="shared" si="41"/>
        <v>5.9633027522935783E-2</v>
      </c>
    </row>
    <row r="223" spans="1:34">
      <c r="A223" s="165">
        <f>'Conveyor Downtime (new)'!A223</f>
        <v>46140</v>
      </c>
      <c r="B223" s="346"/>
      <c r="C223" s="346"/>
      <c r="D223" s="346"/>
      <c r="E223" s="346"/>
      <c r="F223" s="346"/>
      <c r="G223" s="346"/>
      <c r="H223" s="346"/>
      <c r="I223" s="346"/>
      <c r="J223" s="346"/>
      <c r="K223" s="346">
        <f>3</f>
        <v>3</v>
      </c>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f t="shared" si="39"/>
        <v>3</v>
      </c>
      <c r="AH223" s="351">
        <f t="shared" si="41"/>
        <v>6.8807339449541288E-3</v>
      </c>
    </row>
    <row r="224" spans="1:34">
      <c r="A224" s="165">
        <f>'Conveyor Downtime (new)'!A224</f>
        <v>46141</v>
      </c>
      <c r="K224">
        <f>4</f>
        <v>4</v>
      </c>
      <c r="P224">
        <f>2+1+10</f>
        <v>13</v>
      </c>
      <c r="AG224">
        <f t="shared" si="39"/>
        <v>17</v>
      </c>
      <c r="AH224" s="351">
        <f t="shared" si="41"/>
        <v>3.8990825688073397E-2</v>
      </c>
    </row>
    <row r="225" spans="1:34">
      <c r="A225" s="165">
        <f>'Conveyor Downtime (new)'!A225</f>
        <v>46141</v>
      </c>
      <c r="B225" s="346"/>
      <c r="C225" s="346"/>
      <c r="D225" s="346"/>
      <c r="E225" s="346"/>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f t="shared" si="39"/>
        <v>0</v>
      </c>
      <c r="AH225" s="351">
        <f t="shared" si="41"/>
        <v>0</v>
      </c>
    </row>
    <row r="226" spans="1:34">
      <c r="A226" s="165">
        <f>'Conveyor Downtime (new)'!A226</f>
        <v>46142</v>
      </c>
      <c r="AG226">
        <f t="shared" si="39"/>
        <v>0</v>
      </c>
      <c r="AH226" s="351">
        <f t="shared" si="41"/>
        <v>0</v>
      </c>
    </row>
    <row r="227" spans="1:34">
      <c r="A227" s="165">
        <f>'Conveyor Downtime (new)'!A227</f>
        <v>46142</v>
      </c>
      <c r="B227" s="346"/>
      <c r="C227" s="346"/>
      <c r="D227" s="346"/>
      <c r="E227" s="346"/>
      <c r="F227" s="346"/>
      <c r="G227" s="346"/>
      <c r="H227" s="346"/>
      <c r="I227" s="346"/>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f t="shared" si="39"/>
        <v>0</v>
      </c>
      <c r="AH227" s="351">
        <f t="shared" si="41"/>
        <v>0</v>
      </c>
    </row>
    <row r="228" spans="1:34">
      <c r="A228" s="165">
        <f>'Conveyor Downtime (new)'!A228</f>
        <v>0</v>
      </c>
      <c r="AG228">
        <f t="shared" si="39"/>
        <v>0</v>
      </c>
      <c r="AH228" s="351">
        <f t="shared" si="41"/>
        <v>0</v>
      </c>
    </row>
    <row r="229" spans="1:34">
      <c r="A229" s="165">
        <f>'Conveyor Downtime (new)'!A229</f>
        <v>0</v>
      </c>
      <c r="B229" s="346"/>
      <c r="C229" s="346"/>
      <c r="D229" s="346"/>
      <c r="E229" s="346"/>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f t="shared" si="39"/>
        <v>0</v>
      </c>
      <c r="AH229" s="351">
        <f t="shared" si="41"/>
        <v>0</v>
      </c>
    </row>
    <row r="230" spans="1:34">
      <c r="A230" s="165">
        <f>'Conveyor Downtime (new)'!A230</f>
        <v>0</v>
      </c>
      <c r="AG230">
        <f t="shared" si="39"/>
        <v>0</v>
      </c>
      <c r="AH230" s="351">
        <f t="shared" si="41"/>
        <v>0</v>
      </c>
    </row>
    <row r="231" spans="1:34">
      <c r="A231" s="165">
        <f>'Conveyor Downtime (new)'!A231</f>
        <v>0</v>
      </c>
      <c r="B231" s="346"/>
      <c r="C231" s="346"/>
      <c r="D231" s="346"/>
      <c r="E231" s="346"/>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f t="shared" si="39"/>
        <v>0</v>
      </c>
      <c r="AH231" s="351">
        <f t="shared" si="41"/>
        <v>0</v>
      </c>
    </row>
    <row r="232" spans="1:34">
      <c r="A232" s="165">
        <f>'Conveyor Downtime (new)'!A232</f>
        <v>0</v>
      </c>
      <c r="AG232">
        <f t="shared" si="39"/>
        <v>0</v>
      </c>
      <c r="AH232" s="351">
        <f t="shared" si="41"/>
        <v>0</v>
      </c>
    </row>
    <row r="233" spans="1:34">
      <c r="A233" s="165">
        <f>'Conveyor Downtime (new)'!A233</f>
        <v>0</v>
      </c>
      <c r="B233" s="346"/>
      <c r="C233" s="346"/>
      <c r="D233" s="346"/>
      <c r="E233" s="346"/>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f t="shared" ref="AG233:AG242" si="42">SUM(B233:AF233)</f>
        <v>0</v>
      </c>
      <c r="AH233" s="351">
        <f t="shared" si="41"/>
        <v>0</v>
      </c>
    </row>
    <row r="234" spans="1:34">
      <c r="A234" s="165">
        <f>'Conveyor Downtime (new)'!A234</f>
        <v>0</v>
      </c>
      <c r="AG234">
        <f t="shared" si="42"/>
        <v>0</v>
      </c>
      <c r="AH234" s="351">
        <f t="shared" si="41"/>
        <v>0</v>
      </c>
    </row>
    <row r="235" spans="1:34">
      <c r="A235" s="165">
        <f>'Conveyor Downtime (new)'!A235</f>
        <v>0</v>
      </c>
      <c r="B235" s="346"/>
      <c r="C235" s="346"/>
      <c r="D235" s="346"/>
      <c r="E235" s="346"/>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f t="shared" si="42"/>
        <v>0</v>
      </c>
      <c r="AH235" s="351">
        <f t="shared" si="41"/>
        <v>0</v>
      </c>
    </row>
    <row r="236" spans="1:34">
      <c r="A236" s="165">
        <f>'Conveyor Downtime (new)'!A236</f>
        <v>0</v>
      </c>
      <c r="AG236">
        <f t="shared" si="42"/>
        <v>0</v>
      </c>
      <c r="AH236" s="351">
        <f t="shared" si="41"/>
        <v>0</v>
      </c>
    </row>
    <row r="237" spans="1:34">
      <c r="A237" s="165">
        <f>'Conveyor Downtime (new)'!A237</f>
        <v>0</v>
      </c>
      <c r="B237" s="346"/>
      <c r="C237" s="346"/>
      <c r="D237" s="346"/>
      <c r="E237" s="346"/>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f t="shared" si="42"/>
        <v>0</v>
      </c>
      <c r="AH237" s="351">
        <f t="shared" si="41"/>
        <v>0</v>
      </c>
    </row>
    <row r="238" spans="1:34">
      <c r="A238" s="165">
        <f>'Conveyor Downtime (new)'!A238</f>
        <v>0</v>
      </c>
      <c r="AG238">
        <f t="shared" si="42"/>
        <v>0</v>
      </c>
      <c r="AH238" s="351">
        <f t="shared" si="41"/>
        <v>0</v>
      </c>
    </row>
    <row r="239" spans="1:34">
      <c r="A239" s="165">
        <f>'Conveyor Downtime (new)'!A239</f>
        <v>0</v>
      </c>
      <c r="B239" s="346"/>
      <c r="C239" s="346"/>
      <c r="D239" s="346"/>
      <c r="E239" s="346"/>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f t="shared" si="42"/>
        <v>0</v>
      </c>
      <c r="AH239" s="351">
        <f t="shared" si="41"/>
        <v>0</v>
      </c>
    </row>
    <row r="240" spans="1:34">
      <c r="A240" s="165">
        <f>'Conveyor Downtime (new)'!A240</f>
        <v>0</v>
      </c>
      <c r="AG240">
        <f t="shared" si="42"/>
        <v>0</v>
      </c>
      <c r="AH240" s="351">
        <f t="shared" si="41"/>
        <v>0</v>
      </c>
    </row>
    <row r="241" spans="1:34">
      <c r="A241" s="165">
        <f>'Conveyor Downtime (new)'!A241</f>
        <v>0</v>
      </c>
      <c r="B241" s="346"/>
      <c r="C241" s="346"/>
      <c r="D241" s="346"/>
      <c r="E241" s="346"/>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f t="shared" si="42"/>
        <v>0</v>
      </c>
      <c r="AH241" s="351">
        <f t="shared" si="41"/>
        <v>0</v>
      </c>
    </row>
    <row r="242" spans="1:34" ht="13.5" thickBot="1">
      <c r="A242" s="165">
        <f>'Conveyor Downtime (new)'!A242</f>
        <v>0</v>
      </c>
      <c r="AG242">
        <f t="shared" si="42"/>
        <v>0</v>
      </c>
      <c r="AH242" s="351">
        <f t="shared" si="41"/>
        <v>0</v>
      </c>
    </row>
    <row r="243" spans="1:34" ht="15">
      <c r="A243" s="645" t="str">
        <f>'Conveyor Downtime (new)'!A243</f>
        <v>Total MTD</v>
      </c>
      <c r="B243" s="347">
        <f t="shared" ref="B243:AF243" si="43">SUM(B187:B242)</f>
        <v>150</v>
      </c>
      <c r="C243" s="347">
        <f t="shared" si="43"/>
        <v>0</v>
      </c>
      <c r="D243" s="347">
        <f t="shared" si="43"/>
        <v>0</v>
      </c>
      <c r="E243" s="347">
        <f t="shared" si="43"/>
        <v>0</v>
      </c>
      <c r="F243" s="347">
        <f t="shared" si="43"/>
        <v>0</v>
      </c>
      <c r="G243" s="347">
        <f t="shared" si="43"/>
        <v>0</v>
      </c>
      <c r="H243" s="347">
        <f t="shared" si="43"/>
        <v>0</v>
      </c>
      <c r="I243" s="347">
        <f t="shared" si="43"/>
        <v>6</v>
      </c>
      <c r="J243" s="347">
        <f t="shared" si="43"/>
        <v>0</v>
      </c>
      <c r="K243" s="347">
        <f t="shared" si="43"/>
        <v>140</v>
      </c>
      <c r="L243" s="347">
        <f t="shared" si="43"/>
        <v>0</v>
      </c>
      <c r="M243" s="347">
        <f t="shared" si="43"/>
        <v>0</v>
      </c>
      <c r="N243" s="347">
        <f t="shared" si="43"/>
        <v>4</v>
      </c>
      <c r="O243" s="347">
        <f t="shared" si="43"/>
        <v>0</v>
      </c>
      <c r="P243" s="347">
        <f t="shared" si="43"/>
        <v>100</v>
      </c>
      <c r="Q243" s="347">
        <f t="shared" si="43"/>
        <v>0</v>
      </c>
      <c r="R243" s="347">
        <f t="shared" si="43"/>
        <v>0</v>
      </c>
      <c r="S243" s="347">
        <f t="shared" si="43"/>
        <v>4</v>
      </c>
      <c r="T243" s="347">
        <f t="shared" si="43"/>
        <v>20</v>
      </c>
      <c r="U243" s="347">
        <f t="shared" si="43"/>
        <v>0</v>
      </c>
      <c r="V243" s="347">
        <f t="shared" si="43"/>
        <v>0</v>
      </c>
      <c r="W243" s="347">
        <f t="shared" si="43"/>
        <v>0</v>
      </c>
      <c r="X243" s="347">
        <f t="shared" si="43"/>
        <v>0</v>
      </c>
      <c r="Y243" s="347">
        <f t="shared" si="43"/>
        <v>12</v>
      </c>
      <c r="Z243" s="347">
        <f t="shared" si="43"/>
        <v>0</v>
      </c>
      <c r="AA243" s="347">
        <f t="shared" si="43"/>
        <v>0</v>
      </c>
      <c r="AB243" s="347">
        <f t="shared" si="43"/>
        <v>0</v>
      </c>
      <c r="AC243" s="347">
        <f t="shared" si="43"/>
        <v>0</v>
      </c>
      <c r="AD243" s="347">
        <f t="shared" si="43"/>
        <v>0</v>
      </c>
      <c r="AE243" s="347">
        <f t="shared" si="43"/>
        <v>0</v>
      </c>
      <c r="AF243" s="347">
        <f t="shared" si="43"/>
        <v>0</v>
      </c>
      <c r="AG243" s="347">
        <f>SUM(AG187:AG242)</f>
        <v>436</v>
      </c>
    </row>
    <row r="244" spans="1:34" ht="15.75" thickBot="1">
      <c r="A244" s="646"/>
      <c r="B244" s="348">
        <f>B243/$AG243</f>
        <v>0.34403669724770641</v>
      </c>
      <c r="C244" s="348">
        <f>C243/$AG243</f>
        <v>0</v>
      </c>
      <c r="D244" s="348">
        <f>D243/$AG243</f>
        <v>0</v>
      </c>
      <c r="E244" s="348">
        <f t="shared" ref="E244:O244" si="44">E243/$AG243</f>
        <v>0</v>
      </c>
      <c r="F244" s="348">
        <f t="shared" si="44"/>
        <v>0</v>
      </c>
      <c r="G244" s="348">
        <f t="shared" si="44"/>
        <v>0</v>
      </c>
      <c r="H244" s="348">
        <f t="shared" si="44"/>
        <v>0</v>
      </c>
      <c r="I244" s="348">
        <f t="shared" si="44"/>
        <v>1.3761467889908258E-2</v>
      </c>
      <c r="J244" s="348">
        <f t="shared" si="44"/>
        <v>0</v>
      </c>
      <c r="K244" s="348">
        <f t="shared" si="44"/>
        <v>0.32110091743119268</v>
      </c>
      <c r="L244" s="348">
        <f t="shared" si="44"/>
        <v>0</v>
      </c>
      <c r="M244" s="348">
        <f t="shared" si="44"/>
        <v>0</v>
      </c>
      <c r="N244" s="348">
        <f t="shared" si="44"/>
        <v>9.1743119266055051E-3</v>
      </c>
      <c r="O244" s="348">
        <f t="shared" si="44"/>
        <v>0</v>
      </c>
      <c r="P244" s="348">
        <f t="shared" ref="P244:AF244" si="45">P243/$AG243</f>
        <v>0.22935779816513763</v>
      </c>
      <c r="Q244" s="348">
        <f t="shared" si="45"/>
        <v>0</v>
      </c>
      <c r="R244" s="348">
        <f t="shared" si="45"/>
        <v>0</v>
      </c>
      <c r="S244" s="348">
        <f t="shared" si="45"/>
        <v>9.1743119266055051E-3</v>
      </c>
      <c r="T244" s="348">
        <f t="shared" si="45"/>
        <v>4.5871559633027525E-2</v>
      </c>
      <c r="U244" s="348">
        <f t="shared" si="45"/>
        <v>0</v>
      </c>
      <c r="V244" s="348">
        <f t="shared" si="45"/>
        <v>0</v>
      </c>
      <c r="W244" s="348">
        <f t="shared" si="45"/>
        <v>0</v>
      </c>
      <c r="X244" s="348">
        <f t="shared" si="45"/>
        <v>0</v>
      </c>
      <c r="Y244" s="348">
        <f t="shared" si="45"/>
        <v>2.7522935779816515E-2</v>
      </c>
      <c r="Z244" s="348">
        <f t="shared" si="45"/>
        <v>0</v>
      </c>
      <c r="AA244" s="348">
        <f t="shared" si="45"/>
        <v>0</v>
      </c>
      <c r="AB244" s="348">
        <f t="shared" si="45"/>
        <v>0</v>
      </c>
      <c r="AC244" s="348">
        <f t="shared" si="45"/>
        <v>0</v>
      </c>
      <c r="AD244" s="348">
        <f t="shared" si="45"/>
        <v>0</v>
      </c>
      <c r="AE244" s="348">
        <f t="shared" si="45"/>
        <v>0</v>
      </c>
      <c r="AF244" s="348">
        <f t="shared" si="45"/>
        <v>0</v>
      </c>
      <c r="AG244" s="351"/>
    </row>
    <row r="246" spans="1:34" ht="12.6" customHeight="1"/>
    <row r="248" spans="1:34" ht="12" customHeight="1">
      <c r="A248" s="165">
        <f>'Conveyor Downtime (new)'!A248</f>
        <v>46146</v>
      </c>
      <c r="K248">
        <f>5</f>
        <v>5</v>
      </c>
      <c r="AG248">
        <f t="shared" ref="AG248:AG302" si="46">SUM(B248:AF248)</f>
        <v>5</v>
      </c>
      <c r="AH248" s="351">
        <f>AG248/$AG$303</f>
        <v>1.1961722488038277E-2</v>
      </c>
    </row>
    <row r="249" spans="1:34">
      <c r="A249" s="165">
        <f>'Conveyor Downtime (new)'!A249</f>
        <v>46146</v>
      </c>
      <c r="B249" s="346"/>
      <c r="C249" s="346"/>
      <c r="D249" s="346"/>
      <c r="E249" s="346"/>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s="346"/>
      <c r="AE249" s="346"/>
      <c r="AF249" s="346"/>
      <c r="AG249">
        <f t="shared" si="46"/>
        <v>0</v>
      </c>
      <c r="AH249" s="351">
        <f t="shared" ref="AH249:AH302" si="47">AG249/$AG$303</f>
        <v>0</v>
      </c>
    </row>
    <row r="250" spans="1:34">
      <c r="A250" s="165">
        <f>'Conveyor Downtime (new)'!A250</f>
        <v>46147</v>
      </c>
      <c r="AG250">
        <f t="shared" si="46"/>
        <v>0</v>
      </c>
      <c r="AH250" s="351">
        <f t="shared" si="47"/>
        <v>0</v>
      </c>
    </row>
    <row r="251" spans="1:34">
      <c r="A251" s="165">
        <f>'Conveyor Downtime (new)'!A251</f>
        <v>46147</v>
      </c>
      <c r="B251" s="346"/>
      <c r="C251" s="346"/>
      <c r="D251" s="346"/>
      <c r="E251" s="346"/>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s="346"/>
      <c r="AE251" s="346"/>
      <c r="AF251" s="346"/>
      <c r="AG251">
        <f t="shared" si="46"/>
        <v>0</v>
      </c>
      <c r="AH251" s="351">
        <f t="shared" si="47"/>
        <v>0</v>
      </c>
    </row>
    <row r="252" spans="1:34">
      <c r="A252" s="165">
        <f>'Conveyor Downtime (new)'!A252</f>
        <v>46148</v>
      </c>
      <c r="AG252">
        <f t="shared" si="46"/>
        <v>0</v>
      </c>
      <c r="AH252" s="351">
        <f t="shared" si="47"/>
        <v>0</v>
      </c>
    </row>
    <row r="253" spans="1:34">
      <c r="A253" s="165">
        <f>'Conveyor Downtime (new)'!A253</f>
        <v>46149</v>
      </c>
      <c r="B253" s="346"/>
      <c r="C253" s="346"/>
      <c r="D253" s="346"/>
      <c r="E253" s="346"/>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s="346"/>
      <c r="AE253" s="346"/>
      <c r="AF253" s="346"/>
      <c r="AG253">
        <f t="shared" si="46"/>
        <v>0</v>
      </c>
      <c r="AH253" s="351">
        <f t="shared" si="47"/>
        <v>0</v>
      </c>
    </row>
    <row r="254" spans="1:34">
      <c r="A254" s="165">
        <f>'Conveyor Downtime (new)'!A254</f>
        <v>46149</v>
      </c>
      <c r="AG254">
        <f t="shared" si="46"/>
        <v>0</v>
      </c>
      <c r="AH254" s="351">
        <f t="shared" si="47"/>
        <v>0</v>
      </c>
    </row>
    <row r="255" spans="1:34" ht="13.5" customHeight="1">
      <c r="A255" s="165">
        <f>'Conveyor Downtime (new)'!A255</f>
        <v>46149</v>
      </c>
      <c r="B255" s="346"/>
      <c r="C255" s="346"/>
      <c r="D255" s="346"/>
      <c r="E255" s="346"/>
      <c r="F255" s="346"/>
      <c r="G255" s="346"/>
      <c r="H255" s="346"/>
      <c r="I255" s="346"/>
      <c r="J255" s="346"/>
      <c r="K255" s="346">
        <f>3</f>
        <v>3</v>
      </c>
      <c r="L255" s="346"/>
      <c r="M255" s="346"/>
      <c r="N255" s="346"/>
      <c r="O255" s="346"/>
      <c r="P255" s="346"/>
      <c r="Q255" s="346"/>
      <c r="R255" s="346"/>
      <c r="S255" s="346"/>
      <c r="T255" s="346"/>
      <c r="U255" s="346"/>
      <c r="V255" s="346"/>
      <c r="W255" s="346"/>
      <c r="X255" s="346"/>
      <c r="Y255" s="346"/>
      <c r="Z255" s="346"/>
      <c r="AA255" s="346"/>
      <c r="AB255" s="346"/>
      <c r="AC255" s="346"/>
      <c r="AD255" s="346"/>
      <c r="AE255" s="346"/>
      <c r="AF255" s="346"/>
      <c r="AG255">
        <f t="shared" si="46"/>
        <v>3</v>
      </c>
      <c r="AH255" s="351">
        <f t="shared" si="47"/>
        <v>7.1770334928229667E-3</v>
      </c>
    </row>
    <row r="256" spans="1:34">
      <c r="A256" s="165">
        <f>'Conveyor Downtime (new)'!A256</f>
        <v>46150</v>
      </c>
      <c r="K256">
        <f>3+2</f>
        <v>5</v>
      </c>
      <c r="AG256">
        <f t="shared" si="46"/>
        <v>5</v>
      </c>
      <c r="AH256" s="351">
        <f t="shared" si="47"/>
        <v>1.1961722488038277E-2</v>
      </c>
    </row>
    <row r="257" spans="1:34">
      <c r="A257" s="165">
        <f>'Conveyor Downtime (new)'!A257</f>
        <v>46150</v>
      </c>
      <c r="B257" s="346"/>
      <c r="C257" s="346"/>
      <c r="D257" s="346"/>
      <c r="E257" s="346"/>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s="346"/>
      <c r="AE257" s="346"/>
      <c r="AF257" s="346"/>
      <c r="AG257">
        <f t="shared" si="46"/>
        <v>0</v>
      </c>
      <c r="AH257" s="351">
        <f t="shared" si="47"/>
        <v>0</v>
      </c>
    </row>
    <row r="258" spans="1:34">
      <c r="A258" s="165">
        <f>'Conveyor Downtime (new)'!A258</f>
        <v>46151</v>
      </c>
      <c r="K258">
        <f>5+3+3+2+5+3+3+2+3+2+2+1+3</f>
        <v>37</v>
      </c>
      <c r="P258">
        <f>2+1+9+9</f>
        <v>21</v>
      </c>
      <c r="AG258">
        <f t="shared" si="46"/>
        <v>58</v>
      </c>
      <c r="AH258" s="351">
        <f t="shared" si="47"/>
        <v>0.13875598086124402</v>
      </c>
    </row>
    <row r="259" spans="1:34">
      <c r="A259" s="165">
        <f>'Conveyor Downtime (new)'!A259</f>
        <v>46153</v>
      </c>
      <c r="B259" s="346"/>
      <c r="C259" s="346"/>
      <c r="D259" s="346"/>
      <c r="E259" s="346"/>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s="346"/>
      <c r="AE259" s="346"/>
      <c r="AF259" s="346"/>
      <c r="AG259">
        <f t="shared" si="46"/>
        <v>0</v>
      </c>
      <c r="AH259" s="351">
        <f t="shared" si="47"/>
        <v>0</v>
      </c>
    </row>
    <row r="260" spans="1:34">
      <c r="A260" s="165">
        <f>'Conveyor Downtime (new)'!A260</f>
        <v>46154</v>
      </c>
      <c r="AG260">
        <f t="shared" si="46"/>
        <v>0</v>
      </c>
      <c r="AH260" s="351">
        <f t="shared" si="47"/>
        <v>0</v>
      </c>
    </row>
    <row r="261" spans="1:34">
      <c r="A261" s="165">
        <f>'Conveyor Downtime (new)'!A261</f>
        <v>46154</v>
      </c>
      <c r="B261" s="346"/>
      <c r="C261" s="346"/>
      <c r="D261" s="346"/>
      <c r="E261" s="346"/>
      <c r="F261" s="346"/>
      <c r="G261" s="346"/>
      <c r="H261" s="346"/>
      <c r="I261" s="346"/>
      <c r="J261" s="346"/>
      <c r="K261" s="346">
        <f>7+3+4</f>
        <v>14</v>
      </c>
      <c r="L261" s="346"/>
      <c r="M261" s="346"/>
      <c r="N261" s="346"/>
      <c r="O261" s="346"/>
      <c r="P261" s="346"/>
      <c r="Q261" s="346"/>
      <c r="R261" s="346"/>
      <c r="S261" s="346"/>
      <c r="T261" s="346"/>
      <c r="U261" s="346"/>
      <c r="V261" s="346"/>
      <c r="W261" s="346"/>
      <c r="X261" s="346"/>
      <c r="Y261" s="346"/>
      <c r="Z261" s="346"/>
      <c r="AA261" s="346"/>
      <c r="AB261" s="346"/>
      <c r="AC261" s="346"/>
      <c r="AD261" s="346"/>
      <c r="AE261" s="346"/>
      <c r="AF261" s="346"/>
      <c r="AG261">
        <f t="shared" si="46"/>
        <v>14</v>
      </c>
      <c r="AH261" s="351">
        <f t="shared" si="47"/>
        <v>3.3492822966507178E-2</v>
      </c>
    </row>
    <row r="262" spans="1:34">
      <c r="A262" s="165">
        <f>'Conveyor Downtime (new)'!A262</f>
        <v>46155</v>
      </c>
      <c r="AG262">
        <f t="shared" si="46"/>
        <v>0</v>
      </c>
      <c r="AH262" s="351">
        <f t="shared" si="47"/>
        <v>0</v>
      </c>
    </row>
    <row r="263" spans="1:34">
      <c r="A263" s="165">
        <f>'Conveyor Downtime (new)'!A263</f>
        <v>46155</v>
      </c>
      <c r="B263" s="346"/>
      <c r="C263" s="346"/>
      <c r="D263" s="346"/>
      <c r="E263" s="346"/>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c r="AC263" s="346"/>
      <c r="AD263" s="346"/>
      <c r="AE263" s="346"/>
      <c r="AF263" s="346"/>
      <c r="AG263">
        <f t="shared" si="46"/>
        <v>0</v>
      </c>
      <c r="AH263" s="351">
        <f t="shared" si="47"/>
        <v>0</v>
      </c>
    </row>
    <row r="264" spans="1:34">
      <c r="A264" s="165">
        <f>'Conveyor Downtime (new)'!A264</f>
        <v>46156</v>
      </c>
      <c r="AG264">
        <f t="shared" si="46"/>
        <v>0</v>
      </c>
      <c r="AH264" s="351">
        <f t="shared" si="47"/>
        <v>0</v>
      </c>
    </row>
    <row r="265" spans="1:34">
      <c r="A265" s="165">
        <f>'Conveyor Downtime (new)'!A265</f>
        <v>46156</v>
      </c>
      <c r="B265" s="346"/>
      <c r="C265" s="346"/>
      <c r="D265" s="346"/>
      <c r="E265" s="346"/>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f t="shared" si="46"/>
        <v>0</v>
      </c>
      <c r="AH265" s="351">
        <f t="shared" si="47"/>
        <v>0</v>
      </c>
    </row>
    <row r="266" spans="1:34">
      <c r="A266" s="165">
        <f>'Conveyor Downtime (new)'!A266</f>
        <v>46156</v>
      </c>
      <c r="AG266">
        <f t="shared" si="46"/>
        <v>0</v>
      </c>
      <c r="AH266" s="351">
        <f t="shared" si="47"/>
        <v>0</v>
      </c>
    </row>
    <row r="267" spans="1:34">
      <c r="A267" s="165">
        <f>'Conveyor Downtime (new)'!A267</f>
        <v>46156</v>
      </c>
      <c r="B267" s="346"/>
      <c r="C267" s="346"/>
      <c r="D267" s="346"/>
      <c r="E267" s="346"/>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f t="shared" si="46"/>
        <v>0</v>
      </c>
      <c r="AH267" s="351">
        <f t="shared" si="47"/>
        <v>0</v>
      </c>
    </row>
    <row r="268" spans="1:34">
      <c r="A268" s="165">
        <f>'Conveyor Downtime (new)'!A268</f>
        <v>46157</v>
      </c>
      <c r="AG268">
        <f t="shared" si="46"/>
        <v>0</v>
      </c>
      <c r="AH268" s="351">
        <f t="shared" si="47"/>
        <v>0</v>
      </c>
    </row>
    <row r="269" spans="1:34">
      <c r="A269" s="165">
        <f>'Conveyor Downtime (new)'!A269</f>
        <v>46157</v>
      </c>
      <c r="B269" s="346"/>
      <c r="C269" s="346"/>
      <c r="D269" s="346"/>
      <c r="E269" s="346"/>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s="346"/>
      <c r="AE269" s="346"/>
      <c r="AF269" s="346"/>
      <c r="AG269">
        <f t="shared" si="46"/>
        <v>0</v>
      </c>
      <c r="AH269" s="351">
        <f t="shared" si="47"/>
        <v>0</v>
      </c>
    </row>
    <row r="270" spans="1:34">
      <c r="A270" s="165">
        <f>'Conveyor Downtime (new)'!A270</f>
        <v>46158</v>
      </c>
      <c r="P270">
        <f>2</f>
        <v>2</v>
      </c>
      <c r="AG270">
        <f t="shared" si="46"/>
        <v>2</v>
      </c>
      <c r="AH270" s="351">
        <f t="shared" si="47"/>
        <v>4.7846889952153108E-3</v>
      </c>
    </row>
    <row r="271" spans="1:34">
      <c r="A271" s="165">
        <f>'Conveyor Downtime (new)'!A271</f>
        <v>46160</v>
      </c>
      <c r="B271" s="346"/>
      <c r="C271" s="346"/>
      <c r="D271" s="346"/>
      <c r="E271" s="346"/>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f t="shared" si="46"/>
        <v>0</v>
      </c>
      <c r="AH271" s="351">
        <f t="shared" si="47"/>
        <v>0</v>
      </c>
    </row>
    <row r="272" spans="1:34" ht="13.5" customHeight="1">
      <c r="A272" s="165">
        <f>'Conveyor Downtime (new)'!A272</f>
        <v>46160</v>
      </c>
      <c r="K272">
        <f>6</f>
        <v>6</v>
      </c>
      <c r="AG272">
        <f t="shared" si="46"/>
        <v>6</v>
      </c>
      <c r="AH272" s="351">
        <f t="shared" si="47"/>
        <v>1.4354066985645933E-2</v>
      </c>
    </row>
    <row r="273" spans="1:34">
      <c r="A273" s="165">
        <f>'Conveyor Downtime (new)'!A273</f>
        <v>46161</v>
      </c>
      <c r="B273" s="346"/>
      <c r="C273" s="346"/>
      <c r="D273" s="346"/>
      <c r="E273" s="346"/>
      <c r="F273" s="346"/>
      <c r="G273" s="346"/>
      <c r="H273" s="346"/>
      <c r="I273" s="346"/>
      <c r="J273" s="346"/>
      <c r="K273" s="346">
        <f>5+3+4+3+4+6</f>
        <v>25</v>
      </c>
      <c r="L273" s="346"/>
      <c r="M273" s="346"/>
      <c r="N273" s="346"/>
      <c r="O273" s="346"/>
      <c r="P273" s="346">
        <f>12+1</f>
        <v>13</v>
      </c>
      <c r="Q273" s="346"/>
      <c r="R273" s="346"/>
      <c r="S273" s="346"/>
      <c r="T273" s="346"/>
      <c r="U273" s="346"/>
      <c r="V273" s="346"/>
      <c r="W273" s="346"/>
      <c r="X273" s="346"/>
      <c r="Y273" s="346"/>
      <c r="Z273" s="346"/>
      <c r="AA273" s="346"/>
      <c r="AB273" s="346"/>
      <c r="AC273" s="346"/>
      <c r="AD273" s="346"/>
      <c r="AE273" s="346"/>
      <c r="AF273" s="346"/>
      <c r="AG273">
        <f t="shared" si="46"/>
        <v>38</v>
      </c>
      <c r="AH273" s="351">
        <f t="shared" si="47"/>
        <v>9.0909090909090912E-2</v>
      </c>
    </row>
    <row r="274" spans="1:34">
      <c r="A274" s="165">
        <f>'Conveyor Downtime (new)'!A274</f>
        <v>46161</v>
      </c>
      <c r="AG274">
        <f t="shared" si="46"/>
        <v>0</v>
      </c>
      <c r="AH274" s="351">
        <f t="shared" si="47"/>
        <v>0</v>
      </c>
    </row>
    <row r="275" spans="1:34">
      <c r="A275" s="165">
        <f>'Conveyor Downtime (new)'!A275</f>
        <v>46161</v>
      </c>
      <c r="B275" s="346"/>
      <c r="C275" s="346"/>
      <c r="D275" s="346"/>
      <c r="E275" s="346"/>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f t="shared" si="46"/>
        <v>0</v>
      </c>
      <c r="AH275" s="351">
        <f t="shared" si="47"/>
        <v>0</v>
      </c>
    </row>
    <row r="276" spans="1:34">
      <c r="A276" s="165">
        <f>'Conveyor Downtime (new)'!A276</f>
        <v>46162</v>
      </c>
      <c r="K276">
        <f>3+2</f>
        <v>5</v>
      </c>
      <c r="AG276">
        <f t="shared" si="46"/>
        <v>5</v>
      </c>
      <c r="AH276" s="351">
        <f t="shared" si="47"/>
        <v>1.1961722488038277E-2</v>
      </c>
    </row>
    <row r="277" spans="1:34">
      <c r="A277" s="165">
        <f>'Conveyor Downtime (new)'!A277</f>
        <v>46162</v>
      </c>
      <c r="B277" s="346"/>
      <c r="C277" s="346"/>
      <c r="D277" s="346"/>
      <c r="E277" s="346"/>
      <c r="F277" s="346"/>
      <c r="G277" s="346"/>
      <c r="H277" s="346"/>
      <c r="I277" s="346"/>
      <c r="J277" s="346"/>
      <c r="K277" s="346">
        <f>4</f>
        <v>4</v>
      </c>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f t="shared" si="46"/>
        <v>4</v>
      </c>
      <c r="AH277" s="351">
        <f t="shared" si="47"/>
        <v>9.5693779904306216E-3</v>
      </c>
    </row>
    <row r="278" spans="1:34">
      <c r="A278" s="165">
        <f>'Conveyor Downtime (new)'!A278</f>
        <v>46163</v>
      </c>
      <c r="AG278">
        <f t="shared" si="46"/>
        <v>0</v>
      </c>
      <c r="AH278" s="351">
        <f t="shared" si="47"/>
        <v>0</v>
      </c>
    </row>
    <row r="279" spans="1:34">
      <c r="A279" s="165">
        <f>'Conveyor Downtime (new)'!A279</f>
        <v>46163</v>
      </c>
      <c r="B279" s="346"/>
      <c r="C279" s="346"/>
      <c r="D279" s="346"/>
      <c r="E279" s="346"/>
      <c r="F279" s="346"/>
      <c r="G279" s="346"/>
      <c r="H279" s="346"/>
      <c r="I279" s="346"/>
      <c r="J279" s="346"/>
      <c r="K279" s="346">
        <f>2</f>
        <v>2</v>
      </c>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f t="shared" si="46"/>
        <v>2</v>
      </c>
      <c r="AH279" s="351">
        <f t="shared" si="47"/>
        <v>4.7846889952153108E-3</v>
      </c>
    </row>
    <row r="280" spans="1:34">
      <c r="A280" s="165">
        <f>'Conveyor Downtime (new)'!A280</f>
        <v>46163</v>
      </c>
      <c r="AG280">
        <f t="shared" si="46"/>
        <v>0</v>
      </c>
      <c r="AH280" s="351">
        <f t="shared" si="47"/>
        <v>0</v>
      </c>
    </row>
    <row r="281" spans="1:34">
      <c r="A281" s="165">
        <f>'Conveyor Downtime (new)'!A281</f>
        <v>46164</v>
      </c>
      <c r="B281" s="346"/>
      <c r="C281" s="346"/>
      <c r="D281" s="346"/>
      <c r="E281" s="346"/>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f t="shared" si="46"/>
        <v>0</v>
      </c>
      <c r="AH281" s="351">
        <f t="shared" si="47"/>
        <v>0</v>
      </c>
    </row>
    <row r="282" spans="1:34">
      <c r="A282" s="165">
        <f>'Conveyor Downtime (new)'!A282</f>
        <v>46164</v>
      </c>
      <c r="AG282">
        <f t="shared" si="46"/>
        <v>0</v>
      </c>
      <c r="AH282" s="351">
        <f t="shared" si="47"/>
        <v>0</v>
      </c>
    </row>
    <row r="283" spans="1:34">
      <c r="A283" s="165">
        <f>'Conveyor Downtime (new)'!A283</f>
        <v>46164</v>
      </c>
      <c r="B283" s="346"/>
      <c r="C283" s="346"/>
      <c r="D283" s="346"/>
      <c r="E283" s="346"/>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f t="shared" si="46"/>
        <v>0</v>
      </c>
      <c r="AH283" s="351">
        <f t="shared" si="47"/>
        <v>0</v>
      </c>
    </row>
    <row r="284" spans="1:34">
      <c r="A284" s="165">
        <f>'Conveyor Downtime (new)'!A284</f>
        <v>46168</v>
      </c>
      <c r="AG284">
        <f t="shared" si="46"/>
        <v>0</v>
      </c>
      <c r="AH284" s="351">
        <f t="shared" si="47"/>
        <v>0</v>
      </c>
    </row>
    <row r="285" spans="1:34">
      <c r="A285" s="165">
        <f>'Conveyor Downtime (new)'!A285</f>
        <v>46169</v>
      </c>
      <c r="B285" s="346"/>
      <c r="C285" s="346"/>
      <c r="D285" s="346"/>
      <c r="E285" s="346"/>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f>28+15+27+10</f>
        <v>80</v>
      </c>
      <c r="AB285" s="346"/>
      <c r="AC285" s="346"/>
      <c r="AD285" s="346">
        <f>16+52+60+60+8</f>
        <v>196</v>
      </c>
      <c r="AE285" s="346"/>
      <c r="AF285" s="346"/>
      <c r="AG285">
        <f t="shared" si="46"/>
        <v>276</v>
      </c>
      <c r="AH285" s="351">
        <f t="shared" si="47"/>
        <v>0.66028708133971292</v>
      </c>
    </row>
    <row r="286" spans="1:34">
      <c r="A286" s="165">
        <f>'Conveyor Downtime (new)'!A286</f>
        <v>46169</v>
      </c>
      <c r="AG286">
        <f t="shared" si="46"/>
        <v>0</v>
      </c>
      <c r="AH286" s="351">
        <f t="shared" si="47"/>
        <v>0</v>
      </c>
    </row>
    <row r="287" spans="1:34">
      <c r="A287" s="165">
        <f>'Conveyor Downtime (new)'!A287</f>
        <v>46170</v>
      </c>
      <c r="B287" s="346"/>
      <c r="C287" s="346"/>
      <c r="D287" s="346"/>
      <c r="E287" s="346"/>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f t="shared" si="46"/>
        <v>0</v>
      </c>
      <c r="AH287" s="351">
        <f t="shared" si="47"/>
        <v>0</v>
      </c>
    </row>
    <row r="288" spans="1:34">
      <c r="A288" s="165">
        <f>'Conveyor Downtime (new)'!A288</f>
        <v>0</v>
      </c>
      <c r="AG288">
        <f t="shared" si="46"/>
        <v>0</v>
      </c>
      <c r="AH288" s="351">
        <f t="shared" si="47"/>
        <v>0</v>
      </c>
    </row>
    <row r="289" spans="1:34">
      <c r="A289" s="165">
        <f>'Conveyor Downtime (new)'!A289</f>
        <v>0</v>
      </c>
      <c r="B289" s="346"/>
      <c r="C289" s="346"/>
      <c r="D289" s="346"/>
      <c r="E289" s="346"/>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s="346"/>
      <c r="AE289" s="346"/>
      <c r="AF289" s="346"/>
      <c r="AG289">
        <f t="shared" si="46"/>
        <v>0</v>
      </c>
      <c r="AH289" s="351">
        <f t="shared" si="47"/>
        <v>0</v>
      </c>
    </row>
    <row r="290" spans="1:34">
      <c r="A290" s="165">
        <f>'Conveyor Downtime (new)'!A290</f>
        <v>0</v>
      </c>
      <c r="AG290">
        <f t="shared" si="46"/>
        <v>0</v>
      </c>
      <c r="AH290" s="351">
        <f t="shared" si="47"/>
        <v>0</v>
      </c>
    </row>
    <row r="291" spans="1:34">
      <c r="A291" s="165">
        <f>'Conveyor Downtime (new)'!A291</f>
        <v>0</v>
      </c>
      <c r="B291" s="346"/>
      <c r="C291" s="346"/>
      <c r="D291" s="346"/>
      <c r="E291" s="346"/>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f t="shared" si="46"/>
        <v>0</v>
      </c>
      <c r="AH291" s="351">
        <f t="shared" si="47"/>
        <v>0</v>
      </c>
    </row>
    <row r="292" spans="1:34" ht="13.5" thickBot="1">
      <c r="A292" s="165">
        <f>'Conveyor Downtime (new)'!A292</f>
        <v>0</v>
      </c>
      <c r="AG292">
        <f t="shared" si="46"/>
        <v>0</v>
      </c>
      <c r="AH292" s="351">
        <f t="shared" si="47"/>
        <v>0</v>
      </c>
    </row>
    <row r="293" spans="1:34" hidden="1">
      <c r="A293" s="165">
        <f>'Conveyor Downtime (new)'!A293</f>
        <v>0</v>
      </c>
      <c r="B293" s="346"/>
      <c r="C293" s="346"/>
      <c r="D293" s="346"/>
      <c r="E293" s="346"/>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f t="shared" si="46"/>
        <v>0</v>
      </c>
      <c r="AH293" s="351">
        <f t="shared" si="47"/>
        <v>0</v>
      </c>
    </row>
    <row r="294" spans="1:34" hidden="1">
      <c r="A294" s="165">
        <f>'Conveyor Downtime (new)'!A294</f>
        <v>0</v>
      </c>
      <c r="AG294">
        <f t="shared" si="46"/>
        <v>0</v>
      </c>
      <c r="AH294" s="351">
        <f t="shared" si="47"/>
        <v>0</v>
      </c>
    </row>
    <row r="295" spans="1:34" hidden="1">
      <c r="A295" s="165">
        <f>'Conveyor Downtime (new)'!A295</f>
        <v>0</v>
      </c>
      <c r="B295" s="346"/>
      <c r="C295" s="346"/>
      <c r="D295" s="346"/>
      <c r="E295" s="346"/>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f t="shared" si="46"/>
        <v>0</v>
      </c>
      <c r="AH295" s="351">
        <f t="shared" si="47"/>
        <v>0</v>
      </c>
    </row>
    <row r="296" spans="1:34" hidden="1">
      <c r="A296" s="165">
        <f>'Conveyor Downtime (new)'!A296</f>
        <v>0</v>
      </c>
      <c r="AG296">
        <f t="shared" si="46"/>
        <v>0</v>
      </c>
      <c r="AH296" s="351">
        <f t="shared" si="47"/>
        <v>0</v>
      </c>
    </row>
    <row r="297" spans="1:34" hidden="1">
      <c r="A297" s="165">
        <f>'Conveyor Downtime (new)'!A297</f>
        <v>0</v>
      </c>
      <c r="B297" s="346"/>
      <c r="C297" s="346"/>
      <c r="D297" s="346"/>
      <c r="E297" s="346"/>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f t="shared" si="46"/>
        <v>0</v>
      </c>
      <c r="AH297" s="351">
        <f t="shared" si="47"/>
        <v>0</v>
      </c>
    </row>
    <row r="298" spans="1:34" hidden="1">
      <c r="A298" s="165">
        <f>'Conveyor Downtime (new)'!A298</f>
        <v>0</v>
      </c>
      <c r="AG298">
        <f t="shared" si="46"/>
        <v>0</v>
      </c>
      <c r="AH298" s="351">
        <f t="shared" si="47"/>
        <v>0</v>
      </c>
    </row>
    <row r="299" spans="1:34" hidden="1">
      <c r="A299" s="165">
        <f>'Conveyor Downtime (new)'!A299</f>
        <v>0</v>
      </c>
      <c r="B299" s="346"/>
      <c r="C299" s="346"/>
      <c r="D299" s="346"/>
      <c r="E299" s="346"/>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f t="shared" si="46"/>
        <v>0</v>
      </c>
      <c r="AH299" s="351">
        <f t="shared" si="47"/>
        <v>0</v>
      </c>
    </row>
    <row r="300" spans="1:34" hidden="1">
      <c r="A300" s="165">
        <f>'Conveyor Downtime (new)'!A300</f>
        <v>0</v>
      </c>
      <c r="AG300">
        <f t="shared" si="46"/>
        <v>0</v>
      </c>
      <c r="AH300" s="351">
        <f t="shared" si="47"/>
        <v>0</v>
      </c>
    </row>
    <row r="301" spans="1:34" hidden="1">
      <c r="A301" s="165">
        <f>'Conveyor Downtime (new)'!A301</f>
        <v>0</v>
      </c>
      <c r="B301" s="346"/>
      <c r="C301" s="346"/>
      <c r="D301" s="346"/>
      <c r="E301" s="346"/>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f t="shared" si="46"/>
        <v>0</v>
      </c>
      <c r="AH301" s="351">
        <f t="shared" si="47"/>
        <v>0</v>
      </c>
    </row>
    <row r="302" spans="1:34" ht="13.5" hidden="1" thickBot="1">
      <c r="A302" s="165">
        <f>'Conveyor Downtime (new)'!A302</f>
        <v>0</v>
      </c>
      <c r="AG302">
        <f t="shared" si="46"/>
        <v>0</v>
      </c>
      <c r="AH302" s="351">
        <f t="shared" si="47"/>
        <v>0</v>
      </c>
    </row>
    <row r="303" spans="1:34" ht="15">
      <c r="A303" s="645" t="str">
        <f>'Conveyor Downtime (new)'!A303</f>
        <v>Total MTD</v>
      </c>
      <c r="B303" s="347">
        <f t="shared" ref="B303:AF303" si="48">SUM(B248:B302)</f>
        <v>0</v>
      </c>
      <c r="C303" s="347">
        <f t="shared" si="48"/>
        <v>0</v>
      </c>
      <c r="D303" s="347">
        <f t="shared" si="48"/>
        <v>0</v>
      </c>
      <c r="E303" s="347">
        <f t="shared" si="48"/>
        <v>0</v>
      </c>
      <c r="F303" s="347">
        <f t="shared" si="48"/>
        <v>0</v>
      </c>
      <c r="G303" s="347">
        <f t="shared" si="48"/>
        <v>0</v>
      </c>
      <c r="H303" s="347">
        <f t="shared" si="48"/>
        <v>0</v>
      </c>
      <c r="I303" s="347">
        <f t="shared" si="48"/>
        <v>0</v>
      </c>
      <c r="J303" s="347">
        <f t="shared" si="48"/>
        <v>0</v>
      </c>
      <c r="K303" s="347">
        <f t="shared" si="48"/>
        <v>106</v>
      </c>
      <c r="L303" s="347">
        <f t="shared" si="48"/>
        <v>0</v>
      </c>
      <c r="M303" s="347">
        <f t="shared" si="48"/>
        <v>0</v>
      </c>
      <c r="N303" s="347">
        <f t="shared" si="48"/>
        <v>0</v>
      </c>
      <c r="O303" s="347">
        <f t="shared" si="48"/>
        <v>0</v>
      </c>
      <c r="P303" s="347">
        <f t="shared" si="48"/>
        <v>36</v>
      </c>
      <c r="Q303" s="347">
        <f t="shared" si="48"/>
        <v>0</v>
      </c>
      <c r="R303" s="347">
        <f t="shared" si="48"/>
        <v>0</v>
      </c>
      <c r="S303" s="347">
        <f t="shared" si="48"/>
        <v>0</v>
      </c>
      <c r="T303" s="347">
        <f t="shared" si="48"/>
        <v>0</v>
      </c>
      <c r="U303" s="347">
        <f t="shared" si="48"/>
        <v>0</v>
      </c>
      <c r="V303" s="347">
        <f t="shared" si="48"/>
        <v>0</v>
      </c>
      <c r="W303" s="347">
        <f t="shared" si="48"/>
        <v>0</v>
      </c>
      <c r="X303" s="347">
        <f t="shared" si="48"/>
        <v>0</v>
      </c>
      <c r="Y303" s="347">
        <f t="shared" si="48"/>
        <v>0</v>
      </c>
      <c r="Z303" s="347">
        <f t="shared" si="48"/>
        <v>0</v>
      </c>
      <c r="AA303" s="347">
        <f t="shared" si="48"/>
        <v>80</v>
      </c>
      <c r="AB303" s="347">
        <f t="shared" si="48"/>
        <v>0</v>
      </c>
      <c r="AC303" s="347">
        <f t="shared" si="48"/>
        <v>0</v>
      </c>
      <c r="AD303" s="347">
        <f t="shared" si="48"/>
        <v>196</v>
      </c>
      <c r="AE303" s="347">
        <f t="shared" si="48"/>
        <v>0</v>
      </c>
      <c r="AF303" s="347">
        <f t="shared" si="48"/>
        <v>0</v>
      </c>
      <c r="AG303" s="347">
        <f>SUM(AG248:AG302)</f>
        <v>418</v>
      </c>
    </row>
    <row r="304" spans="1:34" ht="15.75" thickBot="1">
      <c r="A304" s="646"/>
      <c r="B304" s="348">
        <f>B303/$AG303</f>
        <v>0</v>
      </c>
      <c r="C304" s="348">
        <f>C303/$AG303</f>
        <v>0</v>
      </c>
      <c r="D304" s="348">
        <f>D303/$AG303</f>
        <v>0</v>
      </c>
      <c r="E304" s="348">
        <f t="shared" ref="E304:P304" si="49">E303/$AG303</f>
        <v>0</v>
      </c>
      <c r="F304" s="348">
        <f t="shared" si="49"/>
        <v>0</v>
      </c>
      <c r="G304" s="348">
        <f t="shared" si="49"/>
        <v>0</v>
      </c>
      <c r="H304" s="348">
        <f t="shared" si="49"/>
        <v>0</v>
      </c>
      <c r="I304" s="348">
        <f t="shared" si="49"/>
        <v>0</v>
      </c>
      <c r="J304" s="348">
        <f t="shared" si="49"/>
        <v>0</v>
      </c>
      <c r="K304" s="348">
        <f t="shared" si="49"/>
        <v>0.25358851674641147</v>
      </c>
      <c r="L304" s="348">
        <f t="shared" si="49"/>
        <v>0</v>
      </c>
      <c r="M304" s="348">
        <f t="shared" si="49"/>
        <v>0</v>
      </c>
      <c r="N304" s="348">
        <f t="shared" si="49"/>
        <v>0</v>
      </c>
      <c r="O304" s="348">
        <f t="shared" si="49"/>
        <v>0</v>
      </c>
      <c r="P304" s="348">
        <f t="shared" si="49"/>
        <v>8.6124401913875603E-2</v>
      </c>
      <c r="Q304" s="348">
        <f t="shared" ref="Q304:AF304" si="50">Q303/$AG303</f>
        <v>0</v>
      </c>
      <c r="R304" s="348">
        <f t="shared" si="50"/>
        <v>0</v>
      </c>
      <c r="S304" s="348">
        <f t="shared" si="50"/>
        <v>0</v>
      </c>
      <c r="T304" s="348">
        <f t="shared" si="50"/>
        <v>0</v>
      </c>
      <c r="U304" s="348">
        <f t="shared" si="50"/>
        <v>0</v>
      </c>
      <c r="V304" s="348">
        <f t="shared" si="50"/>
        <v>0</v>
      </c>
      <c r="W304" s="348">
        <f t="shared" si="50"/>
        <v>0</v>
      </c>
      <c r="X304" s="348">
        <f t="shared" si="50"/>
        <v>0</v>
      </c>
      <c r="Y304" s="348">
        <f t="shared" si="50"/>
        <v>0</v>
      </c>
      <c r="Z304" s="348">
        <f t="shared" si="50"/>
        <v>0</v>
      </c>
      <c r="AA304" s="348">
        <f t="shared" si="50"/>
        <v>0.19138755980861244</v>
      </c>
      <c r="AB304" s="348">
        <f t="shared" si="50"/>
        <v>0</v>
      </c>
      <c r="AC304" s="348">
        <f t="shared" si="50"/>
        <v>0</v>
      </c>
      <c r="AD304" s="348">
        <f t="shared" si="50"/>
        <v>0.46889952153110048</v>
      </c>
      <c r="AE304" s="348">
        <f t="shared" si="50"/>
        <v>0</v>
      </c>
      <c r="AF304" s="348">
        <f t="shared" si="50"/>
        <v>0</v>
      </c>
      <c r="AG304" s="351"/>
    </row>
    <row r="308" spans="1:34">
      <c r="A308" s="165">
        <f>'Conveyor Downtime (new)'!A308</f>
        <v>46192</v>
      </c>
      <c r="AG308">
        <f t="shared" ref="AG308:AG367" si="51">SUM(B308:AF308)</f>
        <v>0</v>
      </c>
      <c r="AH308" s="351">
        <f t="shared" ref="AH308" si="52">AG308/$AG$368</f>
        <v>0</v>
      </c>
    </row>
    <row r="309" spans="1:34">
      <c r="A309" s="165">
        <f>'Conveyor Downtime (new)'!A309</f>
        <v>46193</v>
      </c>
      <c r="B309" s="346"/>
      <c r="C309" s="346"/>
      <c r="D309" s="346"/>
      <c r="E309" s="346"/>
      <c r="F309" s="346"/>
      <c r="G309" s="346"/>
      <c r="H309" s="346"/>
      <c r="I309" s="346"/>
      <c r="J309" s="346"/>
      <c r="K309" s="346">
        <f>2+3+2</f>
        <v>7</v>
      </c>
      <c r="L309" s="346"/>
      <c r="M309" s="346"/>
      <c r="N309" s="346"/>
      <c r="O309" s="346"/>
      <c r="P309" s="346"/>
      <c r="Q309" s="346"/>
      <c r="R309" s="346"/>
      <c r="S309" s="346"/>
      <c r="T309" s="346">
        <f>2</f>
        <v>2</v>
      </c>
      <c r="U309" s="346"/>
      <c r="V309" s="346"/>
      <c r="W309" s="346"/>
      <c r="X309" s="346"/>
      <c r="Y309" s="346"/>
      <c r="Z309" s="346"/>
      <c r="AA309" s="346"/>
      <c r="AB309" s="346"/>
      <c r="AC309" s="346"/>
      <c r="AD309" s="346"/>
      <c r="AE309" s="346"/>
      <c r="AF309" s="346"/>
      <c r="AG309">
        <f t="shared" si="51"/>
        <v>9</v>
      </c>
      <c r="AH309" s="351">
        <f t="shared" ref="AH309:AH327" si="53">AG309/$AG$368</f>
        <v>0.10588235294117647</v>
      </c>
    </row>
    <row r="310" spans="1:34">
      <c r="A310" s="165">
        <f>'Conveyor Downtime (new)'!A310</f>
        <v>46194</v>
      </c>
      <c r="K310">
        <f>2+2+1+3</f>
        <v>8</v>
      </c>
      <c r="AG310">
        <f t="shared" si="51"/>
        <v>8</v>
      </c>
      <c r="AH310" s="351">
        <f t="shared" si="53"/>
        <v>9.4117647058823528E-2</v>
      </c>
    </row>
    <row r="311" spans="1:34">
      <c r="A311" s="165">
        <f>'Conveyor Downtime (new)'!A311</f>
        <v>46195</v>
      </c>
      <c r="B311" s="346"/>
      <c r="C311" s="346"/>
      <c r="D311" s="346"/>
      <c r="E311" s="346"/>
      <c r="F311" s="346"/>
      <c r="G311" s="346"/>
      <c r="H311" s="346">
        <f>8</f>
        <v>8</v>
      </c>
      <c r="I311" s="346"/>
      <c r="J311" s="346"/>
      <c r="K311" s="346">
        <f>3+3</f>
        <v>6</v>
      </c>
      <c r="L311" s="346"/>
      <c r="M311" s="346"/>
      <c r="N311" s="346"/>
      <c r="O311" s="346"/>
      <c r="P311" s="346">
        <f>7+3+7</f>
        <v>17</v>
      </c>
      <c r="Q311" s="346"/>
      <c r="R311" s="346"/>
      <c r="S311" s="346"/>
      <c r="T311" s="346"/>
      <c r="U311" s="346"/>
      <c r="V311" s="346"/>
      <c r="W311" s="346"/>
      <c r="X311" s="346"/>
      <c r="Y311" s="346"/>
      <c r="Z311" s="346"/>
      <c r="AA311" s="346"/>
      <c r="AB311" s="346"/>
      <c r="AC311" s="346"/>
      <c r="AD311" s="346"/>
      <c r="AE311" s="346">
        <f>1+2</f>
        <v>3</v>
      </c>
      <c r="AF311" s="346"/>
      <c r="AG311">
        <f t="shared" si="51"/>
        <v>34</v>
      </c>
      <c r="AH311" s="351">
        <f t="shared" si="53"/>
        <v>0.4</v>
      </c>
    </row>
    <row r="312" spans="1:34">
      <c r="A312" s="165">
        <f>'Conveyor Downtime (new)'!A312</f>
        <v>46195</v>
      </c>
      <c r="K312">
        <f>3+3+2+3</f>
        <v>11</v>
      </c>
      <c r="AG312">
        <f t="shared" si="51"/>
        <v>11</v>
      </c>
      <c r="AH312" s="351">
        <f t="shared" si="53"/>
        <v>0.12941176470588237</v>
      </c>
    </row>
    <row r="313" spans="1:34">
      <c r="A313" s="165">
        <f>'Conveyor Downtime (new)'!A313</f>
        <v>46196</v>
      </c>
      <c r="B313" s="346"/>
      <c r="C313" s="346"/>
      <c r="D313" s="346"/>
      <c r="E313" s="346"/>
      <c r="F313" s="346"/>
      <c r="G313" s="346"/>
      <c r="H313" s="346"/>
      <c r="I313" s="346"/>
      <c r="J313" s="346"/>
      <c r="K313" s="346">
        <f>4+4+2</f>
        <v>10</v>
      </c>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f t="shared" si="51"/>
        <v>10</v>
      </c>
      <c r="AH313" s="351">
        <f t="shared" si="53"/>
        <v>0.11764705882352941</v>
      </c>
    </row>
    <row r="314" spans="1:34">
      <c r="A314" s="165">
        <f>'Conveyor Downtime (new)'!A314</f>
        <v>46196</v>
      </c>
      <c r="AG314">
        <f t="shared" si="51"/>
        <v>0</v>
      </c>
      <c r="AH314" s="351">
        <f t="shared" si="53"/>
        <v>0</v>
      </c>
    </row>
    <row r="315" spans="1:34">
      <c r="A315" s="165">
        <f>'Conveyor Downtime (new)'!A315</f>
        <v>46196</v>
      </c>
      <c r="B315" s="346"/>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f t="shared" si="51"/>
        <v>0</v>
      </c>
      <c r="AH315" s="351">
        <f t="shared" si="53"/>
        <v>0</v>
      </c>
    </row>
    <row r="316" spans="1:34">
      <c r="A316" s="165">
        <f>'Conveyor Downtime (new)'!A316</f>
        <v>46197</v>
      </c>
      <c r="AG316">
        <f t="shared" si="51"/>
        <v>0</v>
      </c>
      <c r="AH316" s="351">
        <f t="shared" si="53"/>
        <v>0</v>
      </c>
    </row>
    <row r="317" spans="1:34">
      <c r="A317" s="165">
        <f>'Conveyor Downtime (new)'!A317</f>
        <v>46197</v>
      </c>
      <c r="B317" s="346"/>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f t="shared" si="51"/>
        <v>0</v>
      </c>
      <c r="AH317" s="351">
        <f t="shared" si="53"/>
        <v>0</v>
      </c>
    </row>
    <row r="318" spans="1:34">
      <c r="A318" s="165">
        <f>'Conveyor Downtime (new)'!A318</f>
        <v>46198</v>
      </c>
      <c r="AG318">
        <f t="shared" si="51"/>
        <v>0</v>
      </c>
      <c r="AH318" s="351">
        <f t="shared" si="53"/>
        <v>0</v>
      </c>
    </row>
    <row r="319" spans="1:34">
      <c r="A319" s="165">
        <f>'Conveyor Downtime (new)'!A319</f>
        <v>46198</v>
      </c>
      <c r="B319" s="346"/>
      <c r="C319" s="346"/>
      <c r="D319" s="346"/>
      <c r="E319" s="346"/>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f t="shared" si="51"/>
        <v>0</v>
      </c>
      <c r="AH319" s="351">
        <f t="shared" si="53"/>
        <v>0</v>
      </c>
    </row>
    <row r="320" spans="1:34">
      <c r="A320" s="165">
        <f>'Conveyor Downtime (new)'!A320</f>
        <v>46198</v>
      </c>
      <c r="K320">
        <f>3</f>
        <v>3</v>
      </c>
      <c r="AG320">
        <f t="shared" si="51"/>
        <v>3</v>
      </c>
      <c r="AH320" s="351">
        <f t="shared" si="53"/>
        <v>3.5294117647058823E-2</v>
      </c>
    </row>
    <row r="321" spans="1:34">
      <c r="A321" s="165">
        <f>'Conveyor Downtime (new)'!A321</f>
        <v>46198</v>
      </c>
      <c r="B321" s="346"/>
      <c r="C321" s="346"/>
      <c r="D321" s="346"/>
      <c r="E321" s="346"/>
      <c r="F321" s="346"/>
      <c r="G321" s="346"/>
      <c r="H321" s="346"/>
      <c r="I321" s="346"/>
      <c r="J321" s="346"/>
      <c r="K321" s="346">
        <f>7+3</f>
        <v>10</v>
      </c>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f t="shared" si="51"/>
        <v>10</v>
      </c>
      <c r="AH321" s="351">
        <f t="shared" si="53"/>
        <v>0.11764705882352941</v>
      </c>
    </row>
    <row r="322" spans="1:34">
      <c r="A322" s="165">
        <f>'Conveyor Downtime (new)'!A322</f>
        <v>46199</v>
      </c>
      <c r="AG322">
        <f t="shared" si="51"/>
        <v>0</v>
      </c>
      <c r="AH322" s="351">
        <f t="shared" si="53"/>
        <v>0</v>
      </c>
    </row>
    <row r="323" spans="1:34">
      <c r="A323" s="165">
        <f>'Conveyor Downtime (new)'!A323</f>
        <v>46199</v>
      </c>
      <c r="AG323">
        <f t="shared" ref="AG323" si="54">SUM(B323:AF323)</f>
        <v>0</v>
      </c>
      <c r="AH323" s="351">
        <f t="shared" si="53"/>
        <v>0</v>
      </c>
    </row>
    <row r="324" spans="1:34">
      <c r="A324" s="165">
        <f>'Conveyor Downtime (new)'!A324</f>
        <v>46200</v>
      </c>
      <c r="AG324">
        <f t="shared" si="51"/>
        <v>0</v>
      </c>
      <c r="AH324" s="351">
        <f t="shared" si="53"/>
        <v>0</v>
      </c>
    </row>
    <row r="325" spans="1:34">
      <c r="A325" s="165">
        <f>'Conveyor Downtime (new)'!A325</f>
        <v>46200</v>
      </c>
      <c r="B325" s="165"/>
      <c r="C325" s="165"/>
      <c r="D325" s="165"/>
      <c r="E325" s="165"/>
      <c r="F325" s="165"/>
      <c r="G325" s="165"/>
      <c r="H325" s="165"/>
      <c r="I325" s="165"/>
      <c r="J325" s="165"/>
      <c r="K325" s="165"/>
      <c r="L325" s="165"/>
      <c r="M325" s="165"/>
      <c r="N325" s="165"/>
      <c r="O325" s="346"/>
      <c r="P325" s="346"/>
      <c r="Q325" s="346"/>
      <c r="R325" s="346"/>
      <c r="S325" s="346"/>
      <c r="T325" s="346"/>
      <c r="U325" s="346"/>
      <c r="V325" s="346"/>
      <c r="W325" s="346"/>
      <c r="X325" s="346"/>
      <c r="Y325" s="346"/>
      <c r="Z325" s="346"/>
      <c r="AA325" s="346"/>
      <c r="AB325" s="346"/>
      <c r="AC325" s="346"/>
      <c r="AD325" s="346"/>
      <c r="AE325" s="346"/>
      <c r="AF325" s="346"/>
      <c r="AG325">
        <f t="shared" si="51"/>
        <v>0</v>
      </c>
      <c r="AH325" s="351">
        <f t="shared" si="53"/>
        <v>0</v>
      </c>
    </row>
    <row r="326" spans="1:34">
      <c r="A326" s="165">
        <f>'Conveyor Downtime (new)'!A326</f>
        <v>46202</v>
      </c>
      <c r="B326" s="346"/>
      <c r="C326" s="346"/>
      <c r="D326" s="346"/>
      <c r="E326" s="346"/>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f t="shared" si="51"/>
        <v>0</v>
      </c>
      <c r="AH326" s="351">
        <f t="shared" si="53"/>
        <v>0</v>
      </c>
    </row>
    <row r="327" spans="1:34">
      <c r="A327" s="165">
        <f>'Conveyor Downtime (new)'!A327</f>
        <v>46202</v>
      </c>
      <c r="AG327">
        <f t="shared" si="51"/>
        <v>0</v>
      </c>
      <c r="AH327" s="351">
        <f t="shared" si="53"/>
        <v>0</v>
      </c>
    </row>
    <row r="328" spans="1:34">
      <c r="A328" s="165">
        <f>'Conveyor Downtime (new)'!A328</f>
        <v>46202</v>
      </c>
      <c r="AG328">
        <f t="shared" si="51"/>
        <v>0</v>
      </c>
      <c r="AH328" s="351">
        <f t="shared" ref="AH328:AH340" si="55">AG328/$AG$368</f>
        <v>0</v>
      </c>
    </row>
    <row r="329" spans="1:34">
      <c r="A329" s="165">
        <f>'Conveyor Downtime (new)'!A329</f>
        <v>46203</v>
      </c>
      <c r="B329" s="346"/>
      <c r="C329" s="346"/>
      <c r="D329" s="346"/>
      <c r="E329" s="346"/>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f t="shared" si="51"/>
        <v>0</v>
      </c>
      <c r="AH329" s="351">
        <f t="shared" si="55"/>
        <v>0</v>
      </c>
    </row>
    <row r="330" spans="1:34">
      <c r="A330" s="165">
        <f>'Conveyor Downtime (new)'!A330</f>
        <v>46203</v>
      </c>
      <c r="AG330">
        <f t="shared" si="51"/>
        <v>0</v>
      </c>
      <c r="AH330" s="351">
        <f t="shared" si="55"/>
        <v>0</v>
      </c>
    </row>
    <row r="331" spans="1:34">
      <c r="A331" s="165">
        <f>'Conveyor Downtime (new)'!A331</f>
        <v>0</v>
      </c>
      <c r="AG331">
        <f t="shared" si="51"/>
        <v>0</v>
      </c>
      <c r="AH331" s="351">
        <f t="shared" si="55"/>
        <v>0</v>
      </c>
    </row>
    <row r="332" spans="1:34">
      <c r="A332" s="165">
        <f>'Conveyor Downtime (new)'!A332</f>
        <v>0</v>
      </c>
      <c r="AG332">
        <f t="shared" si="51"/>
        <v>0</v>
      </c>
      <c r="AH332" s="351">
        <f t="shared" si="55"/>
        <v>0</v>
      </c>
    </row>
    <row r="333" spans="1:34">
      <c r="A333" s="165">
        <f>'Conveyor Downtime (new)'!A333</f>
        <v>0</v>
      </c>
      <c r="B333" s="346"/>
      <c r="C333" s="346"/>
      <c r="D333" s="346"/>
      <c r="E333" s="346"/>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f t="shared" si="51"/>
        <v>0</v>
      </c>
      <c r="AH333" s="351">
        <f t="shared" si="55"/>
        <v>0</v>
      </c>
    </row>
    <row r="334" spans="1:34">
      <c r="A334" s="165">
        <f>'Conveyor Downtime (new)'!A334</f>
        <v>0</v>
      </c>
      <c r="AG334">
        <f t="shared" si="51"/>
        <v>0</v>
      </c>
      <c r="AH334" s="351">
        <f t="shared" si="55"/>
        <v>0</v>
      </c>
    </row>
    <row r="335" spans="1:34">
      <c r="A335" s="165">
        <f>'Conveyor Downtime (new)'!A335</f>
        <v>0</v>
      </c>
      <c r="B335" s="346"/>
      <c r="C335" s="346"/>
      <c r="D335" s="346"/>
      <c r="E335" s="346"/>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f t="shared" si="51"/>
        <v>0</v>
      </c>
      <c r="AH335" s="351">
        <f t="shared" si="55"/>
        <v>0</v>
      </c>
    </row>
    <row r="336" spans="1:34">
      <c r="A336" s="165">
        <f>'Conveyor Downtime (new)'!A336</f>
        <v>0</v>
      </c>
      <c r="B336" s="346"/>
      <c r="C336" s="346"/>
      <c r="D336" s="346"/>
      <c r="E336" s="346"/>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s="346"/>
      <c r="AE336" s="346"/>
      <c r="AF336" s="346"/>
      <c r="AG336">
        <f t="shared" si="51"/>
        <v>0</v>
      </c>
      <c r="AH336" s="351">
        <f t="shared" si="55"/>
        <v>0</v>
      </c>
    </row>
    <row r="337" spans="1:34">
      <c r="A337" s="165">
        <f>'Conveyor Downtime (new)'!A337</f>
        <v>0</v>
      </c>
      <c r="AG337">
        <f t="shared" si="51"/>
        <v>0</v>
      </c>
      <c r="AH337" s="351">
        <f t="shared" si="55"/>
        <v>0</v>
      </c>
    </row>
    <row r="338" spans="1:34" ht="13.5" thickBot="1">
      <c r="A338" s="165">
        <f>'Conveyor Downtime (new)'!A338</f>
        <v>0</v>
      </c>
      <c r="B338" s="346"/>
      <c r="C338" s="346"/>
      <c r="D338" s="346"/>
      <c r="E338" s="346"/>
      <c r="F338" s="346"/>
      <c r="G338" s="346"/>
      <c r="H338" s="346"/>
      <c r="I338" s="346"/>
      <c r="J338" s="346"/>
      <c r="K338" s="346"/>
      <c r="L338" s="346"/>
      <c r="M338" s="346"/>
      <c r="N338" s="346"/>
      <c r="O338" s="346"/>
      <c r="P338" s="346"/>
      <c r="Q338" s="346"/>
      <c r="R338" s="346"/>
      <c r="S338" s="346"/>
      <c r="T338" s="346"/>
      <c r="U338" s="346"/>
      <c r="V338" s="346"/>
      <c r="W338" s="346"/>
      <c r="X338" s="346"/>
      <c r="Y338" s="346"/>
      <c r="Z338" s="346"/>
      <c r="AA338" s="346"/>
      <c r="AB338" s="346"/>
      <c r="AC338" s="346"/>
      <c r="AD338" s="346"/>
      <c r="AE338" s="346"/>
      <c r="AF338" s="346"/>
      <c r="AG338">
        <f t="shared" si="51"/>
        <v>0</v>
      </c>
      <c r="AH338" s="351">
        <f t="shared" si="55"/>
        <v>0</v>
      </c>
    </row>
    <row r="339" spans="1:34" hidden="1">
      <c r="A339" s="165">
        <f>'Conveyor Downtime (new)'!A339</f>
        <v>0</v>
      </c>
      <c r="B339" s="346"/>
      <c r="C339" s="346"/>
      <c r="D339" s="346"/>
      <c r="E339" s="346"/>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f t="shared" si="51"/>
        <v>0</v>
      </c>
      <c r="AH339" s="351">
        <f t="shared" si="55"/>
        <v>0</v>
      </c>
    </row>
    <row r="340" spans="1:34" hidden="1">
      <c r="A340" s="165">
        <f>'Conveyor Downtime (new)'!A340</f>
        <v>0</v>
      </c>
      <c r="B340" s="346"/>
      <c r="C340" s="346"/>
      <c r="D340" s="346"/>
      <c r="E340" s="346"/>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f t="shared" si="51"/>
        <v>0</v>
      </c>
      <c r="AH340" s="351">
        <f t="shared" si="55"/>
        <v>0</v>
      </c>
    </row>
    <row r="341" spans="1:34" hidden="1">
      <c r="A341" s="165">
        <f>'Conveyor Downtime (new)'!A341</f>
        <v>0</v>
      </c>
      <c r="AG341">
        <f t="shared" si="51"/>
        <v>0</v>
      </c>
      <c r="AH341" s="351">
        <f t="shared" ref="AH341:AH367" si="56">AG341/$AG$368</f>
        <v>0</v>
      </c>
    </row>
    <row r="342" spans="1:34" hidden="1">
      <c r="A342" s="165">
        <f>'Conveyor Downtime (new)'!A342</f>
        <v>0</v>
      </c>
      <c r="B342" s="346"/>
      <c r="C342" s="346"/>
      <c r="D342" s="346"/>
      <c r="E342" s="346"/>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s="346"/>
      <c r="AE342" s="346"/>
      <c r="AF342" s="346"/>
      <c r="AG342">
        <f t="shared" si="51"/>
        <v>0</v>
      </c>
      <c r="AH342" s="351">
        <f t="shared" si="56"/>
        <v>0</v>
      </c>
    </row>
    <row r="343" spans="1:34" hidden="1">
      <c r="A343" s="165">
        <f>'Conveyor Downtime (new)'!A343</f>
        <v>0</v>
      </c>
      <c r="AG343">
        <f t="shared" si="51"/>
        <v>0</v>
      </c>
      <c r="AH343" s="351">
        <f t="shared" si="56"/>
        <v>0</v>
      </c>
    </row>
    <row r="344" spans="1:34" hidden="1">
      <c r="A344" s="165">
        <f>'Conveyor Downtime (new)'!A344</f>
        <v>0</v>
      </c>
      <c r="B344" s="346"/>
      <c r="C344" s="346"/>
      <c r="D344" s="346"/>
      <c r="E344" s="346"/>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f t="shared" si="51"/>
        <v>0</v>
      </c>
      <c r="AH344" s="351">
        <f t="shared" si="56"/>
        <v>0</v>
      </c>
    </row>
    <row r="345" spans="1:34" hidden="1">
      <c r="A345" s="165">
        <f>'Conveyor Downtime (new)'!A345</f>
        <v>0</v>
      </c>
      <c r="AG345">
        <f t="shared" si="51"/>
        <v>0</v>
      </c>
      <c r="AH345" s="351">
        <f t="shared" si="56"/>
        <v>0</v>
      </c>
    </row>
    <row r="346" spans="1:34" hidden="1">
      <c r="A346" s="165">
        <f>'Conveyor Downtime (new)'!A346</f>
        <v>0</v>
      </c>
      <c r="B346" s="346"/>
      <c r="C346" s="346"/>
      <c r="D346" s="346"/>
      <c r="E346" s="346"/>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f t="shared" si="51"/>
        <v>0</v>
      </c>
      <c r="AH346" s="351">
        <f t="shared" si="56"/>
        <v>0</v>
      </c>
    </row>
    <row r="347" spans="1:34" hidden="1">
      <c r="A347" s="165">
        <f>'Conveyor Downtime (new)'!A347</f>
        <v>0</v>
      </c>
      <c r="AG347">
        <f t="shared" si="51"/>
        <v>0</v>
      </c>
      <c r="AH347" s="351">
        <f t="shared" si="56"/>
        <v>0</v>
      </c>
    </row>
    <row r="348" spans="1:34" hidden="1">
      <c r="A348" s="165">
        <f>'Conveyor Downtime (new)'!A348</f>
        <v>0</v>
      </c>
      <c r="B348" s="346"/>
      <c r="C348" s="346"/>
      <c r="D348" s="346"/>
      <c r="E348" s="346"/>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f t="shared" si="51"/>
        <v>0</v>
      </c>
      <c r="AH348" s="351">
        <f t="shared" si="56"/>
        <v>0</v>
      </c>
    </row>
    <row r="349" spans="1:34" hidden="1">
      <c r="A349" s="165">
        <f>'Conveyor Downtime (new)'!A349</f>
        <v>0</v>
      </c>
      <c r="AG349">
        <f t="shared" si="51"/>
        <v>0</v>
      </c>
      <c r="AH349" s="351">
        <f t="shared" si="56"/>
        <v>0</v>
      </c>
    </row>
    <row r="350" spans="1:34" hidden="1">
      <c r="A350" s="165">
        <f>'Conveyor Downtime (new)'!A350</f>
        <v>0</v>
      </c>
      <c r="B350" s="346"/>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f t="shared" si="51"/>
        <v>0</v>
      </c>
      <c r="AH350" s="351">
        <f t="shared" si="56"/>
        <v>0</v>
      </c>
    </row>
    <row r="351" spans="1:34" hidden="1">
      <c r="A351" s="165"/>
      <c r="AG351">
        <f t="shared" si="51"/>
        <v>0</v>
      </c>
      <c r="AH351" s="351">
        <f t="shared" si="56"/>
        <v>0</v>
      </c>
    </row>
    <row r="352" spans="1:34" hidden="1">
      <c r="A352" s="165"/>
      <c r="B352" s="346"/>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f t="shared" si="51"/>
        <v>0</v>
      </c>
      <c r="AH352" s="351">
        <f t="shared" si="56"/>
        <v>0</v>
      </c>
    </row>
    <row r="353" spans="1:34" hidden="1">
      <c r="A353" s="165"/>
      <c r="AG353">
        <f t="shared" si="51"/>
        <v>0</v>
      </c>
      <c r="AH353" s="351">
        <f t="shared" si="56"/>
        <v>0</v>
      </c>
    </row>
    <row r="354" spans="1:34" hidden="1">
      <c r="A354" s="165"/>
      <c r="B354" s="346"/>
      <c r="C354" s="346"/>
      <c r="D354" s="346"/>
      <c r="E354" s="346"/>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f t="shared" si="51"/>
        <v>0</v>
      </c>
      <c r="AH354" s="351">
        <f t="shared" si="56"/>
        <v>0</v>
      </c>
    </row>
    <row r="355" spans="1:34" hidden="1">
      <c r="A355" s="165"/>
      <c r="AG355">
        <f t="shared" si="51"/>
        <v>0</v>
      </c>
      <c r="AH355" s="351">
        <f t="shared" si="56"/>
        <v>0</v>
      </c>
    </row>
    <row r="356" spans="1:34" hidden="1">
      <c r="A356" s="165"/>
      <c r="B356" s="346"/>
      <c r="C356" s="346"/>
      <c r="D356" s="346"/>
      <c r="E356" s="346"/>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f t="shared" si="51"/>
        <v>0</v>
      </c>
      <c r="AH356" s="351">
        <f t="shared" si="56"/>
        <v>0</v>
      </c>
    </row>
    <row r="357" spans="1:34" hidden="1">
      <c r="A357" s="165"/>
      <c r="AG357">
        <f t="shared" si="51"/>
        <v>0</v>
      </c>
      <c r="AH357" s="351">
        <f t="shared" si="56"/>
        <v>0</v>
      </c>
    </row>
    <row r="358" spans="1:34" hidden="1">
      <c r="A358" s="165"/>
      <c r="B358" s="346"/>
      <c r="C358" s="346"/>
      <c r="D358" s="346"/>
      <c r="E358" s="346"/>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f t="shared" si="51"/>
        <v>0</v>
      </c>
      <c r="AH358" s="351">
        <f t="shared" si="56"/>
        <v>0</v>
      </c>
    </row>
    <row r="359" spans="1:34" hidden="1">
      <c r="A359" s="165"/>
      <c r="AG359">
        <f t="shared" si="51"/>
        <v>0</v>
      </c>
      <c r="AH359" s="351">
        <f t="shared" si="56"/>
        <v>0</v>
      </c>
    </row>
    <row r="360" spans="1:34" hidden="1">
      <c r="A360" s="165"/>
      <c r="B360" s="346"/>
      <c r="C360" s="346"/>
      <c r="D360" s="346"/>
      <c r="E360" s="346"/>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f t="shared" si="51"/>
        <v>0</v>
      </c>
      <c r="AH360" s="351">
        <f t="shared" si="56"/>
        <v>0</v>
      </c>
    </row>
    <row r="361" spans="1:34" hidden="1">
      <c r="A361" s="165"/>
      <c r="AG361">
        <f t="shared" si="51"/>
        <v>0</v>
      </c>
      <c r="AH361" s="351">
        <f t="shared" si="56"/>
        <v>0</v>
      </c>
    </row>
    <row r="362" spans="1:34" hidden="1">
      <c r="A362" s="165"/>
      <c r="B362" s="346"/>
      <c r="C362" s="346"/>
      <c r="D362" s="346"/>
      <c r="E362" s="346"/>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f t="shared" si="51"/>
        <v>0</v>
      </c>
      <c r="AH362" s="351">
        <f t="shared" si="56"/>
        <v>0</v>
      </c>
    </row>
    <row r="363" spans="1:34" hidden="1">
      <c r="A363" s="165"/>
      <c r="AG363">
        <f t="shared" si="51"/>
        <v>0</v>
      </c>
      <c r="AH363" s="351">
        <f t="shared" si="56"/>
        <v>0</v>
      </c>
    </row>
    <row r="364" spans="1:34" hidden="1">
      <c r="A364" s="165"/>
      <c r="B364" s="346"/>
      <c r="C364" s="346"/>
      <c r="D364" s="346"/>
      <c r="E364" s="346"/>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f t="shared" si="51"/>
        <v>0</v>
      </c>
      <c r="AH364" s="351">
        <f t="shared" si="56"/>
        <v>0</v>
      </c>
    </row>
    <row r="365" spans="1:34" hidden="1">
      <c r="A365" s="165"/>
      <c r="AG365">
        <f t="shared" si="51"/>
        <v>0</v>
      </c>
      <c r="AH365" s="351">
        <f t="shared" si="56"/>
        <v>0</v>
      </c>
    </row>
    <row r="366" spans="1:34" hidden="1">
      <c r="A366" s="165"/>
      <c r="B366" s="346"/>
      <c r="C366" s="346"/>
      <c r="D366" s="346"/>
      <c r="E366" s="346"/>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f t="shared" si="51"/>
        <v>0</v>
      </c>
      <c r="AH366" s="351">
        <f t="shared" si="56"/>
        <v>0</v>
      </c>
    </row>
    <row r="367" spans="1:34" ht="13.5" hidden="1" thickBot="1">
      <c r="A367" s="165"/>
      <c r="AG367">
        <f t="shared" si="51"/>
        <v>0</v>
      </c>
      <c r="AH367" s="351">
        <f t="shared" si="56"/>
        <v>0</v>
      </c>
    </row>
    <row r="368" spans="1:34" ht="15">
      <c r="A368" s="645" t="str">
        <f>'Conveyor Downtime (new)'!A368</f>
        <v>Total MTD</v>
      </c>
      <c r="B368" s="347">
        <f t="shared" ref="B368:AG368" si="57">SUM(B308:B367)</f>
        <v>0</v>
      </c>
      <c r="C368" s="347">
        <f t="shared" si="57"/>
        <v>0</v>
      </c>
      <c r="D368" s="347">
        <f t="shared" si="57"/>
        <v>0</v>
      </c>
      <c r="E368" s="347">
        <f t="shared" si="57"/>
        <v>0</v>
      </c>
      <c r="F368" s="347">
        <f t="shared" si="57"/>
        <v>0</v>
      </c>
      <c r="G368" s="347">
        <f t="shared" si="57"/>
        <v>0</v>
      </c>
      <c r="H368" s="347">
        <f t="shared" si="57"/>
        <v>8</v>
      </c>
      <c r="I368" s="347">
        <f t="shared" si="57"/>
        <v>0</v>
      </c>
      <c r="J368" s="347">
        <f t="shared" si="57"/>
        <v>0</v>
      </c>
      <c r="K368" s="347">
        <f t="shared" si="57"/>
        <v>55</v>
      </c>
      <c r="L368" s="347">
        <f t="shared" si="57"/>
        <v>0</v>
      </c>
      <c r="M368" s="347">
        <f t="shared" si="57"/>
        <v>0</v>
      </c>
      <c r="N368" s="347">
        <f t="shared" si="57"/>
        <v>0</v>
      </c>
      <c r="O368" s="347">
        <f t="shared" si="57"/>
        <v>0</v>
      </c>
      <c r="P368" s="347">
        <f t="shared" si="57"/>
        <v>17</v>
      </c>
      <c r="Q368" s="347">
        <f t="shared" si="57"/>
        <v>0</v>
      </c>
      <c r="R368" s="347">
        <f t="shared" si="57"/>
        <v>0</v>
      </c>
      <c r="S368" s="347">
        <f t="shared" si="57"/>
        <v>0</v>
      </c>
      <c r="T368" s="347">
        <f t="shared" si="57"/>
        <v>2</v>
      </c>
      <c r="U368" s="347">
        <f t="shared" si="57"/>
        <v>0</v>
      </c>
      <c r="V368" s="347">
        <f t="shared" si="57"/>
        <v>0</v>
      </c>
      <c r="W368" s="347">
        <f t="shared" si="57"/>
        <v>0</v>
      </c>
      <c r="X368" s="347">
        <f t="shared" si="57"/>
        <v>0</v>
      </c>
      <c r="Y368" s="347">
        <f t="shared" si="57"/>
        <v>0</v>
      </c>
      <c r="Z368" s="347">
        <f t="shared" si="57"/>
        <v>0</v>
      </c>
      <c r="AA368" s="347">
        <f t="shared" si="57"/>
        <v>0</v>
      </c>
      <c r="AB368" s="347">
        <f t="shared" si="57"/>
        <v>0</v>
      </c>
      <c r="AC368" s="347">
        <f t="shared" si="57"/>
        <v>0</v>
      </c>
      <c r="AD368" s="347">
        <f t="shared" si="57"/>
        <v>0</v>
      </c>
      <c r="AE368" s="347">
        <f t="shared" si="57"/>
        <v>3</v>
      </c>
      <c r="AF368" s="347">
        <f t="shared" si="57"/>
        <v>0</v>
      </c>
      <c r="AG368" s="347">
        <f t="shared" si="57"/>
        <v>85</v>
      </c>
    </row>
    <row r="369" spans="1:34" ht="15.75" thickBot="1">
      <c r="A369" s="646"/>
      <c r="B369" s="348">
        <f>B368/$AG368</f>
        <v>0</v>
      </c>
      <c r="C369" s="348">
        <f>C368/$AG368</f>
        <v>0</v>
      </c>
      <c r="D369" s="348">
        <f t="shared" ref="D369:AF369" si="58">D368/$AG368</f>
        <v>0</v>
      </c>
      <c r="E369" s="348">
        <f t="shared" si="58"/>
        <v>0</v>
      </c>
      <c r="F369" s="348">
        <f t="shared" si="58"/>
        <v>0</v>
      </c>
      <c r="G369" s="348">
        <f t="shared" si="58"/>
        <v>0</v>
      </c>
      <c r="H369" s="348">
        <f t="shared" si="58"/>
        <v>9.4117647058823528E-2</v>
      </c>
      <c r="I369" s="348">
        <f t="shared" si="58"/>
        <v>0</v>
      </c>
      <c r="J369" s="348">
        <f t="shared" si="58"/>
        <v>0</v>
      </c>
      <c r="K369" s="348">
        <f t="shared" si="58"/>
        <v>0.6470588235294118</v>
      </c>
      <c r="L369" s="348">
        <f t="shared" si="58"/>
        <v>0</v>
      </c>
      <c r="M369" s="348">
        <f t="shared" si="58"/>
        <v>0</v>
      </c>
      <c r="N369" s="348">
        <f t="shared" si="58"/>
        <v>0</v>
      </c>
      <c r="O369" s="348">
        <f t="shared" si="58"/>
        <v>0</v>
      </c>
      <c r="P369" s="348">
        <f t="shared" si="58"/>
        <v>0.2</v>
      </c>
      <c r="Q369" s="348">
        <f t="shared" si="58"/>
        <v>0</v>
      </c>
      <c r="R369" s="348">
        <f t="shared" si="58"/>
        <v>0</v>
      </c>
      <c r="S369" s="348">
        <f t="shared" si="58"/>
        <v>0</v>
      </c>
      <c r="T369" s="348">
        <f t="shared" si="58"/>
        <v>2.3529411764705882E-2</v>
      </c>
      <c r="U369" s="348">
        <f t="shared" si="58"/>
        <v>0</v>
      </c>
      <c r="V369" s="348">
        <f t="shared" si="58"/>
        <v>0</v>
      </c>
      <c r="W369" s="348">
        <f t="shared" si="58"/>
        <v>0</v>
      </c>
      <c r="X369" s="348">
        <f t="shared" si="58"/>
        <v>0</v>
      </c>
      <c r="Y369" s="348">
        <f t="shared" si="58"/>
        <v>0</v>
      </c>
      <c r="Z369" s="348">
        <f t="shared" si="58"/>
        <v>0</v>
      </c>
      <c r="AA369" s="348">
        <f t="shared" si="58"/>
        <v>0</v>
      </c>
      <c r="AB369" s="348">
        <f t="shared" si="58"/>
        <v>0</v>
      </c>
      <c r="AC369" s="348">
        <f t="shared" si="58"/>
        <v>0</v>
      </c>
      <c r="AD369" s="348">
        <f t="shared" si="58"/>
        <v>0</v>
      </c>
      <c r="AE369" s="348">
        <f t="shared" si="58"/>
        <v>3.5294117647058823E-2</v>
      </c>
      <c r="AF369" s="348">
        <f t="shared" si="58"/>
        <v>0</v>
      </c>
      <c r="AG369" s="351"/>
    </row>
    <row r="371" spans="1:34">
      <c r="A371" s="165">
        <f>'Conveyor Downtime (new)'!A372</f>
        <v>46204</v>
      </c>
      <c r="K371">
        <f>3+4+2</f>
        <v>9</v>
      </c>
      <c r="AG371">
        <f t="shared" ref="AG371:AG427" si="59">SUM(B371:AF371)</f>
        <v>9</v>
      </c>
      <c r="AH371" s="351">
        <f>AG371/$AG$368</f>
        <v>0.10588235294117647</v>
      </c>
    </row>
    <row r="372" spans="1:34">
      <c r="A372" s="165">
        <f>'Conveyor Downtime (new)'!A373</f>
        <v>46204</v>
      </c>
      <c r="B372" s="346"/>
      <c r="C372" s="346"/>
      <c r="D372" s="346"/>
      <c r="E372" s="346"/>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s="346"/>
      <c r="AE372" s="346"/>
      <c r="AF372" s="346"/>
      <c r="AG372">
        <f t="shared" si="59"/>
        <v>0</v>
      </c>
      <c r="AH372" s="351">
        <f t="shared" ref="AH372:AH427" si="60">AG372/$AG$368</f>
        <v>0</v>
      </c>
    </row>
    <row r="373" spans="1:34">
      <c r="A373" s="165">
        <f>'Conveyor Downtime (new)'!A374</f>
        <v>46205</v>
      </c>
      <c r="AG373">
        <f t="shared" si="59"/>
        <v>0</v>
      </c>
      <c r="AH373" s="351">
        <f t="shared" si="60"/>
        <v>0</v>
      </c>
    </row>
    <row r="374" spans="1:34">
      <c r="A374" s="165">
        <f>'Conveyor Downtime (new)'!A375</f>
        <v>46205</v>
      </c>
      <c r="B374" s="346"/>
      <c r="C374" s="346"/>
      <c r="D374" s="346"/>
      <c r="E374" s="346"/>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f t="shared" si="59"/>
        <v>0</v>
      </c>
      <c r="AH374" s="351">
        <f t="shared" si="60"/>
        <v>0</v>
      </c>
    </row>
    <row r="375" spans="1:34">
      <c r="A375" s="165">
        <f>'Conveyor Downtime (new)'!A376</f>
        <v>46205</v>
      </c>
      <c r="I375">
        <f>5</f>
        <v>5</v>
      </c>
      <c r="AG375">
        <f t="shared" si="59"/>
        <v>5</v>
      </c>
      <c r="AH375" s="351">
        <f t="shared" si="60"/>
        <v>5.8823529411764705E-2</v>
      </c>
    </row>
    <row r="376" spans="1:34">
      <c r="A376" s="165">
        <f>'Conveyor Downtime (new)'!A377</f>
        <v>46206</v>
      </c>
      <c r="B376" s="346"/>
      <c r="C376" s="346"/>
      <c r="D376" s="346"/>
      <c r="E376" s="346"/>
      <c r="F376" s="346"/>
      <c r="G376" s="346"/>
      <c r="H376" s="346"/>
      <c r="I376" s="346"/>
      <c r="J376" s="346"/>
      <c r="K376" s="346">
        <f>3+2+3</f>
        <v>8</v>
      </c>
      <c r="L376" s="346"/>
      <c r="M376" s="346"/>
      <c r="N376" s="346"/>
      <c r="O376" s="346"/>
      <c r="P376" s="346">
        <v>6</v>
      </c>
      <c r="Q376" s="346"/>
      <c r="R376" s="346"/>
      <c r="S376" s="346"/>
      <c r="T376" s="346"/>
      <c r="U376" s="346"/>
      <c r="V376" s="346"/>
      <c r="W376" s="346"/>
      <c r="X376" s="346"/>
      <c r="Y376" s="346"/>
      <c r="Z376" s="346"/>
      <c r="AA376" s="346"/>
      <c r="AB376" s="346"/>
      <c r="AC376" s="346"/>
      <c r="AD376" s="346"/>
      <c r="AE376" s="346"/>
      <c r="AF376" s="346"/>
      <c r="AG376">
        <f t="shared" si="59"/>
        <v>14</v>
      </c>
      <c r="AH376" s="351">
        <f t="shared" si="60"/>
        <v>0.16470588235294117</v>
      </c>
    </row>
    <row r="377" spans="1:34">
      <c r="A377" s="165">
        <f>'Conveyor Downtime (new)'!A378</f>
        <v>46206</v>
      </c>
      <c r="B377" s="346"/>
      <c r="C377" s="346"/>
      <c r="D377" s="346"/>
      <c r="E377" s="346"/>
      <c r="F377" s="346"/>
      <c r="G377" s="346"/>
      <c r="H377" s="346"/>
      <c r="I377" s="346"/>
      <c r="J377" s="346"/>
      <c r="K377" s="346">
        <f>1</f>
        <v>1</v>
      </c>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f t="shared" si="59"/>
        <v>1</v>
      </c>
      <c r="AH377" s="351">
        <f t="shared" si="60"/>
        <v>1.1764705882352941E-2</v>
      </c>
    </row>
    <row r="378" spans="1:34">
      <c r="A378" s="165">
        <f>'Conveyor Downtime (new)'!A379</f>
        <v>46209</v>
      </c>
      <c r="AG378">
        <f t="shared" si="59"/>
        <v>0</v>
      </c>
      <c r="AH378" s="351">
        <f t="shared" si="60"/>
        <v>0</v>
      </c>
    </row>
    <row r="379" spans="1:34">
      <c r="A379" s="165">
        <f>'Conveyor Downtime (new)'!A380</f>
        <v>46210</v>
      </c>
      <c r="B379" s="346"/>
      <c r="C379" s="346"/>
      <c r="D379" s="346"/>
      <c r="E379" s="346"/>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f t="shared" si="59"/>
        <v>0</v>
      </c>
      <c r="AH379" s="351">
        <f t="shared" si="60"/>
        <v>0</v>
      </c>
    </row>
    <row r="380" spans="1:34">
      <c r="A380" s="165">
        <f>'Conveyor Downtime (new)'!A381</f>
        <v>46210</v>
      </c>
      <c r="AG380">
        <f t="shared" si="59"/>
        <v>0</v>
      </c>
      <c r="AH380" s="351">
        <f t="shared" si="60"/>
        <v>0</v>
      </c>
    </row>
    <row r="381" spans="1:34">
      <c r="A381" s="165">
        <f>'Conveyor Downtime (new)'!A382</f>
        <v>46211</v>
      </c>
      <c r="B381" s="346"/>
      <c r="C381" s="346"/>
      <c r="D381" s="346"/>
      <c r="E381" s="346"/>
      <c r="F381" s="346"/>
      <c r="G381" s="346"/>
      <c r="H381" s="346"/>
      <c r="I381" s="346"/>
      <c r="J381" s="346"/>
      <c r="K381" s="346"/>
      <c r="L381" s="346"/>
      <c r="M381" s="346"/>
      <c r="N381" s="346"/>
      <c r="O381" s="346"/>
      <c r="P381" s="346"/>
      <c r="Q381" s="346"/>
      <c r="R381" s="346"/>
      <c r="S381" s="346"/>
      <c r="T381" s="346"/>
      <c r="U381" s="346"/>
      <c r="V381" s="346"/>
      <c r="W381" s="346"/>
      <c r="X381" s="346"/>
      <c r="Y381" s="346"/>
      <c r="Z381" s="137"/>
      <c r="AA381" s="346"/>
      <c r="AB381" s="346"/>
      <c r="AC381" s="346"/>
      <c r="AD381" s="346"/>
      <c r="AE381" s="346"/>
      <c r="AF381" s="346"/>
      <c r="AG381">
        <f t="shared" si="59"/>
        <v>0</v>
      </c>
      <c r="AH381" s="351">
        <f t="shared" si="60"/>
        <v>0</v>
      </c>
    </row>
    <row r="382" spans="1:34">
      <c r="A382" s="165">
        <f>'Conveyor Downtime (new)'!A383</f>
        <v>46211</v>
      </c>
      <c r="AG382">
        <f t="shared" si="59"/>
        <v>0</v>
      </c>
      <c r="AH382" s="351">
        <f t="shared" si="60"/>
        <v>0</v>
      </c>
    </row>
    <row r="383" spans="1:34">
      <c r="A383" s="165">
        <f>'Conveyor Downtime (new)'!A384</f>
        <v>46211</v>
      </c>
      <c r="B383" s="346"/>
      <c r="C383" s="346"/>
      <c r="D383" s="346"/>
      <c r="E383" s="346"/>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s="346"/>
      <c r="AE383" s="346"/>
      <c r="AF383" s="346"/>
      <c r="AG383">
        <f t="shared" si="59"/>
        <v>0</v>
      </c>
      <c r="AH383" s="351">
        <f t="shared" si="60"/>
        <v>0</v>
      </c>
    </row>
    <row r="384" spans="1:34">
      <c r="A384" s="165">
        <f>'Conveyor Downtime (new)'!A385</f>
        <v>46211</v>
      </c>
      <c r="AG384">
        <f t="shared" si="59"/>
        <v>0</v>
      </c>
      <c r="AH384" s="351">
        <f t="shared" si="60"/>
        <v>0</v>
      </c>
    </row>
    <row r="385" spans="1:34">
      <c r="A385" s="165">
        <f>'Conveyor Downtime (new)'!A386</f>
        <v>46211</v>
      </c>
      <c r="B385" s="346"/>
      <c r="C385" s="346"/>
      <c r="D385" s="346"/>
      <c r="E385" s="346"/>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s="346"/>
      <c r="AE385" s="346"/>
      <c r="AF385" s="346"/>
      <c r="AG385">
        <f t="shared" si="59"/>
        <v>0</v>
      </c>
      <c r="AH385" s="351">
        <f t="shared" si="60"/>
        <v>0</v>
      </c>
    </row>
    <row r="386" spans="1:34">
      <c r="A386" s="165">
        <f>'Conveyor Downtime (new)'!A387</f>
        <v>46212</v>
      </c>
      <c r="AG386">
        <f t="shared" si="59"/>
        <v>0</v>
      </c>
      <c r="AH386" s="351">
        <f t="shared" si="60"/>
        <v>0</v>
      </c>
    </row>
    <row r="387" spans="1:34">
      <c r="A387" s="165">
        <f>'Conveyor Downtime (new)'!A388</f>
        <v>46212</v>
      </c>
      <c r="B387" s="346"/>
      <c r="C387" s="346"/>
      <c r="D387" s="346"/>
      <c r="E387" s="346"/>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f t="shared" si="59"/>
        <v>0</v>
      </c>
      <c r="AH387" s="351">
        <f t="shared" si="60"/>
        <v>0</v>
      </c>
    </row>
    <row r="388" spans="1:34">
      <c r="A388" s="165">
        <f>'Conveyor Downtime (new)'!A389</f>
        <v>46212</v>
      </c>
      <c r="AG388">
        <f t="shared" si="59"/>
        <v>0</v>
      </c>
      <c r="AH388" s="351">
        <f t="shared" si="60"/>
        <v>0</v>
      </c>
    </row>
    <row r="389" spans="1:34">
      <c r="A389" s="165">
        <f>'Conveyor Downtime (new)'!A390</f>
        <v>46213</v>
      </c>
      <c r="B389" s="346"/>
      <c r="C389" s="346"/>
      <c r="D389" s="346"/>
      <c r="E389" s="346"/>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f t="shared" si="59"/>
        <v>0</v>
      </c>
      <c r="AH389" s="351">
        <f t="shared" si="60"/>
        <v>0</v>
      </c>
    </row>
    <row r="390" spans="1:34">
      <c r="A390" s="165">
        <f>'Conveyor Downtime (new)'!A391</f>
        <v>46213</v>
      </c>
      <c r="P390">
        <f>8</f>
        <v>8</v>
      </c>
      <c r="AG390">
        <f t="shared" si="59"/>
        <v>8</v>
      </c>
      <c r="AH390" s="351">
        <f t="shared" si="60"/>
        <v>9.4117647058823528E-2</v>
      </c>
    </row>
    <row r="391" spans="1:34">
      <c r="A391" s="165">
        <f>'Conveyor Downtime (new)'!A392</f>
        <v>46216</v>
      </c>
      <c r="B391" s="346"/>
      <c r="C391" s="346"/>
      <c r="D391" s="346"/>
      <c r="E391" s="346"/>
      <c r="F391" s="346"/>
      <c r="G391" s="346"/>
      <c r="H391" s="346"/>
      <c r="I391" s="346"/>
      <c r="J391" s="346"/>
      <c r="K391" s="346">
        <f>5</f>
        <v>5</v>
      </c>
      <c r="L391" s="346"/>
      <c r="M391" s="346"/>
      <c r="N391" s="346"/>
      <c r="O391" s="346"/>
      <c r="P391" s="346"/>
      <c r="Q391" s="346"/>
      <c r="R391" s="346"/>
      <c r="S391" s="346"/>
      <c r="T391" s="346"/>
      <c r="U391" s="346"/>
      <c r="V391" s="346"/>
      <c r="W391" s="346"/>
      <c r="X391" s="346"/>
      <c r="Y391" s="346"/>
      <c r="Z391" s="346"/>
      <c r="AA391" s="346"/>
      <c r="AB391" s="346"/>
      <c r="AC391" s="346"/>
      <c r="AD391" s="346"/>
      <c r="AE391" s="346"/>
      <c r="AF391" s="346"/>
      <c r="AG391">
        <f t="shared" si="59"/>
        <v>5</v>
      </c>
      <c r="AH391" s="351">
        <f t="shared" si="60"/>
        <v>5.8823529411764705E-2</v>
      </c>
    </row>
    <row r="392" spans="1:34">
      <c r="A392" s="165">
        <f>'Conveyor Downtime (new)'!A393</f>
        <v>46216</v>
      </c>
      <c r="AG392">
        <f t="shared" si="59"/>
        <v>0</v>
      </c>
      <c r="AH392" s="351">
        <f t="shared" si="60"/>
        <v>0</v>
      </c>
    </row>
    <row r="393" spans="1:34">
      <c r="A393" s="165">
        <f>'Conveyor Downtime (new)'!A394</f>
        <v>46217</v>
      </c>
      <c r="B393" s="346"/>
      <c r="C393" s="346"/>
      <c r="D393" s="346"/>
      <c r="E393" s="346"/>
      <c r="F393" s="346"/>
      <c r="G393" s="346"/>
      <c r="H393" s="346"/>
      <c r="I393" s="346">
        <f>7</f>
        <v>7</v>
      </c>
      <c r="J393" s="346"/>
      <c r="K393" s="346">
        <f>5</f>
        <v>5</v>
      </c>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f t="shared" si="59"/>
        <v>12</v>
      </c>
      <c r="AH393" s="351">
        <f t="shared" si="60"/>
        <v>0.14117647058823529</v>
      </c>
    </row>
    <row r="394" spans="1:34">
      <c r="A394" s="165">
        <f>'Conveyor Downtime (new)'!A395</f>
        <v>46218</v>
      </c>
      <c r="AG394">
        <f t="shared" si="59"/>
        <v>0</v>
      </c>
      <c r="AH394" s="351">
        <f t="shared" si="60"/>
        <v>0</v>
      </c>
    </row>
    <row r="395" spans="1:34">
      <c r="A395" s="165">
        <f>'Conveyor Downtime (new)'!A396</f>
        <v>46218</v>
      </c>
      <c r="B395" s="346"/>
      <c r="C395" s="346"/>
      <c r="D395" s="346"/>
      <c r="E395" s="346"/>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s="346"/>
      <c r="AE395" s="346"/>
      <c r="AF395" s="346"/>
      <c r="AG395">
        <f t="shared" si="59"/>
        <v>0</v>
      </c>
      <c r="AH395" s="351">
        <f t="shared" si="60"/>
        <v>0</v>
      </c>
    </row>
    <row r="396" spans="1:34">
      <c r="A396" s="165">
        <f>'Conveyor Downtime (new)'!A397</f>
        <v>46219</v>
      </c>
      <c r="AG396">
        <f t="shared" si="59"/>
        <v>0</v>
      </c>
      <c r="AH396" s="351">
        <f t="shared" si="60"/>
        <v>0</v>
      </c>
    </row>
    <row r="397" spans="1:34">
      <c r="A397" s="165">
        <f>'Conveyor Downtime (new)'!A398</f>
        <v>46219</v>
      </c>
      <c r="B397" s="346"/>
      <c r="C397" s="346"/>
      <c r="D397" s="346"/>
      <c r="E397" s="346"/>
      <c r="F397" s="346"/>
      <c r="G397" s="346"/>
      <c r="H397" s="346"/>
      <c r="I397" s="346"/>
      <c r="J397" s="346"/>
      <c r="K397" s="346">
        <f>4</f>
        <v>4</v>
      </c>
      <c r="L397" s="346"/>
      <c r="M397" s="346"/>
      <c r="N397" s="346"/>
      <c r="O397" s="346"/>
      <c r="P397" s="346"/>
      <c r="Q397" s="346"/>
      <c r="R397" s="346"/>
      <c r="S397" s="346"/>
      <c r="T397" s="346"/>
      <c r="U397" s="346"/>
      <c r="V397" s="346"/>
      <c r="W397" s="346"/>
      <c r="X397" s="346"/>
      <c r="Y397" s="346"/>
      <c r="Z397" s="346"/>
      <c r="AA397" s="346"/>
      <c r="AB397" s="346"/>
      <c r="AC397" s="346"/>
      <c r="AD397" s="346"/>
      <c r="AE397" s="346"/>
      <c r="AF397" s="346"/>
      <c r="AG397">
        <f t="shared" si="59"/>
        <v>4</v>
      </c>
      <c r="AH397" s="351">
        <f t="shared" si="60"/>
        <v>4.7058823529411764E-2</v>
      </c>
    </row>
    <row r="398" spans="1:34">
      <c r="A398" s="165">
        <f>'Conveyor Downtime (new)'!A399</f>
        <v>46219</v>
      </c>
      <c r="AG398">
        <f t="shared" si="59"/>
        <v>0</v>
      </c>
      <c r="AH398" s="351">
        <f t="shared" si="60"/>
        <v>0</v>
      </c>
    </row>
    <row r="399" spans="1:34">
      <c r="A399" s="165">
        <f>'Conveyor Downtime (new)'!A400</f>
        <v>46219</v>
      </c>
      <c r="B399" s="346"/>
      <c r="C399" s="346"/>
      <c r="D399" s="346"/>
      <c r="E399" s="346"/>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f t="shared" si="59"/>
        <v>0</v>
      </c>
      <c r="AH399" s="351">
        <f t="shared" si="60"/>
        <v>0</v>
      </c>
    </row>
    <row r="400" spans="1:34">
      <c r="A400" s="165">
        <f>'Conveyor Downtime (new)'!A401</f>
        <v>46220</v>
      </c>
      <c r="AG400">
        <f t="shared" si="59"/>
        <v>0</v>
      </c>
      <c r="AH400" s="351">
        <f t="shared" si="60"/>
        <v>0</v>
      </c>
    </row>
    <row r="401" spans="1:34">
      <c r="A401" s="165">
        <f>'Conveyor Downtime (new)'!A402</f>
        <v>46220</v>
      </c>
      <c r="B401" s="346"/>
      <c r="C401" s="346"/>
      <c r="D401" s="346"/>
      <c r="E401" s="346"/>
      <c r="F401" s="346"/>
      <c r="G401" s="346"/>
      <c r="H401" s="346"/>
      <c r="I401" s="346"/>
      <c r="J401" s="346"/>
      <c r="K401" s="346"/>
      <c r="L401" s="346"/>
      <c r="M401" s="346"/>
      <c r="N401" s="346"/>
      <c r="O401" s="346"/>
      <c r="P401" s="346"/>
      <c r="Q401" s="346"/>
      <c r="R401" s="346"/>
      <c r="S401" s="346"/>
      <c r="T401" s="346"/>
      <c r="U401" s="346"/>
      <c r="V401" s="346"/>
      <c r="W401" s="346"/>
      <c r="X401" s="346"/>
      <c r="Y401" s="346"/>
      <c r="Z401" s="346"/>
      <c r="AA401" s="346"/>
      <c r="AB401" s="346"/>
      <c r="AC401" s="346"/>
      <c r="AD401" s="346"/>
      <c r="AE401" s="346"/>
      <c r="AF401" s="346"/>
      <c r="AG401">
        <f t="shared" si="59"/>
        <v>0</v>
      </c>
      <c r="AH401" s="351">
        <f t="shared" si="60"/>
        <v>0</v>
      </c>
    </row>
    <row r="402" spans="1:34">
      <c r="A402" s="165">
        <f>'Conveyor Downtime (new)'!A403</f>
        <v>46223</v>
      </c>
      <c r="K402">
        <f>4+4+3</f>
        <v>11</v>
      </c>
      <c r="AG402">
        <f t="shared" si="59"/>
        <v>11</v>
      </c>
      <c r="AH402" s="351">
        <f t="shared" si="60"/>
        <v>0.12941176470588237</v>
      </c>
    </row>
    <row r="403" spans="1:34">
      <c r="A403" s="165">
        <f>'Conveyor Downtime (new)'!A404</f>
        <v>46223</v>
      </c>
      <c r="AG403">
        <f t="shared" si="59"/>
        <v>0</v>
      </c>
      <c r="AH403" s="351">
        <f t="shared" si="60"/>
        <v>0</v>
      </c>
    </row>
    <row r="404" spans="1:34">
      <c r="A404" s="165">
        <f>'Conveyor Downtime (new)'!A405</f>
        <v>46224</v>
      </c>
      <c r="B404" s="346"/>
      <c r="C404" s="346"/>
      <c r="D404" s="346"/>
      <c r="E404" s="346"/>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f t="shared" si="59"/>
        <v>0</v>
      </c>
      <c r="AH404" s="351">
        <f t="shared" si="60"/>
        <v>0</v>
      </c>
    </row>
    <row r="405" spans="1:34">
      <c r="A405" s="165">
        <f>'Conveyor Downtime (new)'!A406</f>
        <v>46224</v>
      </c>
      <c r="AG405">
        <f t="shared" si="59"/>
        <v>0</v>
      </c>
      <c r="AH405" s="351">
        <f t="shared" si="60"/>
        <v>0</v>
      </c>
    </row>
    <row r="406" spans="1:34">
      <c r="A406" s="165">
        <f>'Conveyor Downtime (new)'!A407</f>
        <v>46224</v>
      </c>
      <c r="B406" s="346"/>
      <c r="C406" s="346"/>
      <c r="D406" s="346"/>
      <c r="E406" s="346"/>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f t="shared" si="59"/>
        <v>0</v>
      </c>
      <c r="AH406" s="351">
        <f t="shared" si="60"/>
        <v>0</v>
      </c>
    </row>
    <row r="407" spans="1:34">
      <c r="A407" s="165">
        <f>'Conveyor Downtime (new)'!A408</f>
        <v>46225</v>
      </c>
      <c r="I407">
        <f>8+7+13</f>
        <v>28</v>
      </c>
      <c r="AA407">
        <v>7</v>
      </c>
      <c r="AG407">
        <f t="shared" si="59"/>
        <v>35</v>
      </c>
      <c r="AH407" s="351">
        <f t="shared" si="60"/>
        <v>0.41176470588235292</v>
      </c>
    </row>
    <row r="408" spans="1:34">
      <c r="A408" s="165">
        <f>'Conveyor Downtime (new)'!A409</f>
        <v>46225</v>
      </c>
      <c r="B408" s="346"/>
      <c r="C408" s="346"/>
      <c r="D408" s="346"/>
      <c r="E408" s="346"/>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s="346"/>
      <c r="AE408" s="346"/>
      <c r="AF408" s="346"/>
      <c r="AG408">
        <f t="shared" si="59"/>
        <v>0</v>
      </c>
      <c r="AH408" s="351">
        <f t="shared" si="60"/>
        <v>0</v>
      </c>
    </row>
    <row r="409" spans="1:34">
      <c r="A409" s="165">
        <f>'Conveyor Downtime (new)'!A410</f>
        <v>46226</v>
      </c>
      <c r="I409">
        <f>6+13+3+5</f>
        <v>27</v>
      </c>
      <c r="K409">
        <f>6+5</f>
        <v>11</v>
      </c>
      <c r="AG409">
        <f t="shared" si="59"/>
        <v>38</v>
      </c>
      <c r="AH409" s="351">
        <f t="shared" si="60"/>
        <v>0.44705882352941179</v>
      </c>
    </row>
    <row r="410" spans="1:34">
      <c r="A410" s="165">
        <f>'Conveyor Downtime (new)'!A411</f>
        <v>46226</v>
      </c>
      <c r="B410" s="346"/>
      <c r="C410" s="346"/>
      <c r="D410" s="346"/>
      <c r="E410" s="346"/>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f t="shared" si="59"/>
        <v>0</v>
      </c>
      <c r="AH410" s="351">
        <f t="shared" si="60"/>
        <v>0</v>
      </c>
    </row>
    <row r="411" spans="1:34">
      <c r="A411" s="165">
        <f>'Conveyor Downtime (new)'!A412</f>
        <v>46227</v>
      </c>
      <c r="AD411">
        <f>48+23</f>
        <v>71</v>
      </c>
      <c r="AG411">
        <f t="shared" ref="AG411:AG416" si="61">SUM(B411:AF411)</f>
        <v>71</v>
      </c>
      <c r="AH411" s="351">
        <f t="shared" ref="AH411:AH416" si="62">AG411/$AG$368</f>
        <v>0.83529411764705885</v>
      </c>
    </row>
    <row r="412" spans="1:34">
      <c r="A412" s="165">
        <f>'Conveyor Downtime (new)'!A413</f>
        <v>46227</v>
      </c>
      <c r="B412" s="346"/>
      <c r="C412" s="346"/>
      <c r="D412" s="346"/>
      <c r="E412" s="346"/>
      <c r="F412" s="346"/>
      <c r="G412" s="346"/>
      <c r="H412" s="346"/>
      <c r="I412" s="346"/>
      <c r="J412" s="346"/>
      <c r="K412" s="346"/>
      <c r="L412" s="346"/>
      <c r="M412" s="346"/>
      <c r="N412" s="346"/>
      <c r="O412" s="346"/>
      <c r="P412" s="346"/>
      <c r="Q412" s="346"/>
      <c r="R412" s="346"/>
      <c r="S412" s="346" t="s">
        <v>209</v>
      </c>
      <c r="T412" s="346"/>
      <c r="U412" s="346"/>
      <c r="V412" s="346"/>
      <c r="W412" s="346"/>
      <c r="X412" s="346"/>
      <c r="Y412" s="346"/>
      <c r="Z412" s="346"/>
      <c r="AA412" s="346"/>
      <c r="AB412" s="346"/>
      <c r="AC412" s="346"/>
      <c r="AD412" s="346"/>
      <c r="AE412" s="346"/>
      <c r="AF412" s="346"/>
      <c r="AG412">
        <f t="shared" si="61"/>
        <v>0</v>
      </c>
      <c r="AH412" s="351">
        <f t="shared" si="62"/>
        <v>0</v>
      </c>
    </row>
    <row r="413" spans="1:34">
      <c r="A413" s="165">
        <f>'Conveyor Downtime (new)'!A414</f>
        <v>46230</v>
      </c>
      <c r="AG413">
        <f t="shared" si="61"/>
        <v>0</v>
      </c>
      <c r="AH413" s="351">
        <f t="shared" si="62"/>
        <v>0</v>
      </c>
    </row>
    <row r="414" spans="1:34">
      <c r="A414" s="165">
        <f>'Conveyor Downtime (new)'!A415</f>
        <v>46231</v>
      </c>
      <c r="B414" s="346"/>
      <c r="C414" s="346"/>
      <c r="D414" s="346"/>
      <c r="E414" s="346"/>
      <c r="F414" s="346"/>
      <c r="G414" s="346"/>
      <c r="H414" s="346"/>
      <c r="I414" s="346"/>
      <c r="J414" s="346"/>
      <c r="K414" s="346">
        <f>10+7+2+5+2+3+2+3+3+4</f>
        <v>41</v>
      </c>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f t="shared" si="61"/>
        <v>41</v>
      </c>
      <c r="AH414" s="351">
        <f t="shared" si="62"/>
        <v>0.4823529411764706</v>
      </c>
    </row>
    <row r="415" spans="1:34">
      <c r="A415" s="165">
        <f>'Conveyor Downtime (new)'!A416</f>
        <v>46231</v>
      </c>
      <c r="AG415">
        <f t="shared" si="61"/>
        <v>0</v>
      </c>
      <c r="AH415" s="351">
        <f t="shared" si="62"/>
        <v>0</v>
      </c>
    </row>
    <row r="416" spans="1:34">
      <c r="A416" s="165">
        <f>'Conveyor Downtime (new)'!A417</f>
        <v>46232</v>
      </c>
      <c r="B416" s="346"/>
      <c r="C416" s="346"/>
      <c r="D416" s="346"/>
      <c r="E416" s="346"/>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f t="shared" si="61"/>
        <v>0</v>
      </c>
      <c r="AH416" s="351">
        <f t="shared" si="62"/>
        <v>0</v>
      </c>
    </row>
    <row r="417" spans="1:34">
      <c r="A417" s="165">
        <f>'Conveyor Downtime (new)'!A418</f>
        <v>46232</v>
      </c>
      <c r="AG417">
        <f t="shared" si="59"/>
        <v>0</v>
      </c>
      <c r="AH417" s="351">
        <f t="shared" si="60"/>
        <v>0</v>
      </c>
    </row>
    <row r="418" spans="1:34">
      <c r="A418" s="165">
        <f>'Conveyor Downtime (new)'!A419</f>
        <v>46232</v>
      </c>
      <c r="B418" s="346"/>
      <c r="C418" s="346"/>
      <c r="D418" s="346"/>
      <c r="E418" s="346"/>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f t="shared" si="59"/>
        <v>0</v>
      </c>
      <c r="AH418" s="351">
        <f t="shared" si="60"/>
        <v>0</v>
      </c>
    </row>
    <row r="419" spans="1:34">
      <c r="A419" s="165">
        <f>'Conveyor Downtime (new)'!A420</f>
        <v>46233</v>
      </c>
      <c r="AG419">
        <f t="shared" si="59"/>
        <v>0</v>
      </c>
      <c r="AH419" s="351">
        <f t="shared" si="60"/>
        <v>0</v>
      </c>
    </row>
    <row r="420" spans="1:34">
      <c r="A420" s="165">
        <f>'Conveyor Downtime (new)'!A421</f>
        <v>46233</v>
      </c>
      <c r="B420" s="346"/>
      <c r="C420" s="346"/>
      <c r="D420" s="346"/>
      <c r="E420" s="346"/>
      <c r="F420" s="346"/>
      <c r="G420" s="346"/>
      <c r="H420" s="346"/>
      <c r="I420" s="346"/>
      <c r="J420" s="346"/>
      <c r="K420" s="346"/>
      <c r="L420" s="346"/>
      <c r="M420" s="346"/>
      <c r="N420" s="346"/>
      <c r="O420" s="346"/>
      <c r="P420" s="346">
        <f>3</f>
        <v>3</v>
      </c>
      <c r="Q420" s="346"/>
      <c r="R420" s="346"/>
      <c r="S420" s="346"/>
      <c r="T420" s="346"/>
      <c r="U420" s="346"/>
      <c r="V420" s="346"/>
      <c r="W420" s="346"/>
      <c r="X420" s="346"/>
      <c r="Y420" s="346"/>
      <c r="Z420" s="346"/>
      <c r="AA420" s="346"/>
      <c r="AB420" s="346"/>
      <c r="AC420" s="346"/>
      <c r="AD420" s="346"/>
      <c r="AE420" s="346"/>
      <c r="AF420" s="346">
        <f>6+8+9</f>
        <v>23</v>
      </c>
      <c r="AG420">
        <f t="shared" si="59"/>
        <v>26</v>
      </c>
      <c r="AH420" s="351">
        <f t="shared" si="60"/>
        <v>0.30588235294117649</v>
      </c>
    </row>
    <row r="421" spans="1:34">
      <c r="A421" s="165">
        <f>'Conveyor Downtime (new)'!A422</f>
        <v>46233</v>
      </c>
      <c r="P421">
        <f>14</f>
        <v>14</v>
      </c>
      <c r="AG421">
        <f t="shared" si="59"/>
        <v>14</v>
      </c>
      <c r="AH421" s="351">
        <f t="shared" si="60"/>
        <v>0.16470588235294117</v>
      </c>
    </row>
    <row r="422" spans="1:34">
      <c r="A422" s="165">
        <f>'Conveyor Downtime (new)'!A423</f>
        <v>46234</v>
      </c>
      <c r="B422" s="346"/>
      <c r="C422" s="346"/>
      <c r="D422" s="346"/>
      <c r="E422" s="346"/>
      <c r="F422" s="346"/>
      <c r="G422" s="346"/>
      <c r="H422" s="346"/>
      <c r="I422" s="346"/>
      <c r="J422" s="346"/>
      <c r="K422" s="346">
        <f>4</f>
        <v>4</v>
      </c>
      <c r="L422" s="346"/>
      <c r="M422" s="346"/>
      <c r="N422" s="346"/>
      <c r="O422" s="346"/>
      <c r="P422" s="346">
        <f>5+9+8</f>
        <v>22</v>
      </c>
      <c r="Q422" s="346"/>
      <c r="R422" s="346"/>
      <c r="S422" s="346"/>
      <c r="T422" s="346"/>
      <c r="U422" s="346"/>
      <c r="V422" s="346"/>
      <c r="W422" s="346"/>
      <c r="X422" s="346"/>
      <c r="Y422" s="346"/>
      <c r="Z422" s="346"/>
      <c r="AA422" s="346"/>
      <c r="AB422" s="346">
        <f>4</f>
        <v>4</v>
      </c>
      <c r="AC422" s="346"/>
      <c r="AD422" s="346"/>
      <c r="AE422" s="346"/>
      <c r="AF422" s="346"/>
      <c r="AG422">
        <f t="shared" si="59"/>
        <v>30</v>
      </c>
      <c r="AH422" s="351">
        <f t="shared" si="60"/>
        <v>0.35294117647058826</v>
      </c>
    </row>
    <row r="423" spans="1:34">
      <c r="A423" s="165"/>
      <c r="AG423">
        <f t="shared" si="59"/>
        <v>0</v>
      </c>
      <c r="AH423" s="351">
        <f t="shared" si="60"/>
        <v>0</v>
      </c>
    </row>
    <row r="424" spans="1:34">
      <c r="A424" s="165"/>
      <c r="B424" s="346"/>
      <c r="C424" s="346"/>
      <c r="D424" s="346"/>
      <c r="E424" s="346"/>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f t="shared" si="59"/>
        <v>0</v>
      </c>
      <c r="AH424" s="351">
        <f t="shared" si="60"/>
        <v>0</v>
      </c>
    </row>
    <row r="425" spans="1:34">
      <c r="A425" s="165"/>
      <c r="AG425">
        <f t="shared" si="59"/>
        <v>0</v>
      </c>
      <c r="AH425" s="351">
        <f t="shared" si="60"/>
        <v>0</v>
      </c>
    </row>
    <row r="426" spans="1:34">
      <c r="A426" s="165"/>
      <c r="B426" s="346"/>
      <c r="C426" s="346"/>
      <c r="D426" s="346"/>
      <c r="E426" s="346"/>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f t="shared" si="59"/>
        <v>0</v>
      </c>
      <c r="AH426" s="351">
        <f t="shared" si="60"/>
        <v>0</v>
      </c>
    </row>
    <row r="427" spans="1:34" ht="13.5" thickBot="1">
      <c r="A427" s="165"/>
      <c r="AG427">
        <f t="shared" si="59"/>
        <v>0</v>
      </c>
      <c r="AH427" s="351">
        <f t="shared" si="60"/>
        <v>0</v>
      </c>
    </row>
    <row r="428" spans="1:34" ht="15">
      <c r="A428" s="645" t="s">
        <v>113</v>
      </c>
      <c r="B428" s="347">
        <f t="shared" ref="B428:AF428" si="63">SUM(B371:B427)</f>
        <v>0</v>
      </c>
      <c r="C428" s="347">
        <f t="shared" si="63"/>
        <v>0</v>
      </c>
      <c r="D428" s="347">
        <f t="shared" si="63"/>
        <v>0</v>
      </c>
      <c r="E428" s="347">
        <f t="shared" si="63"/>
        <v>0</v>
      </c>
      <c r="F428" s="347">
        <f t="shared" si="63"/>
        <v>0</v>
      </c>
      <c r="G428" s="347">
        <f t="shared" si="63"/>
        <v>0</v>
      </c>
      <c r="H428" s="347">
        <f t="shared" si="63"/>
        <v>0</v>
      </c>
      <c r="I428" s="347">
        <f t="shared" si="63"/>
        <v>67</v>
      </c>
      <c r="J428" s="347">
        <f t="shared" si="63"/>
        <v>0</v>
      </c>
      <c r="K428" s="347">
        <f t="shared" si="63"/>
        <v>99</v>
      </c>
      <c r="L428" s="347">
        <f t="shared" si="63"/>
        <v>0</v>
      </c>
      <c r="M428" s="347">
        <f t="shared" si="63"/>
        <v>0</v>
      </c>
      <c r="N428" s="347">
        <f t="shared" si="63"/>
        <v>0</v>
      </c>
      <c r="O428" s="347">
        <f t="shared" si="63"/>
        <v>0</v>
      </c>
      <c r="P428" s="347">
        <f t="shared" si="63"/>
        <v>53</v>
      </c>
      <c r="Q428" s="347">
        <f t="shared" si="63"/>
        <v>0</v>
      </c>
      <c r="R428" s="347">
        <f t="shared" si="63"/>
        <v>0</v>
      </c>
      <c r="S428" s="347">
        <f t="shared" si="63"/>
        <v>0</v>
      </c>
      <c r="T428" s="347">
        <f t="shared" si="63"/>
        <v>0</v>
      </c>
      <c r="U428" s="347">
        <f t="shared" si="63"/>
        <v>0</v>
      </c>
      <c r="V428" s="347">
        <f t="shared" si="63"/>
        <v>0</v>
      </c>
      <c r="W428" s="347">
        <f t="shared" si="63"/>
        <v>0</v>
      </c>
      <c r="X428" s="347">
        <f t="shared" si="63"/>
        <v>0</v>
      </c>
      <c r="Y428" s="347">
        <f t="shared" si="63"/>
        <v>0</v>
      </c>
      <c r="Z428" s="347">
        <f t="shared" si="63"/>
        <v>0</v>
      </c>
      <c r="AA428" s="347">
        <f t="shared" si="63"/>
        <v>7</v>
      </c>
      <c r="AB428" s="347">
        <f t="shared" si="63"/>
        <v>4</v>
      </c>
      <c r="AC428" s="347">
        <f t="shared" si="63"/>
        <v>0</v>
      </c>
      <c r="AD428" s="347">
        <f t="shared" si="63"/>
        <v>71</v>
      </c>
      <c r="AE428" s="347">
        <f t="shared" si="63"/>
        <v>0</v>
      </c>
      <c r="AF428" s="347">
        <f t="shared" si="63"/>
        <v>23</v>
      </c>
      <c r="AG428" s="347">
        <f>SUM(AG371:AG427)</f>
        <v>324</v>
      </c>
    </row>
    <row r="429" spans="1:34" ht="15.75" thickBot="1">
      <c r="A429" s="646"/>
      <c r="B429" s="348">
        <f>B428/$AG428</f>
        <v>0</v>
      </c>
      <c r="C429" s="348">
        <f>C428/$AG428</f>
        <v>0</v>
      </c>
      <c r="D429" s="348">
        <f>D428/$AG428</f>
        <v>0</v>
      </c>
      <c r="E429" s="348">
        <f t="shared" ref="E429:AF429" si="64">E428/$AG428</f>
        <v>0</v>
      </c>
      <c r="F429" s="348">
        <f t="shared" si="64"/>
        <v>0</v>
      </c>
      <c r="G429" s="348">
        <f t="shared" si="64"/>
        <v>0</v>
      </c>
      <c r="H429" s="348">
        <f t="shared" si="64"/>
        <v>0</v>
      </c>
      <c r="I429" s="348">
        <f t="shared" si="64"/>
        <v>0.20679012345679013</v>
      </c>
      <c r="J429" s="348">
        <f t="shared" si="64"/>
        <v>0</v>
      </c>
      <c r="K429" s="348">
        <f t="shared" si="64"/>
        <v>0.30555555555555558</v>
      </c>
      <c r="L429" s="348">
        <f t="shared" si="64"/>
        <v>0</v>
      </c>
      <c r="M429" s="348">
        <f t="shared" si="64"/>
        <v>0</v>
      </c>
      <c r="N429" s="348">
        <f t="shared" si="64"/>
        <v>0</v>
      </c>
      <c r="O429" s="348">
        <f t="shared" si="64"/>
        <v>0</v>
      </c>
      <c r="P429" s="348">
        <f t="shared" si="64"/>
        <v>0.16358024691358025</v>
      </c>
      <c r="Q429" s="348">
        <f t="shared" si="64"/>
        <v>0</v>
      </c>
      <c r="R429" s="348">
        <f t="shared" si="64"/>
        <v>0</v>
      </c>
      <c r="S429" s="348">
        <f t="shared" si="64"/>
        <v>0</v>
      </c>
      <c r="T429" s="348">
        <f t="shared" si="64"/>
        <v>0</v>
      </c>
      <c r="U429" s="348">
        <f t="shared" si="64"/>
        <v>0</v>
      </c>
      <c r="V429" s="348">
        <f t="shared" si="64"/>
        <v>0</v>
      </c>
      <c r="W429" s="348">
        <f t="shared" si="64"/>
        <v>0</v>
      </c>
      <c r="X429" s="348">
        <f t="shared" si="64"/>
        <v>0</v>
      </c>
      <c r="Y429" s="348">
        <f t="shared" si="64"/>
        <v>0</v>
      </c>
      <c r="Z429" s="348">
        <f t="shared" si="64"/>
        <v>0</v>
      </c>
      <c r="AA429" s="348">
        <f t="shared" si="64"/>
        <v>2.1604938271604937E-2</v>
      </c>
      <c r="AB429" s="348">
        <f t="shared" si="64"/>
        <v>1.2345679012345678E-2</v>
      </c>
      <c r="AC429" s="348">
        <f t="shared" si="64"/>
        <v>0</v>
      </c>
      <c r="AD429" s="348">
        <f t="shared" si="64"/>
        <v>0.2191358024691358</v>
      </c>
      <c r="AE429" s="348">
        <f t="shared" si="64"/>
        <v>0</v>
      </c>
      <c r="AF429" s="348">
        <f t="shared" si="64"/>
        <v>7.098765432098765E-2</v>
      </c>
      <c r="AG429" s="351"/>
    </row>
    <row r="433" spans="1:34">
      <c r="A433" s="165">
        <f>'Conveyor Downtime (new)'!A433</f>
        <v>46237</v>
      </c>
      <c r="K433">
        <f>2</f>
        <v>2</v>
      </c>
      <c r="P433">
        <f>20+28</f>
        <v>48</v>
      </c>
      <c r="AG433">
        <f t="shared" ref="AG433:AG488" si="65">SUM(B433:AF433)</f>
        <v>50</v>
      </c>
      <c r="AH433" s="351">
        <f>AG433/$AG$368</f>
        <v>0.58823529411764708</v>
      </c>
    </row>
    <row r="434" spans="1:34">
      <c r="A434" s="165">
        <f>'Conveyor Downtime (new)'!A434</f>
        <v>46238</v>
      </c>
      <c r="B434" s="346"/>
      <c r="C434" s="346"/>
      <c r="D434" s="346"/>
      <c r="E434" s="346"/>
      <c r="F434" s="346"/>
      <c r="G434" s="346"/>
      <c r="H434" s="346"/>
      <c r="I434" s="346"/>
      <c r="J434" s="346"/>
      <c r="K434" s="346">
        <f>2+2+1</f>
        <v>5</v>
      </c>
      <c r="L434" s="346"/>
      <c r="M434" s="346"/>
      <c r="N434" s="346"/>
      <c r="O434" s="346"/>
      <c r="P434" s="346">
        <f>5+4+3</f>
        <v>12</v>
      </c>
      <c r="Q434" s="346"/>
      <c r="R434" s="346"/>
      <c r="S434" s="346"/>
      <c r="T434" s="346"/>
      <c r="U434" s="346">
        <f>7</f>
        <v>7</v>
      </c>
      <c r="V434" s="346"/>
      <c r="W434" s="346"/>
      <c r="X434" s="346"/>
      <c r="Y434" s="346"/>
      <c r="Z434" s="346"/>
      <c r="AA434" s="346"/>
      <c r="AB434" s="346"/>
      <c r="AC434" s="346"/>
      <c r="AD434" s="346"/>
      <c r="AE434" s="346"/>
      <c r="AF434" s="346"/>
      <c r="AG434">
        <f t="shared" si="65"/>
        <v>24</v>
      </c>
      <c r="AH434" s="351">
        <f t="shared" ref="AH434:AH488" si="66">AG434/$AG$368</f>
        <v>0.28235294117647058</v>
      </c>
    </row>
    <row r="435" spans="1:34">
      <c r="A435" s="165">
        <f>'Conveyor Downtime (new)'!A435</f>
        <v>46239</v>
      </c>
      <c r="S435">
        <f>4</f>
        <v>4</v>
      </c>
      <c r="AG435">
        <f t="shared" si="65"/>
        <v>4</v>
      </c>
      <c r="AH435" s="351">
        <f t="shared" si="66"/>
        <v>4.7058823529411764E-2</v>
      </c>
    </row>
    <row r="436" spans="1:34">
      <c r="A436" s="165">
        <f>'Conveyor Downtime (new)'!A436</f>
        <v>46239</v>
      </c>
      <c r="B436" s="346"/>
      <c r="C436" s="346"/>
      <c r="D436" s="346"/>
      <c r="E436" s="346"/>
      <c r="F436" s="346"/>
      <c r="G436" s="346"/>
      <c r="H436" s="346"/>
      <c r="I436" s="346"/>
      <c r="J436" s="346"/>
      <c r="K436" s="346">
        <f>2+2</f>
        <v>4</v>
      </c>
      <c r="L436" s="346"/>
      <c r="M436" s="346"/>
      <c r="N436" s="346"/>
      <c r="O436" s="346"/>
      <c r="P436" s="346"/>
      <c r="Q436" s="346"/>
      <c r="R436" s="346"/>
      <c r="S436" s="346">
        <f>6</f>
        <v>6</v>
      </c>
      <c r="T436" s="346"/>
      <c r="U436" s="346"/>
      <c r="V436" s="346"/>
      <c r="W436" s="346"/>
      <c r="X436" s="346"/>
      <c r="Y436" s="346"/>
      <c r="Z436" s="346"/>
      <c r="AA436" s="346"/>
      <c r="AB436" s="346"/>
      <c r="AC436" s="346"/>
      <c r="AD436" s="346"/>
      <c r="AE436" s="346"/>
      <c r="AF436" s="346"/>
      <c r="AG436">
        <f t="shared" si="65"/>
        <v>10</v>
      </c>
      <c r="AH436" s="351">
        <f t="shared" si="66"/>
        <v>0.11764705882352941</v>
      </c>
    </row>
    <row r="437" spans="1:34">
      <c r="A437" s="165">
        <f>'Conveyor Downtime (new)'!A437</f>
        <v>46239</v>
      </c>
      <c r="AG437">
        <f t="shared" si="65"/>
        <v>0</v>
      </c>
      <c r="AH437" s="351">
        <f t="shared" si="66"/>
        <v>0</v>
      </c>
    </row>
    <row r="438" spans="1:34">
      <c r="A438" s="165">
        <f>'Conveyor Downtime (new)'!A438</f>
        <v>46240</v>
      </c>
      <c r="B438" s="346"/>
      <c r="C438" s="346"/>
      <c r="D438" s="346"/>
      <c r="E438" s="346"/>
      <c r="F438" s="346"/>
      <c r="G438" s="346"/>
      <c r="H438" s="346"/>
      <c r="I438" s="346"/>
      <c r="J438" s="346"/>
      <c r="K438" s="346"/>
      <c r="L438" s="346"/>
      <c r="M438" s="346"/>
      <c r="N438" s="346"/>
      <c r="O438" s="346"/>
      <c r="P438" s="346">
        <f>2</f>
        <v>2</v>
      </c>
      <c r="Q438" s="346"/>
      <c r="R438" s="346"/>
      <c r="S438" s="346"/>
      <c r="T438" s="346"/>
      <c r="U438" s="346"/>
      <c r="V438" s="346"/>
      <c r="W438" s="346"/>
      <c r="X438" s="346"/>
      <c r="Y438" s="346"/>
      <c r="Z438" s="346"/>
      <c r="AA438" s="346"/>
      <c r="AB438" s="346"/>
      <c r="AC438" s="346"/>
      <c r="AD438" s="346"/>
      <c r="AE438" s="346"/>
      <c r="AF438" s="346"/>
      <c r="AG438">
        <f t="shared" si="65"/>
        <v>2</v>
      </c>
      <c r="AH438" s="351">
        <f t="shared" si="66"/>
        <v>2.3529411764705882E-2</v>
      </c>
    </row>
    <row r="439" spans="1:34">
      <c r="A439" s="165">
        <f>'Conveyor Downtime (new)'!A439</f>
        <v>46241</v>
      </c>
      <c r="K439">
        <f>4+7</f>
        <v>11</v>
      </c>
      <c r="Y439">
        <f>6</f>
        <v>6</v>
      </c>
      <c r="AG439">
        <f t="shared" si="65"/>
        <v>17</v>
      </c>
      <c r="AH439" s="351">
        <f t="shared" si="66"/>
        <v>0.2</v>
      </c>
    </row>
    <row r="440" spans="1:34">
      <c r="A440" s="165">
        <f>'Conveyor Downtime (new)'!A440</f>
        <v>46241</v>
      </c>
      <c r="B440" s="346"/>
      <c r="C440" s="346"/>
      <c r="D440" s="346"/>
      <c r="E440" s="346"/>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f t="shared" si="65"/>
        <v>0</v>
      </c>
      <c r="AH440" s="351">
        <f t="shared" si="66"/>
        <v>0</v>
      </c>
    </row>
    <row r="441" spans="1:34">
      <c r="A441" s="165">
        <f>'Conveyor Downtime (new)'!A441</f>
        <v>46246</v>
      </c>
      <c r="K441">
        <f>7+4+4</f>
        <v>15</v>
      </c>
      <c r="P441">
        <f>11+4+6</f>
        <v>21</v>
      </c>
      <c r="AC441">
        <f>9</f>
        <v>9</v>
      </c>
      <c r="AG441">
        <f t="shared" si="65"/>
        <v>45</v>
      </c>
      <c r="AH441" s="351">
        <f t="shared" si="66"/>
        <v>0.52941176470588236</v>
      </c>
    </row>
    <row r="442" spans="1:34">
      <c r="A442" s="165">
        <f>'Conveyor Downtime (new)'!A442</f>
        <v>46247</v>
      </c>
      <c r="B442" s="346"/>
      <c r="C442" s="346"/>
      <c r="D442" s="346"/>
      <c r="E442" s="346"/>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f t="shared" si="65"/>
        <v>0</v>
      </c>
      <c r="AH442" s="351">
        <f t="shared" si="66"/>
        <v>0</v>
      </c>
    </row>
    <row r="443" spans="1:34">
      <c r="A443" s="165">
        <f>'Conveyor Downtime (new)'!A443</f>
        <v>46247</v>
      </c>
      <c r="AE443">
        <f>4</f>
        <v>4</v>
      </c>
      <c r="AG443">
        <f t="shared" si="65"/>
        <v>4</v>
      </c>
      <c r="AH443" s="351">
        <f t="shared" si="66"/>
        <v>4.7058823529411764E-2</v>
      </c>
    </row>
    <row r="444" spans="1:34">
      <c r="A444" s="165">
        <f>'Conveyor Downtime (new)'!A444</f>
        <v>46247</v>
      </c>
      <c r="B444" s="346"/>
      <c r="C444" s="346"/>
      <c r="D444" s="346"/>
      <c r="E444" s="346"/>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f t="shared" si="65"/>
        <v>0</v>
      </c>
      <c r="AH444" s="351">
        <f t="shared" si="66"/>
        <v>0</v>
      </c>
    </row>
    <row r="445" spans="1:34">
      <c r="A445" s="165">
        <f>'Conveyor Downtime (new)'!A445</f>
        <v>46248</v>
      </c>
      <c r="K445">
        <f>5+4+5</f>
        <v>14</v>
      </c>
      <c r="Y445">
        <v>1</v>
      </c>
      <c r="AG445">
        <f t="shared" si="65"/>
        <v>15</v>
      </c>
      <c r="AH445" s="351">
        <f t="shared" si="66"/>
        <v>0.17647058823529413</v>
      </c>
    </row>
    <row r="446" spans="1:34">
      <c r="A446" s="165">
        <f>'Conveyor Downtime (new)'!A446</f>
        <v>46248</v>
      </c>
      <c r="B446" s="346"/>
      <c r="C446" s="346"/>
      <c r="D446" s="346"/>
      <c r="E446" s="346"/>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f t="shared" si="65"/>
        <v>0</v>
      </c>
      <c r="AH446" s="351">
        <f t="shared" si="66"/>
        <v>0</v>
      </c>
    </row>
    <row r="447" spans="1:34">
      <c r="A447" s="165">
        <f>'Conveyor Downtime (new)'!A447</f>
        <v>46251</v>
      </c>
      <c r="K447">
        <f>5+3</f>
        <v>8</v>
      </c>
      <c r="AG447">
        <f t="shared" si="65"/>
        <v>8</v>
      </c>
      <c r="AH447" s="351">
        <f t="shared" si="66"/>
        <v>9.4117647058823528E-2</v>
      </c>
    </row>
    <row r="448" spans="1:34">
      <c r="A448" s="165">
        <f>'Conveyor Downtime (new)'!A448</f>
        <v>46251</v>
      </c>
      <c r="B448" s="346"/>
      <c r="C448" s="346"/>
      <c r="D448" s="346"/>
      <c r="E448" s="346"/>
      <c r="F448" s="346"/>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f t="shared" si="65"/>
        <v>0</v>
      </c>
      <c r="AH448" s="351">
        <f t="shared" si="66"/>
        <v>0</v>
      </c>
    </row>
    <row r="449" spans="1:34">
      <c r="A449" s="165">
        <f>'Conveyor Downtime (new)'!A449</f>
        <v>46252</v>
      </c>
      <c r="AG449">
        <f t="shared" si="65"/>
        <v>0</v>
      </c>
      <c r="AH449" s="351">
        <f t="shared" si="66"/>
        <v>0</v>
      </c>
    </row>
    <row r="450" spans="1:34">
      <c r="A450" s="165">
        <f>'Conveyor Downtime (new)'!A450</f>
        <v>46252</v>
      </c>
      <c r="B450" s="346"/>
      <c r="C450" s="346"/>
      <c r="D450" s="346"/>
      <c r="E450" s="346"/>
      <c r="F450" s="346"/>
      <c r="G450" s="346"/>
      <c r="H450" s="346"/>
      <c r="I450" s="346"/>
      <c r="J450" s="346"/>
      <c r="K450" s="346">
        <f>5+3+3+3+2+3</f>
        <v>19</v>
      </c>
      <c r="L450" s="346"/>
      <c r="M450" s="346"/>
      <c r="N450" s="346"/>
      <c r="O450" s="346"/>
      <c r="P450" s="346">
        <f>4+7</f>
        <v>11</v>
      </c>
      <c r="Q450" s="346"/>
      <c r="R450" s="346"/>
      <c r="S450" s="346">
        <f>3</f>
        <v>3</v>
      </c>
      <c r="T450" s="346"/>
      <c r="U450" s="346"/>
      <c r="V450" s="346"/>
      <c r="W450" s="346"/>
      <c r="X450" s="346"/>
      <c r="Y450" s="346"/>
      <c r="Z450" s="346"/>
      <c r="AA450" s="346"/>
      <c r="AB450" s="346"/>
      <c r="AC450" s="346"/>
      <c r="AD450" s="346"/>
      <c r="AE450" s="346"/>
      <c r="AF450" s="346"/>
      <c r="AG450">
        <f t="shared" si="65"/>
        <v>33</v>
      </c>
      <c r="AH450" s="351">
        <f t="shared" si="66"/>
        <v>0.38823529411764707</v>
      </c>
    </row>
    <row r="451" spans="1:34">
      <c r="A451" s="165">
        <f>'Conveyor Downtime (new)'!A451</f>
        <v>46253</v>
      </c>
      <c r="K451">
        <f>4+2+3</f>
        <v>9</v>
      </c>
      <c r="AC451">
        <f>4</f>
        <v>4</v>
      </c>
      <c r="AG451">
        <f t="shared" si="65"/>
        <v>13</v>
      </c>
      <c r="AH451" s="351">
        <f t="shared" si="66"/>
        <v>0.15294117647058825</v>
      </c>
    </row>
    <row r="452" spans="1:34">
      <c r="A452" s="165">
        <f>'Conveyor Downtime (new)'!A452</f>
        <v>46253</v>
      </c>
      <c r="B452" s="346"/>
      <c r="C452" s="346"/>
      <c r="D452" s="346"/>
      <c r="E452" s="346"/>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f t="shared" si="65"/>
        <v>0</v>
      </c>
      <c r="AH452" s="351">
        <f t="shared" si="66"/>
        <v>0</v>
      </c>
    </row>
    <row r="453" spans="1:34">
      <c r="A453" s="165">
        <f>'Conveyor Downtime (new)'!A453</f>
        <v>46254</v>
      </c>
      <c r="B453" s="346"/>
      <c r="C453" s="346"/>
      <c r="D453" s="346"/>
      <c r="E453" s="346"/>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f t="shared" si="65"/>
        <v>0</v>
      </c>
      <c r="AH453" s="351">
        <f t="shared" si="66"/>
        <v>0</v>
      </c>
    </row>
    <row r="454" spans="1:34">
      <c r="A454" s="165">
        <f>'Conveyor Downtime (new)'!A454</f>
        <v>46254</v>
      </c>
      <c r="K454">
        <f>2</f>
        <v>2</v>
      </c>
      <c r="AG454">
        <f t="shared" si="65"/>
        <v>2</v>
      </c>
      <c r="AH454" s="351">
        <f t="shared" si="66"/>
        <v>2.3529411764705882E-2</v>
      </c>
    </row>
    <row r="455" spans="1:34">
      <c r="A455" s="165">
        <f>'Conveyor Downtime (new)'!A455</f>
        <v>46258</v>
      </c>
      <c r="B455" s="346">
        <f>17</f>
        <v>17</v>
      </c>
      <c r="C455" s="346"/>
      <c r="D455" s="346"/>
      <c r="E455" s="346"/>
      <c r="F455" s="346"/>
      <c r="G455" s="346"/>
      <c r="H455" s="346"/>
      <c r="I455" s="346"/>
      <c r="J455" s="346"/>
      <c r="K455" s="346">
        <f>4</f>
        <v>4</v>
      </c>
      <c r="L455" s="346"/>
      <c r="M455" s="346"/>
      <c r="N455" s="346"/>
      <c r="O455" s="346"/>
      <c r="P455" s="346"/>
      <c r="Q455" s="346"/>
      <c r="R455" s="346"/>
      <c r="S455" s="346"/>
      <c r="T455" s="346"/>
      <c r="U455" s="346"/>
      <c r="V455" s="346"/>
      <c r="W455" s="346"/>
      <c r="X455" s="346">
        <f>3+37+9</f>
        <v>49</v>
      </c>
      <c r="Y455" s="346"/>
      <c r="Z455" s="346"/>
      <c r="AA455" s="346"/>
      <c r="AB455" s="346"/>
      <c r="AC455" s="346">
        <f>3</f>
        <v>3</v>
      </c>
      <c r="AD455" s="346"/>
      <c r="AE455" s="346"/>
      <c r="AF455" s="346"/>
      <c r="AG455">
        <f t="shared" si="65"/>
        <v>73</v>
      </c>
      <c r="AH455" s="351">
        <f t="shared" si="66"/>
        <v>0.85882352941176465</v>
      </c>
    </row>
    <row r="456" spans="1:34">
      <c r="A456" s="165">
        <f>'Conveyor Downtime (new)'!A456</f>
        <v>46258</v>
      </c>
      <c r="B456" s="346"/>
      <c r="C456" s="346"/>
      <c r="D456" s="346"/>
      <c r="E456" s="346"/>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f t="shared" si="65"/>
        <v>0</v>
      </c>
      <c r="AH456" s="351">
        <f t="shared" si="66"/>
        <v>0</v>
      </c>
    </row>
    <row r="457" spans="1:34">
      <c r="A457" s="165">
        <f>'Conveyor Downtime (new)'!A457</f>
        <v>46259</v>
      </c>
      <c r="B457">
        <f>6</f>
        <v>6</v>
      </c>
      <c r="P457">
        <f>1</f>
        <v>1</v>
      </c>
      <c r="AG457">
        <f t="shared" si="65"/>
        <v>7</v>
      </c>
      <c r="AH457" s="351">
        <f t="shared" si="66"/>
        <v>8.2352941176470587E-2</v>
      </c>
    </row>
    <row r="458" spans="1:34">
      <c r="A458" s="165">
        <f>'Conveyor Downtime (new)'!A458</f>
        <v>46259</v>
      </c>
      <c r="B458" s="346"/>
      <c r="C458" s="346"/>
      <c r="D458" s="346"/>
      <c r="E458" s="346"/>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f t="shared" si="65"/>
        <v>0</v>
      </c>
      <c r="AH458" s="351">
        <f t="shared" si="66"/>
        <v>0</v>
      </c>
    </row>
    <row r="459" spans="1:34">
      <c r="A459" s="165">
        <f>'Conveyor Downtime (new)'!A459</f>
        <v>46260</v>
      </c>
      <c r="B459" s="346"/>
      <c r="C459" s="346"/>
      <c r="D459" s="346"/>
      <c r="E459" s="346"/>
      <c r="F459" s="346"/>
      <c r="G459" s="346"/>
      <c r="H459" s="346"/>
      <c r="I459" s="346"/>
      <c r="J459" s="346"/>
      <c r="K459" s="346"/>
      <c r="L459" s="346"/>
      <c r="M459" s="346"/>
      <c r="N459" s="346"/>
      <c r="O459" s="346"/>
      <c r="P459" s="346"/>
      <c r="Q459" s="346"/>
      <c r="R459" s="346"/>
      <c r="S459" s="346">
        <f>10</f>
        <v>10</v>
      </c>
      <c r="T459" s="346"/>
      <c r="U459" s="346"/>
      <c r="V459" s="346"/>
      <c r="W459" s="346"/>
      <c r="X459" s="346"/>
      <c r="Y459" s="346"/>
      <c r="Z459" s="346"/>
      <c r="AA459" s="346"/>
      <c r="AB459" s="346"/>
      <c r="AC459" s="346"/>
      <c r="AD459" s="346"/>
      <c r="AE459" s="346"/>
      <c r="AF459" s="346"/>
      <c r="AG459">
        <f t="shared" si="65"/>
        <v>10</v>
      </c>
      <c r="AH459" s="351">
        <f t="shared" si="66"/>
        <v>0.11764705882352941</v>
      </c>
    </row>
    <row r="460" spans="1:34">
      <c r="A460" s="165">
        <f>'Conveyor Downtime (new)'!A460</f>
        <v>46260</v>
      </c>
      <c r="AG460">
        <f t="shared" si="65"/>
        <v>0</v>
      </c>
      <c r="AH460" s="351">
        <f t="shared" si="66"/>
        <v>0</v>
      </c>
    </row>
    <row r="461" spans="1:34">
      <c r="A461" s="165">
        <f>'Conveyor Downtime (new)'!A461</f>
        <v>46261</v>
      </c>
      <c r="B461" s="346">
        <f>17</f>
        <v>17</v>
      </c>
      <c r="C461" s="346"/>
      <c r="D461" s="346"/>
      <c r="E461" s="346"/>
      <c r="F461" s="346"/>
      <c r="G461" s="346"/>
      <c r="H461" s="346"/>
      <c r="I461" s="346"/>
      <c r="J461" s="346"/>
      <c r="K461" s="346">
        <f>3+5</f>
        <v>8</v>
      </c>
      <c r="L461" s="346">
        <v>16</v>
      </c>
      <c r="M461" s="346"/>
      <c r="N461" s="346"/>
      <c r="O461" s="346"/>
      <c r="P461" s="346"/>
      <c r="Q461" s="346"/>
      <c r="R461" s="346"/>
      <c r="S461" s="346"/>
      <c r="T461" s="346"/>
      <c r="U461" s="346"/>
      <c r="V461" s="346"/>
      <c r="W461" s="346"/>
      <c r="X461" s="346"/>
      <c r="Y461" s="346"/>
      <c r="Z461" s="346"/>
      <c r="AA461" s="346"/>
      <c r="AB461" s="346"/>
      <c r="AC461" s="346"/>
      <c r="AD461" s="346"/>
      <c r="AE461" s="346"/>
      <c r="AF461" s="346"/>
      <c r="AG461">
        <f t="shared" si="65"/>
        <v>41</v>
      </c>
      <c r="AH461" s="351">
        <f t="shared" si="66"/>
        <v>0.4823529411764706</v>
      </c>
    </row>
    <row r="462" spans="1:34">
      <c r="A462" s="165">
        <f>'Conveyor Downtime (new)'!A462</f>
        <v>46261</v>
      </c>
      <c r="B462" s="346"/>
      <c r="C462" s="346"/>
      <c r="D462" s="346"/>
      <c r="E462" s="346"/>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f t="shared" si="65"/>
        <v>0</v>
      </c>
      <c r="AH462" s="351">
        <f t="shared" si="66"/>
        <v>0</v>
      </c>
    </row>
    <row r="463" spans="1:34">
      <c r="A463" s="165">
        <f>'Conveyor Downtime (new)'!A463</f>
        <v>46261</v>
      </c>
      <c r="AG463">
        <f t="shared" si="65"/>
        <v>0</v>
      </c>
      <c r="AH463" s="351">
        <f t="shared" si="66"/>
        <v>0</v>
      </c>
    </row>
    <row r="464" spans="1:34">
      <c r="A464" s="165">
        <f>'Conveyor Downtime (new)'!A464</f>
        <v>46262</v>
      </c>
      <c r="B464" s="346"/>
      <c r="C464" s="346"/>
      <c r="D464" s="346"/>
      <c r="E464" s="346"/>
      <c r="F464" s="346"/>
      <c r="G464" s="346"/>
      <c r="H464" s="346"/>
      <c r="I464" s="346"/>
      <c r="J464" s="346"/>
      <c r="K464" s="346">
        <f>3</f>
        <v>3</v>
      </c>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f t="shared" si="65"/>
        <v>3</v>
      </c>
      <c r="AH464" s="351">
        <f t="shared" si="66"/>
        <v>3.5294117647058823E-2</v>
      </c>
    </row>
    <row r="465" spans="1:34">
      <c r="A465" s="165">
        <f>'Conveyor Downtime (new)'!A465</f>
        <v>46262</v>
      </c>
      <c r="B465" s="346"/>
      <c r="C465" s="346"/>
      <c r="D465" s="346"/>
      <c r="E465" s="346"/>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f t="shared" si="65"/>
        <v>0</v>
      </c>
      <c r="AH465" s="351">
        <f t="shared" si="66"/>
        <v>0</v>
      </c>
    </row>
    <row r="466" spans="1:34">
      <c r="A466" s="165">
        <f>'Conveyor Downtime (new)'!A466</f>
        <v>46262</v>
      </c>
      <c r="AG466">
        <f t="shared" si="65"/>
        <v>0</v>
      </c>
      <c r="AH466" s="351">
        <f t="shared" si="66"/>
        <v>0</v>
      </c>
    </row>
    <row r="467" spans="1:34">
      <c r="A467" s="165">
        <f>'Conveyor Downtime (new)'!A467</f>
        <v>46262</v>
      </c>
      <c r="B467" s="346"/>
      <c r="C467" s="346"/>
      <c r="D467" s="346"/>
      <c r="E467" s="346"/>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f t="shared" si="65"/>
        <v>0</v>
      </c>
      <c r="AH467" s="351">
        <f t="shared" si="66"/>
        <v>0</v>
      </c>
    </row>
    <row r="468" spans="1:34">
      <c r="A468" s="165">
        <f>'Conveyor Downtime (new)'!A468</f>
        <v>46265</v>
      </c>
      <c r="B468" s="346"/>
      <c r="C468" s="346"/>
      <c r="D468" s="346"/>
      <c r="E468" s="346"/>
      <c r="F468" s="346"/>
      <c r="G468" s="346"/>
      <c r="H468" s="346"/>
      <c r="I468" s="346"/>
      <c r="J468" s="346"/>
      <c r="K468" s="346">
        <f>3</f>
        <v>3</v>
      </c>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f t="shared" si="65"/>
        <v>3</v>
      </c>
      <c r="AH468" s="351">
        <f t="shared" si="66"/>
        <v>3.5294117647058823E-2</v>
      </c>
    </row>
    <row r="469" spans="1:34">
      <c r="A469" s="165">
        <f>'Conveyor Downtime (new)'!A469</f>
        <v>0</v>
      </c>
      <c r="AG469">
        <f t="shared" si="65"/>
        <v>0</v>
      </c>
      <c r="AH469" s="351">
        <f t="shared" si="66"/>
        <v>0</v>
      </c>
    </row>
    <row r="470" spans="1:34">
      <c r="A470" s="165">
        <f>'Conveyor Downtime (new)'!A470</f>
        <v>0</v>
      </c>
      <c r="B470" s="346"/>
      <c r="C470" s="346"/>
      <c r="D470" s="346"/>
      <c r="E470" s="346"/>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s="346"/>
      <c r="AE470" s="346"/>
      <c r="AF470" s="346"/>
      <c r="AG470">
        <f t="shared" si="65"/>
        <v>0</v>
      </c>
      <c r="AH470" s="351">
        <f t="shared" si="66"/>
        <v>0</v>
      </c>
    </row>
    <row r="471" spans="1:34">
      <c r="A471" s="165"/>
      <c r="B471" s="346"/>
      <c r="C471" s="346"/>
      <c r="D471" s="346"/>
      <c r="E471" s="346"/>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f t="shared" si="65"/>
        <v>0</v>
      </c>
      <c r="AH471" s="351">
        <f t="shared" si="66"/>
        <v>0</v>
      </c>
    </row>
    <row r="472" spans="1:34">
      <c r="A472" s="165"/>
      <c r="AG472">
        <f t="shared" si="65"/>
        <v>0</v>
      </c>
      <c r="AH472" s="351">
        <f t="shared" si="66"/>
        <v>0</v>
      </c>
    </row>
    <row r="473" spans="1:34">
      <c r="A473" s="165"/>
      <c r="B473" s="346"/>
      <c r="C473" s="346"/>
      <c r="D473" s="346"/>
      <c r="E473" s="346"/>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f t="shared" si="65"/>
        <v>0</v>
      </c>
      <c r="AH473" s="351">
        <f t="shared" si="66"/>
        <v>0</v>
      </c>
    </row>
    <row r="474" spans="1:34">
      <c r="A474" s="165"/>
      <c r="B474" s="346"/>
      <c r="C474" s="346"/>
      <c r="D474" s="346"/>
      <c r="E474" s="346"/>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f t="shared" si="65"/>
        <v>0</v>
      </c>
      <c r="AH474" s="351">
        <f t="shared" si="66"/>
        <v>0</v>
      </c>
    </row>
    <row r="475" spans="1:34">
      <c r="A475" s="165"/>
      <c r="AG475">
        <f t="shared" si="65"/>
        <v>0</v>
      </c>
      <c r="AH475" s="351">
        <f t="shared" si="66"/>
        <v>0</v>
      </c>
    </row>
    <row r="476" spans="1:34">
      <c r="A476" s="165"/>
      <c r="B476" s="346"/>
      <c r="C476" s="346"/>
      <c r="D476" s="346"/>
      <c r="E476" s="346"/>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f t="shared" si="65"/>
        <v>0</v>
      </c>
      <c r="AH476" s="351">
        <f t="shared" si="66"/>
        <v>0</v>
      </c>
    </row>
    <row r="477" spans="1:34">
      <c r="A477" s="165"/>
      <c r="B477" s="346"/>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f t="shared" si="65"/>
        <v>0</v>
      </c>
      <c r="AH477" s="351">
        <f t="shared" si="66"/>
        <v>0</v>
      </c>
    </row>
    <row r="478" spans="1:34">
      <c r="A478" s="165"/>
      <c r="AG478">
        <f t="shared" si="65"/>
        <v>0</v>
      </c>
      <c r="AH478" s="351">
        <f t="shared" si="66"/>
        <v>0</v>
      </c>
    </row>
    <row r="479" spans="1:34">
      <c r="A479" s="165"/>
      <c r="B479" s="346"/>
      <c r="C479" s="346"/>
      <c r="D479" s="346"/>
      <c r="E479" s="346"/>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f t="shared" si="65"/>
        <v>0</v>
      </c>
      <c r="AH479" s="351">
        <f t="shared" si="66"/>
        <v>0</v>
      </c>
    </row>
    <row r="480" spans="1:34">
      <c r="A480" s="165"/>
      <c r="B480" s="346"/>
      <c r="C480" s="346"/>
      <c r="D480" s="346"/>
      <c r="E480" s="346"/>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f t="shared" si="65"/>
        <v>0</v>
      </c>
      <c r="AH480" s="351">
        <f t="shared" si="66"/>
        <v>0</v>
      </c>
    </row>
    <row r="481" spans="1:34">
      <c r="A481" s="165"/>
      <c r="AG481">
        <f t="shared" si="65"/>
        <v>0</v>
      </c>
      <c r="AH481" s="351">
        <f t="shared" si="66"/>
        <v>0</v>
      </c>
    </row>
    <row r="482" spans="1:34">
      <c r="A482" s="165"/>
      <c r="B482" s="346"/>
      <c r="C482" s="346"/>
      <c r="D482" s="346"/>
      <c r="E482" s="346"/>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f t="shared" si="65"/>
        <v>0</v>
      </c>
      <c r="AH482" s="351">
        <f t="shared" si="66"/>
        <v>0</v>
      </c>
    </row>
    <row r="483" spans="1:34">
      <c r="A483" s="165"/>
      <c r="B483" s="346"/>
      <c r="C483" s="346"/>
      <c r="D483" s="346"/>
      <c r="E483" s="346"/>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f t="shared" si="65"/>
        <v>0</v>
      </c>
      <c r="AH483" s="351">
        <f t="shared" si="66"/>
        <v>0</v>
      </c>
    </row>
    <row r="484" spans="1:34">
      <c r="A484" s="165"/>
      <c r="AG484">
        <f t="shared" si="65"/>
        <v>0</v>
      </c>
      <c r="AH484" s="351">
        <f t="shared" si="66"/>
        <v>0</v>
      </c>
    </row>
    <row r="485" spans="1:34">
      <c r="A485" s="165"/>
      <c r="B485" s="346"/>
      <c r="C485" s="346"/>
      <c r="D485" s="346"/>
      <c r="E485" s="346"/>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f t="shared" si="65"/>
        <v>0</v>
      </c>
      <c r="AH485" s="351">
        <f t="shared" si="66"/>
        <v>0</v>
      </c>
    </row>
    <row r="486" spans="1:34">
      <c r="A486" s="165"/>
      <c r="B486" s="346"/>
      <c r="C486" s="346"/>
      <c r="D486" s="346"/>
      <c r="E486" s="346"/>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f t="shared" si="65"/>
        <v>0</v>
      </c>
      <c r="AH486" s="351">
        <f t="shared" si="66"/>
        <v>0</v>
      </c>
    </row>
    <row r="487" spans="1:34">
      <c r="A487" s="165"/>
      <c r="AG487">
        <f t="shared" si="65"/>
        <v>0</v>
      </c>
      <c r="AH487" s="351">
        <f t="shared" si="66"/>
        <v>0</v>
      </c>
    </row>
    <row r="488" spans="1:34" ht="13.5" thickBot="1">
      <c r="A488" s="165"/>
      <c r="B488" s="346"/>
      <c r="C488" s="346"/>
      <c r="D488" s="346"/>
      <c r="E488" s="346"/>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f t="shared" si="65"/>
        <v>0</v>
      </c>
      <c r="AH488" s="351">
        <f t="shared" si="66"/>
        <v>0</v>
      </c>
    </row>
    <row r="489" spans="1:34" ht="15">
      <c r="A489" s="645" t="s">
        <v>113</v>
      </c>
      <c r="B489" s="347">
        <f>SUM(B433:B468)</f>
        <v>40</v>
      </c>
      <c r="C489" s="347">
        <f>SUM(C433:C468)</f>
        <v>0</v>
      </c>
      <c r="D489" s="347">
        <f>SUM(D433:D468)</f>
        <v>0</v>
      </c>
      <c r="E489" s="347">
        <f t="shared" ref="E489:J489" si="67">SUM(E433:E468)</f>
        <v>0</v>
      </c>
      <c r="F489" s="347">
        <f t="shared" si="67"/>
        <v>0</v>
      </c>
      <c r="G489" s="347">
        <f t="shared" si="67"/>
        <v>0</v>
      </c>
      <c r="H489" s="347">
        <f t="shared" si="67"/>
        <v>0</v>
      </c>
      <c r="I489" s="347">
        <f t="shared" si="67"/>
        <v>0</v>
      </c>
      <c r="J489" s="347">
        <f t="shared" si="67"/>
        <v>0</v>
      </c>
      <c r="K489" s="347">
        <f>SUM(K433:K488)</f>
        <v>107</v>
      </c>
      <c r="L489" s="347">
        <f t="shared" ref="L489:AG489" si="68">SUM(L433:L488)</f>
        <v>16</v>
      </c>
      <c r="M489" s="347">
        <f t="shared" si="68"/>
        <v>0</v>
      </c>
      <c r="N489" s="347">
        <f t="shared" si="68"/>
        <v>0</v>
      </c>
      <c r="O489" s="347">
        <f t="shared" si="68"/>
        <v>0</v>
      </c>
      <c r="P489" s="347">
        <f t="shared" si="68"/>
        <v>95</v>
      </c>
      <c r="Q489" s="347">
        <f t="shared" si="68"/>
        <v>0</v>
      </c>
      <c r="R489" s="347">
        <f t="shared" si="68"/>
        <v>0</v>
      </c>
      <c r="S489" s="347">
        <f t="shared" si="68"/>
        <v>23</v>
      </c>
      <c r="T489" s="347">
        <f t="shared" si="68"/>
        <v>0</v>
      </c>
      <c r="U489" s="347">
        <f t="shared" si="68"/>
        <v>7</v>
      </c>
      <c r="V489" s="347">
        <f t="shared" si="68"/>
        <v>0</v>
      </c>
      <c r="W489" s="347">
        <f t="shared" si="68"/>
        <v>0</v>
      </c>
      <c r="X489" s="347">
        <f t="shared" si="68"/>
        <v>49</v>
      </c>
      <c r="Y489" s="347">
        <f t="shared" si="68"/>
        <v>7</v>
      </c>
      <c r="Z489" s="347">
        <f t="shared" si="68"/>
        <v>0</v>
      </c>
      <c r="AA489" s="347">
        <f t="shared" si="68"/>
        <v>0</v>
      </c>
      <c r="AB489" s="347">
        <f t="shared" si="68"/>
        <v>0</v>
      </c>
      <c r="AC489" s="347">
        <f t="shared" si="68"/>
        <v>16</v>
      </c>
      <c r="AD489" s="347">
        <f t="shared" si="68"/>
        <v>0</v>
      </c>
      <c r="AE489" s="347">
        <f t="shared" si="68"/>
        <v>4</v>
      </c>
      <c r="AF489" s="347">
        <f t="shared" si="68"/>
        <v>0</v>
      </c>
      <c r="AG489" s="347">
        <f t="shared" si="68"/>
        <v>364</v>
      </c>
    </row>
    <row r="490" spans="1:34" ht="15.75" thickBot="1">
      <c r="A490" s="646"/>
      <c r="B490" s="348">
        <f>B489/$AG489</f>
        <v>0.10989010989010989</v>
      </c>
      <c r="C490" s="348">
        <f>C489/$AG489</f>
        <v>0</v>
      </c>
      <c r="D490" s="348">
        <f>D489/$AG489</f>
        <v>0</v>
      </c>
      <c r="E490" s="348">
        <f t="shared" ref="E490:N490" si="69">E489/$AG489</f>
        <v>0</v>
      </c>
      <c r="F490" s="348">
        <f t="shared" si="69"/>
        <v>0</v>
      </c>
      <c r="G490" s="348">
        <f t="shared" si="69"/>
        <v>0</v>
      </c>
      <c r="H490" s="348">
        <f t="shared" si="69"/>
        <v>0</v>
      </c>
      <c r="I490" s="348">
        <f t="shared" si="69"/>
        <v>0</v>
      </c>
      <c r="J490" s="348">
        <f t="shared" si="69"/>
        <v>0</v>
      </c>
      <c r="K490" s="348">
        <f t="shared" si="69"/>
        <v>0.29395604395604397</v>
      </c>
      <c r="L490" s="348">
        <f t="shared" si="69"/>
        <v>4.3956043956043959E-2</v>
      </c>
      <c r="M490" s="348">
        <f t="shared" si="69"/>
        <v>0</v>
      </c>
      <c r="N490" s="348">
        <f t="shared" si="69"/>
        <v>0</v>
      </c>
      <c r="O490" s="348">
        <f t="shared" ref="O490:AF490" si="70">O489/$AG489</f>
        <v>0</v>
      </c>
      <c r="P490" s="348">
        <f t="shared" si="70"/>
        <v>0.26098901098901101</v>
      </c>
      <c r="Q490" s="348">
        <f t="shared" si="70"/>
        <v>0</v>
      </c>
      <c r="R490" s="348">
        <f t="shared" si="70"/>
        <v>0</v>
      </c>
      <c r="S490" s="348">
        <f t="shared" si="70"/>
        <v>6.3186813186813184E-2</v>
      </c>
      <c r="T490" s="348">
        <f t="shared" si="70"/>
        <v>0</v>
      </c>
      <c r="U490" s="348">
        <f t="shared" si="70"/>
        <v>1.9230769230769232E-2</v>
      </c>
      <c r="V490" s="348">
        <f t="shared" si="70"/>
        <v>0</v>
      </c>
      <c r="W490" s="348">
        <f t="shared" si="70"/>
        <v>0</v>
      </c>
      <c r="X490" s="348">
        <f t="shared" si="70"/>
        <v>0.13461538461538461</v>
      </c>
      <c r="Y490" s="348">
        <f t="shared" si="70"/>
        <v>1.9230769230769232E-2</v>
      </c>
      <c r="Z490" s="348">
        <f t="shared" si="70"/>
        <v>0</v>
      </c>
      <c r="AA490" s="348">
        <f t="shared" si="70"/>
        <v>0</v>
      </c>
      <c r="AB490" s="348">
        <f t="shared" si="70"/>
        <v>0</v>
      </c>
      <c r="AC490" s="348">
        <f t="shared" si="70"/>
        <v>4.3956043956043959E-2</v>
      </c>
      <c r="AD490" s="348">
        <f t="shared" si="70"/>
        <v>0</v>
      </c>
      <c r="AE490" s="348">
        <f t="shared" si="70"/>
        <v>1.098901098901099E-2</v>
      </c>
      <c r="AF490" s="348">
        <f t="shared" si="70"/>
        <v>0</v>
      </c>
      <c r="AG490" s="351"/>
    </row>
    <row r="491" spans="1:34">
      <c r="A491" s="409"/>
    </row>
    <row r="493" spans="1:34">
      <c r="A493" s="165">
        <f>'Conveyor Downtime (new)'!A494</f>
        <v>46266</v>
      </c>
      <c r="B493" s="346"/>
      <c r="C493" s="346"/>
      <c r="D493" s="346"/>
      <c r="E493" s="346"/>
      <c r="F493" s="346"/>
      <c r="G493" s="346"/>
      <c r="H493" s="346"/>
      <c r="I493" s="346"/>
      <c r="J493" s="346"/>
      <c r="K493" s="346">
        <f>6</f>
        <v>6</v>
      </c>
      <c r="L493" s="346"/>
      <c r="M493" s="346"/>
      <c r="N493" s="346"/>
      <c r="O493" s="346"/>
      <c r="P493" s="346">
        <f>19+5+4+4</f>
        <v>32</v>
      </c>
      <c r="Q493" s="346"/>
      <c r="R493" s="484"/>
      <c r="S493" s="484"/>
      <c r="T493" s="346"/>
      <c r="U493" s="346"/>
      <c r="V493" s="346"/>
      <c r="W493" s="346"/>
      <c r="X493" s="346"/>
      <c r="Y493" s="346"/>
      <c r="Z493" s="346"/>
      <c r="AA493" s="346"/>
      <c r="AB493" s="346"/>
      <c r="AC493" s="346"/>
      <c r="AD493" s="346"/>
      <c r="AE493" s="346"/>
      <c r="AF493" s="346"/>
      <c r="AG493">
        <f t="shared" ref="AG493:AG549" si="71">SUM(B493:AF493)</f>
        <v>38</v>
      </c>
      <c r="AH493" s="351">
        <f t="shared" ref="AH493:AH549" si="72">AG493/$AG$368</f>
        <v>0.44705882352941179</v>
      </c>
    </row>
    <row r="494" spans="1:34">
      <c r="A494" s="165">
        <f>'Conveyor Downtime (new)'!A495</f>
        <v>46266</v>
      </c>
      <c r="AG494">
        <f t="shared" si="71"/>
        <v>0</v>
      </c>
      <c r="AH494" s="351">
        <f t="shared" si="72"/>
        <v>0</v>
      </c>
    </row>
    <row r="495" spans="1:34">
      <c r="A495" s="165">
        <f>'Conveyor Downtime (new)'!A496</f>
        <v>46267</v>
      </c>
      <c r="B495" s="346"/>
      <c r="C495" s="346"/>
      <c r="D495" s="346"/>
      <c r="E495" s="346"/>
      <c r="F495" s="346"/>
      <c r="G495" s="346"/>
      <c r="H495" s="346"/>
      <c r="I495" s="346"/>
      <c r="J495" s="346"/>
      <c r="K495" s="346">
        <f>4+3</f>
        <v>7</v>
      </c>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f t="shared" si="71"/>
        <v>7</v>
      </c>
      <c r="AH495" s="351">
        <f t="shared" si="72"/>
        <v>8.2352941176470587E-2</v>
      </c>
    </row>
    <row r="496" spans="1:34">
      <c r="A496" s="165">
        <f>'Conveyor Downtime (new)'!A497</f>
        <v>46267</v>
      </c>
      <c r="AG496">
        <f t="shared" si="71"/>
        <v>0</v>
      </c>
      <c r="AH496" s="351">
        <f t="shared" si="72"/>
        <v>0</v>
      </c>
    </row>
    <row r="497" spans="1:34">
      <c r="A497" s="165">
        <f>'Conveyor Downtime (new)'!A498</f>
        <v>46267</v>
      </c>
      <c r="B497" s="346"/>
      <c r="C497" s="346"/>
      <c r="D497" s="346"/>
      <c r="E497" s="346"/>
      <c r="F497" s="346"/>
      <c r="G497" s="346"/>
      <c r="H497" s="346"/>
      <c r="I497" s="346"/>
      <c r="J497" s="346"/>
      <c r="K497" s="346"/>
      <c r="L497" s="346"/>
      <c r="M497" s="346"/>
      <c r="N497" s="346"/>
      <c r="O497" s="346"/>
      <c r="P497" s="346"/>
      <c r="Q497" s="346"/>
      <c r="R497" s="346"/>
      <c r="S497" s="346"/>
      <c r="T497" s="346"/>
      <c r="U497" s="346"/>
      <c r="V497" s="346"/>
      <c r="W497" s="346"/>
      <c r="X497" s="346"/>
      <c r="Y497" s="346"/>
      <c r="Z497" s="346"/>
      <c r="AA497" s="346"/>
      <c r="AB497" s="346"/>
      <c r="AC497" s="346"/>
      <c r="AD497" s="346"/>
      <c r="AE497" s="346"/>
      <c r="AF497" s="346"/>
      <c r="AG497">
        <f t="shared" si="71"/>
        <v>0</v>
      </c>
      <c r="AH497" s="351">
        <f t="shared" si="72"/>
        <v>0</v>
      </c>
    </row>
    <row r="498" spans="1:34">
      <c r="A498" s="165">
        <f>'Conveyor Downtime (new)'!A499</f>
        <v>46268</v>
      </c>
      <c r="AG498">
        <f t="shared" si="71"/>
        <v>0</v>
      </c>
      <c r="AH498" s="351">
        <f t="shared" si="72"/>
        <v>0</v>
      </c>
    </row>
    <row r="499" spans="1:34">
      <c r="A499" s="165">
        <f>'Conveyor Downtime (new)'!A500</f>
        <v>46268</v>
      </c>
      <c r="B499" s="346"/>
      <c r="C499" s="346"/>
      <c r="D499" s="346"/>
      <c r="E499" s="346"/>
      <c r="F499" s="346"/>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f t="shared" si="71"/>
        <v>0</v>
      </c>
      <c r="AH499" s="351">
        <f t="shared" si="72"/>
        <v>0</v>
      </c>
    </row>
    <row r="500" spans="1:34">
      <c r="A500" s="165">
        <f>'Conveyor Downtime (new)'!A501</f>
        <v>46268</v>
      </c>
      <c r="AG500">
        <f t="shared" si="71"/>
        <v>0</v>
      </c>
      <c r="AH500" s="351">
        <f t="shared" si="72"/>
        <v>0</v>
      </c>
    </row>
    <row r="501" spans="1:34">
      <c r="A501" s="165">
        <f>'Conveyor Downtime (new)'!A502</f>
        <v>46269</v>
      </c>
      <c r="B501" s="346"/>
      <c r="C501" s="346"/>
      <c r="D501" s="346"/>
      <c r="E501" s="346"/>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f t="shared" si="71"/>
        <v>0</v>
      </c>
      <c r="AH501" s="351">
        <f t="shared" si="72"/>
        <v>0</v>
      </c>
    </row>
    <row r="502" spans="1:34">
      <c r="A502" s="165">
        <f>'Conveyor Downtime (new)'!A503</f>
        <v>46273</v>
      </c>
      <c r="K502">
        <f>4+5+4+2+5</f>
        <v>20</v>
      </c>
      <c r="AG502">
        <f t="shared" si="71"/>
        <v>20</v>
      </c>
      <c r="AH502" s="351">
        <f t="shared" si="72"/>
        <v>0.23529411764705882</v>
      </c>
    </row>
    <row r="503" spans="1:34">
      <c r="A503" s="165">
        <f>'Conveyor Downtime (new)'!A504</f>
        <v>46274</v>
      </c>
      <c r="B503" s="346"/>
      <c r="C503" s="346"/>
      <c r="D503" s="346"/>
      <c r="E503" s="346"/>
      <c r="F503" s="346"/>
      <c r="G503" s="346"/>
      <c r="H503" s="346"/>
      <c r="I503" s="346"/>
      <c r="J503" s="346"/>
      <c r="K503" s="346">
        <f>6</f>
        <v>6</v>
      </c>
      <c r="L503" s="346"/>
      <c r="M503" s="346"/>
      <c r="N503" s="346"/>
      <c r="O503" s="346"/>
      <c r="P503" s="346"/>
      <c r="Q503" s="346"/>
      <c r="R503" s="346"/>
      <c r="S503" s="346">
        <f>4</f>
        <v>4</v>
      </c>
      <c r="T503" s="346"/>
      <c r="U503" s="346"/>
      <c r="V503" s="346"/>
      <c r="W503" s="346"/>
      <c r="X503" s="346"/>
      <c r="Y503" s="346"/>
      <c r="Z503" s="346"/>
      <c r="AA503" s="346"/>
      <c r="AB503" s="346"/>
      <c r="AC503" s="346"/>
      <c r="AD503" s="346"/>
      <c r="AE503" s="346"/>
      <c r="AF503" s="346"/>
      <c r="AG503">
        <f t="shared" si="71"/>
        <v>10</v>
      </c>
      <c r="AH503" s="351">
        <f t="shared" si="72"/>
        <v>0.11764705882352941</v>
      </c>
    </row>
    <row r="504" spans="1:34">
      <c r="A504" s="165">
        <f>'Conveyor Downtime (new)'!A505</f>
        <v>46275</v>
      </c>
      <c r="K504">
        <f>4+3+4</f>
        <v>11</v>
      </c>
      <c r="AG504">
        <f t="shared" si="71"/>
        <v>11</v>
      </c>
      <c r="AH504" s="351">
        <f t="shared" si="72"/>
        <v>0.12941176470588237</v>
      </c>
    </row>
    <row r="505" spans="1:34">
      <c r="A505" s="165">
        <f>'Conveyor Downtime (new)'!A506</f>
        <v>46276</v>
      </c>
      <c r="B505" s="346"/>
      <c r="C505" s="346"/>
      <c r="D505" s="346"/>
      <c r="E505" s="346"/>
      <c r="F505" s="346"/>
      <c r="G505" s="346"/>
      <c r="H505" s="346"/>
      <c r="I505" s="346"/>
      <c r="J505" s="346"/>
      <c r="K505" s="346"/>
      <c r="L505" s="346"/>
      <c r="M505" s="346"/>
      <c r="N505" s="346"/>
      <c r="O505" s="346"/>
      <c r="P505" s="346"/>
      <c r="Q505" s="346"/>
      <c r="R505" s="346"/>
      <c r="S505" s="346"/>
      <c r="T505" s="346"/>
      <c r="U505" s="346"/>
      <c r="V505" s="346"/>
      <c r="W505" s="346"/>
      <c r="X505" s="346"/>
      <c r="Y505" s="346"/>
      <c r="Z505" s="137"/>
      <c r="AA505" s="346"/>
      <c r="AB505" s="346"/>
      <c r="AC505" s="346"/>
      <c r="AD505" s="346"/>
      <c r="AE505" s="346"/>
      <c r="AF505" s="346"/>
      <c r="AG505">
        <f t="shared" si="71"/>
        <v>0</v>
      </c>
      <c r="AH505" s="351">
        <f t="shared" si="72"/>
        <v>0</v>
      </c>
    </row>
    <row r="506" spans="1:34">
      <c r="A506" s="165">
        <f>'Conveyor Downtime (new)'!A507</f>
        <v>46276</v>
      </c>
      <c r="AG506">
        <f t="shared" si="71"/>
        <v>0</v>
      </c>
      <c r="AH506" s="351">
        <f t="shared" si="72"/>
        <v>0</v>
      </c>
    </row>
    <row r="507" spans="1:34">
      <c r="A507" s="165">
        <f>'Conveyor Downtime (new)'!A508</f>
        <v>46279</v>
      </c>
      <c r="B507" s="346"/>
      <c r="C507" s="346"/>
      <c r="D507" s="346"/>
      <c r="E507" s="346"/>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f t="shared" si="71"/>
        <v>0</v>
      </c>
      <c r="AH507" s="351">
        <f t="shared" si="72"/>
        <v>0</v>
      </c>
    </row>
    <row r="508" spans="1:34">
      <c r="A508" s="165">
        <f>'Conveyor Downtime (new)'!A509</f>
        <v>46279</v>
      </c>
      <c r="K508">
        <f>4+3+4</f>
        <v>11</v>
      </c>
      <c r="AG508">
        <f t="shared" si="71"/>
        <v>11</v>
      </c>
      <c r="AH508" s="351">
        <f t="shared" si="72"/>
        <v>0.12941176470588237</v>
      </c>
    </row>
    <row r="509" spans="1:34">
      <c r="A509" s="165">
        <f>'Conveyor Downtime (new)'!A510</f>
        <v>46280</v>
      </c>
      <c r="B509" s="346"/>
      <c r="C509" s="346"/>
      <c r="D509" s="346"/>
      <c r="E509" s="346"/>
      <c r="F509" s="346"/>
      <c r="G509" s="346"/>
      <c r="H509" s="346"/>
      <c r="I509" s="346"/>
      <c r="J509" s="346"/>
      <c r="K509" s="346">
        <f>4</f>
        <v>4</v>
      </c>
      <c r="L509" s="346"/>
      <c r="M509" s="346"/>
      <c r="N509" s="346"/>
      <c r="O509" s="346"/>
      <c r="P509" s="346"/>
      <c r="Q509" s="346"/>
      <c r="R509" s="346"/>
      <c r="S509" s="346"/>
      <c r="T509" s="346"/>
      <c r="U509" s="346"/>
      <c r="V509" s="346"/>
      <c r="W509" s="346"/>
      <c r="X509" s="346"/>
      <c r="Y509" s="346"/>
      <c r="Z509" s="346"/>
      <c r="AA509" s="346"/>
      <c r="AB509" s="346"/>
      <c r="AC509" s="346"/>
      <c r="AD509" s="346"/>
      <c r="AE509" s="346"/>
      <c r="AF509" s="346"/>
      <c r="AG509">
        <f t="shared" si="71"/>
        <v>4</v>
      </c>
      <c r="AH509" s="351">
        <f t="shared" si="72"/>
        <v>4.7058823529411764E-2</v>
      </c>
    </row>
    <row r="510" spans="1:34">
      <c r="A510" s="165">
        <f>'Conveyor Downtime (new)'!A511</f>
        <v>46280</v>
      </c>
      <c r="K510">
        <f>2+4+4+2+2+3+3+2+3+3+3</f>
        <v>31</v>
      </c>
      <c r="AG510">
        <f t="shared" si="71"/>
        <v>31</v>
      </c>
      <c r="AH510" s="351">
        <f t="shared" si="72"/>
        <v>0.36470588235294116</v>
      </c>
    </row>
    <row r="511" spans="1:34">
      <c r="A511" s="165">
        <f>'Conveyor Downtime (new)'!A512</f>
        <v>46281</v>
      </c>
      <c r="B511" s="346"/>
      <c r="C511" s="346"/>
      <c r="D511" s="346"/>
      <c r="E511" s="346"/>
      <c r="F511" s="346"/>
      <c r="G511" s="346"/>
      <c r="H511" s="346"/>
      <c r="I511" s="346"/>
      <c r="J511" s="346"/>
      <c r="K511" s="346">
        <f>3</f>
        <v>3</v>
      </c>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f t="shared" si="71"/>
        <v>3</v>
      </c>
      <c r="AH511" s="351">
        <f t="shared" si="72"/>
        <v>3.5294117647058823E-2</v>
      </c>
    </row>
    <row r="512" spans="1:34">
      <c r="A512" s="165">
        <f>'Conveyor Downtime (new)'!A513</f>
        <v>46281</v>
      </c>
      <c r="AG512">
        <f t="shared" si="71"/>
        <v>0</v>
      </c>
      <c r="AH512" s="351">
        <f t="shared" si="72"/>
        <v>0</v>
      </c>
    </row>
    <row r="513" spans="1:34">
      <c r="A513" s="165">
        <f>'Conveyor Downtime (new)'!A514</f>
        <v>46282</v>
      </c>
      <c r="B513" s="346"/>
      <c r="C513" s="346"/>
      <c r="D513" s="346"/>
      <c r="E513" s="346"/>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f t="shared" si="71"/>
        <v>0</v>
      </c>
      <c r="AH513" s="351">
        <f t="shared" si="72"/>
        <v>0</v>
      </c>
    </row>
    <row r="514" spans="1:34">
      <c r="A514" s="165">
        <f>'Conveyor Downtime (new)'!A515</f>
        <v>46282</v>
      </c>
      <c r="B514" s="346"/>
      <c r="C514" s="346"/>
      <c r="D514" s="346"/>
      <c r="E514" s="346"/>
      <c r="F514" s="346"/>
      <c r="G514" s="346"/>
      <c r="H514" s="346"/>
      <c r="I514" s="346"/>
      <c r="J514" s="346"/>
      <c r="K514" s="346"/>
      <c r="L514" s="346"/>
      <c r="M514" s="346"/>
      <c r="N514" s="346"/>
      <c r="O514" s="346"/>
      <c r="P514" s="346">
        <v>6</v>
      </c>
      <c r="Q514" s="346"/>
      <c r="R514" s="346"/>
      <c r="S514" s="346"/>
      <c r="T514" s="346"/>
      <c r="U514" s="346"/>
      <c r="V514" s="346"/>
      <c r="W514" s="346"/>
      <c r="X514" s="346"/>
      <c r="Y514" s="346"/>
      <c r="Z514" s="346"/>
      <c r="AA514" s="346"/>
      <c r="AB514" s="346"/>
      <c r="AC514" s="346"/>
      <c r="AD514" s="346"/>
      <c r="AE514" s="346"/>
      <c r="AF514" s="346"/>
      <c r="AG514">
        <f t="shared" si="71"/>
        <v>6</v>
      </c>
      <c r="AH514" s="351">
        <f t="shared" si="72"/>
        <v>7.0588235294117646E-2</v>
      </c>
    </row>
    <row r="515" spans="1:34">
      <c r="A515" s="165">
        <f>'Conveyor Downtime (new)'!A516</f>
        <v>46282</v>
      </c>
      <c r="AG515">
        <f t="shared" si="71"/>
        <v>0</v>
      </c>
      <c r="AH515" s="351">
        <f t="shared" si="72"/>
        <v>0</v>
      </c>
    </row>
    <row r="516" spans="1:34">
      <c r="A516" s="165">
        <f>'Conveyor Downtime (new)'!A517</f>
        <v>46283</v>
      </c>
      <c r="B516" s="346"/>
      <c r="C516" s="346"/>
      <c r="D516" s="346"/>
      <c r="E516" s="346"/>
      <c r="F516" s="346"/>
      <c r="G516" s="346"/>
      <c r="H516" s="346"/>
      <c r="I516" s="346"/>
      <c r="J516" s="346"/>
      <c r="K516" s="346">
        <f>2+2</f>
        <v>4</v>
      </c>
      <c r="L516" s="346"/>
      <c r="M516" s="346"/>
      <c r="N516" s="346"/>
      <c r="O516" s="346"/>
      <c r="P516" s="346"/>
      <c r="Q516" s="346"/>
      <c r="R516" s="346"/>
      <c r="S516" s="346">
        <f>9</f>
        <v>9</v>
      </c>
      <c r="T516" s="346"/>
      <c r="U516" s="346"/>
      <c r="V516" s="346"/>
      <c r="W516" s="346"/>
      <c r="X516" s="346"/>
      <c r="Y516" s="346"/>
      <c r="Z516" s="346"/>
      <c r="AA516" s="346"/>
      <c r="AB516" s="346"/>
      <c r="AC516" s="346"/>
      <c r="AD516" s="346"/>
      <c r="AE516" s="346"/>
      <c r="AF516" s="346"/>
      <c r="AG516">
        <f t="shared" si="71"/>
        <v>13</v>
      </c>
      <c r="AH516" s="351">
        <f t="shared" si="72"/>
        <v>0.15294117647058825</v>
      </c>
    </row>
    <row r="517" spans="1:34">
      <c r="A517" s="165">
        <f>'Conveyor Downtime (new)'!A518</f>
        <v>46283</v>
      </c>
      <c r="AG517">
        <f t="shared" si="71"/>
        <v>0</v>
      </c>
      <c r="AH517" s="351">
        <f t="shared" si="72"/>
        <v>0</v>
      </c>
    </row>
    <row r="518" spans="1:34">
      <c r="A518" s="165">
        <f>'Conveyor Downtime (new)'!A519</f>
        <v>46283</v>
      </c>
      <c r="B518" s="346"/>
      <c r="C518" s="346"/>
      <c r="D518" s="346"/>
      <c r="E518" s="346"/>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f t="shared" si="71"/>
        <v>0</v>
      </c>
      <c r="AH518" s="351">
        <f t="shared" si="72"/>
        <v>0</v>
      </c>
    </row>
    <row r="519" spans="1:34">
      <c r="A519" s="165">
        <f>'Conveyor Downtime (new)'!A520</f>
        <v>46286</v>
      </c>
      <c r="B519" s="346"/>
      <c r="C519" s="346"/>
      <c r="D519" s="346"/>
      <c r="E519" s="346"/>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f t="shared" si="71"/>
        <v>0</v>
      </c>
      <c r="AH519" s="351">
        <f t="shared" si="72"/>
        <v>0</v>
      </c>
    </row>
    <row r="520" spans="1:34">
      <c r="A520" s="165">
        <f>'Conveyor Downtime (new)'!A521</f>
        <v>46286</v>
      </c>
      <c r="AG520">
        <f t="shared" si="71"/>
        <v>0</v>
      </c>
      <c r="AH520" s="351">
        <f t="shared" si="72"/>
        <v>0</v>
      </c>
    </row>
    <row r="521" spans="1:34">
      <c r="A521" s="165">
        <f>'Conveyor Downtime (new)'!A522</f>
        <v>46287</v>
      </c>
      <c r="B521" s="346"/>
      <c r="C521" s="346"/>
      <c r="D521" s="346"/>
      <c r="E521" s="346"/>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f t="shared" si="71"/>
        <v>0</v>
      </c>
      <c r="AH521" s="351">
        <f t="shared" si="72"/>
        <v>0</v>
      </c>
    </row>
    <row r="522" spans="1:34">
      <c r="A522" s="165">
        <f>'Conveyor Downtime (new)'!A523</f>
        <v>46288</v>
      </c>
      <c r="AG522">
        <f t="shared" si="71"/>
        <v>0</v>
      </c>
      <c r="AH522" s="351">
        <f t="shared" si="72"/>
        <v>0</v>
      </c>
    </row>
    <row r="523" spans="1:34">
      <c r="A523" s="165">
        <f>'Conveyor Downtime (new)'!A524</f>
        <v>46288</v>
      </c>
      <c r="B523" s="346"/>
      <c r="C523" s="346"/>
      <c r="D523" s="346"/>
      <c r="E523" s="346"/>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f t="shared" si="71"/>
        <v>0</v>
      </c>
      <c r="AH523" s="351">
        <f t="shared" si="72"/>
        <v>0</v>
      </c>
    </row>
    <row r="524" spans="1:34">
      <c r="A524" s="165">
        <f>'Conveyor Downtime (new)'!A525</f>
        <v>46289</v>
      </c>
      <c r="B524" s="346"/>
      <c r="C524" s="346"/>
      <c r="D524" s="346"/>
      <c r="E524" s="346"/>
      <c r="F524" s="346"/>
      <c r="G524" s="346"/>
      <c r="H524" s="346"/>
      <c r="I524" s="346"/>
      <c r="J524" s="346"/>
      <c r="K524" s="346">
        <f>3+4</f>
        <v>7</v>
      </c>
      <c r="L524" s="346"/>
      <c r="M524" s="346"/>
      <c r="N524" s="346"/>
      <c r="O524" s="346"/>
      <c r="P524" s="346"/>
      <c r="Q524" s="346"/>
      <c r="R524" s="346"/>
      <c r="S524" s="346"/>
      <c r="T524" s="346"/>
      <c r="U524" s="346"/>
      <c r="V524" s="346"/>
      <c r="W524" s="346"/>
      <c r="X524" s="346"/>
      <c r="Y524" s="346"/>
      <c r="Z524" s="346"/>
      <c r="AA524" s="346"/>
      <c r="AB524" s="346"/>
      <c r="AC524" s="346"/>
      <c r="AD524" s="346"/>
      <c r="AE524" s="346"/>
      <c r="AF524" s="346"/>
      <c r="AG524">
        <f t="shared" si="71"/>
        <v>7</v>
      </c>
      <c r="AH524" s="351">
        <f t="shared" si="72"/>
        <v>8.2352941176470587E-2</v>
      </c>
    </row>
    <row r="525" spans="1:34">
      <c r="A525" s="165">
        <f>'Conveyor Downtime (new)'!A526</f>
        <v>46290</v>
      </c>
      <c r="K525">
        <f>5+5+4+4+6</f>
        <v>24</v>
      </c>
      <c r="P525">
        <f>4+2</f>
        <v>6</v>
      </c>
      <c r="AG525">
        <f t="shared" si="71"/>
        <v>30</v>
      </c>
      <c r="AH525" s="351">
        <f t="shared" si="72"/>
        <v>0.35294117647058826</v>
      </c>
    </row>
    <row r="526" spans="1:34">
      <c r="A526" s="165">
        <f>'Conveyor Downtime (new)'!A527</f>
        <v>46290</v>
      </c>
      <c r="B526" s="346"/>
      <c r="C526" s="346"/>
      <c r="D526" s="346"/>
      <c r="E526" s="346"/>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f t="shared" si="71"/>
        <v>0</v>
      </c>
      <c r="AH526" s="351">
        <f t="shared" si="72"/>
        <v>0</v>
      </c>
    </row>
    <row r="527" spans="1:34">
      <c r="A527" s="165">
        <f>'Conveyor Downtime (new)'!A528</f>
        <v>46293</v>
      </c>
      <c r="K527">
        <f>4+3</f>
        <v>7</v>
      </c>
      <c r="P527">
        <f>7+8+9+23+3</f>
        <v>50</v>
      </c>
      <c r="AG527">
        <f t="shared" si="71"/>
        <v>57</v>
      </c>
      <c r="AH527" s="351">
        <f t="shared" si="72"/>
        <v>0.6705882352941176</v>
      </c>
    </row>
    <row r="528" spans="1:34">
      <c r="A528" s="165">
        <f>'Conveyor Downtime (new)'!A529</f>
        <v>46294</v>
      </c>
      <c r="B528" s="346"/>
      <c r="C528" s="346"/>
      <c r="D528" s="346"/>
      <c r="E528" s="346"/>
      <c r="F528" s="346"/>
      <c r="G528" s="346"/>
      <c r="H528" s="346"/>
      <c r="I528" s="346"/>
      <c r="J528" s="346"/>
      <c r="K528" s="346">
        <v>5</v>
      </c>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f t="shared" si="71"/>
        <v>5</v>
      </c>
      <c r="AH528" s="351">
        <f t="shared" si="72"/>
        <v>5.8823529411764705E-2</v>
      </c>
    </row>
    <row r="529" spans="1:34">
      <c r="A529" s="165">
        <f>'Conveyor Downtime (new)'!A530</f>
        <v>46294</v>
      </c>
      <c r="AG529">
        <f t="shared" si="71"/>
        <v>0</v>
      </c>
      <c r="AH529" s="351">
        <f t="shared" si="72"/>
        <v>0</v>
      </c>
    </row>
    <row r="530" spans="1:34">
      <c r="A530" s="165">
        <f>'Conveyor Downtime (new)'!A531</f>
        <v>46295</v>
      </c>
      <c r="B530" s="346"/>
      <c r="C530" s="346"/>
      <c r="D530" s="346"/>
      <c r="E530" s="346"/>
      <c r="F530" s="346"/>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f t="shared" si="71"/>
        <v>0</v>
      </c>
      <c r="AH530" s="351">
        <f t="shared" si="72"/>
        <v>0</v>
      </c>
    </row>
    <row r="531" spans="1:34">
      <c r="A531" s="165">
        <f>'Conveyor Downtime (new)'!A532</f>
        <v>46295</v>
      </c>
      <c r="AG531">
        <f t="shared" si="71"/>
        <v>0</v>
      </c>
      <c r="AH531" s="351">
        <f t="shared" si="72"/>
        <v>0</v>
      </c>
    </row>
    <row r="532" spans="1:34">
      <c r="A532" s="165">
        <f>'Conveyor Downtime (new)'!A533</f>
        <v>0</v>
      </c>
      <c r="B532" s="346"/>
      <c r="C532" s="346"/>
      <c r="D532" s="346"/>
      <c r="E532" s="346"/>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f t="shared" si="71"/>
        <v>0</v>
      </c>
      <c r="AH532" s="351">
        <f t="shared" si="72"/>
        <v>0</v>
      </c>
    </row>
    <row r="533" spans="1:34">
      <c r="A533" s="165">
        <f>'Conveyor Downtime (new)'!A534</f>
        <v>0</v>
      </c>
      <c r="AG533">
        <f t="shared" si="71"/>
        <v>0</v>
      </c>
      <c r="AH533" s="351">
        <f t="shared" si="72"/>
        <v>0</v>
      </c>
    </row>
    <row r="534" spans="1:34">
      <c r="A534" s="165">
        <f>'Conveyor Downtime (new)'!A535</f>
        <v>0</v>
      </c>
      <c r="B534" s="346"/>
      <c r="C534" s="346"/>
      <c r="D534" s="346"/>
      <c r="E534" s="346"/>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f t="shared" si="71"/>
        <v>0</v>
      </c>
      <c r="AH534" s="351">
        <f t="shared" si="72"/>
        <v>0</v>
      </c>
    </row>
    <row r="535" spans="1:34">
      <c r="A535" s="165">
        <f>'Conveyor Downtime (new)'!A536</f>
        <v>0</v>
      </c>
      <c r="AG535">
        <f t="shared" si="71"/>
        <v>0</v>
      </c>
      <c r="AH535" s="351">
        <f t="shared" si="72"/>
        <v>0</v>
      </c>
    </row>
    <row r="536" spans="1:34">
      <c r="A536" s="165">
        <f>'Conveyor Downtime (new)'!A537</f>
        <v>0</v>
      </c>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f t="shared" si="71"/>
        <v>0</v>
      </c>
      <c r="AH536" s="351">
        <f t="shared" si="72"/>
        <v>0</v>
      </c>
    </row>
    <row r="537" spans="1:34">
      <c r="A537" s="165">
        <f>'Conveyor Downtime (new)'!A538</f>
        <v>0</v>
      </c>
      <c r="AG537">
        <f t="shared" si="71"/>
        <v>0</v>
      </c>
      <c r="AH537" s="351">
        <f t="shared" si="72"/>
        <v>0</v>
      </c>
    </row>
    <row r="538" spans="1:34">
      <c r="A538" s="165">
        <f>'Conveyor Downtime (new)'!A539</f>
        <v>0</v>
      </c>
      <c r="B538" s="346"/>
      <c r="C538" s="346"/>
      <c r="D538" s="346"/>
      <c r="E538" s="346"/>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f t="shared" si="71"/>
        <v>0</v>
      </c>
      <c r="AH538" s="351">
        <f t="shared" si="72"/>
        <v>0</v>
      </c>
    </row>
    <row r="539" spans="1:34">
      <c r="A539" s="165">
        <f>'Conveyor Downtime (new)'!A540</f>
        <v>0</v>
      </c>
      <c r="AG539">
        <f t="shared" si="71"/>
        <v>0</v>
      </c>
      <c r="AH539" s="351">
        <f t="shared" si="72"/>
        <v>0</v>
      </c>
    </row>
    <row r="540" spans="1:34">
      <c r="A540" s="165">
        <f>'Conveyor Downtime (new)'!A541</f>
        <v>0</v>
      </c>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f t="shared" si="71"/>
        <v>0</v>
      </c>
      <c r="AH540" s="351">
        <f t="shared" si="72"/>
        <v>0</v>
      </c>
    </row>
    <row r="541" spans="1:34">
      <c r="A541" s="165">
        <f>'Conveyor Downtime (new)'!A542</f>
        <v>0</v>
      </c>
      <c r="AG541">
        <f t="shared" si="71"/>
        <v>0</v>
      </c>
      <c r="AH541" s="351">
        <f t="shared" si="72"/>
        <v>0</v>
      </c>
    </row>
    <row r="542" spans="1:34">
      <c r="A542" s="165">
        <f>'Conveyor Downtime (new)'!A543</f>
        <v>0</v>
      </c>
      <c r="B542" s="346"/>
      <c r="C542" s="346"/>
      <c r="D542" s="346"/>
      <c r="E542" s="346"/>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f t="shared" si="71"/>
        <v>0</v>
      </c>
      <c r="AH542" s="351">
        <f t="shared" si="72"/>
        <v>0</v>
      </c>
    </row>
    <row r="543" spans="1:34">
      <c r="A543" s="165"/>
      <c r="AG543">
        <f t="shared" si="71"/>
        <v>0</v>
      </c>
      <c r="AH543" s="351">
        <f t="shared" si="72"/>
        <v>0</v>
      </c>
    </row>
    <row r="544" spans="1:34">
      <c r="A544" s="165"/>
      <c r="B544" s="346"/>
      <c r="C544" s="346"/>
      <c r="D544" s="346"/>
      <c r="E544" s="346"/>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f t="shared" si="71"/>
        <v>0</v>
      </c>
      <c r="AH544" s="351">
        <f t="shared" si="72"/>
        <v>0</v>
      </c>
    </row>
    <row r="545" spans="1:34">
      <c r="A545" s="165"/>
      <c r="AG545">
        <f t="shared" si="71"/>
        <v>0</v>
      </c>
      <c r="AH545" s="351">
        <f t="shared" si="72"/>
        <v>0</v>
      </c>
    </row>
    <row r="546" spans="1:34">
      <c r="A546" s="165"/>
      <c r="B546" s="346"/>
      <c r="C546" s="346"/>
      <c r="D546" s="346"/>
      <c r="E546" s="346"/>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f t="shared" si="71"/>
        <v>0</v>
      </c>
      <c r="AH546" s="351">
        <f t="shared" si="72"/>
        <v>0</v>
      </c>
    </row>
    <row r="547" spans="1:34">
      <c r="A547" s="165"/>
      <c r="AG547">
        <f t="shared" si="71"/>
        <v>0</v>
      </c>
      <c r="AH547" s="351">
        <f t="shared" si="72"/>
        <v>0</v>
      </c>
    </row>
    <row r="548" spans="1:34">
      <c r="A548" s="165"/>
      <c r="B548" s="346"/>
      <c r="C548" s="346"/>
      <c r="D548" s="346"/>
      <c r="E548" s="346"/>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f t="shared" si="71"/>
        <v>0</v>
      </c>
      <c r="AH548" s="351">
        <f t="shared" si="72"/>
        <v>0</v>
      </c>
    </row>
    <row r="549" spans="1:34" ht="13.5" thickBot="1">
      <c r="A549" s="165"/>
      <c r="AG549">
        <f t="shared" si="71"/>
        <v>0</v>
      </c>
      <c r="AH549" s="351">
        <f t="shared" si="72"/>
        <v>0</v>
      </c>
    </row>
    <row r="550" spans="1:34" ht="15">
      <c r="A550" s="645" t="s">
        <v>113</v>
      </c>
      <c r="B550" s="347">
        <f t="shared" ref="B550:AF550" si="73">SUM(B493:B549)</f>
        <v>0</v>
      </c>
      <c r="C550" s="347">
        <f t="shared" si="73"/>
        <v>0</v>
      </c>
      <c r="D550" s="347">
        <f t="shared" si="73"/>
        <v>0</v>
      </c>
      <c r="E550" s="347">
        <f t="shared" si="73"/>
        <v>0</v>
      </c>
      <c r="F550" s="347">
        <f t="shared" si="73"/>
        <v>0</v>
      </c>
      <c r="G550" s="347">
        <f t="shared" si="73"/>
        <v>0</v>
      </c>
      <c r="H550" s="347">
        <f t="shared" si="73"/>
        <v>0</v>
      </c>
      <c r="I550" s="347">
        <f t="shared" si="73"/>
        <v>0</v>
      </c>
      <c r="J550" s="347">
        <f t="shared" si="73"/>
        <v>0</v>
      </c>
      <c r="K550" s="347">
        <f t="shared" si="73"/>
        <v>146</v>
      </c>
      <c r="L550" s="347">
        <f t="shared" si="73"/>
        <v>0</v>
      </c>
      <c r="M550" s="347">
        <f t="shared" si="73"/>
        <v>0</v>
      </c>
      <c r="N550" s="347">
        <f t="shared" si="73"/>
        <v>0</v>
      </c>
      <c r="O550" s="347">
        <f t="shared" si="73"/>
        <v>0</v>
      </c>
      <c r="P550" s="347">
        <f t="shared" si="73"/>
        <v>94</v>
      </c>
      <c r="Q550" s="347">
        <f t="shared" si="73"/>
        <v>0</v>
      </c>
      <c r="R550" s="347">
        <f t="shared" si="73"/>
        <v>0</v>
      </c>
      <c r="S550" s="347">
        <f t="shared" si="73"/>
        <v>13</v>
      </c>
      <c r="T550" s="347">
        <f t="shared" si="73"/>
        <v>0</v>
      </c>
      <c r="U550" s="347">
        <f t="shared" si="73"/>
        <v>0</v>
      </c>
      <c r="V550" s="347">
        <f t="shared" si="73"/>
        <v>0</v>
      </c>
      <c r="W550" s="347">
        <f t="shared" si="73"/>
        <v>0</v>
      </c>
      <c r="X550" s="347">
        <f t="shared" si="73"/>
        <v>0</v>
      </c>
      <c r="Y550" s="347">
        <f t="shared" si="73"/>
        <v>0</v>
      </c>
      <c r="Z550" s="347">
        <f t="shared" si="73"/>
        <v>0</v>
      </c>
      <c r="AA550" s="347">
        <f t="shared" si="73"/>
        <v>0</v>
      </c>
      <c r="AB550" s="347">
        <f t="shared" si="73"/>
        <v>0</v>
      </c>
      <c r="AC550" s="347">
        <f t="shared" si="73"/>
        <v>0</v>
      </c>
      <c r="AD550" s="347">
        <f t="shared" si="73"/>
        <v>0</v>
      </c>
      <c r="AE550" s="347">
        <f t="shared" si="73"/>
        <v>0</v>
      </c>
      <c r="AF550" s="347">
        <f t="shared" si="73"/>
        <v>0</v>
      </c>
      <c r="AG550" s="347">
        <f>SUM(AG493:AG549)</f>
        <v>253</v>
      </c>
    </row>
    <row r="551" spans="1:34" ht="15.75" thickBot="1">
      <c r="A551" s="646"/>
      <c r="B551" s="348">
        <f>B550/$AG550</f>
        <v>0</v>
      </c>
      <c r="C551" s="348">
        <f t="shared" ref="C551:AF551" si="74">C550/$AG550</f>
        <v>0</v>
      </c>
      <c r="D551" s="348">
        <f t="shared" si="74"/>
        <v>0</v>
      </c>
      <c r="E551" s="348">
        <f t="shared" si="74"/>
        <v>0</v>
      </c>
      <c r="F551" s="348">
        <f t="shared" si="74"/>
        <v>0</v>
      </c>
      <c r="G551" s="348">
        <f t="shared" si="74"/>
        <v>0</v>
      </c>
      <c r="H551" s="348">
        <f t="shared" si="74"/>
        <v>0</v>
      </c>
      <c r="I551" s="348">
        <f t="shared" si="74"/>
        <v>0</v>
      </c>
      <c r="J551" s="348">
        <f t="shared" si="74"/>
        <v>0</v>
      </c>
      <c r="K551" s="348">
        <f t="shared" si="74"/>
        <v>0.57707509881422925</v>
      </c>
      <c r="L551" s="348">
        <f t="shared" si="74"/>
        <v>0</v>
      </c>
      <c r="M551" s="348">
        <f t="shared" si="74"/>
        <v>0</v>
      </c>
      <c r="N551" s="348">
        <f t="shared" si="74"/>
        <v>0</v>
      </c>
      <c r="O551" s="348">
        <f t="shared" si="74"/>
        <v>0</v>
      </c>
      <c r="P551" s="348">
        <f t="shared" si="74"/>
        <v>0.3715415019762846</v>
      </c>
      <c r="Q551" s="348">
        <f t="shared" si="74"/>
        <v>0</v>
      </c>
      <c r="R551" s="348">
        <f t="shared" si="74"/>
        <v>0</v>
      </c>
      <c r="S551" s="348">
        <f t="shared" si="74"/>
        <v>5.1383399209486168E-2</v>
      </c>
      <c r="T551" s="348">
        <f t="shared" si="74"/>
        <v>0</v>
      </c>
      <c r="U551" s="348">
        <f t="shared" si="74"/>
        <v>0</v>
      </c>
      <c r="V551" s="348">
        <f t="shared" si="74"/>
        <v>0</v>
      </c>
      <c r="W551" s="348">
        <f t="shared" si="74"/>
        <v>0</v>
      </c>
      <c r="X551" s="348">
        <f t="shared" si="74"/>
        <v>0</v>
      </c>
      <c r="Y551" s="348">
        <f t="shared" si="74"/>
        <v>0</v>
      </c>
      <c r="Z551" s="348">
        <f t="shared" si="74"/>
        <v>0</v>
      </c>
      <c r="AA551" s="348">
        <f t="shared" si="74"/>
        <v>0</v>
      </c>
      <c r="AB551" s="348">
        <f t="shared" si="74"/>
        <v>0</v>
      </c>
      <c r="AC551" s="348">
        <f t="shared" si="74"/>
        <v>0</v>
      </c>
      <c r="AD551" s="348">
        <f t="shared" si="74"/>
        <v>0</v>
      </c>
      <c r="AE551" s="348">
        <f t="shared" si="74"/>
        <v>0</v>
      </c>
      <c r="AF551" s="348">
        <f t="shared" si="74"/>
        <v>0</v>
      </c>
      <c r="AG551" s="351"/>
    </row>
    <row r="554" spans="1:34">
      <c r="A554" s="165">
        <f>'Conveyor Downtime (new)'!A556</f>
        <v>46296</v>
      </c>
      <c r="AG554">
        <f t="shared" ref="AG554:AG606" si="75">SUM(B554:AF554)</f>
        <v>0</v>
      </c>
      <c r="AH554" s="351">
        <f t="shared" ref="AH554:AH606" si="76">AG554/$AG$368</f>
        <v>0</v>
      </c>
    </row>
    <row r="555" spans="1:34">
      <c r="A555" s="165">
        <f>'Conveyor Downtime (new)'!A557</f>
        <v>0</v>
      </c>
      <c r="B555" s="346"/>
      <c r="C555" s="346"/>
      <c r="D555" s="346"/>
      <c r="E555" s="346"/>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f t="shared" si="75"/>
        <v>0</v>
      </c>
      <c r="AH555" s="351">
        <f t="shared" si="76"/>
        <v>0</v>
      </c>
    </row>
    <row r="556" spans="1:34">
      <c r="A556" s="165">
        <f>'Conveyor Downtime (new)'!A558</f>
        <v>0</v>
      </c>
      <c r="AG556">
        <f t="shared" si="75"/>
        <v>0</v>
      </c>
      <c r="AH556" s="351">
        <f t="shared" si="76"/>
        <v>0</v>
      </c>
    </row>
    <row r="557" spans="1:34">
      <c r="A557" s="165">
        <f>'Conveyor Downtime (new)'!A559</f>
        <v>0</v>
      </c>
      <c r="B557" s="346"/>
      <c r="C557" s="346"/>
      <c r="D557" s="346"/>
      <c r="E557" s="346"/>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f t="shared" si="75"/>
        <v>0</v>
      </c>
      <c r="AH557" s="351">
        <f t="shared" si="76"/>
        <v>0</v>
      </c>
    </row>
    <row r="558" spans="1:34">
      <c r="A558" s="165">
        <f>'Conveyor Downtime (new)'!A560</f>
        <v>0</v>
      </c>
      <c r="AG558">
        <f t="shared" si="75"/>
        <v>0</v>
      </c>
      <c r="AH558" s="351">
        <f t="shared" si="76"/>
        <v>0</v>
      </c>
    </row>
    <row r="559" spans="1:34">
      <c r="A559" s="165">
        <f>'Conveyor Downtime (new)'!A561</f>
        <v>0</v>
      </c>
      <c r="B559" s="346"/>
      <c r="C559" s="346"/>
      <c r="D559" s="346"/>
      <c r="E559" s="346"/>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f t="shared" si="75"/>
        <v>0</v>
      </c>
      <c r="AH559" s="351">
        <f t="shared" si="76"/>
        <v>0</v>
      </c>
    </row>
    <row r="560" spans="1:34">
      <c r="A560" s="165">
        <f>'Conveyor Downtime (new)'!A562</f>
        <v>0</v>
      </c>
      <c r="AG560">
        <f t="shared" si="75"/>
        <v>0</v>
      </c>
      <c r="AH560" s="351">
        <f t="shared" si="76"/>
        <v>0</v>
      </c>
    </row>
    <row r="561" spans="1:34">
      <c r="A561" s="165">
        <f>'Conveyor Downtime (new)'!A563</f>
        <v>0</v>
      </c>
      <c r="B561" s="346"/>
      <c r="C561" s="346"/>
      <c r="D561" s="346"/>
      <c r="E561" s="346"/>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f t="shared" si="75"/>
        <v>0</v>
      </c>
      <c r="AH561" s="351">
        <f t="shared" si="76"/>
        <v>0</v>
      </c>
    </row>
    <row r="562" spans="1:34">
      <c r="A562" s="165">
        <f>'Conveyor Downtime (new)'!A564</f>
        <v>0</v>
      </c>
      <c r="AG562">
        <f t="shared" si="75"/>
        <v>0</v>
      </c>
      <c r="AH562" s="351">
        <f t="shared" si="76"/>
        <v>0</v>
      </c>
    </row>
    <row r="563" spans="1:34">
      <c r="A563" s="165">
        <f>'Conveyor Downtime (new)'!A565</f>
        <v>0</v>
      </c>
      <c r="B563" s="346"/>
      <c r="C563" s="346"/>
      <c r="D563" s="346"/>
      <c r="E563" s="346"/>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f t="shared" si="75"/>
        <v>0</v>
      </c>
      <c r="AH563" s="351">
        <f t="shared" si="76"/>
        <v>0</v>
      </c>
    </row>
    <row r="564" spans="1:34">
      <c r="A564" s="165">
        <f>'Conveyor Downtime (new)'!A566</f>
        <v>0</v>
      </c>
      <c r="AG564">
        <f t="shared" si="75"/>
        <v>0</v>
      </c>
      <c r="AH564" s="351">
        <f t="shared" si="76"/>
        <v>0</v>
      </c>
    </row>
    <row r="565" spans="1:34">
      <c r="A565" s="165">
        <f>'Conveyor Downtime (new)'!A567</f>
        <v>0</v>
      </c>
      <c r="B565" s="346"/>
      <c r="C565" s="346"/>
      <c r="D565" s="346"/>
      <c r="E565" s="346"/>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f t="shared" si="75"/>
        <v>0</v>
      </c>
      <c r="AH565" s="351">
        <f t="shared" si="76"/>
        <v>0</v>
      </c>
    </row>
    <row r="566" spans="1:34" ht="13.5" customHeight="1">
      <c r="A566" s="165">
        <f>'Conveyor Downtime (new)'!A568</f>
        <v>0</v>
      </c>
      <c r="AG566">
        <f t="shared" si="75"/>
        <v>0</v>
      </c>
      <c r="AH566" s="351">
        <f t="shared" si="76"/>
        <v>0</v>
      </c>
    </row>
    <row r="567" spans="1:34">
      <c r="A567" s="165">
        <f>'Conveyor Downtime (new)'!A569</f>
        <v>0</v>
      </c>
      <c r="B567" s="346"/>
      <c r="C567" s="346"/>
      <c r="D567" s="346"/>
      <c r="E567" s="346"/>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f t="shared" si="75"/>
        <v>0</v>
      </c>
      <c r="AH567" s="351">
        <f t="shared" si="76"/>
        <v>0</v>
      </c>
    </row>
    <row r="568" spans="1:34">
      <c r="A568" s="165">
        <f>'Conveyor Downtime (new)'!A570</f>
        <v>0</v>
      </c>
      <c r="AG568">
        <f t="shared" si="75"/>
        <v>0</v>
      </c>
      <c r="AH568" s="351">
        <f t="shared" si="76"/>
        <v>0</v>
      </c>
    </row>
    <row r="569" spans="1:34">
      <c r="A569" s="165">
        <f>'Conveyor Downtime (new)'!A571</f>
        <v>0</v>
      </c>
      <c r="B569" s="346"/>
      <c r="C569" s="346"/>
      <c r="D569" s="346"/>
      <c r="E569" s="346"/>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f t="shared" si="75"/>
        <v>0</v>
      </c>
      <c r="AH569" s="351">
        <f t="shared" si="76"/>
        <v>0</v>
      </c>
    </row>
    <row r="570" spans="1:34">
      <c r="A570" s="165">
        <f>'Conveyor Downtime (new)'!A572</f>
        <v>0</v>
      </c>
      <c r="AG570">
        <f t="shared" si="75"/>
        <v>0</v>
      </c>
      <c r="AH570" s="351">
        <f t="shared" si="76"/>
        <v>0</v>
      </c>
    </row>
    <row r="571" spans="1:34">
      <c r="A571" s="165">
        <f>'Conveyor Downtime (new)'!A573</f>
        <v>0</v>
      </c>
      <c r="B571" s="346"/>
      <c r="C571" s="346"/>
      <c r="D571" s="346"/>
      <c r="E571" s="346"/>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f t="shared" si="75"/>
        <v>0</v>
      </c>
      <c r="AH571" s="351">
        <f t="shared" si="76"/>
        <v>0</v>
      </c>
    </row>
    <row r="572" spans="1:34">
      <c r="A572" s="165">
        <f>'Conveyor Downtime (new)'!A574</f>
        <v>0</v>
      </c>
      <c r="AG572">
        <f t="shared" si="75"/>
        <v>0</v>
      </c>
      <c r="AH572" s="351">
        <f t="shared" si="76"/>
        <v>0</v>
      </c>
    </row>
    <row r="573" spans="1:34">
      <c r="A573" s="165">
        <f>'Conveyor Downtime (new)'!A575</f>
        <v>0</v>
      </c>
      <c r="B573" s="346"/>
      <c r="C573" s="346"/>
      <c r="D573" s="346"/>
      <c r="E573" s="346"/>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f t="shared" si="75"/>
        <v>0</v>
      </c>
      <c r="AH573" s="351">
        <f t="shared" si="76"/>
        <v>0</v>
      </c>
    </row>
    <row r="574" spans="1:34">
      <c r="A574" s="165">
        <f>'Conveyor Downtime (new)'!A576</f>
        <v>0</v>
      </c>
      <c r="AG574">
        <f t="shared" si="75"/>
        <v>0</v>
      </c>
      <c r="AH574" s="351">
        <f t="shared" si="76"/>
        <v>0</v>
      </c>
    </row>
    <row r="575" spans="1:34">
      <c r="A575" s="165">
        <f>'Conveyor Downtime (new)'!A577</f>
        <v>0</v>
      </c>
      <c r="B575" s="346"/>
      <c r="C575" s="346"/>
      <c r="D575" s="346"/>
      <c r="E575" s="346"/>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f t="shared" si="75"/>
        <v>0</v>
      </c>
      <c r="AH575" s="351">
        <f t="shared" si="76"/>
        <v>0</v>
      </c>
    </row>
    <row r="576" spans="1:34">
      <c r="A576" s="165">
        <f>'Conveyor Downtime (new)'!A578</f>
        <v>0</v>
      </c>
      <c r="AG576">
        <f t="shared" si="75"/>
        <v>0</v>
      </c>
      <c r="AH576" s="351">
        <f t="shared" si="76"/>
        <v>0</v>
      </c>
    </row>
    <row r="577" spans="1:34">
      <c r="A577" s="165">
        <f>'Conveyor Downtime (new)'!A579</f>
        <v>0</v>
      </c>
      <c r="B577" s="346"/>
      <c r="C577" s="346"/>
      <c r="D577" s="346"/>
      <c r="E577" s="346"/>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f t="shared" si="75"/>
        <v>0</v>
      </c>
      <c r="AH577" s="351">
        <f t="shared" si="76"/>
        <v>0</v>
      </c>
    </row>
    <row r="578" spans="1:34">
      <c r="A578" s="165">
        <f>'Conveyor Downtime (new)'!A580</f>
        <v>0</v>
      </c>
      <c r="AG578">
        <f t="shared" si="75"/>
        <v>0</v>
      </c>
      <c r="AH578" s="351">
        <f t="shared" si="76"/>
        <v>0</v>
      </c>
    </row>
    <row r="579" spans="1:34">
      <c r="A579" s="165">
        <f>'Conveyor Downtime (new)'!A581</f>
        <v>0</v>
      </c>
      <c r="B579" s="346"/>
      <c r="C579" s="346"/>
      <c r="D579" s="346"/>
      <c r="E579" s="346"/>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f t="shared" si="75"/>
        <v>0</v>
      </c>
      <c r="AH579" s="351">
        <f t="shared" si="76"/>
        <v>0</v>
      </c>
    </row>
    <row r="580" spans="1:34">
      <c r="A580" s="165">
        <f>'Conveyor Downtime (new)'!A582</f>
        <v>0</v>
      </c>
      <c r="AG580">
        <f t="shared" si="75"/>
        <v>0</v>
      </c>
      <c r="AH580" s="351">
        <f t="shared" si="76"/>
        <v>0</v>
      </c>
    </row>
    <row r="581" spans="1:34">
      <c r="A581" s="165">
        <f>'Conveyor Downtime (new)'!A583</f>
        <v>0</v>
      </c>
      <c r="B581" s="346"/>
      <c r="C581" s="346"/>
      <c r="D581" s="346"/>
      <c r="E581" s="346"/>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f t="shared" si="75"/>
        <v>0</v>
      </c>
      <c r="AH581" s="351">
        <f t="shared" si="76"/>
        <v>0</v>
      </c>
    </row>
    <row r="582" spans="1:34">
      <c r="A582" s="165">
        <f>'Conveyor Downtime (new)'!A584</f>
        <v>0</v>
      </c>
      <c r="AG582">
        <f t="shared" si="75"/>
        <v>0</v>
      </c>
      <c r="AH582" s="351">
        <f t="shared" si="76"/>
        <v>0</v>
      </c>
    </row>
    <row r="583" spans="1:34">
      <c r="A583" s="165">
        <f>'Conveyor Downtime (new)'!A585</f>
        <v>0</v>
      </c>
      <c r="B583" s="346"/>
      <c r="C583" s="346"/>
      <c r="D583" s="346"/>
      <c r="E583" s="346"/>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f t="shared" si="75"/>
        <v>0</v>
      </c>
      <c r="AH583" s="351">
        <f t="shared" si="76"/>
        <v>0</v>
      </c>
    </row>
    <row r="584" spans="1:34">
      <c r="A584" s="165">
        <f>'Conveyor Downtime (new)'!A586</f>
        <v>0</v>
      </c>
      <c r="AG584">
        <f t="shared" si="75"/>
        <v>0</v>
      </c>
      <c r="AH584" s="351">
        <f t="shared" si="76"/>
        <v>0</v>
      </c>
    </row>
    <row r="585" spans="1:34">
      <c r="A585" s="165">
        <f>'Conveyor Downtime (new)'!A587</f>
        <v>0</v>
      </c>
      <c r="B585" s="346"/>
      <c r="C585" s="346"/>
      <c r="D585" s="346"/>
      <c r="E585" s="346"/>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s="346"/>
      <c r="AE585" s="346"/>
      <c r="AF585" s="346"/>
      <c r="AG585">
        <f t="shared" si="75"/>
        <v>0</v>
      </c>
      <c r="AH585" s="351">
        <f t="shared" si="76"/>
        <v>0</v>
      </c>
    </row>
    <row r="586" spans="1:34">
      <c r="A586" s="165">
        <f>'Conveyor Downtime (new)'!A588</f>
        <v>0</v>
      </c>
      <c r="AG586">
        <f t="shared" si="75"/>
        <v>0</v>
      </c>
      <c r="AH586" s="351">
        <f t="shared" si="76"/>
        <v>0</v>
      </c>
    </row>
    <row r="587" spans="1:34">
      <c r="A587" s="165">
        <f>'Conveyor Downtime (new)'!A589</f>
        <v>0</v>
      </c>
      <c r="B587" s="346"/>
      <c r="C587" s="346"/>
      <c r="D587" s="346"/>
      <c r="E587" s="346"/>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f t="shared" si="75"/>
        <v>0</v>
      </c>
      <c r="AH587" s="351">
        <f t="shared" si="76"/>
        <v>0</v>
      </c>
    </row>
    <row r="588" spans="1:34">
      <c r="A588" s="165">
        <f>'Conveyor Downtime (new)'!A590</f>
        <v>0</v>
      </c>
      <c r="AG588">
        <f t="shared" si="75"/>
        <v>0</v>
      </c>
      <c r="AH588" s="351">
        <f t="shared" si="76"/>
        <v>0</v>
      </c>
    </row>
    <row r="589" spans="1:34">
      <c r="A589" s="165">
        <f>'Conveyor Downtime (new)'!A591</f>
        <v>0</v>
      </c>
      <c r="B589" s="346"/>
      <c r="C589" s="346"/>
      <c r="D589" s="346"/>
      <c r="E589" s="346"/>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f t="shared" si="75"/>
        <v>0</v>
      </c>
      <c r="AH589" s="351">
        <f t="shared" si="76"/>
        <v>0</v>
      </c>
    </row>
    <row r="590" spans="1:34">
      <c r="A590" s="165">
        <f>'Conveyor Downtime (new)'!A592</f>
        <v>0</v>
      </c>
      <c r="AG590">
        <f t="shared" si="75"/>
        <v>0</v>
      </c>
      <c r="AH590" s="351">
        <f t="shared" si="76"/>
        <v>0</v>
      </c>
    </row>
    <row r="591" spans="1:34">
      <c r="A591" s="165">
        <f>'Conveyor Downtime (new)'!A593</f>
        <v>0</v>
      </c>
      <c r="B591" s="346"/>
      <c r="C591" s="346"/>
      <c r="D591" s="346"/>
      <c r="E591" s="346"/>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f t="shared" si="75"/>
        <v>0</v>
      </c>
      <c r="AH591" s="351">
        <f t="shared" si="76"/>
        <v>0</v>
      </c>
    </row>
    <row r="592" spans="1:34">
      <c r="A592" s="165">
        <f>'Conveyor Downtime (new)'!A594</f>
        <v>0</v>
      </c>
      <c r="AG592">
        <f t="shared" si="75"/>
        <v>0</v>
      </c>
      <c r="AH592" s="351">
        <f t="shared" si="76"/>
        <v>0</v>
      </c>
    </row>
    <row r="593" spans="1:34">
      <c r="A593" s="165">
        <f>'Conveyor Downtime (new)'!A595</f>
        <v>0</v>
      </c>
      <c r="B593" s="346"/>
      <c r="C593" s="346"/>
      <c r="D593" s="346"/>
      <c r="E593" s="346"/>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f t="shared" si="75"/>
        <v>0</v>
      </c>
      <c r="AH593" s="351">
        <f t="shared" si="76"/>
        <v>0</v>
      </c>
    </row>
    <row r="594" spans="1:34">
      <c r="A594" s="165">
        <f>'Conveyor Downtime (new)'!A596</f>
        <v>0</v>
      </c>
      <c r="AG594">
        <f t="shared" si="75"/>
        <v>0</v>
      </c>
      <c r="AH594" s="351">
        <f t="shared" si="76"/>
        <v>0</v>
      </c>
    </row>
    <row r="595" spans="1:34">
      <c r="A595" s="165">
        <f>'Conveyor Downtime (new)'!A597</f>
        <v>0</v>
      </c>
      <c r="B595" s="346"/>
      <c r="C595" s="346"/>
      <c r="D595" s="346"/>
      <c r="E595" s="346"/>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f t="shared" si="75"/>
        <v>0</v>
      </c>
      <c r="AH595" s="351">
        <f t="shared" si="76"/>
        <v>0</v>
      </c>
    </row>
    <row r="596" spans="1:34">
      <c r="A596" s="165">
        <f>'Conveyor Downtime (new)'!A598</f>
        <v>0</v>
      </c>
      <c r="AG596">
        <f t="shared" si="75"/>
        <v>0</v>
      </c>
      <c r="AH596" s="351">
        <f t="shared" si="76"/>
        <v>0</v>
      </c>
    </row>
    <row r="597" spans="1:34">
      <c r="A597" s="165">
        <f>'Conveyor Downtime (new)'!A599</f>
        <v>0</v>
      </c>
      <c r="B597" s="346"/>
      <c r="C597" s="346"/>
      <c r="D597" s="346"/>
      <c r="E597" s="346"/>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f t="shared" si="75"/>
        <v>0</v>
      </c>
      <c r="AH597" s="351">
        <f t="shared" si="76"/>
        <v>0</v>
      </c>
    </row>
    <row r="598" spans="1:34">
      <c r="A598" s="165">
        <f>'Conveyor Downtime (new)'!A600</f>
        <v>0</v>
      </c>
      <c r="AG598">
        <f t="shared" si="75"/>
        <v>0</v>
      </c>
      <c r="AH598" s="351">
        <f t="shared" si="76"/>
        <v>0</v>
      </c>
    </row>
    <row r="599" spans="1:34">
      <c r="A599" s="165">
        <f>'Conveyor Downtime (new)'!A601</f>
        <v>0</v>
      </c>
      <c r="B599" s="346"/>
      <c r="C599" s="346"/>
      <c r="D599" s="346"/>
      <c r="E599" s="346"/>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f t="shared" si="75"/>
        <v>0</v>
      </c>
      <c r="AH599" s="351">
        <f t="shared" si="76"/>
        <v>0</v>
      </c>
    </row>
    <row r="600" spans="1:34">
      <c r="A600" s="165">
        <f>'Conveyor Downtime (new)'!A602</f>
        <v>0</v>
      </c>
      <c r="AG600">
        <f t="shared" si="75"/>
        <v>0</v>
      </c>
      <c r="AH600" s="351">
        <f t="shared" si="76"/>
        <v>0</v>
      </c>
    </row>
    <row r="601" spans="1:34">
      <c r="A601" s="165">
        <f>'Conveyor Downtime (new)'!A603</f>
        <v>0</v>
      </c>
      <c r="B601" s="346"/>
      <c r="C601" s="346"/>
      <c r="D601" s="346"/>
      <c r="E601" s="346"/>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f t="shared" si="75"/>
        <v>0</v>
      </c>
      <c r="AH601" s="351">
        <f t="shared" si="76"/>
        <v>0</v>
      </c>
    </row>
    <row r="602" spans="1:34">
      <c r="A602" s="165">
        <f>'Conveyor Downtime (new)'!A604</f>
        <v>0</v>
      </c>
      <c r="AG602">
        <f t="shared" si="75"/>
        <v>0</v>
      </c>
      <c r="AH602" s="351">
        <f t="shared" si="76"/>
        <v>0</v>
      </c>
    </row>
    <row r="603" spans="1:34">
      <c r="A603" s="165">
        <f>'Conveyor Downtime (new)'!A605</f>
        <v>0</v>
      </c>
      <c r="B603" s="346"/>
      <c r="C603" s="346"/>
      <c r="D603" s="346"/>
      <c r="E603" s="346"/>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f t="shared" si="75"/>
        <v>0</v>
      </c>
      <c r="AH603" s="351">
        <f t="shared" si="76"/>
        <v>0</v>
      </c>
    </row>
    <row r="604" spans="1:34">
      <c r="A604" s="165">
        <f>'Conveyor Downtime (new)'!A606</f>
        <v>0</v>
      </c>
      <c r="AG604">
        <f t="shared" si="75"/>
        <v>0</v>
      </c>
      <c r="AH604" s="351">
        <f t="shared" si="76"/>
        <v>0</v>
      </c>
    </row>
    <row r="605" spans="1:34">
      <c r="A605" s="165">
        <f>'Conveyor Downtime (new)'!A607</f>
        <v>0</v>
      </c>
      <c r="B605" s="346"/>
      <c r="C605" s="346"/>
      <c r="D605" s="346"/>
      <c r="E605" s="346"/>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f t="shared" si="75"/>
        <v>0</v>
      </c>
      <c r="AH605" s="351">
        <f t="shared" si="76"/>
        <v>0</v>
      </c>
    </row>
    <row r="606" spans="1:34" ht="13.5" thickBot="1">
      <c r="A606" s="165"/>
      <c r="AG606">
        <f t="shared" si="75"/>
        <v>0</v>
      </c>
      <c r="AH606" s="351">
        <f t="shared" si="76"/>
        <v>0</v>
      </c>
    </row>
    <row r="607" spans="1:34" ht="15">
      <c r="A607" s="645" t="s">
        <v>113</v>
      </c>
      <c r="B607" s="347">
        <f t="shared" ref="B607:AF607" si="77">SUM(B554:B606)</f>
        <v>0</v>
      </c>
      <c r="C607" s="347">
        <f t="shared" si="77"/>
        <v>0</v>
      </c>
      <c r="D607" s="347">
        <f t="shared" si="77"/>
        <v>0</v>
      </c>
      <c r="E607" s="347">
        <f t="shared" si="77"/>
        <v>0</v>
      </c>
      <c r="F607" s="347">
        <f t="shared" si="77"/>
        <v>0</v>
      </c>
      <c r="G607" s="347">
        <f t="shared" si="77"/>
        <v>0</v>
      </c>
      <c r="H607" s="347">
        <f t="shared" si="77"/>
        <v>0</v>
      </c>
      <c r="I607" s="347">
        <f t="shared" si="77"/>
        <v>0</v>
      </c>
      <c r="J607" s="347">
        <f t="shared" si="77"/>
        <v>0</v>
      </c>
      <c r="K607" s="347">
        <f t="shared" si="77"/>
        <v>0</v>
      </c>
      <c r="L607" s="347">
        <f t="shared" si="77"/>
        <v>0</v>
      </c>
      <c r="M607" s="347">
        <f t="shared" si="77"/>
        <v>0</v>
      </c>
      <c r="N607" s="347">
        <f t="shared" si="77"/>
        <v>0</v>
      </c>
      <c r="O607" s="347">
        <f t="shared" si="77"/>
        <v>0</v>
      </c>
      <c r="P607" s="347">
        <f t="shared" si="77"/>
        <v>0</v>
      </c>
      <c r="Q607" s="347">
        <f t="shared" si="77"/>
        <v>0</v>
      </c>
      <c r="R607" s="347">
        <f t="shared" si="77"/>
        <v>0</v>
      </c>
      <c r="S607" s="347">
        <f t="shared" si="77"/>
        <v>0</v>
      </c>
      <c r="T607" s="347">
        <f t="shared" si="77"/>
        <v>0</v>
      </c>
      <c r="U607" s="347">
        <f t="shared" si="77"/>
        <v>0</v>
      </c>
      <c r="V607" s="347">
        <f t="shared" si="77"/>
        <v>0</v>
      </c>
      <c r="W607" s="347">
        <f t="shared" si="77"/>
        <v>0</v>
      </c>
      <c r="X607" s="347">
        <f t="shared" si="77"/>
        <v>0</v>
      </c>
      <c r="Y607" s="347">
        <f t="shared" si="77"/>
        <v>0</v>
      </c>
      <c r="Z607" s="347">
        <f t="shared" si="77"/>
        <v>0</v>
      </c>
      <c r="AA607" s="347">
        <f t="shared" si="77"/>
        <v>0</v>
      </c>
      <c r="AB607" s="347">
        <f t="shared" si="77"/>
        <v>0</v>
      </c>
      <c r="AC607" s="347">
        <f t="shared" si="77"/>
        <v>0</v>
      </c>
      <c r="AD607" s="347">
        <f t="shared" si="77"/>
        <v>0</v>
      </c>
      <c r="AE607" s="347">
        <f t="shared" si="77"/>
        <v>0</v>
      </c>
      <c r="AF607" s="347">
        <f t="shared" si="77"/>
        <v>0</v>
      </c>
      <c r="AG607" s="347">
        <f>SUM(AG554:AG606)</f>
        <v>0</v>
      </c>
    </row>
    <row r="608" spans="1:34" ht="15.75" thickBot="1">
      <c r="A608" s="646"/>
      <c r="B608" s="348" t="e">
        <f>B607/$AG607</f>
        <v>#DIV/0!</v>
      </c>
      <c r="C608" s="348" t="e">
        <f>C607/$AG607</f>
        <v>#DIV/0!</v>
      </c>
      <c r="D608" s="348" t="e">
        <f t="shared" ref="D608:AF608" si="78">D607/$AG607</f>
        <v>#DIV/0!</v>
      </c>
      <c r="E608" s="348" t="e">
        <f t="shared" si="78"/>
        <v>#DIV/0!</v>
      </c>
      <c r="F608" s="348" t="e">
        <f t="shared" si="78"/>
        <v>#DIV/0!</v>
      </c>
      <c r="G608" s="348" t="e">
        <f t="shared" si="78"/>
        <v>#DIV/0!</v>
      </c>
      <c r="H608" s="348" t="e">
        <f t="shared" si="78"/>
        <v>#DIV/0!</v>
      </c>
      <c r="I608" s="348" t="e">
        <f t="shared" si="78"/>
        <v>#DIV/0!</v>
      </c>
      <c r="J608" s="348" t="e">
        <f t="shared" si="78"/>
        <v>#DIV/0!</v>
      </c>
      <c r="K608" s="348" t="e">
        <f t="shared" si="78"/>
        <v>#DIV/0!</v>
      </c>
      <c r="L608" s="348" t="e">
        <f t="shared" si="78"/>
        <v>#DIV/0!</v>
      </c>
      <c r="M608" s="348" t="e">
        <f t="shared" si="78"/>
        <v>#DIV/0!</v>
      </c>
      <c r="N608" s="348" t="e">
        <f t="shared" si="78"/>
        <v>#DIV/0!</v>
      </c>
      <c r="O608" s="348" t="e">
        <f t="shared" si="78"/>
        <v>#DIV/0!</v>
      </c>
      <c r="P608" s="348" t="e">
        <f t="shared" si="78"/>
        <v>#DIV/0!</v>
      </c>
      <c r="Q608" s="348" t="e">
        <f t="shared" si="78"/>
        <v>#DIV/0!</v>
      </c>
      <c r="R608" s="348" t="e">
        <f t="shared" si="78"/>
        <v>#DIV/0!</v>
      </c>
      <c r="S608" s="348" t="e">
        <f t="shared" si="78"/>
        <v>#DIV/0!</v>
      </c>
      <c r="T608" s="348" t="e">
        <f t="shared" si="78"/>
        <v>#DIV/0!</v>
      </c>
      <c r="U608" s="348" t="e">
        <f t="shared" si="78"/>
        <v>#DIV/0!</v>
      </c>
      <c r="V608" s="348" t="e">
        <f t="shared" si="78"/>
        <v>#DIV/0!</v>
      </c>
      <c r="W608" s="348" t="e">
        <f t="shared" si="78"/>
        <v>#DIV/0!</v>
      </c>
      <c r="X608" s="348" t="e">
        <f t="shared" si="78"/>
        <v>#DIV/0!</v>
      </c>
      <c r="Y608" s="348" t="e">
        <f t="shared" si="78"/>
        <v>#DIV/0!</v>
      </c>
      <c r="Z608" s="348" t="e">
        <f t="shared" si="78"/>
        <v>#DIV/0!</v>
      </c>
      <c r="AA608" s="348" t="e">
        <f t="shared" si="78"/>
        <v>#DIV/0!</v>
      </c>
      <c r="AB608" s="348" t="e">
        <f t="shared" si="78"/>
        <v>#DIV/0!</v>
      </c>
      <c r="AC608" s="348" t="e">
        <f t="shared" si="78"/>
        <v>#DIV/0!</v>
      </c>
      <c r="AD608" s="348" t="e">
        <f t="shared" si="78"/>
        <v>#DIV/0!</v>
      </c>
      <c r="AE608" s="348" t="e">
        <f t="shared" si="78"/>
        <v>#DIV/0!</v>
      </c>
      <c r="AF608" s="348" t="e">
        <f t="shared" si="78"/>
        <v>#DIV/0!</v>
      </c>
      <c r="AG608" s="351"/>
    </row>
    <row r="611" spans="1:34">
      <c r="A611" s="165">
        <f>'Conveyor Downtime (new)'!A617</f>
        <v>0</v>
      </c>
      <c r="AG611">
        <f t="shared" ref="AG611:AG619" si="79">SUM(B611:AF611)</f>
        <v>0</v>
      </c>
      <c r="AH611" s="351">
        <f t="shared" ref="AH611:AH619" si="80">AG611/$AG$368</f>
        <v>0</v>
      </c>
    </row>
    <row r="612" spans="1:34">
      <c r="A612" s="165">
        <f>'Conveyor Downtime (new)'!A618</f>
        <v>0</v>
      </c>
      <c r="B612" s="346"/>
      <c r="C612" s="346"/>
      <c r="D612" s="346"/>
      <c r="E612" s="346"/>
      <c r="F612" s="346"/>
      <c r="G612" s="346"/>
      <c r="H612" s="346"/>
      <c r="I612" s="346"/>
      <c r="J612" s="346"/>
      <c r="K612" s="346"/>
      <c r="L612" s="346"/>
      <c r="M612" s="346"/>
      <c r="N612" s="346"/>
      <c r="O612" s="346"/>
      <c r="P612" s="346"/>
      <c r="Q612" s="346"/>
      <c r="R612" s="346"/>
      <c r="S612" s="77"/>
      <c r="T612" s="346"/>
      <c r="U612" s="346"/>
      <c r="V612" s="346"/>
      <c r="W612" s="346"/>
      <c r="X612" s="346"/>
      <c r="Y612" s="346"/>
      <c r="Z612" s="346"/>
      <c r="AA612" s="346"/>
      <c r="AB612" s="346"/>
      <c r="AC612" s="346"/>
      <c r="AD612" s="346"/>
      <c r="AE612" s="346"/>
      <c r="AF612" s="346"/>
      <c r="AG612">
        <f t="shared" si="79"/>
        <v>0</v>
      </c>
      <c r="AH612" s="351">
        <f t="shared" si="80"/>
        <v>0</v>
      </c>
    </row>
    <row r="613" spans="1:34">
      <c r="A613" s="165">
        <f>'Conveyor Downtime (new)'!A619</f>
        <v>0</v>
      </c>
      <c r="AG613">
        <f t="shared" si="79"/>
        <v>0</v>
      </c>
      <c r="AH613" s="351">
        <f t="shared" si="80"/>
        <v>0</v>
      </c>
    </row>
    <row r="614" spans="1:34">
      <c r="A614" s="165">
        <f>'Conveyor Downtime (new)'!A620</f>
        <v>0</v>
      </c>
      <c r="B614" s="346"/>
      <c r="C614" s="346"/>
      <c r="D614" s="346"/>
      <c r="E614" s="346"/>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f t="shared" si="79"/>
        <v>0</v>
      </c>
      <c r="AH614" s="351">
        <f t="shared" si="80"/>
        <v>0</v>
      </c>
    </row>
    <row r="615" spans="1:34">
      <c r="A615" s="165">
        <f>'Conveyor Downtime (new)'!A621</f>
        <v>0</v>
      </c>
      <c r="AG615">
        <f t="shared" si="79"/>
        <v>0</v>
      </c>
      <c r="AH615" s="351">
        <f t="shared" si="80"/>
        <v>0</v>
      </c>
    </row>
    <row r="616" spans="1:34">
      <c r="A616" s="165">
        <f>'Conveyor Downtime (new)'!A622</f>
        <v>0</v>
      </c>
      <c r="B616" s="346"/>
      <c r="C616" s="346"/>
      <c r="D616" s="346"/>
      <c r="E616" s="346"/>
      <c r="F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f t="shared" si="79"/>
        <v>0</v>
      </c>
      <c r="AH616" s="351">
        <f t="shared" si="80"/>
        <v>0</v>
      </c>
    </row>
    <row r="617" spans="1:34" ht="15.75" customHeight="1">
      <c r="A617" s="165">
        <f>'Conveyor Downtime (new)'!A623</f>
        <v>0</v>
      </c>
      <c r="AG617">
        <f t="shared" si="79"/>
        <v>0</v>
      </c>
      <c r="AH617" s="351">
        <f t="shared" si="80"/>
        <v>0</v>
      </c>
    </row>
    <row r="618" spans="1:34">
      <c r="A618" s="165">
        <f>'Conveyor Downtime (new)'!A624</f>
        <v>0</v>
      </c>
      <c r="B618" s="346"/>
      <c r="C618" s="346"/>
      <c r="D618" s="346"/>
      <c r="E618" s="346"/>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f t="shared" si="79"/>
        <v>0</v>
      </c>
      <c r="AH618" s="351">
        <f t="shared" si="80"/>
        <v>0</v>
      </c>
    </row>
    <row r="619" spans="1:34">
      <c r="A619" s="165">
        <f>'Conveyor Downtime (new)'!A625</f>
        <v>0</v>
      </c>
      <c r="AG619">
        <f t="shared" si="79"/>
        <v>0</v>
      </c>
      <c r="AH619" s="351">
        <f t="shared" si="80"/>
        <v>0</v>
      </c>
    </row>
    <row r="620" spans="1:34">
      <c r="A620" s="165">
        <f>'Conveyor Downtime (new)'!A626</f>
        <v>0</v>
      </c>
      <c r="B620" s="346"/>
      <c r="C620" s="346"/>
      <c r="D620" s="346"/>
      <c r="E620" s="346"/>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f t="shared" ref="AG620:AG667" si="81">SUM(B620:AF620)</f>
        <v>0</v>
      </c>
      <c r="AH620" s="351">
        <f t="shared" ref="AH620:AH667" si="82">AG620/$AG$368</f>
        <v>0</v>
      </c>
    </row>
    <row r="621" spans="1:34">
      <c r="A621" s="165">
        <f>'Conveyor Downtime (new)'!A627</f>
        <v>0</v>
      </c>
      <c r="AG621">
        <f t="shared" si="81"/>
        <v>0</v>
      </c>
      <c r="AH621" s="351">
        <f t="shared" si="82"/>
        <v>0</v>
      </c>
    </row>
    <row r="622" spans="1:34">
      <c r="A622" s="165">
        <f>'Conveyor Downtime (new)'!A628</f>
        <v>0</v>
      </c>
      <c r="B622" s="346"/>
      <c r="C622" s="346"/>
      <c r="D622" s="346"/>
      <c r="E622" s="346"/>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f t="shared" si="81"/>
        <v>0</v>
      </c>
      <c r="AH622" s="351">
        <f t="shared" si="82"/>
        <v>0</v>
      </c>
    </row>
    <row r="623" spans="1:34">
      <c r="A623" s="165">
        <f>'Conveyor Downtime (new)'!A629</f>
        <v>0</v>
      </c>
      <c r="AG623">
        <f t="shared" si="81"/>
        <v>0</v>
      </c>
      <c r="AH623" s="351">
        <f t="shared" si="82"/>
        <v>0</v>
      </c>
    </row>
    <row r="624" spans="1:34">
      <c r="A624" s="165">
        <f>'Conveyor Downtime (new)'!A630</f>
        <v>0</v>
      </c>
      <c r="B624" s="346"/>
      <c r="C624" s="346"/>
      <c r="D624" s="346"/>
      <c r="E624" s="346"/>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f t="shared" si="81"/>
        <v>0</v>
      </c>
      <c r="AH624" s="351">
        <f t="shared" si="82"/>
        <v>0</v>
      </c>
    </row>
    <row r="625" spans="1:34">
      <c r="A625" s="165">
        <f>'Conveyor Downtime (new)'!A631</f>
        <v>0</v>
      </c>
      <c r="AG625">
        <f t="shared" si="81"/>
        <v>0</v>
      </c>
      <c r="AH625" s="351">
        <f t="shared" si="82"/>
        <v>0</v>
      </c>
    </row>
    <row r="626" spans="1:34">
      <c r="A626" s="165">
        <f>'Conveyor Downtime (new)'!A632</f>
        <v>0</v>
      </c>
      <c r="B626" s="346"/>
      <c r="C626" s="346"/>
      <c r="D626" s="346"/>
      <c r="E626" s="346"/>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f t="shared" si="81"/>
        <v>0</v>
      </c>
      <c r="AH626" s="351">
        <f t="shared" si="82"/>
        <v>0</v>
      </c>
    </row>
    <row r="627" spans="1:34">
      <c r="A627" s="165">
        <f>'Conveyor Downtime (new)'!A633</f>
        <v>0</v>
      </c>
      <c r="AG627">
        <f t="shared" si="81"/>
        <v>0</v>
      </c>
      <c r="AH627" s="351">
        <f t="shared" si="82"/>
        <v>0</v>
      </c>
    </row>
    <row r="628" spans="1:34">
      <c r="A628" s="165">
        <f>'Conveyor Downtime (new)'!A634</f>
        <v>0</v>
      </c>
      <c r="B628" s="346"/>
      <c r="C628" s="346"/>
      <c r="D628" s="346"/>
      <c r="E628" s="346"/>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f t="shared" si="81"/>
        <v>0</v>
      </c>
      <c r="AH628" s="351">
        <f t="shared" si="82"/>
        <v>0</v>
      </c>
    </row>
    <row r="629" spans="1:34">
      <c r="A629" s="165">
        <f>'Conveyor Downtime (new)'!A635</f>
        <v>0</v>
      </c>
      <c r="AG629">
        <f t="shared" si="81"/>
        <v>0</v>
      </c>
      <c r="AH629" s="351">
        <f t="shared" si="82"/>
        <v>0</v>
      </c>
    </row>
    <row r="630" spans="1:34">
      <c r="A630" s="165">
        <f>'Conveyor Downtime (new)'!A636</f>
        <v>0</v>
      </c>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f t="shared" si="81"/>
        <v>0</v>
      </c>
      <c r="AH630" s="351">
        <f t="shared" si="82"/>
        <v>0</v>
      </c>
    </row>
    <row r="631" spans="1:34">
      <c r="A631" s="165">
        <f>'Conveyor Downtime (new)'!A637</f>
        <v>0</v>
      </c>
      <c r="AG631">
        <f t="shared" si="81"/>
        <v>0</v>
      </c>
      <c r="AH631" s="351">
        <f t="shared" si="82"/>
        <v>0</v>
      </c>
    </row>
    <row r="632" spans="1:34">
      <c r="A632" s="165">
        <f>'Conveyor Downtime (new)'!A638</f>
        <v>0</v>
      </c>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f t="shared" si="81"/>
        <v>0</v>
      </c>
      <c r="AH632" s="351">
        <f t="shared" si="82"/>
        <v>0</v>
      </c>
    </row>
    <row r="633" spans="1:34">
      <c r="A633" s="165">
        <f>'Conveyor Downtime (new)'!A639</f>
        <v>0</v>
      </c>
      <c r="AG633">
        <f t="shared" si="81"/>
        <v>0</v>
      </c>
      <c r="AH633" s="351">
        <f t="shared" si="82"/>
        <v>0</v>
      </c>
    </row>
    <row r="634" spans="1:34">
      <c r="A634" s="165">
        <f>'Conveyor Downtime (new)'!A640</f>
        <v>0</v>
      </c>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f t="shared" si="81"/>
        <v>0</v>
      </c>
      <c r="AH634" s="351">
        <f t="shared" si="82"/>
        <v>0</v>
      </c>
    </row>
    <row r="635" spans="1:34">
      <c r="A635" s="165">
        <f>'Conveyor Downtime (new)'!A641</f>
        <v>0</v>
      </c>
      <c r="AG635">
        <f t="shared" si="81"/>
        <v>0</v>
      </c>
      <c r="AH635" s="351">
        <f t="shared" si="82"/>
        <v>0</v>
      </c>
    </row>
    <row r="636" spans="1:34">
      <c r="A636" s="165">
        <f>'Conveyor Downtime (new)'!A642</f>
        <v>0</v>
      </c>
      <c r="B636" s="346"/>
      <c r="C636" s="346"/>
      <c r="D636" s="346"/>
      <c r="E636" s="346"/>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f t="shared" si="81"/>
        <v>0</v>
      </c>
      <c r="AH636" s="351">
        <f t="shared" si="82"/>
        <v>0</v>
      </c>
    </row>
    <row r="637" spans="1:34">
      <c r="A637" s="165">
        <f>'Conveyor Downtime (new)'!A643</f>
        <v>0</v>
      </c>
      <c r="AG637">
        <f t="shared" si="81"/>
        <v>0</v>
      </c>
      <c r="AH637" s="351">
        <f t="shared" si="82"/>
        <v>0</v>
      </c>
    </row>
    <row r="638" spans="1:34">
      <c r="A638" s="165">
        <f>'Conveyor Downtime (new)'!A644</f>
        <v>0</v>
      </c>
      <c r="B638" s="346"/>
      <c r="C638" s="346"/>
      <c r="D638" s="346"/>
      <c r="E638" s="346"/>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f t="shared" si="81"/>
        <v>0</v>
      </c>
      <c r="AH638" s="351">
        <f t="shared" si="82"/>
        <v>0</v>
      </c>
    </row>
    <row r="639" spans="1:34">
      <c r="A639" s="165">
        <f>'Conveyor Downtime (new)'!A645</f>
        <v>0</v>
      </c>
      <c r="AG639">
        <f t="shared" si="81"/>
        <v>0</v>
      </c>
      <c r="AH639" s="351">
        <f t="shared" si="82"/>
        <v>0</v>
      </c>
    </row>
    <row r="640" spans="1:34">
      <c r="A640" s="165">
        <f>'Conveyor Downtime (new)'!A646</f>
        <v>0</v>
      </c>
      <c r="B640" s="346"/>
      <c r="C640" s="346"/>
      <c r="D640" s="346"/>
      <c r="E640" s="346"/>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f t="shared" si="81"/>
        <v>0</v>
      </c>
      <c r="AH640" s="351">
        <f t="shared" si="82"/>
        <v>0</v>
      </c>
    </row>
    <row r="641" spans="1:34">
      <c r="A641" s="165">
        <f>'Conveyor Downtime (new)'!A647</f>
        <v>0</v>
      </c>
      <c r="AG641">
        <f t="shared" si="81"/>
        <v>0</v>
      </c>
      <c r="AH641" s="351">
        <f t="shared" si="82"/>
        <v>0</v>
      </c>
    </row>
    <row r="642" spans="1:34">
      <c r="A642" s="165">
        <f>'Conveyor Downtime (new)'!A648</f>
        <v>0</v>
      </c>
      <c r="B642" s="346"/>
      <c r="C642" s="346"/>
      <c r="D642" s="346"/>
      <c r="E642" s="346"/>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f t="shared" si="81"/>
        <v>0</v>
      </c>
      <c r="AH642" s="351">
        <f t="shared" si="82"/>
        <v>0</v>
      </c>
    </row>
    <row r="643" spans="1:34">
      <c r="A643" s="165">
        <f>'Conveyor Downtime (new)'!A649</f>
        <v>0</v>
      </c>
      <c r="AG643">
        <f t="shared" si="81"/>
        <v>0</v>
      </c>
      <c r="AH643" s="351">
        <f t="shared" si="82"/>
        <v>0</v>
      </c>
    </row>
    <row r="644" spans="1:34">
      <c r="A644" s="165">
        <f>'Conveyor Downtime (new)'!A650</f>
        <v>0</v>
      </c>
      <c r="B644" s="346"/>
      <c r="C644" s="346"/>
      <c r="D644" s="346"/>
      <c r="E644" s="346"/>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f t="shared" si="81"/>
        <v>0</v>
      </c>
      <c r="AH644" s="351">
        <f t="shared" si="82"/>
        <v>0</v>
      </c>
    </row>
    <row r="645" spans="1:34">
      <c r="A645" s="165">
        <f>'Conveyor Downtime (new)'!A651</f>
        <v>0</v>
      </c>
      <c r="AG645">
        <f t="shared" si="81"/>
        <v>0</v>
      </c>
      <c r="AH645" s="351">
        <f t="shared" si="82"/>
        <v>0</v>
      </c>
    </row>
    <row r="646" spans="1:34">
      <c r="A646" s="165">
        <f>'Conveyor Downtime (new)'!A652</f>
        <v>0</v>
      </c>
      <c r="B646" s="346"/>
      <c r="C646" s="346"/>
      <c r="D646" s="346"/>
      <c r="E646" s="346"/>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f t="shared" si="81"/>
        <v>0</v>
      </c>
      <c r="AH646" s="351">
        <f t="shared" si="82"/>
        <v>0</v>
      </c>
    </row>
    <row r="647" spans="1:34">
      <c r="A647" s="165">
        <f>'Conveyor Downtime (new)'!A653</f>
        <v>0</v>
      </c>
      <c r="AG647">
        <f t="shared" si="81"/>
        <v>0</v>
      </c>
      <c r="AH647" s="351">
        <f t="shared" si="82"/>
        <v>0</v>
      </c>
    </row>
    <row r="648" spans="1:34">
      <c r="A648" s="165">
        <f>'Conveyor Downtime (new)'!A654</f>
        <v>0</v>
      </c>
      <c r="B648" s="346"/>
      <c r="C648" s="346"/>
      <c r="D648" s="346"/>
      <c r="E648" s="346"/>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f t="shared" si="81"/>
        <v>0</v>
      </c>
      <c r="AH648" s="351">
        <f t="shared" si="82"/>
        <v>0</v>
      </c>
    </row>
    <row r="649" spans="1:34">
      <c r="A649" s="165">
        <f>'Conveyor Downtime (new)'!A655</f>
        <v>0</v>
      </c>
      <c r="AG649">
        <f t="shared" si="81"/>
        <v>0</v>
      </c>
      <c r="AH649" s="351">
        <f t="shared" si="82"/>
        <v>0</v>
      </c>
    </row>
    <row r="650" spans="1:34">
      <c r="A650" s="165">
        <f>'Conveyor Downtime (new)'!A656</f>
        <v>0</v>
      </c>
      <c r="B650" s="346"/>
      <c r="C650" s="346"/>
      <c r="D650" s="346"/>
      <c r="E650" s="346"/>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f t="shared" si="81"/>
        <v>0</v>
      </c>
      <c r="AH650" s="351">
        <f t="shared" si="82"/>
        <v>0</v>
      </c>
    </row>
    <row r="651" spans="1:34">
      <c r="A651" s="165">
        <f>'Conveyor Downtime (new)'!A657</f>
        <v>0</v>
      </c>
      <c r="AG651">
        <f t="shared" si="81"/>
        <v>0</v>
      </c>
      <c r="AH651" s="351">
        <f t="shared" si="82"/>
        <v>0</v>
      </c>
    </row>
    <row r="652" spans="1:34">
      <c r="A652" s="165">
        <f>'Conveyor Downtime (new)'!A658</f>
        <v>0</v>
      </c>
      <c r="B652" s="346"/>
      <c r="C652" s="346"/>
      <c r="D652" s="346"/>
      <c r="E652" s="346"/>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f t="shared" si="81"/>
        <v>0</v>
      </c>
      <c r="AH652" s="351">
        <f t="shared" si="82"/>
        <v>0</v>
      </c>
    </row>
    <row r="653" spans="1:34">
      <c r="A653" s="165">
        <f>'Conveyor Downtime (new)'!A659</f>
        <v>0</v>
      </c>
      <c r="AG653">
        <f t="shared" si="81"/>
        <v>0</v>
      </c>
      <c r="AH653" s="351">
        <f t="shared" si="82"/>
        <v>0</v>
      </c>
    </row>
    <row r="654" spans="1:34">
      <c r="A654" s="165">
        <f>'Conveyor Downtime (new)'!A660</f>
        <v>0</v>
      </c>
      <c r="B654" s="346"/>
      <c r="C654" s="346"/>
      <c r="D654" s="346"/>
      <c r="E654" s="346"/>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f t="shared" si="81"/>
        <v>0</v>
      </c>
      <c r="AH654" s="351">
        <f t="shared" si="82"/>
        <v>0</v>
      </c>
    </row>
    <row r="655" spans="1:34">
      <c r="A655" s="165">
        <f>'Conveyor Downtime (new)'!A661</f>
        <v>0</v>
      </c>
      <c r="AG655">
        <f t="shared" si="81"/>
        <v>0</v>
      </c>
      <c r="AH655" s="351">
        <f t="shared" si="82"/>
        <v>0</v>
      </c>
    </row>
    <row r="656" spans="1:34">
      <c r="A656" s="165">
        <f>'Conveyor Downtime (new)'!A662</f>
        <v>0</v>
      </c>
      <c r="B656" s="346"/>
      <c r="C656" s="346"/>
      <c r="D656" s="346"/>
      <c r="E656" s="346"/>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f t="shared" si="81"/>
        <v>0</v>
      </c>
      <c r="AH656" s="351">
        <f t="shared" si="82"/>
        <v>0</v>
      </c>
    </row>
    <row r="657" spans="1:34">
      <c r="A657" s="165">
        <f>'Conveyor Downtime (new)'!A663</f>
        <v>0</v>
      </c>
      <c r="AG657">
        <f t="shared" si="81"/>
        <v>0</v>
      </c>
      <c r="AH657" s="351">
        <f t="shared" si="82"/>
        <v>0</v>
      </c>
    </row>
    <row r="658" spans="1:34">
      <c r="A658" s="165">
        <f>'Conveyor Downtime (new)'!A664</f>
        <v>0</v>
      </c>
      <c r="B658" s="346"/>
      <c r="C658" s="346"/>
      <c r="D658" s="346"/>
      <c r="E658" s="346"/>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f t="shared" si="81"/>
        <v>0</v>
      </c>
      <c r="AH658" s="351">
        <f t="shared" si="82"/>
        <v>0</v>
      </c>
    </row>
    <row r="659" spans="1:34">
      <c r="A659" s="165">
        <f>'Conveyor Downtime (new)'!A665</f>
        <v>0</v>
      </c>
      <c r="AG659">
        <f t="shared" si="81"/>
        <v>0</v>
      </c>
      <c r="AH659" s="351">
        <f t="shared" si="82"/>
        <v>0</v>
      </c>
    </row>
    <row r="660" spans="1:34">
      <c r="A660" s="165">
        <f>'Conveyor Downtime (new)'!A666</f>
        <v>0</v>
      </c>
      <c r="B660" s="346"/>
      <c r="C660" s="346"/>
      <c r="D660" s="346"/>
      <c r="E660" s="346"/>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f t="shared" si="81"/>
        <v>0</v>
      </c>
      <c r="AH660" s="351">
        <f t="shared" si="82"/>
        <v>0</v>
      </c>
    </row>
    <row r="661" spans="1:34">
      <c r="A661" s="165">
        <f>'Conveyor Downtime (new)'!A667</f>
        <v>0</v>
      </c>
      <c r="AG661">
        <f t="shared" si="81"/>
        <v>0</v>
      </c>
      <c r="AH661" s="351">
        <f t="shared" si="82"/>
        <v>0</v>
      </c>
    </row>
    <row r="662" spans="1:34">
      <c r="A662" s="165">
        <f>'Conveyor Downtime (new)'!A668</f>
        <v>0</v>
      </c>
      <c r="B662" s="346"/>
      <c r="C662" s="346"/>
      <c r="D662" s="346"/>
      <c r="E662" s="346"/>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f t="shared" si="81"/>
        <v>0</v>
      </c>
      <c r="AH662" s="351">
        <f t="shared" si="82"/>
        <v>0</v>
      </c>
    </row>
    <row r="663" spans="1:34">
      <c r="A663" s="165"/>
      <c r="AG663">
        <f t="shared" si="81"/>
        <v>0</v>
      </c>
      <c r="AH663" s="351">
        <f t="shared" si="82"/>
        <v>0</v>
      </c>
    </row>
    <row r="664" spans="1:34">
      <c r="A664" s="165"/>
      <c r="B664" s="346"/>
      <c r="C664" s="346"/>
      <c r="D664" s="346"/>
      <c r="E664" s="346"/>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f t="shared" si="81"/>
        <v>0</v>
      </c>
      <c r="AH664" s="351">
        <f t="shared" si="82"/>
        <v>0</v>
      </c>
    </row>
    <row r="665" spans="1:34">
      <c r="A665" s="165"/>
      <c r="AG665">
        <f t="shared" si="81"/>
        <v>0</v>
      </c>
      <c r="AH665" s="351">
        <f t="shared" si="82"/>
        <v>0</v>
      </c>
    </row>
    <row r="666" spans="1:34">
      <c r="A666" s="165"/>
      <c r="AG666">
        <f t="shared" si="81"/>
        <v>0</v>
      </c>
      <c r="AH666" s="351">
        <f t="shared" si="82"/>
        <v>0</v>
      </c>
    </row>
    <row r="667" spans="1:34" ht="13.5" thickBot="1">
      <c r="A667" s="165"/>
      <c r="B667" s="346"/>
      <c r="C667" s="346"/>
      <c r="D667" s="346"/>
      <c r="E667" s="346"/>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f t="shared" si="81"/>
        <v>0</v>
      </c>
      <c r="AH667" s="351">
        <f t="shared" si="82"/>
        <v>0</v>
      </c>
    </row>
    <row r="668" spans="1:34" ht="15">
      <c r="A668" s="645" t="s">
        <v>113</v>
      </c>
      <c r="B668" s="347">
        <f t="shared" ref="B668:AF668" si="83">SUM(B611:B667)</f>
        <v>0</v>
      </c>
      <c r="C668" s="347">
        <f t="shared" si="83"/>
        <v>0</v>
      </c>
      <c r="D668" s="347">
        <f t="shared" si="83"/>
        <v>0</v>
      </c>
      <c r="E668" s="347">
        <f t="shared" si="83"/>
        <v>0</v>
      </c>
      <c r="F668" s="347">
        <f t="shared" si="83"/>
        <v>0</v>
      </c>
      <c r="G668" s="347">
        <f t="shared" si="83"/>
        <v>0</v>
      </c>
      <c r="H668" s="347">
        <f t="shared" si="83"/>
        <v>0</v>
      </c>
      <c r="I668" s="347">
        <f t="shared" si="83"/>
        <v>0</v>
      </c>
      <c r="J668" s="347">
        <f t="shared" si="83"/>
        <v>0</v>
      </c>
      <c r="K668" s="347">
        <f t="shared" si="83"/>
        <v>0</v>
      </c>
      <c r="L668" s="347">
        <f t="shared" si="83"/>
        <v>0</v>
      </c>
      <c r="M668" s="347">
        <f t="shared" si="83"/>
        <v>0</v>
      </c>
      <c r="N668" s="347">
        <f t="shared" si="83"/>
        <v>0</v>
      </c>
      <c r="O668" s="347">
        <f t="shared" si="83"/>
        <v>0</v>
      </c>
      <c r="P668" s="347">
        <f t="shared" si="83"/>
        <v>0</v>
      </c>
      <c r="Q668" s="347">
        <f t="shared" si="83"/>
        <v>0</v>
      </c>
      <c r="R668" s="347">
        <f t="shared" si="83"/>
        <v>0</v>
      </c>
      <c r="S668" s="347">
        <f t="shared" si="83"/>
        <v>0</v>
      </c>
      <c r="T668" s="347">
        <f t="shared" si="83"/>
        <v>0</v>
      </c>
      <c r="U668" s="347">
        <f t="shared" si="83"/>
        <v>0</v>
      </c>
      <c r="V668" s="347">
        <f t="shared" si="83"/>
        <v>0</v>
      </c>
      <c r="W668" s="347">
        <f t="shared" si="83"/>
        <v>0</v>
      </c>
      <c r="X668" s="347">
        <f t="shared" si="83"/>
        <v>0</v>
      </c>
      <c r="Y668" s="347">
        <f t="shared" si="83"/>
        <v>0</v>
      </c>
      <c r="Z668" s="347">
        <f t="shared" si="83"/>
        <v>0</v>
      </c>
      <c r="AA668" s="347">
        <f t="shared" si="83"/>
        <v>0</v>
      </c>
      <c r="AB668" s="347">
        <f t="shared" si="83"/>
        <v>0</v>
      </c>
      <c r="AC668" s="347">
        <f t="shared" si="83"/>
        <v>0</v>
      </c>
      <c r="AD668" s="347">
        <f t="shared" si="83"/>
        <v>0</v>
      </c>
      <c r="AE668" s="347">
        <f t="shared" si="83"/>
        <v>0</v>
      </c>
      <c r="AF668" s="347">
        <f t="shared" si="83"/>
        <v>0</v>
      </c>
      <c r="AG668" s="347">
        <f>SUM(AG611:AG667)</f>
        <v>0</v>
      </c>
    </row>
    <row r="669" spans="1:34" ht="15.75" thickBot="1">
      <c r="A669" s="646"/>
      <c r="B669" s="348" t="e">
        <f>B668/$AG668</f>
        <v>#DIV/0!</v>
      </c>
      <c r="C669" s="348" t="e">
        <f>C668/$AG668</f>
        <v>#DIV/0!</v>
      </c>
      <c r="D669" s="348" t="e">
        <f>D668/$AG668</f>
        <v>#DIV/0!</v>
      </c>
      <c r="E669" s="348"/>
      <c r="F669" s="348" t="e">
        <f>F668/$AG668</f>
        <v>#DIV/0!</v>
      </c>
      <c r="G669" s="348" t="e">
        <f>G668/$AG668</f>
        <v>#DIV/0!</v>
      </c>
      <c r="H669" s="348"/>
      <c r="I669" s="348" t="e">
        <f>I668/$AG668</f>
        <v>#DIV/0!</v>
      </c>
      <c r="J669" s="348" t="e">
        <f>J668/$AG668</f>
        <v>#DIV/0!</v>
      </c>
      <c r="K669" s="348" t="e">
        <f>K668/$AG668</f>
        <v>#DIV/0!</v>
      </c>
      <c r="L669" s="348" t="e">
        <f>L668/$AG668</f>
        <v>#DIV/0!</v>
      </c>
      <c r="M669" s="348" t="e">
        <f>M668/$AG668</f>
        <v>#DIV/0!</v>
      </c>
      <c r="N669" s="348"/>
      <c r="O669" s="348" t="e">
        <f t="shared" ref="O669:AF669" si="84">O668/$AG668</f>
        <v>#DIV/0!</v>
      </c>
      <c r="P669" s="348" t="e">
        <f t="shared" si="84"/>
        <v>#DIV/0!</v>
      </c>
      <c r="Q669" s="348" t="e">
        <f t="shared" si="84"/>
        <v>#DIV/0!</v>
      </c>
      <c r="R669" s="348" t="e">
        <f t="shared" si="84"/>
        <v>#DIV/0!</v>
      </c>
      <c r="S669" s="348" t="e">
        <f t="shared" si="84"/>
        <v>#DIV/0!</v>
      </c>
      <c r="T669" s="348" t="e">
        <f t="shared" si="84"/>
        <v>#DIV/0!</v>
      </c>
      <c r="U669" s="348" t="e">
        <f t="shared" si="84"/>
        <v>#DIV/0!</v>
      </c>
      <c r="V669" s="348" t="e">
        <f t="shared" si="84"/>
        <v>#DIV/0!</v>
      </c>
      <c r="W669" s="348" t="e">
        <f t="shared" si="84"/>
        <v>#DIV/0!</v>
      </c>
      <c r="X669" s="348" t="e">
        <f t="shared" si="84"/>
        <v>#DIV/0!</v>
      </c>
      <c r="Y669" s="348" t="e">
        <f t="shared" si="84"/>
        <v>#DIV/0!</v>
      </c>
      <c r="Z669" s="348" t="e">
        <f t="shared" si="84"/>
        <v>#DIV/0!</v>
      </c>
      <c r="AA669" s="348" t="e">
        <f t="shared" si="84"/>
        <v>#DIV/0!</v>
      </c>
      <c r="AB669" s="348" t="e">
        <f t="shared" si="84"/>
        <v>#DIV/0!</v>
      </c>
      <c r="AC669" s="348" t="e">
        <f t="shared" si="84"/>
        <v>#DIV/0!</v>
      </c>
      <c r="AD669" s="348" t="e">
        <f t="shared" si="84"/>
        <v>#DIV/0!</v>
      </c>
      <c r="AE669" s="348" t="e">
        <f t="shared" si="84"/>
        <v>#DIV/0!</v>
      </c>
      <c r="AF669" s="348" t="e">
        <f t="shared" si="84"/>
        <v>#DIV/0!</v>
      </c>
      <c r="AG669" s="351"/>
    </row>
    <row r="671" spans="1:34">
      <c r="B671" s="346"/>
      <c r="C671" s="346"/>
      <c r="D671" s="346"/>
      <c r="E671" s="346"/>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row>
    <row r="672" spans="1:34">
      <c r="A672" s="165">
        <f>'Conveyor Downtime (new)'!A678</f>
        <v>0</v>
      </c>
      <c r="AG672">
        <f t="shared" ref="AG672:AG728" si="85">SUM(B672:AF672)</f>
        <v>0</v>
      </c>
      <c r="AH672" s="351">
        <f t="shared" ref="AH672:AH728" si="86">AG672/$AG$368</f>
        <v>0</v>
      </c>
    </row>
    <row r="673" spans="1:34">
      <c r="A673" s="165">
        <f>'Conveyor Downtime (new)'!A679</f>
        <v>0</v>
      </c>
      <c r="B673" s="346"/>
      <c r="C673" s="346"/>
      <c r="D673" s="346"/>
      <c r="E673" s="346"/>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f t="shared" si="85"/>
        <v>0</v>
      </c>
      <c r="AH673" s="351">
        <f t="shared" si="86"/>
        <v>0</v>
      </c>
    </row>
    <row r="674" spans="1:34">
      <c r="A674" s="165">
        <f>'Conveyor Downtime (new)'!A680</f>
        <v>0</v>
      </c>
      <c r="AG674">
        <f t="shared" si="85"/>
        <v>0</v>
      </c>
      <c r="AH674" s="351">
        <f t="shared" si="86"/>
        <v>0</v>
      </c>
    </row>
    <row r="675" spans="1:34">
      <c r="A675" s="165">
        <f>'Conveyor Downtime (new)'!A681</f>
        <v>0</v>
      </c>
      <c r="B675" s="346"/>
      <c r="C675" s="346"/>
      <c r="D675" s="346"/>
      <c r="E675" s="346"/>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f t="shared" si="85"/>
        <v>0</v>
      </c>
      <c r="AH675" s="351">
        <f t="shared" si="86"/>
        <v>0</v>
      </c>
    </row>
    <row r="676" spans="1:34">
      <c r="A676" s="165">
        <f>'Conveyor Downtime (new)'!A682</f>
        <v>0</v>
      </c>
      <c r="AG676">
        <f t="shared" si="85"/>
        <v>0</v>
      </c>
      <c r="AH676" s="351">
        <f t="shared" si="86"/>
        <v>0</v>
      </c>
    </row>
    <row r="677" spans="1:34">
      <c r="A677" s="165">
        <f>'[1]Conveyor Downtime (new)'!A681</f>
        <v>45995</v>
      </c>
      <c r="B677" s="346"/>
      <c r="C677" s="346"/>
      <c r="D677" s="346"/>
      <c r="E677" s="346"/>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f t="shared" si="85"/>
        <v>0</v>
      </c>
      <c r="AH677" s="351">
        <f t="shared" si="86"/>
        <v>0</v>
      </c>
    </row>
    <row r="678" spans="1:34">
      <c r="A678" s="165">
        <f>'[1]Conveyor Downtime (new)'!A682</f>
        <v>45995</v>
      </c>
      <c r="AG678">
        <f t="shared" si="85"/>
        <v>0</v>
      </c>
      <c r="AH678" s="351">
        <f t="shared" si="86"/>
        <v>0</v>
      </c>
    </row>
    <row r="679" spans="1:34">
      <c r="A679" s="165">
        <f>'[1]Conveyor Downtime (new)'!A683</f>
        <v>45995</v>
      </c>
      <c r="B679" s="346"/>
      <c r="C679" s="346"/>
      <c r="D679" s="346"/>
      <c r="E679" s="346"/>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f t="shared" si="85"/>
        <v>0</v>
      </c>
      <c r="AH679" s="351">
        <f t="shared" si="86"/>
        <v>0</v>
      </c>
    </row>
    <row r="680" spans="1:34">
      <c r="A680" s="165">
        <f>'[1]Conveyor Downtime (new)'!A684</f>
        <v>45996</v>
      </c>
      <c r="AG680">
        <f t="shared" si="85"/>
        <v>0</v>
      </c>
      <c r="AH680" s="351">
        <f t="shared" si="86"/>
        <v>0</v>
      </c>
    </row>
    <row r="681" spans="1:34">
      <c r="A681" s="165">
        <f>'Conveyor Downtime (new)'!A687</f>
        <v>0</v>
      </c>
      <c r="B681" s="346"/>
      <c r="C681" s="346"/>
      <c r="D681" s="346"/>
      <c r="E681" s="346"/>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f t="shared" si="85"/>
        <v>0</v>
      </c>
      <c r="AH681" s="351">
        <f t="shared" si="86"/>
        <v>0</v>
      </c>
    </row>
    <row r="682" spans="1:34">
      <c r="A682" s="165">
        <f>'Conveyor Downtime (new)'!A688</f>
        <v>0</v>
      </c>
      <c r="AG682">
        <f t="shared" si="85"/>
        <v>0</v>
      </c>
      <c r="AH682" s="351">
        <f t="shared" si="86"/>
        <v>0</v>
      </c>
    </row>
    <row r="683" spans="1:34">
      <c r="A683" s="165">
        <f>'Conveyor Downtime (new)'!A689</f>
        <v>0</v>
      </c>
      <c r="B683" s="346"/>
      <c r="C683" s="346"/>
      <c r="D683" s="346"/>
      <c r="E683" s="346"/>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s="346"/>
      <c r="AE683" s="346"/>
      <c r="AF683" s="346"/>
      <c r="AG683">
        <f t="shared" si="85"/>
        <v>0</v>
      </c>
      <c r="AH683" s="351">
        <f t="shared" si="86"/>
        <v>0</v>
      </c>
    </row>
    <row r="684" spans="1:34">
      <c r="A684" s="165">
        <f>'Conveyor Downtime (new)'!A690</f>
        <v>0</v>
      </c>
      <c r="AG684">
        <f t="shared" si="85"/>
        <v>0</v>
      </c>
      <c r="AH684" s="351">
        <f t="shared" si="86"/>
        <v>0</v>
      </c>
    </row>
    <row r="685" spans="1:34">
      <c r="A685" s="165">
        <f>'Conveyor Downtime (new)'!A691</f>
        <v>0</v>
      </c>
      <c r="B685" s="346"/>
      <c r="C685" s="346"/>
      <c r="D685" s="346"/>
      <c r="E685" s="346"/>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f t="shared" si="85"/>
        <v>0</v>
      </c>
      <c r="AH685" s="351">
        <f t="shared" si="86"/>
        <v>0</v>
      </c>
    </row>
    <row r="686" spans="1:34">
      <c r="A686" s="165">
        <f>'Conveyor Downtime (new)'!A692</f>
        <v>0</v>
      </c>
      <c r="AG686">
        <f t="shared" si="85"/>
        <v>0</v>
      </c>
      <c r="AH686" s="351">
        <f t="shared" si="86"/>
        <v>0</v>
      </c>
    </row>
    <row r="687" spans="1:34">
      <c r="A687" s="165">
        <f>'Conveyor Downtime (new)'!A693</f>
        <v>0</v>
      </c>
      <c r="B687" s="346"/>
      <c r="C687" s="346"/>
      <c r="D687" s="346"/>
      <c r="E687" s="346"/>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f t="shared" si="85"/>
        <v>0</v>
      </c>
      <c r="AH687" s="351">
        <f t="shared" si="86"/>
        <v>0</v>
      </c>
    </row>
    <row r="688" spans="1:34">
      <c r="A688" s="165">
        <f>'Conveyor Downtime (new)'!A694</f>
        <v>0</v>
      </c>
      <c r="AG688">
        <f t="shared" si="85"/>
        <v>0</v>
      </c>
      <c r="AH688" s="351">
        <f t="shared" si="86"/>
        <v>0</v>
      </c>
    </row>
    <row r="689" spans="1:34">
      <c r="A689" s="165">
        <f>'Conveyor Downtime (new)'!A695</f>
        <v>0</v>
      </c>
      <c r="B689" s="346"/>
      <c r="C689" s="346"/>
      <c r="D689" s="346"/>
      <c r="E689" s="346"/>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f t="shared" si="85"/>
        <v>0</v>
      </c>
      <c r="AH689" s="351">
        <f t="shared" si="86"/>
        <v>0</v>
      </c>
    </row>
    <row r="690" spans="1:34">
      <c r="A690" s="165">
        <f>'Conveyor Downtime (new)'!A696</f>
        <v>0</v>
      </c>
      <c r="AG690">
        <f t="shared" si="85"/>
        <v>0</v>
      </c>
      <c r="AH690" s="351">
        <f t="shared" si="86"/>
        <v>0</v>
      </c>
    </row>
    <row r="691" spans="1:34">
      <c r="A691" s="165">
        <f>'Conveyor Downtime (new)'!A697</f>
        <v>0</v>
      </c>
      <c r="B691" s="346"/>
      <c r="C691" s="346"/>
      <c r="D691" s="346"/>
      <c r="E691" s="346"/>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f t="shared" si="85"/>
        <v>0</v>
      </c>
      <c r="AH691" s="351">
        <f t="shared" si="86"/>
        <v>0</v>
      </c>
    </row>
    <row r="692" spans="1:34">
      <c r="A692" s="165">
        <f>'Conveyor Downtime (new)'!A698</f>
        <v>0</v>
      </c>
      <c r="AG692">
        <f t="shared" si="85"/>
        <v>0</v>
      </c>
      <c r="AH692" s="351">
        <f t="shared" si="86"/>
        <v>0</v>
      </c>
    </row>
    <row r="693" spans="1:34">
      <c r="A693" s="165">
        <f>'Conveyor Downtime (new)'!A699</f>
        <v>0</v>
      </c>
      <c r="B693" s="346"/>
      <c r="C693" s="346"/>
      <c r="D693" s="346"/>
      <c r="E693" s="346"/>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f t="shared" si="85"/>
        <v>0</v>
      </c>
      <c r="AH693" s="351">
        <f t="shared" si="86"/>
        <v>0</v>
      </c>
    </row>
    <row r="694" spans="1:34">
      <c r="A694" s="165">
        <f>'Conveyor Downtime (new)'!A700</f>
        <v>0</v>
      </c>
      <c r="AG694">
        <f t="shared" si="85"/>
        <v>0</v>
      </c>
      <c r="AH694" s="351">
        <f t="shared" si="86"/>
        <v>0</v>
      </c>
    </row>
    <row r="695" spans="1:34">
      <c r="A695" s="165">
        <f>'Conveyor Downtime (new)'!A701</f>
        <v>0</v>
      </c>
      <c r="B695" s="346"/>
      <c r="C695" s="346"/>
      <c r="D695" s="346"/>
      <c r="E695" s="346"/>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f t="shared" si="85"/>
        <v>0</v>
      </c>
      <c r="AH695" s="351">
        <f t="shared" si="86"/>
        <v>0</v>
      </c>
    </row>
    <row r="696" spans="1:34">
      <c r="A696" s="165">
        <f>'Conveyor Downtime (new)'!A702</f>
        <v>0</v>
      </c>
      <c r="AG696">
        <f t="shared" si="85"/>
        <v>0</v>
      </c>
      <c r="AH696" s="351">
        <f t="shared" si="86"/>
        <v>0</v>
      </c>
    </row>
    <row r="697" spans="1:34">
      <c r="A697" s="165">
        <f>'Conveyor Downtime (new)'!A703</f>
        <v>0</v>
      </c>
      <c r="B697" s="346"/>
      <c r="C697" s="346"/>
      <c r="D697" s="346"/>
      <c r="E697" s="346"/>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f t="shared" si="85"/>
        <v>0</v>
      </c>
      <c r="AH697" s="351">
        <f t="shared" si="86"/>
        <v>0</v>
      </c>
    </row>
    <row r="698" spans="1:34">
      <c r="A698" s="165">
        <f>'Conveyor Downtime (new)'!A704</f>
        <v>0</v>
      </c>
      <c r="AG698">
        <f t="shared" si="85"/>
        <v>0</v>
      </c>
      <c r="AH698" s="351">
        <f t="shared" si="86"/>
        <v>0</v>
      </c>
    </row>
    <row r="699" spans="1:34">
      <c r="A699" s="165">
        <f>'Conveyor Downtime (new)'!A705</f>
        <v>0</v>
      </c>
      <c r="B699" s="346"/>
      <c r="C699" s="346"/>
      <c r="D699" s="346"/>
      <c r="E699" s="346"/>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f t="shared" si="85"/>
        <v>0</v>
      </c>
      <c r="AH699" s="351">
        <f t="shared" si="86"/>
        <v>0</v>
      </c>
    </row>
    <row r="700" spans="1:34">
      <c r="A700" s="165">
        <f>'[2]Conveyor Downtime (new)'!A704</f>
        <v>46009</v>
      </c>
      <c r="AG700">
        <f t="shared" si="85"/>
        <v>0</v>
      </c>
      <c r="AH700" s="351">
        <f t="shared" si="86"/>
        <v>0</v>
      </c>
    </row>
    <row r="701" spans="1:34">
      <c r="A701" s="165">
        <f>'Conveyor Downtime (new)'!A707</f>
        <v>0</v>
      </c>
      <c r="B701" s="346"/>
      <c r="C701" s="346"/>
      <c r="D701" s="346"/>
      <c r="E701" s="346"/>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f t="shared" si="85"/>
        <v>0</v>
      </c>
      <c r="AH701" s="351">
        <f t="shared" si="86"/>
        <v>0</v>
      </c>
    </row>
    <row r="702" spans="1:34">
      <c r="A702" s="165">
        <f>'Conveyor Downtime (new)'!A708</f>
        <v>0</v>
      </c>
      <c r="AG702">
        <f t="shared" si="85"/>
        <v>0</v>
      </c>
      <c r="AH702" s="351">
        <f t="shared" si="86"/>
        <v>0</v>
      </c>
    </row>
    <row r="703" spans="1:34">
      <c r="A703" s="165">
        <f>'Conveyor Downtime (new)'!A709</f>
        <v>0</v>
      </c>
      <c r="B703" s="346"/>
      <c r="C703" s="346"/>
      <c r="D703" s="346"/>
      <c r="E703" s="346"/>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f t="shared" si="85"/>
        <v>0</v>
      </c>
      <c r="AH703" s="351">
        <f t="shared" si="86"/>
        <v>0</v>
      </c>
    </row>
    <row r="704" spans="1:34">
      <c r="A704" s="165">
        <f>'Conveyor Downtime (new)'!A710</f>
        <v>0</v>
      </c>
      <c r="AG704">
        <f t="shared" si="85"/>
        <v>0</v>
      </c>
      <c r="AH704" s="351">
        <f t="shared" si="86"/>
        <v>0</v>
      </c>
    </row>
    <row r="705" spans="1:34">
      <c r="A705" s="165">
        <f>'Conveyor Downtime (new)'!A711</f>
        <v>0</v>
      </c>
      <c r="B705" s="346"/>
      <c r="C705" s="346"/>
      <c r="D705" s="346"/>
      <c r="E705" s="346"/>
      <c r="F705" s="346"/>
      <c r="G705" s="346"/>
      <c r="H705" s="346"/>
      <c r="I705" s="346"/>
      <c r="J705" s="346"/>
      <c r="K705" s="346"/>
      <c r="L705" s="346"/>
      <c r="M705" s="346"/>
      <c r="N705" s="346"/>
      <c r="O705" s="346"/>
      <c r="P705" s="77"/>
      <c r="Q705" s="346"/>
      <c r="R705" s="346"/>
      <c r="S705" s="346"/>
      <c r="T705" s="346"/>
      <c r="U705" s="346"/>
      <c r="V705" s="346"/>
      <c r="W705" s="346"/>
      <c r="X705" s="346"/>
      <c r="Y705" s="346"/>
      <c r="Z705" s="346"/>
      <c r="AA705" s="346"/>
      <c r="AB705" s="346"/>
      <c r="AC705" s="346"/>
      <c r="AD705" s="346"/>
      <c r="AE705" s="346"/>
      <c r="AF705" s="346"/>
      <c r="AG705">
        <f t="shared" si="85"/>
        <v>0</v>
      </c>
      <c r="AH705" s="351">
        <f t="shared" si="86"/>
        <v>0</v>
      </c>
    </row>
    <row r="706" spans="1:34">
      <c r="A706" s="165">
        <f>'Conveyor Downtime (new)'!A712</f>
        <v>0</v>
      </c>
      <c r="AG706">
        <f t="shared" si="85"/>
        <v>0</v>
      </c>
      <c r="AH706" s="351">
        <f t="shared" si="86"/>
        <v>0</v>
      </c>
    </row>
    <row r="707" spans="1:34">
      <c r="A707" s="165">
        <f>'Conveyor Downtime (new)'!A713</f>
        <v>0</v>
      </c>
      <c r="B707" s="346"/>
      <c r="C707" s="346"/>
      <c r="D707" s="346"/>
      <c r="E707" s="346"/>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f t="shared" si="85"/>
        <v>0</v>
      </c>
      <c r="AH707" s="351">
        <f t="shared" si="86"/>
        <v>0</v>
      </c>
    </row>
    <row r="708" spans="1:34">
      <c r="A708" s="165">
        <f>'Conveyor Downtime (new)'!A714</f>
        <v>0</v>
      </c>
      <c r="AG708">
        <f t="shared" si="85"/>
        <v>0</v>
      </c>
      <c r="AH708" s="351">
        <f t="shared" si="86"/>
        <v>0</v>
      </c>
    </row>
    <row r="709" spans="1:34" ht="14.25" customHeight="1">
      <c r="A709" s="165">
        <f>'Conveyor Downtime (new)'!A715</f>
        <v>0</v>
      </c>
      <c r="B709" s="346"/>
      <c r="C709" s="346"/>
      <c r="D709" s="346"/>
      <c r="E709" s="346"/>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f t="shared" si="85"/>
        <v>0</v>
      </c>
      <c r="AH709" s="351">
        <f t="shared" si="86"/>
        <v>0</v>
      </c>
    </row>
    <row r="710" spans="1:34">
      <c r="A710" s="165">
        <f>'Conveyor Downtime (new)'!A716</f>
        <v>0</v>
      </c>
      <c r="AG710">
        <f t="shared" si="85"/>
        <v>0</v>
      </c>
      <c r="AH710" s="351">
        <f t="shared" si="86"/>
        <v>0</v>
      </c>
    </row>
    <row r="711" spans="1:34">
      <c r="A711" s="165">
        <f>'Conveyor Downtime (new)'!A717</f>
        <v>0</v>
      </c>
      <c r="B711" s="346"/>
      <c r="C711" s="346"/>
      <c r="D711" s="346"/>
      <c r="E711" s="346"/>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f t="shared" si="85"/>
        <v>0</v>
      </c>
      <c r="AH711" s="351">
        <f t="shared" si="86"/>
        <v>0</v>
      </c>
    </row>
    <row r="712" spans="1:34">
      <c r="A712" s="165">
        <f>'Conveyor Downtime (new)'!A718</f>
        <v>0</v>
      </c>
      <c r="N712" s="77"/>
      <c r="Z712" s="77"/>
      <c r="AG712">
        <f t="shared" si="85"/>
        <v>0</v>
      </c>
      <c r="AH712" s="351">
        <f t="shared" si="86"/>
        <v>0</v>
      </c>
    </row>
    <row r="713" spans="1:34">
      <c r="A713" s="165">
        <f>'Conveyor Downtime (new)'!A719</f>
        <v>0</v>
      </c>
      <c r="B713" s="346"/>
      <c r="C713" s="346"/>
      <c r="D713" s="346"/>
      <c r="E713" s="346"/>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f t="shared" si="85"/>
        <v>0</v>
      </c>
      <c r="AH713" s="351">
        <f t="shared" si="86"/>
        <v>0</v>
      </c>
    </row>
    <row r="714" spans="1:34">
      <c r="A714" s="165">
        <f>'Conveyor Downtime (new)'!A720</f>
        <v>0</v>
      </c>
      <c r="AG714">
        <f t="shared" si="85"/>
        <v>0</v>
      </c>
      <c r="AH714" s="351">
        <f t="shared" si="86"/>
        <v>0</v>
      </c>
    </row>
    <row r="715" spans="1:34">
      <c r="A715" s="165">
        <f>'Conveyor Downtime (new)'!A721</f>
        <v>0</v>
      </c>
      <c r="B715" s="346"/>
      <c r="C715" s="346"/>
      <c r="D715" s="346"/>
      <c r="E715" s="346"/>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f t="shared" si="85"/>
        <v>0</v>
      </c>
      <c r="AH715" s="351">
        <f t="shared" si="86"/>
        <v>0</v>
      </c>
    </row>
    <row r="716" spans="1:34">
      <c r="A716" s="165">
        <f>'Conveyor Downtime (new)'!A722</f>
        <v>0</v>
      </c>
      <c r="AG716">
        <f t="shared" si="85"/>
        <v>0</v>
      </c>
      <c r="AH716" s="351">
        <f t="shared" si="86"/>
        <v>0</v>
      </c>
    </row>
    <row r="717" spans="1:34">
      <c r="A717" s="165">
        <f>'Conveyor Downtime (new)'!A723</f>
        <v>0</v>
      </c>
      <c r="B717" s="346"/>
      <c r="C717" s="346"/>
      <c r="D717" s="346"/>
      <c r="E717" s="346"/>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f t="shared" si="85"/>
        <v>0</v>
      </c>
      <c r="AH717" s="351">
        <f t="shared" si="86"/>
        <v>0</v>
      </c>
    </row>
    <row r="718" spans="1:34">
      <c r="A718" s="165">
        <f>'Conveyor Downtime (new)'!A724</f>
        <v>0</v>
      </c>
      <c r="AG718">
        <f t="shared" si="85"/>
        <v>0</v>
      </c>
      <c r="AH718" s="351">
        <f t="shared" si="86"/>
        <v>0</v>
      </c>
    </row>
    <row r="719" spans="1:34">
      <c r="A719" s="165">
        <f>'Conveyor Downtime (new)'!A725</f>
        <v>0</v>
      </c>
      <c r="B719" s="346"/>
      <c r="C719" s="346"/>
      <c r="D719" s="346"/>
      <c r="E719" s="346"/>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f t="shared" si="85"/>
        <v>0</v>
      </c>
      <c r="AH719" s="351">
        <f t="shared" si="86"/>
        <v>0</v>
      </c>
    </row>
    <row r="720" spans="1:34">
      <c r="A720" s="165">
        <f>'Conveyor Downtime (new)'!A726</f>
        <v>0</v>
      </c>
      <c r="AG720">
        <f t="shared" si="85"/>
        <v>0</v>
      </c>
      <c r="AH720" s="351">
        <f t="shared" si="86"/>
        <v>0</v>
      </c>
    </row>
    <row r="721" spans="1:41">
      <c r="A721" s="165">
        <f>'Conveyor Downtime (new)'!A727</f>
        <v>0</v>
      </c>
      <c r="B721" s="346"/>
      <c r="C721" s="346"/>
      <c r="D721" s="346"/>
      <c r="E721" s="346"/>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f t="shared" si="85"/>
        <v>0</v>
      </c>
      <c r="AH721" s="351">
        <f t="shared" si="86"/>
        <v>0</v>
      </c>
    </row>
    <row r="722" spans="1:41">
      <c r="A722" s="165">
        <f>'Conveyor Downtime (new)'!A728</f>
        <v>0</v>
      </c>
      <c r="AG722">
        <f t="shared" si="85"/>
        <v>0</v>
      </c>
      <c r="AH722" s="351">
        <f t="shared" si="86"/>
        <v>0</v>
      </c>
    </row>
    <row r="723" spans="1:41">
      <c r="A723" s="165">
        <f>'Conveyor Downtime (new)'!A729</f>
        <v>0</v>
      </c>
      <c r="B723" s="346"/>
      <c r="C723" s="346"/>
      <c r="D723" s="346"/>
      <c r="E723" s="346"/>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f t="shared" si="85"/>
        <v>0</v>
      </c>
      <c r="AH723" s="351">
        <f t="shared" si="86"/>
        <v>0</v>
      </c>
    </row>
    <row r="724" spans="1:41">
      <c r="A724" s="165">
        <f>'Conveyor Downtime (new)'!A730</f>
        <v>0</v>
      </c>
      <c r="AG724">
        <f t="shared" si="85"/>
        <v>0</v>
      </c>
      <c r="AH724" s="351">
        <f t="shared" si="86"/>
        <v>0</v>
      </c>
    </row>
    <row r="725" spans="1:41">
      <c r="A725" s="165"/>
      <c r="B725" s="346"/>
      <c r="C725" s="346"/>
      <c r="D725" s="346"/>
      <c r="E725" s="346"/>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f t="shared" si="85"/>
        <v>0</v>
      </c>
      <c r="AH725" s="351">
        <f t="shared" si="86"/>
        <v>0</v>
      </c>
    </row>
    <row r="726" spans="1:41">
      <c r="A726" s="165"/>
      <c r="AG726">
        <f t="shared" si="85"/>
        <v>0</v>
      </c>
      <c r="AH726" s="351">
        <f t="shared" si="86"/>
        <v>0</v>
      </c>
    </row>
    <row r="727" spans="1:41">
      <c r="A727" s="165"/>
      <c r="B727" s="346"/>
      <c r="C727" s="346"/>
      <c r="D727" s="346"/>
      <c r="E727" s="346"/>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f t="shared" si="85"/>
        <v>0</v>
      </c>
      <c r="AH727" s="351">
        <f t="shared" si="86"/>
        <v>0</v>
      </c>
    </row>
    <row r="728" spans="1:41" ht="13.5" thickBot="1">
      <c r="A728" s="165"/>
      <c r="AG728">
        <f t="shared" si="85"/>
        <v>0</v>
      </c>
      <c r="AH728" s="351">
        <f t="shared" si="86"/>
        <v>0</v>
      </c>
    </row>
    <row r="729" spans="1:41" ht="15">
      <c r="A729" s="645" t="s">
        <v>113</v>
      </c>
      <c r="B729" s="347">
        <f t="shared" ref="B729:AE729" si="87">SUM(B681:B728)</f>
        <v>0</v>
      </c>
      <c r="C729" s="347">
        <f t="shared" si="87"/>
        <v>0</v>
      </c>
      <c r="D729" s="347">
        <f t="shared" si="87"/>
        <v>0</v>
      </c>
      <c r="E729" s="347">
        <f t="shared" si="87"/>
        <v>0</v>
      </c>
      <c r="F729" s="347">
        <f t="shared" si="87"/>
        <v>0</v>
      </c>
      <c r="G729" s="347">
        <f t="shared" si="87"/>
        <v>0</v>
      </c>
      <c r="H729" s="347">
        <f t="shared" si="87"/>
        <v>0</v>
      </c>
      <c r="I729" s="347">
        <f t="shared" si="87"/>
        <v>0</v>
      </c>
      <c r="J729" s="347">
        <f t="shared" si="87"/>
        <v>0</v>
      </c>
      <c r="K729" s="347">
        <f>SUM(K681:K728)</f>
        <v>0</v>
      </c>
      <c r="L729" s="347">
        <f t="shared" si="87"/>
        <v>0</v>
      </c>
      <c r="M729" s="347">
        <f t="shared" si="87"/>
        <v>0</v>
      </c>
      <c r="N729" s="347">
        <f t="shared" si="87"/>
        <v>0</v>
      </c>
      <c r="O729" s="347">
        <f t="shared" si="87"/>
        <v>0</v>
      </c>
      <c r="P729" s="347">
        <f t="shared" si="87"/>
        <v>0</v>
      </c>
      <c r="Q729" s="347">
        <f t="shared" si="87"/>
        <v>0</v>
      </c>
      <c r="R729" s="347">
        <f t="shared" si="87"/>
        <v>0</v>
      </c>
      <c r="S729" s="347">
        <f t="shared" si="87"/>
        <v>0</v>
      </c>
      <c r="T729" s="347">
        <f t="shared" si="87"/>
        <v>0</v>
      </c>
      <c r="U729" s="347">
        <f t="shared" si="87"/>
        <v>0</v>
      </c>
      <c r="V729" s="347">
        <f t="shared" si="87"/>
        <v>0</v>
      </c>
      <c r="W729" s="347">
        <f t="shared" si="87"/>
        <v>0</v>
      </c>
      <c r="X729" s="347">
        <f t="shared" si="87"/>
        <v>0</v>
      </c>
      <c r="Y729" s="347">
        <f t="shared" si="87"/>
        <v>0</v>
      </c>
      <c r="Z729" s="347">
        <f t="shared" si="87"/>
        <v>0</v>
      </c>
      <c r="AA729" s="347">
        <f t="shared" si="87"/>
        <v>0</v>
      </c>
      <c r="AB729" s="347">
        <f t="shared" si="87"/>
        <v>0</v>
      </c>
      <c r="AC729" s="347">
        <f t="shared" si="87"/>
        <v>0</v>
      </c>
      <c r="AD729" s="347">
        <f t="shared" si="87"/>
        <v>0</v>
      </c>
      <c r="AE729" s="347">
        <f t="shared" si="87"/>
        <v>0</v>
      </c>
      <c r="AF729" s="347">
        <f>SUM(AF681:AF728)</f>
        <v>0</v>
      </c>
      <c r="AG729" s="347">
        <f>SUM(AG681:AG728)</f>
        <v>0</v>
      </c>
    </row>
    <row r="730" spans="1:41" ht="15.75" thickBot="1">
      <c r="A730" s="646"/>
      <c r="B730" s="348" t="e">
        <f>B729/$AG729</f>
        <v>#DIV/0!</v>
      </c>
      <c r="C730" s="348" t="e">
        <f>C729/$AG729</f>
        <v>#DIV/0!</v>
      </c>
      <c r="D730" s="348" t="e">
        <f>D729/$AG729</f>
        <v>#DIV/0!</v>
      </c>
      <c r="E730" s="348" t="e">
        <f t="shared" ref="E730:N730" si="88">E729/$AG729</f>
        <v>#DIV/0!</v>
      </c>
      <c r="F730" s="348" t="e">
        <f t="shared" si="88"/>
        <v>#DIV/0!</v>
      </c>
      <c r="G730" s="348" t="e">
        <f t="shared" si="88"/>
        <v>#DIV/0!</v>
      </c>
      <c r="H730" s="348" t="e">
        <f t="shared" si="88"/>
        <v>#DIV/0!</v>
      </c>
      <c r="I730" s="348" t="e">
        <f t="shared" si="88"/>
        <v>#DIV/0!</v>
      </c>
      <c r="J730" s="348" t="e">
        <f t="shared" si="88"/>
        <v>#DIV/0!</v>
      </c>
      <c r="K730" s="348" t="e">
        <f t="shared" si="88"/>
        <v>#DIV/0!</v>
      </c>
      <c r="L730" s="348" t="e">
        <f t="shared" si="88"/>
        <v>#DIV/0!</v>
      </c>
      <c r="M730" s="348" t="e">
        <f t="shared" si="88"/>
        <v>#DIV/0!</v>
      </c>
      <c r="N730" s="348" t="e">
        <f t="shared" si="88"/>
        <v>#DIV/0!</v>
      </c>
      <c r="O730" s="348" t="e">
        <f t="shared" ref="O730:AF730" si="89">O729/$AG729</f>
        <v>#DIV/0!</v>
      </c>
      <c r="P730" s="348" t="e">
        <f t="shared" si="89"/>
        <v>#DIV/0!</v>
      </c>
      <c r="Q730" s="348" t="e">
        <f t="shared" si="89"/>
        <v>#DIV/0!</v>
      </c>
      <c r="R730" s="348" t="e">
        <f t="shared" si="89"/>
        <v>#DIV/0!</v>
      </c>
      <c r="S730" s="348" t="e">
        <f t="shared" si="89"/>
        <v>#DIV/0!</v>
      </c>
      <c r="T730" s="348" t="e">
        <f t="shared" si="89"/>
        <v>#DIV/0!</v>
      </c>
      <c r="U730" s="348" t="e">
        <f t="shared" si="89"/>
        <v>#DIV/0!</v>
      </c>
      <c r="V730" s="348" t="e">
        <f t="shared" si="89"/>
        <v>#DIV/0!</v>
      </c>
      <c r="W730" s="348" t="e">
        <f t="shared" si="89"/>
        <v>#DIV/0!</v>
      </c>
      <c r="X730" s="348" t="e">
        <f t="shared" si="89"/>
        <v>#DIV/0!</v>
      </c>
      <c r="Y730" s="348" t="e">
        <f t="shared" si="89"/>
        <v>#DIV/0!</v>
      </c>
      <c r="Z730" s="348" t="e">
        <f t="shared" si="89"/>
        <v>#DIV/0!</v>
      </c>
      <c r="AA730" s="348" t="e">
        <f t="shared" si="89"/>
        <v>#DIV/0!</v>
      </c>
      <c r="AB730" s="348" t="e">
        <f t="shared" si="89"/>
        <v>#DIV/0!</v>
      </c>
      <c r="AC730" s="348" t="e">
        <f t="shared" si="89"/>
        <v>#DIV/0!</v>
      </c>
      <c r="AD730" s="348" t="e">
        <f t="shared" si="89"/>
        <v>#DIV/0!</v>
      </c>
      <c r="AE730" s="348" t="e">
        <f t="shared" si="89"/>
        <v>#DIV/0!</v>
      </c>
      <c r="AF730" s="348" t="e">
        <f t="shared" si="89"/>
        <v>#DIV/0!</v>
      </c>
      <c r="AG730" s="351"/>
    </row>
    <row r="733" spans="1:41" s="184" customFormat="1" ht="15">
      <c r="A733" s="519" t="s">
        <v>173</v>
      </c>
      <c r="B733" s="519">
        <f t="shared" ref="B733:AG733" si="90">SUM(B68,B123,B182,B243,B303,B368,B428,B489,B550,B607,B668,B729)</f>
        <v>242</v>
      </c>
      <c r="C733" s="519">
        <f t="shared" si="90"/>
        <v>0</v>
      </c>
      <c r="D733" s="519">
        <f t="shared" si="90"/>
        <v>2</v>
      </c>
      <c r="E733" s="519">
        <f t="shared" si="90"/>
        <v>0</v>
      </c>
      <c r="F733" s="519">
        <f t="shared" si="90"/>
        <v>0</v>
      </c>
      <c r="G733" s="519">
        <f t="shared" si="90"/>
        <v>0</v>
      </c>
      <c r="H733" s="519">
        <f t="shared" si="90"/>
        <v>20</v>
      </c>
      <c r="I733" s="519">
        <f t="shared" si="90"/>
        <v>73</v>
      </c>
      <c r="J733" s="519">
        <f t="shared" si="90"/>
        <v>0</v>
      </c>
      <c r="K733" s="519">
        <f t="shared" si="90"/>
        <v>1544</v>
      </c>
      <c r="L733" s="519">
        <f t="shared" si="90"/>
        <v>16</v>
      </c>
      <c r="M733" s="519">
        <f t="shared" si="90"/>
        <v>0</v>
      </c>
      <c r="N733" s="519">
        <f t="shared" si="90"/>
        <v>4</v>
      </c>
      <c r="O733" s="519">
        <f t="shared" si="90"/>
        <v>0</v>
      </c>
      <c r="P733" s="519">
        <f t="shared" si="90"/>
        <v>718</v>
      </c>
      <c r="Q733" s="519">
        <f t="shared" si="90"/>
        <v>0</v>
      </c>
      <c r="R733" s="519">
        <f t="shared" si="90"/>
        <v>0</v>
      </c>
      <c r="S733" s="519">
        <f t="shared" si="90"/>
        <v>1187</v>
      </c>
      <c r="T733" s="519">
        <f t="shared" si="90"/>
        <v>688</v>
      </c>
      <c r="U733" s="519">
        <f t="shared" si="90"/>
        <v>11</v>
      </c>
      <c r="V733" s="519">
        <f t="shared" si="90"/>
        <v>0</v>
      </c>
      <c r="W733" s="519">
        <f t="shared" si="90"/>
        <v>0</v>
      </c>
      <c r="X733" s="519">
        <f t="shared" si="90"/>
        <v>82</v>
      </c>
      <c r="Y733" s="519">
        <f t="shared" si="90"/>
        <v>26</v>
      </c>
      <c r="Z733" s="519">
        <f t="shared" si="90"/>
        <v>0</v>
      </c>
      <c r="AA733" s="519">
        <f t="shared" si="90"/>
        <v>87</v>
      </c>
      <c r="AB733" s="519">
        <f t="shared" si="90"/>
        <v>34</v>
      </c>
      <c r="AC733" s="519">
        <f t="shared" si="90"/>
        <v>16</v>
      </c>
      <c r="AD733" s="519">
        <f t="shared" si="90"/>
        <v>338</v>
      </c>
      <c r="AE733" s="519">
        <f t="shared" si="90"/>
        <v>38</v>
      </c>
      <c r="AF733" s="519">
        <f t="shared" si="90"/>
        <v>27</v>
      </c>
      <c r="AG733" s="519">
        <f t="shared" si="90"/>
        <v>5153</v>
      </c>
      <c r="AH733" s="519"/>
      <c r="AI733" s="519"/>
      <c r="AJ733" s="519"/>
      <c r="AK733" s="519"/>
      <c r="AL733" s="519"/>
      <c r="AM733" s="519"/>
      <c r="AN733" s="519"/>
      <c r="AO733" s="519"/>
    </row>
    <row r="734" spans="1:41" s="184" customFormat="1" ht="15.75" thickBot="1">
      <c r="A734" s="521" t="s">
        <v>43</v>
      </c>
      <c r="B734" s="521">
        <f t="shared" ref="B734:AE734" si="91">B733/$AG733</f>
        <v>4.696293421307976E-2</v>
      </c>
      <c r="C734" s="521">
        <f t="shared" si="91"/>
        <v>0</v>
      </c>
      <c r="D734" s="521">
        <f t="shared" si="91"/>
        <v>3.8812342324859306E-4</v>
      </c>
      <c r="E734" s="521">
        <f t="shared" si="91"/>
        <v>0</v>
      </c>
      <c r="F734" s="521">
        <f t="shared" si="91"/>
        <v>0</v>
      </c>
      <c r="G734" s="521">
        <f t="shared" si="91"/>
        <v>0</v>
      </c>
      <c r="H734" s="521">
        <f t="shared" si="91"/>
        <v>3.8812342324859306E-3</v>
      </c>
      <c r="I734" s="521">
        <f t="shared" si="91"/>
        <v>1.4166504948573647E-2</v>
      </c>
      <c r="J734" s="521">
        <f t="shared" si="91"/>
        <v>0</v>
      </c>
      <c r="K734" s="521">
        <f t="shared" si="91"/>
        <v>0.29963128274791384</v>
      </c>
      <c r="L734" s="521">
        <f t="shared" si="91"/>
        <v>3.1049873859887445E-3</v>
      </c>
      <c r="M734" s="521">
        <f t="shared" si="91"/>
        <v>0</v>
      </c>
      <c r="N734" s="521">
        <f t="shared" si="91"/>
        <v>7.7624684649718612E-4</v>
      </c>
      <c r="O734" s="521">
        <f t="shared" si="91"/>
        <v>0</v>
      </c>
      <c r="P734" s="521">
        <f t="shared" si="91"/>
        <v>0.13933630894624491</v>
      </c>
      <c r="Q734" s="521">
        <f t="shared" si="91"/>
        <v>0</v>
      </c>
      <c r="R734" s="521">
        <f t="shared" si="91"/>
        <v>0</v>
      </c>
      <c r="S734" s="521">
        <f t="shared" si="91"/>
        <v>0.23035125169803997</v>
      </c>
      <c r="T734" s="521">
        <f t="shared" si="91"/>
        <v>0.13351445759751601</v>
      </c>
      <c r="U734" s="521">
        <f t="shared" si="91"/>
        <v>2.1346788278672618E-3</v>
      </c>
      <c r="V734" s="521">
        <f t="shared" si="91"/>
        <v>0</v>
      </c>
      <c r="W734" s="521">
        <f t="shared" si="91"/>
        <v>0</v>
      </c>
      <c r="X734" s="521">
        <f t="shared" si="91"/>
        <v>1.5913060353192315E-2</v>
      </c>
      <c r="Y734" s="521">
        <f t="shared" si="91"/>
        <v>5.0456045022317098E-3</v>
      </c>
      <c r="Z734" s="521">
        <f t="shared" si="91"/>
        <v>0</v>
      </c>
      <c r="AA734" s="521">
        <f t="shared" si="91"/>
        <v>1.6883368911313798E-2</v>
      </c>
      <c r="AB734" s="521">
        <f t="shared" si="91"/>
        <v>6.598098195226082E-3</v>
      </c>
      <c r="AC734" s="521">
        <f t="shared" si="91"/>
        <v>3.1049873859887445E-3</v>
      </c>
      <c r="AD734" s="521">
        <f t="shared" si="91"/>
        <v>6.5592858529012227E-2</v>
      </c>
      <c r="AE734" s="521">
        <f t="shared" si="91"/>
        <v>7.3743450417232681E-3</v>
      </c>
      <c r="AF734" s="521">
        <f>AF733/$AG733</f>
        <v>5.2396662138560063E-3</v>
      </c>
      <c r="AG734" s="521"/>
      <c r="AH734" s="521"/>
      <c r="AI734" s="521"/>
      <c r="AJ734" s="521"/>
      <c r="AK734" s="523"/>
      <c r="AL734" s="523"/>
      <c r="AM734" s="523"/>
      <c r="AO734" s="522"/>
    </row>
  </sheetData>
  <mergeCells count="11">
    <mergeCell ref="A729:A730"/>
    <mergeCell ref="A428:A429"/>
    <mergeCell ref="A489:A490"/>
    <mergeCell ref="A550:A551"/>
    <mergeCell ref="A607:A608"/>
    <mergeCell ref="A668:A669"/>
    <mergeCell ref="B3:AF3"/>
    <mergeCell ref="A182:A183"/>
    <mergeCell ref="A243:A244"/>
    <mergeCell ref="A303:A304"/>
    <mergeCell ref="A368:A369"/>
  </mergeCell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tabColor theme="9" tint="0.39988402966399123"/>
  </sheetPr>
  <dimension ref="A3:BI746"/>
  <sheetViews>
    <sheetView topLeftCell="A2" zoomScale="90" zoomScaleNormal="90" workbookViewId="0">
      <pane xSplit="1" ySplit="3" topLeftCell="AN557" activePane="bottomRight" state="frozen"/>
      <selection pane="topRight"/>
      <selection pane="bottomLeft"/>
      <selection pane="bottomRight" activeCell="BF566" sqref="BF566"/>
    </sheetView>
  </sheetViews>
  <sheetFormatPr defaultColWidth="9" defaultRowHeight="12.75"/>
  <cols>
    <col min="1" max="1" width="11" customWidth="1"/>
    <col min="2" max="3" width="10.5703125" customWidth="1"/>
    <col min="4" max="6" width="11" customWidth="1"/>
    <col min="7" max="7" width="9.42578125" customWidth="1"/>
    <col min="8" max="14" width="11" customWidth="1"/>
    <col min="15" max="15" width="12.5703125" customWidth="1"/>
    <col min="16" max="16" width="17.42578125" customWidth="1"/>
    <col min="17" max="18" width="12.5703125" customWidth="1"/>
    <col min="19" max="20" width="11.42578125" customWidth="1"/>
    <col min="21" max="22" width="13" customWidth="1"/>
    <col min="23" max="23" width="12.5703125" customWidth="1"/>
    <col min="24" max="24" width="14.42578125" customWidth="1"/>
    <col min="25" max="32" width="12.5703125" customWidth="1"/>
    <col min="33" max="33" width="12.42578125" customWidth="1"/>
    <col min="34" max="34" width="15" customWidth="1"/>
    <col min="35" max="36" width="12.5703125" customWidth="1"/>
    <col min="37" max="37" width="10.42578125" customWidth="1"/>
    <col min="38" max="38" width="12" customWidth="1"/>
    <col min="39" max="39" width="11.5703125" customWidth="1"/>
    <col min="40" max="43" width="10.5703125" customWidth="1"/>
    <col min="44" max="44" width="11.5703125" customWidth="1"/>
    <col min="45" max="52" width="16" customWidth="1"/>
    <col min="53" max="58" width="12.5703125" customWidth="1"/>
    <col min="59" max="59" width="13.42578125" customWidth="1"/>
  </cols>
  <sheetData>
    <row r="3" spans="1:61" ht="15">
      <c r="B3" s="279" t="s">
        <v>114</v>
      </c>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c r="AN3" s="279"/>
      <c r="AO3" s="279"/>
      <c r="AP3" s="279"/>
      <c r="AQ3" s="279"/>
      <c r="AR3" s="279"/>
      <c r="AS3" s="279"/>
      <c r="AT3" s="279"/>
      <c r="AU3" s="279"/>
      <c r="AV3" s="279"/>
      <c r="AW3" s="279"/>
      <c r="AX3" s="279"/>
      <c r="AY3" s="279"/>
      <c r="AZ3" s="279"/>
      <c r="BA3" s="279"/>
      <c r="BB3" s="279"/>
      <c r="BC3" s="279"/>
      <c r="BD3" s="279"/>
      <c r="BE3" s="279"/>
      <c r="BF3" s="279"/>
      <c r="BG3" s="279"/>
    </row>
    <row r="4" spans="1:61" ht="51.75">
      <c r="A4" s="279" t="s">
        <v>81</v>
      </c>
      <c r="B4" s="394" t="s">
        <v>115</v>
      </c>
      <c r="C4" s="344" t="s">
        <v>116</v>
      </c>
      <c r="D4" s="344" t="s">
        <v>117</v>
      </c>
      <c r="E4" s="394" t="s">
        <v>118</v>
      </c>
      <c r="F4" s="394" t="s">
        <v>119</v>
      </c>
      <c r="G4" s="344" t="s">
        <v>120</v>
      </c>
      <c r="H4" s="349" t="s">
        <v>121</v>
      </c>
      <c r="I4" s="349" t="s">
        <v>122</v>
      </c>
      <c r="J4" s="349" t="s">
        <v>123</v>
      </c>
      <c r="K4" s="349" t="s">
        <v>124</v>
      </c>
      <c r="L4" s="400" t="s">
        <v>125</v>
      </c>
      <c r="M4" s="400" t="s">
        <v>126</v>
      </c>
      <c r="N4" s="349" t="s">
        <v>127</v>
      </c>
      <c r="O4" s="344" t="s">
        <v>128</v>
      </c>
      <c r="P4" s="401" t="s">
        <v>129</v>
      </c>
      <c r="Q4" s="349" t="s">
        <v>130</v>
      </c>
      <c r="R4" s="344" t="s">
        <v>131</v>
      </c>
      <c r="S4" s="402" t="s">
        <v>132</v>
      </c>
      <c r="T4" s="349" t="s">
        <v>133</v>
      </c>
      <c r="U4" s="349" t="s">
        <v>134</v>
      </c>
      <c r="V4" s="349" t="s">
        <v>135</v>
      </c>
      <c r="W4" s="344" t="s">
        <v>136</v>
      </c>
      <c r="X4" s="344" t="s">
        <v>137</v>
      </c>
      <c r="Y4" s="344" t="s">
        <v>138</v>
      </c>
      <c r="Z4" s="344" t="s">
        <v>139</v>
      </c>
      <c r="AA4" s="344" t="s">
        <v>140</v>
      </c>
      <c r="AB4" s="344" t="s">
        <v>141</v>
      </c>
      <c r="AC4" s="380" t="s">
        <v>142</v>
      </c>
      <c r="AD4" s="349" t="s">
        <v>143</v>
      </c>
      <c r="AE4" s="344" t="s">
        <v>144</v>
      </c>
      <c r="AF4" s="344" t="s">
        <v>145</v>
      </c>
      <c r="AG4" s="344" t="s">
        <v>146</v>
      </c>
      <c r="AH4" s="344" t="s">
        <v>147</v>
      </c>
      <c r="AI4" s="344" t="s">
        <v>148</v>
      </c>
      <c r="AJ4" s="344" t="s">
        <v>149</v>
      </c>
      <c r="AK4" s="345" t="s">
        <v>150</v>
      </c>
      <c r="AL4" s="344" t="s">
        <v>151</v>
      </c>
      <c r="AM4" s="344" t="s">
        <v>152</v>
      </c>
      <c r="AN4" s="403" t="s">
        <v>153</v>
      </c>
      <c r="AO4" s="344" t="s">
        <v>154</v>
      </c>
      <c r="AP4" s="344" t="s">
        <v>155</v>
      </c>
      <c r="AQ4" s="404" t="s">
        <v>156</v>
      </c>
      <c r="AR4" s="344" t="s">
        <v>157</v>
      </c>
      <c r="AS4" s="405" t="s">
        <v>158</v>
      </c>
      <c r="AT4" s="406" t="s">
        <v>159</v>
      </c>
      <c r="AU4" s="344" t="s">
        <v>160</v>
      </c>
      <c r="AV4" s="344" t="s">
        <v>161</v>
      </c>
      <c r="AW4" s="344" t="s">
        <v>162</v>
      </c>
      <c r="AX4" s="344" t="s">
        <v>163</v>
      </c>
      <c r="AY4" s="344" t="s">
        <v>164</v>
      </c>
      <c r="AZ4" s="380" t="s">
        <v>165</v>
      </c>
      <c r="BA4" s="344" t="s">
        <v>166</v>
      </c>
      <c r="BB4" s="344" t="s">
        <v>167</v>
      </c>
      <c r="BC4" s="344" t="s">
        <v>168</v>
      </c>
      <c r="BD4" s="394" t="s">
        <v>169</v>
      </c>
      <c r="BE4" s="344" t="s">
        <v>170</v>
      </c>
      <c r="BF4" s="627" t="s">
        <v>171</v>
      </c>
      <c r="BG4" s="344" t="s">
        <v>172</v>
      </c>
    </row>
    <row r="6" spans="1:61" s="369" customFormat="1" ht="12.75" customHeight="1">
      <c r="A6" s="647">
        <v>2026</v>
      </c>
    </row>
    <row r="7" spans="1:61" s="369" customFormat="1" ht="12.75" customHeight="1">
      <c r="A7" s="647"/>
    </row>
    <row r="8" spans="1:61">
      <c r="A8" s="165">
        <f>'Conveyor Downtime (new)'!A6</f>
        <v>46024</v>
      </c>
      <c r="B8" s="346"/>
      <c r="C8" s="346"/>
      <c r="D8" s="346"/>
      <c r="E8" s="346"/>
      <c r="F8" s="346"/>
      <c r="G8" s="346"/>
      <c r="H8" s="346">
        <f>6+10+5+3+3+3+5+7+3+3+5+6+3</f>
        <v>62</v>
      </c>
      <c r="I8" s="346">
        <f>2+3+6</f>
        <v>11</v>
      </c>
      <c r="J8" s="346"/>
      <c r="K8" s="346"/>
      <c r="L8" s="346"/>
      <c r="M8" s="346"/>
      <c r="N8" s="346"/>
      <c r="O8" s="346"/>
      <c r="P8" s="346"/>
      <c r="Q8" s="346"/>
      <c r="R8" s="346"/>
      <c r="S8" s="346"/>
      <c r="T8" s="346"/>
      <c r="U8" s="346"/>
      <c r="V8" s="346"/>
      <c r="W8" s="346"/>
      <c r="X8" s="346"/>
      <c r="Y8" s="346"/>
      <c r="Z8" s="346"/>
      <c r="AA8" s="346"/>
      <c r="AB8" s="346"/>
      <c r="AC8" s="346"/>
      <c r="AD8" s="346"/>
      <c r="AE8" s="346"/>
      <c r="AF8" s="346"/>
      <c r="AG8" s="346"/>
      <c r="AH8" s="346"/>
      <c r="AI8" s="346"/>
      <c r="AJ8" s="346"/>
      <c r="AK8" s="346"/>
      <c r="AL8" s="346"/>
      <c r="AM8" s="346"/>
      <c r="AN8" s="346"/>
      <c r="AO8" s="346"/>
      <c r="AP8" s="346"/>
      <c r="AQ8" s="346">
        <f>60</f>
        <v>60</v>
      </c>
      <c r="AR8" s="346"/>
      <c r="AS8" s="346"/>
      <c r="AT8" s="346"/>
      <c r="AU8" s="346"/>
      <c r="AV8" s="346"/>
      <c r="AW8" s="346"/>
      <c r="AX8" s="346"/>
      <c r="AY8" s="346"/>
      <c r="AZ8" s="346"/>
      <c r="BA8" s="346"/>
      <c r="BB8" s="346"/>
      <c r="BC8" s="346"/>
      <c r="BD8" s="346"/>
      <c r="BE8" s="346"/>
      <c r="BF8" s="346">
        <v>3</v>
      </c>
      <c r="BG8" s="346"/>
      <c r="BH8">
        <f t="shared" ref="BH8:BH39" si="0">SUM(B8:BG8)</f>
        <v>136</v>
      </c>
      <c r="BI8" s="351">
        <f t="shared" ref="BI8:BI53" si="1">BH8/$BH$66</f>
        <v>0.10608424336973479</v>
      </c>
    </row>
    <row r="9" spans="1:61">
      <c r="A9" s="165">
        <f>'Conveyor Downtime (new)'!A7</f>
        <v>46027</v>
      </c>
      <c r="BH9">
        <f t="shared" si="0"/>
        <v>0</v>
      </c>
      <c r="BI9" s="351">
        <f t="shared" si="1"/>
        <v>0</v>
      </c>
    </row>
    <row r="10" spans="1:61">
      <c r="A10" s="165">
        <f>'Conveyor Downtime (new)'!A8</f>
        <v>46028</v>
      </c>
      <c r="B10" s="346"/>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s="346"/>
      <c r="AW10" s="346"/>
      <c r="AX10" s="346"/>
      <c r="AY10" s="346"/>
      <c r="AZ10" s="346"/>
      <c r="BA10" s="346"/>
      <c r="BB10" s="346"/>
      <c r="BC10" s="346"/>
      <c r="BD10" s="346"/>
      <c r="BE10" s="346"/>
      <c r="BF10" s="346"/>
      <c r="BG10" s="346"/>
      <c r="BH10">
        <f t="shared" si="0"/>
        <v>0</v>
      </c>
      <c r="BI10" s="351">
        <f t="shared" si="1"/>
        <v>0</v>
      </c>
    </row>
    <row r="11" spans="1:61">
      <c r="A11" s="165">
        <f>'Conveyor Downtime (new)'!A9</f>
        <v>46029</v>
      </c>
      <c r="BH11">
        <f t="shared" si="0"/>
        <v>0</v>
      </c>
      <c r="BI11" s="351">
        <f t="shared" si="1"/>
        <v>0</v>
      </c>
    </row>
    <row r="12" spans="1:61">
      <c r="A12" s="165">
        <f>'Conveyor Downtime (new)'!A10</f>
        <v>46030</v>
      </c>
      <c r="B12" s="346"/>
      <c r="C12" s="346"/>
      <c r="D12" s="346"/>
      <c r="E12" s="346"/>
      <c r="F12" s="346"/>
      <c r="G12" s="346"/>
      <c r="H12" s="346">
        <f>3+4+2</f>
        <v>9</v>
      </c>
      <c r="I12" s="346">
        <f>11+4</f>
        <v>15</v>
      </c>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s="346"/>
      <c r="AW12" s="346"/>
      <c r="AX12" s="346"/>
      <c r="AY12" s="346"/>
      <c r="AZ12" s="346"/>
      <c r="BA12" s="346"/>
      <c r="BB12" s="346"/>
      <c r="BC12" s="346"/>
      <c r="BD12" s="346"/>
      <c r="BE12" s="346"/>
      <c r="BF12" s="346"/>
      <c r="BG12" s="346"/>
      <c r="BH12">
        <f t="shared" si="0"/>
        <v>24</v>
      </c>
      <c r="BI12" s="351">
        <f t="shared" si="1"/>
        <v>1.8720748829953199E-2</v>
      </c>
    </row>
    <row r="13" spans="1:61">
      <c r="A13" s="165">
        <f>'Conveyor Downtime (new)'!A11</f>
        <v>46031</v>
      </c>
      <c r="H13">
        <f>4</f>
        <v>4</v>
      </c>
      <c r="BF13">
        <f>4</f>
        <v>4</v>
      </c>
      <c r="BH13">
        <f t="shared" si="0"/>
        <v>8</v>
      </c>
      <c r="BI13" s="351">
        <f t="shared" si="1"/>
        <v>6.2402496099843996E-3</v>
      </c>
    </row>
    <row r="14" spans="1:61">
      <c r="A14" s="165">
        <f>'Conveyor Downtime (new)'!A12</f>
        <v>46031</v>
      </c>
      <c r="B14" s="346"/>
      <c r="C14" s="346"/>
      <c r="D14" s="346"/>
      <c r="E14" s="346"/>
      <c r="F14" s="346"/>
      <c r="G14" s="346"/>
      <c r="H14" s="346">
        <f>6</f>
        <v>6</v>
      </c>
      <c r="I14" s="346">
        <f>2</f>
        <v>2</v>
      </c>
      <c r="J14" s="346"/>
      <c r="K14" s="346"/>
      <c r="L14" s="346"/>
      <c r="M14" s="346"/>
      <c r="N14" s="346"/>
      <c r="O14" s="346"/>
      <c r="P14" s="346"/>
      <c r="Q14" s="346"/>
      <c r="R14" s="346"/>
      <c r="S14" s="346"/>
      <c r="T14" s="346"/>
      <c r="U14" s="346"/>
      <c r="V14" s="346"/>
      <c r="W14" s="346"/>
      <c r="X14" s="346"/>
      <c r="Y14" s="346"/>
      <c r="Z14" s="346"/>
      <c r="AA14" s="346"/>
      <c r="AB14" s="346"/>
      <c r="AC14" s="346"/>
      <c r="AD14" s="346"/>
      <c r="AE14" s="346"/>
      <c r="AF14" s="346"/>
      <c r="AG14" s="346"/>
      <c r="AH14" s="346"/>
      <c r="AI14" s="346"/>
      <c r="AJ14" s="346"/>
      <c r="AK14" s="346"/>
      <c r="AL14" s="346"/>
      <c r="AM14" s="346"/>
      <c r="AN14" s="346"/>
      <c r="AO14" s="346"/>
      <c r="AP14" s="346"/>
      <c r="AQ14" s="346"/>
      <c r="AR14" s="346"/>
      <c r="AS14" s="346"/>
      <c r="AT14" s="346"/>
      <c r="AU14" s="346"/>
      <c r="AV14" s="346"/>
      <c r="AW14" s="346"/>
      <c r="AX14" s="346"/>
      <c r="AY14" s="346"/>
      <c r="AZ14" s="346"/>
      <c r="BA14" s="346"/>
      <c r="BB14" s="346"/>
      <c r="BC14" s="346"/>
      <c r="BD14" s="346"/>
      <c r="BE14" s="346"/>
      <c r="BF14" s="346"/>
      <c r="BG14" s="346"/>
      <c r="BH14">
        <f t="shared" si="0"/>
        <v>8</v>
      </c>
      <c r="BI14" s="351">
        <f t="shared" si="1"/>
        <v>6.2402496099843996E-3</v>
      </c>
    </row>
    <row r="15" spans="1:61">
      <c r="A15" s="165">
        <f>'Conveyor Downtime (new)'!A13</f>
        <v>46032</v>
      </c>
      <c r="I15">
        <f>5+6+4+4</f>
        <v>19</v>
      </c>
      <c r="BF15">
        <f>4</f>
        <v>4</v>
      </c>
      <c r="BH15">
        <f t="shared" si="0"/>
        <v>23</v>
      </c>
      <c r="BI15" s="351">
        <f t="shared" si="1"/>
        <v>1.7940717628705149E-2</v>
      </c>
    </row>
    <row r="16" spans="1:61">
      <c r="A16" s="165">
        <f>'Conveyor Downtime (new)'!A14</f>
        <v>46034</v>
      </c>
      <c r="B16" s="346"/>
      <c r="C16" s="346"/>
      <c r="D16" s="346"/>
      <c r="E16" s="346"/>
      <c r="F16" s="346"/>
      <c r="G16" s="346"/>
      <c r="H16" s="346">
        <f>5</f>
        <v>5</v>
      </c>
      <c r="I16" s="346"/>
      <c r="J16" s="346"/>
      <c r="K16" s="346"/>
      <c r="L16" s="346"/>
      <c r="M16" s="346"/>
      <c r="N16" s="346"/>
      <c r="O16" s="346"/>
      <c r="P16" s="346"/>
      <c r="Q16" s="346"/>
      <c r="R16" s="346"/>
      <c r="S16" s="346"/>
      <c r="T16" s="346"/>
      <c r="U16" s="346"/>
      <c r="V16" s="346"/>
      <c r="W16" s="346"/>
      <c r="X16" s="346"/>
      <c r="Y16" s="346"/>
      <c r="Z16" s="346"/>
      <c r="AA16" s="346"/>
      <c r="AB16" s="346"/>
      <c r="AC16" s="346"/>
      <c r="AD16" s="346"/>
      <c r="AE16" s="346"/>
      <c r="AF16" s="346"/>
      <c r="AG16" s="346"/>
      <c r="AH16" s="346"/>
      <c r="AI16" s="346"/>
      <c r="AJ16" s="346"/>
      <c r="AK16" s="346"/>
      <c r="AL16" s="346"/>
      <c r="AM16" s="346"/>
      <c r="AN16" s="346"/>
      <c r="AO16" s="346"/>
      <c r="AP16" s="346"/>
      <c r="AQ16" s="346"/>
      <c r="AR16" s="346"/>
      <c r="AS16" s="346"/>
      <c r="AT16" s="346"/>
      <c r="AU16" s="346"/>
      <c r="AV16" s="346"/>
      <c r="AW16" s="346"/>
      <c r="AX16" s="346"/>
      <c r="AY16" s="346"/>
      <c r="AZ16" s="346"/>
      <c r="BA16" s="346"/>
      <c r="BB16" s="346"/>
      <c r="BC16" s="346"/>
      <c r="BD16" s="346"/>
      <c r="BE16" s="346"/>
      <c r="BF16" s="346">
        <f>2+3+2+3+4+4+2</f>
        <v>20</v>
      </c>
      <c r="BG16" s="346"/>
      <c r="BH16">
        <f t="shared" si="0"/>
        <v>25</v>
      </c>
      <c r="BI16" s="351">
        <f t="shared" si="1"/>
        <v>1.9500780031201249E-2</v>
      </c>
    </row>
    <row r="17" spans="1:61">
      <c r="A17" s="165">
        <f>'Conveyor Downtime (new)'!A15</f>
        <v>46034</v>
      </c>
      <c r="H17">
        <f>5+6+7+4</f>
        <v>22</v>
      </c>
      <c r="I17">
        <f>4</f>
        <v>4</v>
      </c>
      <c r="BH17">
        <f t="shared" si="0"/>
        <v>26</v>
      </c>
      <c r="BI17" s="351">
        <f t="shared" si="1"/>
        <v>2.0280811232449299E-2</v>
      </c>
    </row>
    <row r="18" spans="1:61">
      <c r="A18" s="165">
        <f>'Conveyor Downtime (new)'!A16</f>
        <v>46034</v>
      </c>
      <c r="B18" s="346"/>
      <c r="C18" s="346"/>
      <c r="D18" s="346"/>
      <c r="E18" s="346"/>
      <c r="F18" s="346"/>
      <c r="G18" s="346"/>
      <c r="H18" s="346">
        <f>11</f>
        <v>11</v>
      </c>
      <c r="I18" s="346"/>
      <c r="J18" s="346"/>
      <c r="K18" s="346"/>
      <c r="L18" s="346"/>
      <c r="M18" s="346"/>
      <c r="N18" s="346"/>
      <c r="O18" s="346"/>
      <c r="P18" s="346"/>
      <c r="Q18" s="346"/>
      <c r="R18" s="346"/>
      <c r="S18" s="346"/>
      <c r="T18" s="346"/>
      <c r="U18" s="346"/>
      <c r="V18" s="346"/>
      <c r="W18" s="346"/>
      <c r="X18" s="346"/>
      <c r="Y18" s="346"/>
      <c r="Z18" s="346"/>
      <c r="AA18" s="346"/>
      <c r="AB18" s="346"/>
      <c r="AC18" s="346"/>
      <c r="AD18" s="346"/>
      <c r="AE18" s="346"/>
      <c r="AF18" s="346"/>
      <c r="AG18" s="346"/>
      <c r="AH18" s="346"/>
      <c r="AI18" s="346"/>
      <c r="AJ18" s="346"/>
      <c r="AK18" s="346"/>
      <c r="AL18" s="346"/>
      <c r="AM18" s="346"/>
      <c r="AN18" s="346"/>
      <c r="AO18" s="346"/>
      <c r="AP18" s="346"/>
      <c r="AQ18" s="346"/>
      <c r="AR18" s="346"/>
      <c r="AS18" s="346"/>
      <c r="AT18" s="346"/>
      <c r="AU18" s="346"/>
      <c r="AV18" s="346"/>
      <c r="AW18" s="346"/>
      <c r="AX18" s="346"/>
      <c r="AY18" s="346"/>
      <c r="AZ18" s="346"/>
      <c r="BA18" s="346"/>
      <c r="BB18" s="346"/>
      <c r="BC18" s="346"/>
      <c r="BD18" s="346"/>
      <c r="BE18" s="346"/>
      <c r="BF18" s="346"/>
      <c r="BG18" s="346"/>
      <c r="BH18">
        <f t="shared" si="0"/>
        <v>11</v>
      </c>
      <c r="BI18" s="351">
        <f t="shared" si="1"/>
        <v>8.5803432137285494E-3</v>
      </c>
    </row>
    <row r="19" spans="1:61">
      <c r="A19" s="165">
        <f>'Conveyor Downtime (new)'!A17</f>
        <v>46035</v>
      </c>
      <c r="H19">
        <f>3+6+5+5</f>
        <v>19</v>
      </c>
      <c r="I19">
        <f>5+6+7</f>
        <v>18</v>
      </c>
      <c r="BF19">
        <f>4+3+2+3+3+2+2+2+2+2</f>
        <v>25</v>
      </c>
      <c r="BH19">
        <f t="shared" si="0"/>
        <v>62</v>
      </c>
      <c r="BI19" s="351">
        <f t="shared" si="1"/>
        <v>4.8361934477379097E-2</v>
      </c>
    </row>
    <row r="20" spans="1:61">
      <c r="A20" s="165">
        <f>'Conveyor Downtime (new)'!A18</f>
        <v>46035</v>
      </c>
      <c r="B20" s="346"/>
      <c r="C20" s="346"/>
      <c r="D20" s="346"/>
      <c r="E20" s="346"/>
      <c r="F20" s="346"/>
      <c r="G20" s="346"/>
      <c r="H20" s="346">
        <f>5+1</f>
        <v>6</v>
      </c>
      <c r="I20" s="346">
        <f>4+4</f>
        <v>8</v>
      </c>
      <c r="J20" s="346"/>
      <c r="K20" s="346"/>
      <c r="L20" s="346"/>
      <c r="M20" s="346"/>
      <c r="N20" s="346"/>
      <c r="O20" s="346"/>
      <c r="P20" s="346"/>
      <c r="Q20" s="346"/>
      <c r="R20" s="346"/>
      <c r="S20" s="346"/>
      <c r="T20" s="346"/>
      <c r="U20" s="346"/>
      <c r="V20" s="346"/>
      <c r="W20" s="346"/>
      <c r="X20" s="346"/>
      <c r="Y20" s="346"/>
      <c r="Z20" s="346"/>
      <c r="AA20" s="346"/>
      <c r="AB20" s="346"/>
      <c r="AC20" s="346"/>
      <c r="AD20" s="346"/>
      <c r="AE20" s="346"/>
      <c r="AF20" s="346"/>
      <c r="AG20" s="346"/>
      <c r="AH20" s="346"/>
      <c r="AI20" s="346"/>
      <c r="AJ20" s="346"/>
      <c r="AK20" s="346"/>
      <c r="AL20" s="346"/>
      <c r="AM20" s="346"/>
      <c r="AN20" s="346"/>
      <c r="AO20" s="346"/>
      <c r="AP20" s="346"/>
      <c r="AQ20" s="346"/>
      <c r="AR20" s="346"/>
      <c r="AS20" s="346"/>
      <c r="AT20" s="346"/>
      <c r="AU20" s="346"/>
      <c r="AV20" s="346"/>
      <c r="AW20" s="346"/>
      <c r="AX20" s="346"/>
      <c r="AY20" s="346"/>
      <c r="AZ20" s="346"/>
      <c r="BA20" s="346"/>
      <c r="BB20" s="346"/>
      <c r="BC20" s="346"/>
      <c r="BD20" s="346"/>
      <c r="BE20" s="346"/>
      <c r="BF20" s="346">
        <f>4</f>
        <v>4</v>
      </c>
      <c r="BG20" s="346"/>
      <c r="BH20">
        <f t="shared" si="0"/>
        <v>18</v>
      </c>
      <c r="BI20" s="351">
        <f t="shared" si="1"/>
        <v>1.4040561622464899E-2</v>
      </c>
    </row>
    <row r="21" spans="1:61" ht="15.75" customHeight="1">
      <c r="A21" s="165">
        <f>'Conveyor Downtime (new)'!A19</f>
        <v>46036</v>
      </c>
      <c r="I21">
        <f>9+4</f>
        <v>13</v>
      </c>
      <c r="BH21">
        <f t="shared" si="0"/>
        <v>13</v>
      </c>
      <c r="BI21" s="351">
        <f t="shared" si="1"/>
        <v>1.0140405616224649E-2</v>
      </c>
    </row>
    <row r="22" spans="1:61">
      <c r="A22" s="165">
        <f>'Conveyor Downtime (new)'!A20</f>
        <v>46036</v>
      </c>
      <c r="B22" s="346"/>
      <c r="C22" s="346"/>
      <c r="D22" s="346"/>
      <c r="E22" s="346"/>
      <c r="F22" s="346"/>
      <c r="G22" s="346"/>
      <c r="H22" s="346">
        <f>3+5</f>
        <v>8</v>
      </c>
      <c r="I22" s="346">
        <f>5+3+5+6+6+4</f>
        <v>29</v>
      </c>
      <c r="J22" s="346"/>
      <c r="K22" s="346"/>
      <c r="L22" s="346"/>
      <c r="M22" s="346"/>
      <c r="N22" s="346"/>
      <c r="O22" s="346"/>
      <c r="P22" s="346"/>
      <c r="Q22" s="346"/>
      <c r="R22" s="346"/>
      <c r="S22" s="346"/>
      <c r="T22" s="346"/>
      <c r="U22" s="346"/>
      <c r="V22" s="346"/>
      <c r="W22" s="346"/>
      <c r="X22" s="346"/>
      <c r="Y22" s="346"/>
      <c r="Z22" s="346"/>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s="346"/>
      <c r="AW22" s="346"/>
      <c r="AX22" s="346"/>
      <c r="AY22" s="346"/>
      <c r="AZ22" s="346"/>
      <c r="BA22" s="346"/>
      <c r="BB22" s="346"/>
      <c r="BC22" s="346"/>
      <c r="BD22" s="346"/>
      <c r="BE22" s="346"/>
      <c r="BF22" s="346">
        <f>2+5+3+1+3+3+2+3+7</f>
        <v>29</v>
      </c>
      <c r="BG22" s="346"/>
      <c r="BH22">
        <f t="shared" si="0"/>
        <v>66</v>
      </c>
      <c r="BI22" s="351">
        <f t="shared" si="1"/>
        <v>5.1482059282371297E-2</v>
      </c>
    </row>
    <row r="23" spans="1:61">
      <c r="A23" s="165">
        <f>'Conveyor Downtime (new)'!A21</f>
        <v>46037</v>
      </c>
      <c r="H23">
        <f>5+5+11+5+2+2+6+6+6+2+5+5</f>
        <v>60</v>
      </c>
      <c r="I23">
        <f>3+2+3+4+6</f>
        <v>18</v>
      </c>
      <c r="BF23">
        <f>5+9+3+4+3+4+2+2+5</f>
        <v>37</v>
      </c>
      <c r="BH23">
        <f>SUM(B23:BF23)</f>
        <v>115</v>
      </c>
      <c r="BI23" s="351">
        <f t="shared" si="1"/>
        <v>8.9703588143525748E-2</v>
      </c>
    </row>
    <row r="24" spans="1:61">
      <c r="A24" s="165">
        <f>'Conveyor Downtime (new)'!A22</f>
        <v>46037</v>
      </c>
      <c r="B24" s="346"/>
      <c r="C24" s="346"/>
      <c r="D24" s="346"/>
      <c r="E24" s="346"/>
      <c r="F24" s="346"/>
      <c r="G24" s="346"/>
      <c r="H24" s="346">
        <f>4</f>
        <v>4</v>
      </c>
      <c r="I24" s="346">
        <f>5</f>
        <v>5</v>
      </c>
      <c r="J24" s="346"/>
      <c r="K24" s="346"/>
      <c r="L24" s="346"/>
      <c r="M24" s="346"/>
      <c r="N24" s="346"/>
      <c r="O24" s="346"/>
      <c r="P24" s="346"/>
      <c r="Q24" s="346"/>
      <c r="R24" s="346"/>
      <c r="S24" s="346"/>
      <c r="T24" s="346"/>
      <c r="U24" s="346"/>
      <c r="V24" s="346"/>
      <c r="W24" s="346"/>
      <c r="X24" s="346"/>
      <c r="Y24" s="346"/>
      <c r="Z24" s="346"/>
      <c r="AA24" s="346"/>
      <c r="AB24" s="346"/>
      <c r="AC24" s="346"/>
      <c r="AD24" s="346"/>
      <c r="AE24" s="346"/>
      <c r="AF24" s="346"/>
      <c r="AG24" s="346"/>
      <c r="AH24" s="346"/>
      <c r="AI24" s="346"/>
      <c r="AJ24" s="346"/>
      <c r="AK24" s="346"/>
      <c r="AL24" s="346"/>
      <c r="AM24" s="346"/>
      <c r="AN24" s="346"/>
      <c r="AO24" s="346"/>
      <c r="AP24" s="346"/>
      <c r="AQ24" s="346"/>
      <c r="AR24" s="346"/>
      <c r="AS24" s="346"/>
      <c r="AT24" s="346"/>
      <c r="AU24" s="346"/>
      <c r="AV24" s="346"/>
      <c r="AW24" s="346"/>
      <c r="AX24" s="346"/>
      <c r="AY24" s="346"/>
      <c r="AZ24" s="346"/>
      <c r="BA24" s="346"/>
      <c r="BB24" s="346"/>
      <c r="BC24" s="346"/>
      <c r="BD24" s="346"/>
      <c r="BE24" s="346"/>
      <c r="BF24" s="346">
        <f>7+4+5+14+6+5</f>
        <v>41</v>
      </c>
      <c r="BG24" s="346"/>
      <c r="BH24">
        <f t="shared" si="0"/>
        <v>50</v>
      </c>
      <c r="BI24" s="351">
        <f t="shared" si="1"/>
        <v>3.9001560062402497E-2</v>
      </c>
    </row>
    <row r="25" spans="1:61">
      <c r="A25" s="165">
        <f>'Conveyor Downtime (new)'!A23</f>
        <v>46038</v>
      </c>
      <c r="H25">
        <f>4</f>
        <v>4</v>
      </c>
      <c r="I25">
        <f>2</f>
        <v>2</v>
      </c>
      <c r="BH25">
        <f t="shared" si="0"/>
        <v>6</v>
      </c>
      <c r="BI25" s="351">
        <f t="shared" si="1"/>
        <v>4.6801872074882997E-3</v>
      </c>
    </row>
    <row r="26" spans="1:61">
      <c r="A26" s="165">
        <f>'Conveyor Downtime (new)'!A24</f>
        <v>46038</v>
      </c>
      <c r="B26" s="346"/>
      <c r="C26" s="346"/>
      <c r="D26" s="346"/>
      <c r="E26" s="346"/>
      <c r="F26" s="346"/>
      <c r="G26" s="346"/>
      <c r="H26" s="346">
        <f>3+3+4+5+6+6+4+5</f>
        <v>36</v>
      </c>
      <c r="I26" s="346">
        <f>2+2+3+4+6+4+5</f>
        <v>26</v>
      </c>
      <c r="J26" s="346"/>
      <c r="K26" s="346"/>
      <c r="L26" s="346"/>
      <c r="M26" s="346"/>
      <c r="N26" s="346"/>
      <c r="O26" s="346"/>
      <c r="P26" s="346"/>
      <c r="Q26" s="346"/>
      <c r="R26" s="346"/>
      <c r="S26" s="346"/>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s="346"/>
      <c r="AW26" s="346"/>
      <c r="AX26" s="346"/>
      <c r="AY26" s="346"/>
      <c r="AZ26" s="346"/>
      <c r="BA26" s="346"/>
      <c r="BB26" s="346"/>
      <c r="BC26" s="346"/>
      <c r="BD26" s="346"/>
      <c r="BE26" s="346"/>
      <c r="BF26" s="346"/>
      <c r="BG26" s="346">
        <f>10+26</f>
        <v>36</v>
      </c>
      <c r="BH26">
        <f t="shared" si="0"/>
        <v>98</v>
      </c>
      <c r="BI26" s="351">
        <f t="shared" si="1"/>
        <v>7.6443057722308888E-2</v>
      </c>
    </row>
    <row r="27" spans="1:61">
      <c r="A27" s="165">
        <f>'Conveyor Downtime (new)'!A25</f>
        <v>46041</v>
      </c>
      <c r="H27">
        <f>5+4+5+5+3+2+2</f>
        <v>26</v>
      </c>
      <c r="I27">
        <f>3+4+16+5</f>
        <v>28</v>
      </c>
      <c r="BF27">
        <f>3</f>
        <v>3</v>
      </c>
      <c r="BH27">
        <f t="shared" si="0"/>
        <v>57</v>
      </c>
      <c r="BI27" s="351">
        <f t="shared" si="1"/>
        <v>4.4461778471138844E-2</v>
      </c>
    </row>
    <row r="28" spans="1:61">
      <c r="A28" s="165">
        <f>'Conveyor Downtime (new)'!A26</f>
        <v>46041</v>
      </c>
      <c r="B28" s="346"/>
      <c r="C28" s="346"/>
      <c r="D28" s="346"/>
      <c r="E28" s="346"/>
      <c r="F28" s="346"/>
      <c r="G28" s="346">
        <f>5</f>
        <v>5</v>
      </c>
      <c r="H28" s="346">
        <f>23+2+2+2+8</f>
        <v>37</v>
      </c>
      <c r="I28" s="346"/>
      <c r="J28" s="346"/>
      <c r="K28" s="346"/>
      <c r="L28" s="346"/>
      <c r="M28" s="346"/>
      <c r="N28" s="346"/>
      <c r="O28" s="346"/>
      <c r="P28" s="346"/>
      <c r="Q28" s="346"/>
      <c r="R28" s="346"/>
      <c r="S28" s="346"/>
      <c r="T28" s="346"/>
      <c r="U28" s="346"/>
      <c r="V28" s="346"/>
      <c r="W28" s="346"/>
      <c r="X28" s="346"/>
      <c r="Y28" s="346"/>
      <c r="Z28" s="346"/>
      <c r="AA28" s="346"/>
      <c r="AB28" s="346"/>
      <c r="AC28" s="346"/>
      <c r="AD28" s="346"/>
      <c r="AE28" s="346"/>
      <c r="AF28" s="346"/>
      <c r="AG28" s="346"/>
      <c r="AH28" s="346"/>
      <c r="AI28" s="346"/>
      <c r="AJ28" s="346"/>
      <c r="AK28" s="346"/>
      <c r="AL28" s="346"/>
      <c r="AM28" s="346"/>
      <c r="AN28" s="346"/>
      <c r="AO28" s="346"/>
      <c r="AP28" s="346"/>
      <c r="AQ28" s="346"/>
      <c r="AR28" s="346"/>
      <c r="AS28" s="346"/>
      <c r="AT28" s="346"/>
      <c r="AU28" s="346"/>
      <c r="AV28" s="346"/>
      <c r="AW28" s="346"/>
      <c r="AX28" s="346"/>
      <c r="AY28" s="346"/>
      <c r="AZ28" s="346"/>
      <c r="BA28" s="346"/>
      <c r="BB28" s="346"/>
      <c r="BC28" s="346"/>
      <c r="BD28" s="346"/>
      <c r="BE28" s="346"/>
      <c r="BF28" s="346"/>
      <c r="BG28" s="346"/>
      <c r="BH28">
        <f t="shared" si="0"/>
        <v>42</v>
      </c>
      <c r="BI28" s="351">
        <f t="shared" si="1"/>
        <v>3.2761310452418098E-2</v>
      </c>
    </row>
    <row r="29" spans="1:61">
      <c r="A29" s="165">
        <f>'Conveyor Downtime (new)'!A27</f>
        <v>46042</v>
      </c>
      <c r="B29" s="70"/>
      <c r="C29" s="70"/>
      <c r="D29" s="70"/>
      <c r="E29" s="70"/>
      <c r="F29" s="70"/>
      <c r="G29" s="70"/>
      <c r="H29" s="70">
        <f>1</f>
        <v>1</v>
      </c>
      <c r="I29" s="70">
        <f>5</f>
        <v>5</v>
      </c>
      <c r="J29" s="70"/>
      <c r="K29" s="70"/>
      <c r="L29" s="70"/>
      <c r="M29" s="70"/>
      <c r="N29" s="70"/>
      <c r="O29" s="70"/>
      <c r="P29" s="70"/>
      <c r="Q29" s="70"/>
      <c r="R29" s="70"/>
      <c r="S29" s="70"/>
      <c r="T29" s="70"/>
      <c r="U29" s="70"/>
      <c r="V29" s="70"/>
      <c r="W29" s="70"/>
      <c r="X29" s="70"/>
      <c r="Y29" s="70"/>
      <c r="Z29" s="70"/>
      <c r="AA29" s="70"/>
      <c r="AB29" s="70"/>
      <c r="AC29" s="70"/>
      <c r="AD29" s="70"/>
      <c r="AE29" s="70"/>
      <c r="AF29" s="70"/>
      <c r="AG29" s="70"/>
      <c r="AH29" s="70"/>
      <c r="AI29" s="70"/>
      <c r="AJ29" s="70"/>
      <c r="AK29" s="70"/>
      <c r="AL29" s="70"/>
      <c r="AM29" s="70"/>
      <c r="AN29" s="70"/>
      <c r="AO29" s="70"/>
      <c r="AP29" s="70"/>
      <c r="AQ29" s="70"/>
      <c r="AR29" s="70"/>
      <c r="AS29" s="70"/>
      <c r="AT29" s="70"/>
      <c r="AU29" s="70"/>
      <c r="AV29" s="70"/>
      <c r="AW29" s="70"/>
      <c r="AX29" s="70"/>
      <c r="AY29" s="70"/>
      <c r="AZ29" s="70"/>
      <c r="BA29" s="70"/>
      <c r="BB29" s="70"/>
      <c r="BC29" s="70"/>
      <c r="BD29" s="70"/>
      <c r="BE29" s="70"/>
      <c r="BF29" s="70"/>
      <c r="BG29" s="70"/>
      <c r="BH29">
        <f t="shared" si="0"/>
        <v>6</v>
      </c>
      <c r="BI29" s="351">
        <f t="shared" si="1"/>
        <v>4.6801872074882997E-3</v>
      </c>
    </row>
    <row r="30" spans="1:61">
      <c r="A30" s="165">
        <f>'Conveyor Downtime (new)'!A28</f>
        <v>46042</v>
      </c>
      <c r="B30" s="353"/>
      <c r="C30" s="353"/>
      <c r="D30" s="353"/>
      <c r="E30" s="353"/>
      <c r="F30" s="353"/>
      <c r="G30" s="353"/>
      <c r="H30" s="353">
        <f>6+6+5+5+5+5</f>
        <v>32</v>
      </c>
      <c r="I30" s="353">
        <f>7</f>
        <v>7</v>
      </c>
      <c r="J30" s="353"/>
      <c r="K30" s="353"/>
      <c r="L30" s="353"/>
      <c r="M30" s="353"/>
      <c r="N30" s="353"/>
      <c r="O30" s="353"/>
      <c r="P30" s="353"/>
      <c r="Q30" s="353"/>
      <c r="R30" s="353"/>
      <c r="S30" s="353"/>
      <c r="T30" s="353"/>
      <c r="U30" s="353"/>
      <c r="V30" s="353"/>
      <c r="W30" s="353"/>
      <c r="X30" s="353"/>
      <c r="Y30" s="353"/>
      <c r="Z30" s="353"/>
      <c r="AA30" s="353"/>
      <c r="AB30" s="353"/>
      <c r="AC30" s="353"/>
      <c r="AD30" s="353"/>
      <c r="AE30" s="353"/>
      <c r="AF30" s="353"/>
      <c r="AG30" s="353"/>
      <c r="AH30" s="353"/>
      <c r="AI30" s="353"/>
      <c r="AJ30" s="353"/>
      <c r="AK30" s="353"/>
      <c r="AL30" s="353"/>
      <c r="AM30" s="353"/>
      <c r="AN30" s="353"/>
      <c r="AO30" s="353"/>
      <c r="AP30" s="353"/>
      <c r="AQ30" s="353"/>
      <c r="AR30" s="353"/>
      <c r="AS30" s="353"/>
      <c r="AT30" s="353"/>
      <c r="AU30" s="353"/>
      <c r="AV30" s="353"/>
      <c r="AW30" s="353"/>
      <c r="AX30" s="353"/>
      <c r="AY30" s="353"/>
      <c r="AZ30" s="353"/>
      <c r="BA30" s="353"/>
      <c r="BB30" s="353"/>
      <c r="BC30" s="353"/>
      <c r="BD30" s="353"/>
      <c r="BE30" s="353"/>
      <c r="BF30" s="353"/>
      <c r="BG30" s="353"/>
      <c r="BH30">
        <f t="shared" si="0"/>
        <v>39</v>
      </c>
      <c r="BI30" s="351">
        <f t="shared" si="1"/>
        <v>3.0421216848673948E-2</v>
      </c>
    </row>
    <row r="31" spans="1:61">
      <c r="A31" s="165">
        <f>'Conveyor Downtime (new)'!A29</f>
        <v>46043</v>
      </c>
      <c r="G31" s="70"/>
      <c r="H31" s="70"/>
      <c r="I31" s="70">
        <f>4</f>
        <v>4</v>
      </c>
      <c r="J31" s="70"/>
      <c r="K31" s="70"/>
      <c r="L31" s="70"/>
      <c r="M31" s="70"/>
      <c r="N31" s="70"/>
      <c r="BH31">
        <f t="shared" si="0"/>
        <v>4</v>
      </c>
      <c r="BI31" s="351">
        <f t="shared" si="1"/>
        <v>3.1201248049921998E-3</v>
      </c>
    </row>
    <row r="32" spans="1:61">
      <c r="A32" s="165">
        <f>'Conveyor Downtime (new)'!A30</f>
        <v>46043</v>
      </c>
      <c r="B32" s="346"/>
      <c r="C32" s="346"/>
      <c r="D32" s="346"/>
      <c r="E32" s="346"/>
      <c r="F32" s="346"/>
      <c r="G32" s="346"/>
      <c r="H32" s="346">
        <f>1+1</f>
        <v>2</v>
      </c>
      <c r="I32" s="346"/>
      <c r="J32" s="346"/>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s="346"/>
      <c r="AW32" s="346"/>
      <c r="AX32" s="346"/>
      <c r="AY32" s="346"/>
      <c r="AZ32" s="346"/>
      <c r="BA32" s="346"/>
      <c r="BB32" s="346"/>
      <c r="BC32" s="346"/>
      <c r="BD32" s="346"/>
      <c r="BE32" s="346"/>
      <c r="BF32" s="346"/>
      <c r="BG32" s="346"/>
      <c r="BH32">
        <f t="shared" si="0"/>
        <v>2</v>
      </c>
      <c r="BI32" s="351">
        <f t="shared" si="1"/>
        <v>1.5600624024960999E-3</v>
      </c>
    </row>
    <row r="33" spans="1:61">
      <c r="A33" s="165">
        <f>'Conveyor Downtime (new)'!A31</f>
        <v>46043</v>
      </c>
      <c r="H33">
        <f>4+2+4+2</f>
        <v>12</v>
      </c>
      <c r="BH33">
        <f t="shared" si="0"/>
        <v>12</v>
      </c>
      <c r="BI33" s="351">
        <f t="shared" si="1"/>
        <v>9.3603744149765994E-3</v>
      </c>
    </row>
    <row r="34" spans="1:61">
      <c r="A34" s="165">
        <f>'Conveyor Downtime (new)'!A32</f>
        <v>46043</v>
      </c>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6"/>
      <c r="AC34" s="346"/>
      <c r="AD34" s="346"/>
      <c r="AE34" s="346"/>
      <c r="AF34" s="346"/>
      <c r="AG34" s="346"/>
      <c r="AH34" s="346"/>
      <c r="AI34" s="346"/>
      <c r="AJ34" s="346"/>
      <c r="AK34" s="346"/>
      <c r="AL34" s="346"/>
      <c r="AM34" s="346"/>
      <c r="AN34" s="346"/>
      <c r="AO34" s="346"/>
      <c r="AP34" s="346"/>
      <c r="AQ34" s="346"/>
      <c r="AR34" s="346"/>
      <c r="AS34" s="346"/>
      <c r="AT34" s="346"/>
      <c r="AU34" s="346"/>
      <c r="AV34" s="346"/>
      <c r="AW34" s="346"/>
      <c r="AX34" s="346"/>
      <c r="AY34" s="346"/>
      <c r="AZ34" s="346"/>
      <c r="BA34" s="346"/>
      <c r="BB34" s="346"/>
      <c r="BC34" s="346"/>
      <c r="BD34" s="346"/>
      <c r="BE34" s="346"/>
      <c r="BF34" s="346"/>
      <c r="BG34" s="346"/>
      <c r="BH34">
        <f t="shared" si="0"/>
        <v>0</v>
      </c>
      <c r="BI34" s="351">
        <f t="shared" si="1"/>
        <v>0</v>
      </c>
    </row>
    <row r="35" spans="1:61">
      <c r="A35" s="165">
        <f>'Conveyor Downtime (new)'!A33</f>
        <v>46044</v>
      </c>
      <c r="BH35">
        <f t="shared" si="0"/>
        <v>0</v>
      </c>
      <c r="BI35" s="351">
        <f t="shared" si="1"/>
        <v>0</v>
      </c>
    </row>
    <row r="36" spans="1:61" ht="13.5" customHeight="1">
      <c r="A36" s="165">
        <f>'Conveyor Downtime (new)'!A34</f>
        <v>46045</v>
      </c>
      <c r="B36" s="346"/>
      <c r="C36" s="346"/>
      <c r="D36" s="346"/>
      <c r="E36" s="346"/>
      <c r="F36" s="346"/>
      <c r="G36" s="346"/>
      <c r="H36" s="346"/>
      <c r="I36" s="346"/>
      <c r="J36" s="346"/>
      <c r="K36" s="346"/>
      <c r="L36" s="346"/>
      <c r="M36" s="346"/>
      <c r="N36" s="346"/>
      <c r="O36" s="346"/>
      <c r="P36" s="346"/>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s="346"/>
      <c r="AW36" s="346"/>
      <c r="AX36" s="346"/>
      <c r="AY36" s="346"/>
      <c r="AZ36" s="346"/>
      <c r="BA36" s="346"/>
      <c r="BB36" s="346"/>
      <c r="BC36" s="346"/>
      <c r="BD36" s="346"/>
      <c r="BE36" s="346"/>
      <c r="BF36" s="346"/>
      <c r="BG36" s="346"/>
      <c r="BH36">
        <f t="shared" si="0"/>
        <v>0</v>
      </c>
      <c r="BI36" s="351">
        <f t="shared" si="1"/>
        <v>0</v>
      </c>
    </row>
    <row r="37" spans="1:61">
      <c r="A37" s="165">
        <f>'Conveyor Downtime (new)'!A35</f>
        <v>46045</v>
      </c>
      <c r="H37">
        <f>1+1+6+2</f>
        <v>10</v>
      </c>
      <c r="I37">
        <f>3+7</f>
        <v>10</v>
      </c>
      <c r="BE37">
        <v>25</v>
      </c>
      <c r="BF37">
        <v>2</v>
      </c>
      <c r="BH37">
        <f t="shared" si="0"/>
        <v>47</v>
      </c>
      <c r="BI37" s="351">
        <f t="shared" si="1"/>
        <v>3.6661466458658344E-2</v>
      </c>
    </row>
    <row r="38" spans="1:61">
      <c r="A38" s="165">
        <f>'Conveyor Downtime (new)'!A36</f>
        <v>46045</v>
      </c>
      <c r="B38" s="346"/>
      <c r="C38" s="346"/>
      <c r="D38" s="346"/>
      <c r="E38" s="346"/>
      <c r="F38" s="346"/>
      <c r="G38" s="346"/>
      <c r="H38" s="346">
        <v>7</v>
      </c>
      <c r="I38" s="346"/>
      <c r="J38" s="346"/>
      <c r="K38" s="346"/>
      <c r="L38" s="346"/>
      <c r="M38" s="346"/>
      <c r="N38" s="346"/>
      <c r="O38" s="346"/>
      <c r="P38" s="346"/>
      <c r="Q38" s="346"/>
      <c r="R38" s="346"/>
      <c r="S38" s="346"/>
      <c r="T38" s="346"/>
      <c r="U38" s="346"/>
      <c r="V38" s="346"/>
      <c r="W38" s="346"/>
      <c r="X38" s="346"/>
      <c r="Y38" s="346"/>
      <c r="Z38" s="346"/>
      <c r="AA38" s="346"/>
      <c r="AB38" s="346"/>
      <c r="AC38" s="346"/>
      <c r="AD38" s="346"/>
      <c r="AE38" s="346"/>
      <c r="AF38" s="346"/>
      <c r="AG38" s="346"/>
      <c r="AH38" s="346"/>
      <c r="AI38" s="346"/>
      <c r="AJ38" s="346"/>
      <c r="AK38" s="346"/>
      <c r="AL38" s="346"/>
      <c r="AM38" s="346"/>
      <c r="AN38" s="346"/>
      <c r="AO38" s="346"/>
      <c r="AP38" s="346"/>
      <c r="AQ38" s="346"/>
      <c r="AR38" s="346"/>
      <c r="AS38" s="346"/>
      <c r="AT38" s="346"/>
      <c r="AU38" s="346"/>
      <c r="AV38" s="346"/>
      <c r="AW38" s="346"/>
      <c r="AX38" s="346"/>
      <c r="AY38" s="346"/>
      <c r="AZ38" s="346"/>
      <c r="BA38" s="346"/>
      <c r="BB38" s="346"/>
      <c r="BC38" s="346"/>
      <c r="BD38" s="346"/>
      <c r="BE38" s="346"/>
      <c r="BF38" s="346"/>
      <c r="BG38" s="346"/>
      <c r="BH38">
        <f t="shared" si="0"/>
        <v>7</v>
      </c>
      <c r="BI38" s="351">
        <f t="shared" si="1"/>
        <v>5.4602184087363496E-3</v>
      </c>
    </row>
    <row r="39" spans="1:61">
      <c r="A39" s="165">
        <f>'Conveyor Downtime (new)'!A37</f>
        <v>46045</v>
      </c>
      <c r="BH39">
        <f t="shared" si="0"/>
        <v>0</v>
      </c>
      <c r="BI39" s="351">
        <f t="shared" si="1"/>
        <v>0</v>
      </c>
    </row>
    <row r="40" spans="1:61">
      <c r="A40" s="165">
        <f>'Conveyor Downtime (new)'!A38</f>
        <v>46048</v>
      </c>
      <c r="B40" s="346"/>
      <c r="C40" s="346"/>
      <c r="D40" s="346"/>
      <c r="E40" s="346"/>
      <c r="F40" s="346"/>
      <c r="G40" s="346"/>
      <c r="H40" s="346"/>
      <c r="I40" s="346"/>
      <c r="J40" s="346"/>
      <c r="K40" s="346"/>
      <c r="L40" s="346"/>
      <c r="M40" s="346"/>
      <c r="N40" s="346"/>
      <c r="O40" s="346"/>
      <c r="P40" s="346"/>
      <c r="Q40" s="346"/>
      <c r="R40" s="346"/>
      <c r="S40" s="346"/>
      <c r="T40" s="346"/>
      <c r="U40" s="346"/>
      <c r="V40" s="346"/>
      <c r="W40" s="346"/>
      <c r="X40" s="346"/>
      <c r="Y40" s="346"/>
      <c r="Z40" s="346"/>
      <c r="AA40" s="346"/>
      <c r="AB40" s="346"/>
      <c r="AC40" s="346"/>
      <c r="AD40" s="346"/>
      <c r="AE40" s="346"/>
      <c r="AF40" s="346"/>
      <c r="AG40" s="346"/>
      <c r="AH40" s="346"/>
      <c r="AI40" s="346"/>
      <c r="AJ40" s="346"/>
      <c r="AK40" s="346"/>
      <c r="AL40" s="346"/>
      <c r="AM40" s="346"/>
      <c r="AN40" s="346"/>
      <c r="AO40" s="346"/>
      <c r="AP40" s="346"/>
      <c r="AQ40" s="346"/>
      <c r="AR40" s="346"/>
      <c r="AS40" s="346"/>
      <c r="AT40" s="346"/>
      <c r="AU40" s="346"/>
      <c r="AV40" s="346"/>
      <c r="AW40" s="346"/>
      <c r="AX40" s="346"/>
      <c r="AY40" s="346"/>
      <c r="AZ40" s="346"/>
      <c r="BA40" s="346"/>
      <c r="BB40" s="346"/>
      <c r="BC40" s="346"/>
      <c r="BD40" s="346"/>
      <c r="BE40" s="346"/>
      <c r="BF40" s="346"/>
      <c r="BG40" s="346"/>
      <c r="BH40">
        <f t="shared" ref="BH40:BH65" si="2">SUM(B40:BG40)</f>
        <v>0</v>
      </c>
      <c r="BI40" s="351">
        <f t="shared" si="1"/>
        <v>0</v>
      </c>
    </row>
    <row r="41" spans="1:61">
      <c r="A41" s="165">
        <f>'Conveyor Downtime (new)'!A39</f>
        <v>46048</v>
      </c>
      <c r="I41">
        <f>2+6</f>
        <v>8</v>
      </c>
      <c r="AS41">
        <f>15-18+60+55</f>
        <v>112</v>
      </c>
      <c r="BH41">
        <f t="shared" si="2"/>
        <v>120</v>
      </c>
      <c r="BI41" s="351">
        <f t="shared" si="1"/>
        <v>9.3603744149765994E-2</v>
      </c>
    </row>
    <row r="42" spans="1:61">
      <c r="A42" s="165">
        <f>'Conveyor Downtime (new)'!A40</f>
        <v>46049</v>
      </c>
      <c r="B42" s="346"/>
      <c r="C42" s="346"/>
      <c r="D42" s="346"/>
      <c r="E42" s="346"/>
      <c r="F42" s="346"/>
      <c r="G42" s="346"/>
      <c r="H42" s="346">
        <f>3+3+2+3+3+17+4+5+4+2+3+3</f>
        <v>52</v>
      </c>
      <c r="I42" s="346">
        <f>2+5+3+5+3+6</f>
        <v>24</v>
      </c>
      <c r="J42" s="346"/>
      <c r="K42" s="346"/>
      <c r="L42" s="346"/>
      <c r="M42" s="346"/>
      <c r="N42" s="346"/>
      <c r="O42" s="346"/>
      <c r="P42" s="346"/>
      <c r="Q42" s="346"/>
      <c r="R42" s="346"/>
      <c r="S42" s="346"/>
      <c r="T42" s="346"/>
      <c r="U42" s="346"/>
      <c r="V42" s="346"/>
      <c r="W42" s="346"/>
      <c r="X42" s="346"/>
      <c r="Y42" s="346"/>
      <c r="Z42" s="346"/>
      <c r="AA42" s="346"/>
      <c r="AB42" s="346"/>
      <c r="AC42" s="346"/>
      <c r="AD42" s="346"/>
      <c r="AE42" s="346"/>
      <c r="AF42" s="346"/>
      <c r="AG42" s="346"/>
      <c r="AH42" s="346"/>
      <c r="AI42" s="346"/>
      <c r="AJ42" s="346"/>
      <c r="AK42" s="346"/>
      <c r="AL42" s="346"/>
      <c r="AM42" s="346"/>
      <c r="AN42" s="346"/>
      <c r="AO42" s="346"/>
      <c r="AP42" s="346"/>
      <c r="AQ42" s="346"/>
      <c r="AR42" s="346"/>
      <c r="AS42" s="346"/>
      <c r="AT42" s="346"/>
      <c r="AU42" s="346"/>
      <c r="AV42" s="346"/>
      <c r="AW42" s="346"/>
      <c r="AX42" s="346"/>
      <c r="AY42" s="346"/>
      <c r="AZ42" s="346"/>
      <c r="BA42" s="346"/>
      <c r="BB42" s="346"/>
      <c r="BC42" s="346"/>
      <c r="BD42" s="346"/>
      <c r="BE42" s="346"/>
      <c r="BF42" s="346">
        <f>4+4</f>
        <v>8</v>
      </c>
      <c r="BG42" s="346"/>
      <c r="BH42">
        <f t="shared" si="2"/>
        <v>84</v>
      </c>
      <c r="BI42" s="351">
        <f t="shared" si="1"/>
        <v>6.5522620904836196E-2</v>
      </c>
    </row>
    <row r="43" spans="1:61">
      <c r="A43" s="165">
        <f>'Conveyor Downtime (new)'!A41</f>
        <v>46049</v>
      </c>
      <c r="H43">
        <f>3</f>
        <v>3</v>
      </c>
      <c r="BH43">
        <f t="shared" si="2"/>
        <v>3</v>
      </c>
      <c r="BI43" s="351">
        <f t="shared" si="1"/>
        <v>2.3400936037441498E-3</v>
      </c>
    </row>
    <row r="44" spans="1:61">
      <c r="A44" s="165">
        <f>'Conveyor Downtime (new)'!A42</f>
        <v>46050</v>
      </c>
      <c r="B44" s="346"/>
      <c r="C44" s="346"/>
      <c r="D44" s="346"/>
      <c r="E44" s="346"/>
      <c r="F44" s="346"/>
      <c r="G44" s="346"/>
      <c r="H44" s="346"/>
      <c r="I44" s="346"/>
      <c r="J44" s="346"/>
      <c r="K44" s="346"/>
      <c r="L44" s="346"/>
      <c r="M44" s="346"/>
      <c r="N44" s="346"/>
      <c r="O44" s="346"/>
      <c r="P44" s="346"/>
      <c r="Q44" s="346"/>
      <c r="R44" s="346"/>
      <c r="S44" s="346"/>
      <c r="T44" s="346"/>
      <c r="U44" s="346"/>
      <c r="V44" s="346"/>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s="346"/>
      <c r="AW44" s="346"/>
      <c r="AX44" s="346"/>
      <c r="AY44" s="346"/>
      <c r="AZ44" s="346"/>
      <c r="BA44" s="346"/>
      <c r="BB44" s="346"/>
      <c r="BC44" s="346"/>
      <c r="BD44" s="346"/>
      <c r="BE44" s="346"/>
      <c r="BF44" s="346">
        <f>7</f>
        <v>7</v>
      </c>
      <c r="BG44" s="346"/>
      <c r="BH44">
        <f t="shared" si="2"/>
        <v>7</v>
      </c>
      <c r="BI44" s="351">
        <f t="shared" si="1"/>
        <v>5.4602184087363496E-3</v>
      </c>
    </row>
    <row r="45" spans="1:61" ht="12" customHeight="1">
      <c r="A45" s="165">
        <f>'Conveyor Downtime (new)'!A43</f>
        <v>46050</v>
      </c>
      <c r="H45">
        <f>5+5+5</f>
        <v>15</v>
      </c>
      <c r="BF45">
        <f>5</f>
        <v>5</v>
      </c>
      <c r="BH45">
        <f t="shared" si="2"/>
        <v>20</v>
      </c>
      <c r="BI45" s="351">
        <f t="shared" si="1"/>
        <v>1.5600624024960999E-2</v>
      </c>
    </row>
    <row r="46" spans="1:61">
      <c r="A46" s="165">
        <f>'Conveyor Downtime (new)'!A44</f>
        <v>46050</v>
      </c>
      <c r="B46" s="346"/>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s="346"/>
      <c r="AW46" s="346"/>
      <c r="AX46" s="346"/>
      <c r="AY46" s="346"/>
      <c r="AZ46" s="346"/>
      <c r="BA46" s="346"/>
      <c r="BB46" s="346"/>
      <c r="BC46" s="346"/>
      <c r="BD46" s="346"/>
      <c r="BE46" s="346"/>
      <c r="BF46" s="346"/>
      <c r="BG46" s="346"/>
      <c r="BH46">
        <f t="shared" si="2"/>
        <v>0</v>
      </c>
      <c r="BI46" s="351">
        <f t="shared" si="1"/>
        <v>0</v>
      </c>
    </row>
    <row r="47" spans="1:61">
      <c r="A47" s="165">
        <f>'Conveyor Downtime (new)'!A45</f>
        <v>46051</v>
      </c>
      <c r="AM47">
        <v>8</v>
      </c>
      <c r="BF47">
        <v>5</v>
      </c>
      <c r="BH47">
        <f t="shared" si="2"/>
        <v>13</v>
      </c>
      <c r="BI47" s="351">
        <f t="shared" si="1"/>
        <v>1.0140405616224649E-2</v>
      </c>
    </row>
    <row r="48" spans="1:61">
      <c r="A48" s="165">
        <f>'Conveyor Downtime (new)'!A46</f>
        <v>46051</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346"/>
      <c r="AH48" s="346"/>
      <c r="AI48" s="346"/>
      <c r="AJ48" s="346"/>
      <c r="AK48" s="346"/>
      <c r="AL48" s="346"/>
      <c r="AM48" s="346"/>
      <c r="AN48" s="346"/>
      <c r="AO48" s="346"/>
      <c r="AP48" s="346"/>
      <c r="AQ48" s="346"/>
      <c r="AR48" s="346"/>
      <c r="AS48" s="346"/>
      <c r="AT48" s="346"/>
      <c r="AU48" s="346"/>
      <c r="AV48" s="346"/>
      <c r="AW48" s="346"/>
      <c r="AX48" s="346"/>
      <c r="AY48" s="346"/>
      <c r="AZ48" s="346"/>
      <c r="BA48" s="346"/>
      <c r="BB48" s="346"/>
      <c r="BC48" s="346"/>
      <c r="BD48" s="346"/>
      <c r="BE48" s="346"/>
      <c r="BF48" s="346"/>
      <c r="BG48" s="346"/>
      <c r="BH48">
        <f t="shared" si="2"/>
        <v>0</v>
      </c>
      <c r="BI48" s="351">
        <f t="shared" si="1"/>
        <v>0</v>
      </c>
    </row>
    <row r="49" spans="1:61">
      <c r="A49" s="165">
        <f>'Conveyor Downtime (new)'!A47</f>
        <v>46051</v>
      </c>
      <c r="H49">
        <f>3+4</f>
        <v>7</v>
      </c>
      <c r="I49">
        <f>4+2</f>
        <v>6</v>
      </c>
      <c r="P49">
        <f>10</f>
        <v>10</v>
      </c>
      <c r="BF49">
        <f>4+3</f>
        <v>7</v>
      </c>
      <c r="BH49">
        <f t="shared" si="2"/>
        <v>30</v>
      </c>
      <c r="BI49" s="351">
        <f t="shared" si="1"/>
        <v>2.3400936037441498E-2</v>
      </c>
    </row>
    <row r="50" spans="1:61" ht="13.5" customHeight="1">
      <c r="A50" s="165">
        <f>'Conveyor Downtime (new)'!A48</f>
        <v>46051</v>
      </c>
      <c r="B50" s="346"/>
      <c r="C50" s="346"/>
      <c r="D50" s="346"/>
      <c r="E50" s="346"/>
      <c r="F50" s="346"/>
      <c r="G50" s="346"/>
      <c r="H50" s="346">
        <f>3</f>
        <v>3</v>
      </c>
      <c r="I50" s="346"/>
      <c r="J50" s="346"/>
      <c r="K50" s="346"/>
      <c r="L50" s="346"/>
      <c r="M50" s="346"/>
      <c r="N50" s="346"/>
      <c r="O50" s="346"/>
      <c r="P50" s="346">
        <v>35</v>
      </c>
      <c r="Q50" s="346"/>
      <c r="R50" s="346"/>
      <c r="S50" s="346"/>
      <c r="T50" s="346"/>
      <c r="U50" s="346"/>
      <c r="V50" s="346"/>
      <c r="W50" s="346"/>
      <c r="X50" s="346"/>
      <c r="Y50" s="346"/>
      <c r="Z50" s="346"/>
      <c r="AA50" s="346"/>
      <c r="AB50" s="346"/>
      <c r="AC50" s="346"/>
      <c r="AD50" s="346"/>
      <c r="AE50" s="346"/>
      <c r="AF50" s="346"/>
      <c r="AG50" s="346"/>
      <c r="AH50" s="346"/>
      <c r="AI50" s="346"/>
      <c r="AJ50" s="346"/>
      <c r="AK50" s="346"/>
      <c r="AL50" s="346"/>
      <c r="AM50" s="346"/>
      <c r="AN50" s="346"/>
      <c r="AO50" s="346"/>
      <c r="AP50" s="346"/>
      <c r="AQ50" s="346"/>
      <c r="AR50" s="346"/>
      <c r="AS50" s="346"/>
      <c r="AT50" s="346"/>
      <c r="AU50" s="346"/>
      <c r="AV50" s="346"/>
      <c r="AW50" s="346"/>
      <c r="AX50" s="346"/>
      <c r="AY50" s="346"/>
      <c r="AZ50" s="346"/>
      <c r="BA50" s="346"/>
      <c r="BB50" s="346"/>
      <c r="BC50" s="346"/>
      <c r="BD50" s="346"/>
      <c r="BE50" s="346"/>
      <c r="BF50" s="346"/>
      <c r="BG50" s="346"/>
      <c r="BH50">
        <f t="shared" si="2"/>
        <v>38</v>
      </c>
      <c r="BI50" s="351">
        <f t="shared" si="1"/>
        <v>2.9641185647425898E-2</v>
      </c>
    </row>
    <row r="51" spans="1:61">
      <c r="A51" s="165">
        <f>'Conveyor Downtime (new)'!A49</f>
        <v>46052</v>
      </c>
      <c r="H51">
        <v>3</v>
      </c>
      <c r="BH51">
        <f t="shared" si="2"/>
        <v>3</v>
      </c>
      <c r="BI51" s="351">
        <f t="shared" si="1"/>
        <v>2.3400936037441498E-3</v>
      </c>
    </row>
    <row r="52" spans="1:61">
      <c r="A52" s="165">
        <f>'Conveyor Downtime (new)'!A50</f>
        <v>46052</v>
      </c>
      <c r="B52" s="346"/>
      <c r="C52" s="346"/>
      <c r="D52" s="346"/>
      <c r="E52" s="346"/>
      <c r="F52" s="346"/>
      <c r="G52" s="346"/>
      <c r="H52" s="346">
        <f>4+4+4+9</f>
        <v>21</v>
      </c>
      <c r="I52" s="346">
        <f>5+6+3+4+10</f>
        <v>28</v>
      </c>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6"/>
      <c r="AG52" s="346"/>
      <c r="AH52" s="346"/>
      <c r="AI52" s="346"/>
      <c r="AJ52" s="346"/>
      <c r="AK52" s="346"/>
      <c r="AL52" s="346"/>
      <c r="AM52" s="346"/>
      <c r="AN52" s="346"/>
      <c r="AO52" s="346"/>
      <c r="AP52" s="346"/>
      <c r="AQ52" s="346"/>
      <c r="AR52" s="346"/>
      <c r="AS52" s="346"/>
      <c r="AT52" s="346"/>
      <c r="AU52" s="346"/>
      <c r="AV52" s="346"/>
      <c r="AW52" s="346"/>
      <c r="AX52" s="346"/>
      <c r="AY52" s="346"/>
      <c r="AZ52" s="346"/>
      <c r="BA52" s="346"/>
      <c r="BB52" s="346"/>
      <c r="BC52" s="346"/>
      <c r="BD52" s="346"/>
      <c r="BE52" s="346"/>
      <c r="BF52" s="346">
        <f>6+4</f>
        <v>10</v>
      </c>
      <c r="BG52" s="346"/>
      <c r="BH52">
        <f t="shared" si="2"/>
        <v>59</v>
      </c>
      <c r="BI52" s="351">
        <f t="shared" si="1"/>
        <v>4.6021840873634944E-2</v>
      </c>
    </row>
    <row r="53" spans="1:61">
      <c r="A53" s="165">
        <f>'Conveyor Downtime (new)'!A51</f>
        <v>0</v>
      </c>
      <c r="BH53">
        <f t="shared" si="2"/>
        <v>0</v>
      </c>
      <c r="BI53" s="351">
        <f t="shared" si="1"/>
        <v>0</v>
      </c>
    </row>
    <row r="54" spans="1:61">
      <c r="A54" s="165">
        <f>'Conveyor Downtime (new)'!A52</f>
        <v>0</v>
      </c>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346"/>
      <c r="BA54" s="346"/>
      <c r="BB54" s="346"/>
      <c r="BC54" s="346"/>
      <c r="BD54" s="346"/>
      <c r="BE54" s="346"/>
      <c r="BF54" s="346"/>
      <c r="BG54" s="346"/>
      <c r="BH54">
        <f t="shared" si="2"/>
        <v>0</v>
      </c>
      <c r="BI54" s="351">
        <f t="shared" ref="BI54:BI65" si="3">BH54/$BH$66</f>
        <v>0</v>
      </c>
    </row>
    <row r="55" spans="1:61">
      <c r="A55" s="165">
        <f>'Conveyor Downtime (new)'!A53</f>
        <v>0</v>
      </c>
      <c r="BH55">
        <f t="shared" si="2"/>
        <v>0</v>
      </c>
      <c r="BI55" s="351">
        <f t="shared" si="3"/>
        <v>0</v>
      </c>
    </row>
    <row r="56" spans="1:61">
      <c r="A56" s="165">
        <f>'Conveyor Downtime (new)'!A54</f>
        <v>0</v>
      </c>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346"/>
      <c r="AC56" s="346"/>
      <c r="AD56" s="346"/>
      <c r="AE56" s="346"/>
      <c r="AF56" s="346"/>
      <c r="AG56" s="346"/>
      <c r="AH56" s="346"/>
      <c r="AI56" s="346"/>
      <c r="AJ56" s="346"/>
      <c r="AK56" s="346"/>
      <c r="AL56" s="346"/>
      <c r="AM56" s="346"/>
      <c r="AN56" s="346"/>
      <c r="AO56" s="346"/>
      <c r="AP56" s="346"/>
      <c r="AQ56" s="346"/>
      <c r="AR56" s="346"/>
      <c r="AS56" s="346"/>
      <c r="AT56" s="346"/>
      <c r="AU56" s="346"/>
      <c r="AV56" s="346"/>
      <c r="AW56" s="346"/>
      <c r="AX56" s="346"/>
      <c r="AY56" s="346"/>
      <c r="AZ56" s="346"/>
      <c r="BA56" s="346"/>
      <c r="BB56" s="346"/>
      <c r="BC56" s="346"/>
      <c r="BD56" s="346"/>
      <c r="BE56" s="346"/>
      <c r="BF56" s="346"/>
      <c r="BG56" s="346"/>
      <c r="BH56">
        <f t="shared" si="2"/>
        <v>0</v>
      </c>
      <c r="BI56" s="351">
        <f t="shared" si="3"/>
        <v>0</v>
      </c>
    </row>
    <row r="57" spans="1:61">
      <c r="A57" s="165">
        <f>'Conveyor Downtime (new)'!A55</f>
        <v>0</v>
      </c>
      <c r="BH57">
        <f t="shared" si="2"/>
        <v>0</v>
      </c>
      <c r="BI57" s="351">
        <f t="shared" si="3"/>
        <v>0</v>
      </c>
    </row>
    <row r="58" spans="1:61">
      <c r="A58" s="165">
        <f>'Conveyor Downtime (new)'!A56</f>
        <v>0</v>
      </c>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s="346"/>
      <c r="AH58" s="346"/>
      <c r="AI58" s="346"/>
      <c r="AJ58" s="346"/>
      <c r="AK58" s="346"/>
      <c r="AL58" s="346"/>
      <c r="AM58" s="346"/>
      <c r="AN58" s="346"/>
      <c r="AO58" s="346"/>
      <c r="AP58" s="346"/>
      <c r="AQ58" s="346"/>
      <c r="AR58" s="346"/>
      <c r="AS58" s="346"/>
      <c r="AT58" s="346"/>
      <c r="AU58" s="346"/>
      <c r="AV58" s="346"/>
      <c r="AW58" s="346"/>
      <c r="AX58" s="346"/>
      <c r="AY58" s="346"/>
      <c r="AZ58" s="346"/>
      <c r="BA58" s="346"/>
      <c r="BB58" s="346"/>
      <c r="BC58" s="346"/>
      <c r="BD58" s="346"/>
      <c r="BE58" s="346"/>
      <c r="BF58" s="346"/>
      <c r="BG58" s="346"/>
      <c r="BH58">
        <f t="shared" si="2"/>
        <v>0</v>
      </c>
      <c r="BI58" s="351">
        <f t="shared" si="3"/>
        <v>0</v>
      </c>
    </row>
    <row r="59" spans="1:61">
      <c r="A59" s="165">
        <f>'Conveyor Downtime (new)'!A57</f>
        <v>0</v>
      </c>
      <c r="BH59">
        <f t="shared" si="2"/>
        <v>0</v>
      </c>
      <c r="BI59" s="351">
        <f t="shared" si="3"/>
        <v>0</v>
      </c>
    </row>
    <row r="60" spans="1:61">
      <c r="A60" s="165">
        <f>'Conveyor Downtime (new)'!A58</f>
        <v>0</v>
      </c>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s="346"/>
      <c r="AW60" s="346"/>
      <c r="AX60" s="346"/>
      <c r="AY60" s="346"/>
      <c r="AZ60" s="346"/>
      <c r="BA60" s="346"/>
      <c r="BB60" s="346"/>
      <c r="BC60" s="346"/>
      <c r="BD60" s="346"/>
      <c r="BE60" s="346"/>
      <c r="BF60" s="346"/>
      <c r="BG60" s="346"/>
      <c r="BH60">
        <f t="shared" si="2"/>
        <v>0</v>
      </c>
      <c r="BI60" s="351">
        <f t="shared" si="3"/>
        <v>0</v>
      </c>
    </row>
    <row r="61" spans="1:61">
      <c r="A61" s="165">
        <f>'Conveyor Downtime (new)'!A59</f>
        <v>0</v>
      </c>
      <c r="BH61">
        <f t="shared" si="2"/>
        <v>0</v>
      </c>
      <c r="BI61" s="351">
        <f t="shared" si="3"/>
        <v>0</v>
      </c>
    </row>
    <row r="62" spans="1:61">
      <c r="A62" s="165"/>
      <c r="B62" s="346"/>
      <c r="C62" s="346"/>
      <c r="D62" s="346"/>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c r="AC62" s="346"/>
      <c r="AD62" s="346"/>
      <c r="AE62" s="346"/>
      <c r="AF62" s="346"/>
      <c r="AG62" s="346"/>
      <c r="AH62" s="346"/>
      <c r="AI62" s="346"/>
      <c r="AJ62" s="346"/>
      <c r="AK62" s="346"/>
      <c r="AL62" s="346"/>
      <c r="AM62" s="346"/>
      <c r="AN62" s="346"/>
      <c r="AO62" s="346"/>
      <c r="AP62" s="346"/>
      <c r="AQ62" s="346"/>
      <c r="AR62" s="346"/>
      <c r="AS62" s="346"/>
      <c r="AT62" s="346"/>
      <c r="AU62" s="346"/>
      <c r="AV62" s="346"/>
      <c r="AW62" s="346"/>
      <c r="AX62" s="346"/>
      <c r="AY62" s="346"/>
      <c r="AZ62" s="346"/>
      <c r="BA62" s="346"/>
      <c r="BB62" s="346"/>
      <c r="BC62" s="346"/>
      <c r="BD62" s="346"/>
      <c r="BE62" s="346"/>
      <c r="BF62" s="346"/>
      <c r="BG62" s="346"/>
      <c r="BH62">
        <f t="shared" si="2"/>
        <v>0</v>
      </c>
      <c r="BI62" s="351">
        <f t="shared" si="3"/>
        <v>0</v>
      </c>
    </row>
    <row r="63" spans="1:61">
      <c r="A63" s="165"/>
      <c r="BH63">
        <f t="shared" si="2"/>
        <v>0</v>
      </c>
      <c r="BI63" s="351">
        <f t="shared" si="3"/>
        <v>0</v>
      </c>
    </row>
    <row r="64" spans="1:61">
      <c r="A64" s="165"/>
      <c r="B64" s="346"/>
      <c r="C64" s="346"/>
      <c r="D64" s="346"/>
      <c r="E64" s="346"/>
      <c r="F64" s="346"/>
      <c r="G64" s="346"/>
      <c r="H64" s="346"/>
      <c r="I64" s="346"/>
      <c r="J64" s="346"/>
      <c r="K64" s="346"/>
      <c r="L64" s="346"/>
      <c r="M64" s="346"/>
      <c r="N64" s="346"/>
      <c r="O64" s="346"/>
      <c r="P64" s="346"/>
      <c r="Q64" s="346"/>
      <c r="R64" s="346"/>
      <c r="S64" s="346"/>
      <c r="T64" s="346"/>
      <c r="U64" s="346"/>
      <c r="V64" s="346"/>
      <c r="W64" s="346"/>
      <c r="X64" s="346"/>
      <c r="Y64" s="346"/>
      <c r="Z64" s="346"/>
      <c r="AA64" s="346"/>
      <c r="AB64" s="346"/>
      <c r="AC64" s="346"/>
      <c r="AD64" s="346"/>
      <c r="AE64" s="346"/>
      <c r="AF64" s="346"/>
      <c r="AG64" s="346"/>
      <c r="AH64" s="346"/>
      <c r="AI64" s="346"/>
      <c r="AJ64" s="346"/>
      <c r="AK64" s="346"/>
      <c r="AL64" s="346"/>
      <c r="AM64" s="346"/>
      <c r="AN64" s="346"/>
      <c r="AO64" s="346"/>
      <c r="AP64" s="346"/>
      <c r="AQ64" s="346"/>
      <c r="AR64" s="346"/>
      <c r="AS64" s="346"/>
      <c r="AT64" s="346"/>
      <c r="AU64" s="346"/>
      <c r="AV64" s="346"/>
      <c r="AW64" s="346"/>
      <c r="AX64" s="346"/>
      <c r="AY64" s="346"/>
      <c r="AZ64" s="346"/>
      <c r="BA64" s="346"/>
      <c r="BB64" s="346"/>
      <c r="BC64" s="346"/>
      <c r="BD64" s="346"/>
      <c r="BE64" s="346"/>
      <c r="BF64" s="346"/>
      <c r="BG64" s="346"/>
      <c r="BH64">
        <f t="shared" si="2"/>
        <v>0</v>
      </c>
      <c r="BI64" s="351">
        <f t="shared" si="3"/>
        <v>0</v>
      </c>
    </row>
    <row r="65" spans="1:61">
      <c r="A65" s="165"/>
      <c r="BH65">
        <f t="shared" si="2"/>
        <v>0</v>
      </c>
      <c r="BI65" s="351">
        <f t="shared" si="3"/>
        <v>0</v>
      </c>
    </row>
    <row r="66" spans="1:61" ht="15">
      <c r="A66" s="347" t="s">
        <v>173</v>
      </c>
      <c r="B66" s="347">
        <f>SUM(B8:B65)</f>
        <v>0</v>
      </c>
      <c r="C66" s="347">
        <f t="shared" ref="C66:BG66" si="4">SUM(C8:C65)</f>
        <v>0</v>
      </c>
      <c r="D66" s="347">
        <f t="shared" si="4"/>
        <v>0</v>
      </c>
      <c r="E66" s="347">
        <f t="shared" si="4"/>
        <v>0</v>
      </c>
      <c r="F66" s="347">
        <f t="shared" si="4"/>
        <v>0</v>
      </c>
      <c r="G66" s="347">
        <f t="shared" si="4"/>
        <v>5</v>
      </c>
      <c r="H66" s="347">
        <f t="shared" si="4"/>
        <v>487</v>
      </c>
      <c r="I66" s="347">
        <f t="shared" si="4"/>
        <v>290</v>
      </c>
      <c r="J66" s="347">
        <f t="shared" si="4"/>
        <v>0</v>
      </c>
      <c r="K66" s="347">
        <f t="shared" si="4"/>
        <v>0</v>
      </c>
      <c r="L66" s="347">
        <f t="shared" si="4"/>
        <v>0</v>
      </c>
      <c r="M66" s="347">
        <f t="shared" si="4"/>
        <v>0</v>
      </c>
      <c r="N66" s="347">
        <f t="shared" si="4"/>
        <v>0</v>
      </c>
      <c r="O66" s="347">
        <f t="shared" si="4"/>
        <v>0</v>
      </c>
      <c r="P66" s="347">
        <f t="shared" si="4"/>
        <v>45</v>
      </c>
      <c r="Q66" s="347">
        <f t="shared" si="4"/>
        <v>0</v>
      </c>
      <c r="R66" s="347">
        <f t="shared" si="4"/>
        <v>0</v>
      </c>
      <c r="S66" s="347">
        <f t="shared" si="4"/>
        <v>0</v>
      </c>
      <c r="T66" s="347">
        <f t="shared" si="4"/>
        <v>0</v>
      </c>
      <c r="U66" s="347">
        <f t="shared" si="4"/>
        <v>0</v>
      </c>
      <c r="V66" s="347">
        <f t="shared" si="4"/>
        <v>0</v>
      </c>
      <c r="W66" s="347">
        <f t="shared" si="4"/>
        <v>0</v>
      </c>
      <c r="X66" s="347">
        <f t="shared" si="4"/>
        <v>0</v>
      </c>
      <c r="Y66" s="347">
        <f t="shared" si="4"/>
        <v>0</v>
      </c>
      <c r="Z66" s="347">
        <f t="shared" si="4"/>
        <v>0</v>
      </c>
      <c r="AA66" s="347">
        <f t="shared" si="4"/>
        <v>0</v>
      </c>
      <c r="AB66" s="347">
        <f t="shared" si="4"/>
        <v>0</v>
      </c>
      <c r="AC66" s="347">
        <f t="shared" si="4"/>
        <v>0</v>
      </c>
      <c r="AD66" s="347">
        <f t="shared" si="4"/>
        <v>0</v>
      </c>
      <c r="AE66" s="347">
        <f t="shared" si="4"/>
        <v>0</v>
      </c>
      <c r="AF66" s="347">
        <f t="shared" si="4"/>
        <v>0</v>
      </c>
      <c r="AG66" s="347">
        <f t="shared" si="4"/>
        <v>0</v>
      </c>
      <c r="AH66" s="347">
        <f t="shared" si="4"/>
        <v>0</v>
      </c>
      <c r="AI66" s="347">
        <f t="shared" si="4"/>
        <v>0</v>
      </c>
      <c r="AJ66" s="347">
        <f t="shared" si="4"/>
        <v>0</v>
      </c>
      <c r="AK66" s="347">
        <f t="shared" si="4"/>
        <v>0</v>
      </c>
      <c r="AL66" s="347">
        <f t="shared" si="4"/>
        <v>0</v>
      </c>
      <c r="AM66" s="347">
        <f t="shared" si="4"/>
        <v>8</v>
      </c>
      <c r="AN66" s="347">
        <f t="shared" si="4"/>
        <v>0</v>
      </c>
      <c r="AO66" s="347">
        <f t="shared" si="4"/>
        <v>0</v>
      </c>
      <c r="AP66" s="347">
        <f t="shared" si="4"/>
        <v>0</v>
      </c>
      <c r="AQ66" s="347">
        <f t="shared" si="4"/>
        <v>60</v>
      </c>
      <c r="AR66" s="347">
        <f t="shared" si="4"/>
        <v>0</v>
      </c>
      <c r="AS66" s="347">
        <f t="shared" si="4"/>
        <v>112</v>
      </c>
      <c r="AT66" s="347">
        <f t="shared" si="4"/>
        <v>0</v>
      </c>
      <c r="AU66" s="347">
        <f t="shared" si="4"/>
        <v>0</v>
      </c>
      <c r="AV66" s="347">
        <f t="shared" si="4"/>
        <v>0</v>
      </c>
      <c r="AW66" s="347">
        <f t="shared" si="4"/>
        <v>0</v>
      </c>
      <c r="AX66" s="347">
        <f t="shared" si="4"/>
        <v>0</v>
      </c>
      <c r="AY66" s="347">
        <f t="shared" si="4"/>
        <v>0</v>
      </c>
      <c r="AZ66" s="347">
        <f t="shared" si="4"/>
        <v>0</v>
      </c>
      <c r="BA66" s="347">
        <f t="shared" si="4"/>
        <v>0</v>
      </c>
      <c r="BB66" s="347">
        <f t="shared" si="4"/>
        <v>0</v>
      </c>
      <c r="BC66" s="347">
        <f t="shared" si="4"/>
        <v>0</v>
      </c>
      <c r="BD66" s="347">
        <f t="shared" si="4"/>
        <v>0</v>
      </c>
      <c r="BE66" s="347">
        <f t="shared" si="4"/>
        <v>25</v>
      </c>
      <c r="BF66" s="347">
        <f t="shared" si="4"/>
        <v>214</v>
      </c>
      <c r="BG66" s="347">
        <f t="shared" si="4"/>
        <v>36</v>
      </c>
      <c r="BH66" s="347">
        <f>SUM(BH8:BH65)</f>
        <v>1282</v>
      </c>
    </row>
    <row r="67" spans="1:61" ht="15.75" thickBot="1">
      <c r="A67" s="348" t="s">
        <v>174</v>
      </c>
      <c r="B67" s="348">
        <f>B66/$BH66</f>
        <v>0</v>
      </c>
      <c r="C67" s="348">
        <f t="shared" ref="C67:BG67" si="5">C66/$BH66</f>
        <v>0</v>
      </c>
      <c r="D67" s="348">
        <f t="shared" si="5"/>
        <v>0</v>
      </c>
      <c r="E67" s="348">
        <f t="shared" si="5"/>
        <v>0</v>
      </c>
      <c r="F67" s="348">
        <f t="shared" si="5"/>
        <v>0</v>
      </c>
      <c r="G67" s="348">
        <f t="shared" si="5"/>
        <v>3.9001560062402497E-3</v>
      </c>
      <c r="H67" s="348">
        <f t="shared" si="5"/>
        <v>0.37987519500780031</v>
      </c>
      <c r="I67" s="348">
        <f t="shared" si="5"/>
        <v>0.22620904836193448</v>
      </c>
      <c r="J67" s="348">
        <f t="shared" si="5"/>
        <v>0</v>
      </c>
      <c r="K67" s="348">
        <f t="shared" si="5"/>
        <v>0</v>
      </c>
      <c r="L67" s="348">
        <f t="shared" si="5"/>
        <v>0</v>
      </c>
      <c r="M67" s="348">
        <f t="shared" si="5"/>
        <v>0</v>
      </c>
      <c r="N67" s="348">
        <f t="shared" si="5"/>
        <v>0</v>
      </c>
      <c r="O67" s="348">
        <f t="shared" si="5"/>
        <v>0</v>
      </c>
      <c r="P67" s="348">
        <f t="shared" si="5"/>
        <v>3.5101404056162244E-2</v>
      </c>
      <c r="Q67" s="348">
        <f t="shared" si="5"/>
        <v>0</v>
      </c>
      <c r="R67" s="348">
        <f t="shared" si="5"/>
        <v>0</v>
      </c>
      <c r="S67" s="348">
        <f t="shared" si="5"/>
        <v>0</v>
      </c>
      <c r="T67" s="348">
        <f t="shared" si="5"/>
        <v>0</v>
      </c>
      <c r="U67" s="348">
        <f t="shared" si="5"/>
        <v>0</v>
      </c>
      <c r="V67" s="348">
        <f t="shared" si="5"/>
        <v>0</v>
      </c>
      <c r="W67" s="348">
        <f t="shared" si="5"/>
        <v>0</v>
      </c>
      <c r="X67" s="348">
        <f t="shared" si="5"/>
        <v>0</v>
      </c>
      <c r="Y67" s="348">
        <f t="shared" si="5"/>
        <v>0</v>
      </c>
      <c r="Z67" s="348">
        <f t="shared" si="5"/>
        <v>0</v>
      </c>
      <c r="AA67" s="348">
        <f t="shared" si="5"/>
        <v>0</v>
      </c>
      <c r="AB67" s="348">
        <f t="shared" si="5"/>
        <v>0</v>
      </c>
      <c r="AC67" s="348">
        <f t="shared" si="5"/>
        <v>0</v>
      </c>
      <c r="AD67" s="348">
        <f t="shared" si="5"/>
        <v>0</v>
      </c>
      <c r="AE67" s="348">
        <f t="shared" si="5"/>
        <v>0</v>
      </c>
      <c r="AF67" s="348">
        <f t="shared" si="5"/>
        <v>0</v>
      </c>
      <c r="AG67" s="348">
        <f t="shared" si="5"/>
        <v>0</v>
      </c>
      <c r="AH67" s="348">
        <f t="shared" si="5"/>
        <v>0</v>
      </c>
      <c r="AI67" s="348">
        <f t="shared" si="5"/>
        <v>0</v>
      </c>
      <c r="AJ67" s="348">
        <f t="shared" si="5"/>
        <v>0</v>
      </c>
      <c r="AK67" s="348">
        <f t="shared" si="5"/>
        <v>0</v>
      </c>
      <c r="AL67" s="348">
        <f t="shared" si="5"/>
        <v>0</v>
      </c>
      <c r="AM67" s="348">
        <f t="shared" si="5"/>
        <v>6.2402496099843996E-3</v>
      </c>
      <c r="AN67" s="348">
        <f t="shared" si="5"/>
        <v>0</v>
      </c>
      <c r="AO67" s="348">
        <f t="shared" si="5"/>
        <v>0</v>
      </c>
      <c r="AP67" s="348">
        <f t="shared" si="5"/>
        <v>0</v>
      </c>
      <c r="AQ67" s="348">
        <f t="shared" si="5"/>
        <v>4.6801872074882997E-2</v>
      </c>
      <c r="AR67" s="348">
        <f t="shared" si="5"/>
        <v>0</v>
      </c>
      <c r="AS67" s="348">
        <f t="shared" si="5"/>
        <v>8.7363494539781594E-2</v>
      </c>
      <c r="AT67" s="348">
        <f t="shared" si="5"/>
        <v>0</v>
      </c>
      <c r="AU67" s="348">
        <f t="shared" si="5"/>
        <v>0</v>
      </c>
      <c r="AV67" s="348">
        <f t="shared" si="5"/>
        <v>0</v>
      </c>
      <c r="AW67" s="348">
        <f t="shared" si="5"/>
        <v>0</v>
      </c>
      <c r="AX67" s="348">
        <f t="shared" si="5"/>
        <v>0</v>
      </c>
      <c r="AY67" s="348">
        <f t="shared" si="5"/>
        <v>0</v>
      </c>
      <c r="AZ67" s="348">
        <f t="shared" si="5"/>
        <v>0</v>
      </c>
      <c r="BA67" s="348">
        <f t="shared" si="5"/>
        <v>0</v>
      </c>
      <c r="BB67" s="348">
        <f t="shared" si="5"/>
        <v>0</v>
      </c>
      <c r="BC67" s="348">
        <f t="shared" si="5"/>
        <v>0</v>
      </c>
      <c r="BD67" s="348">
        <f t="shared" si="5"/>
        <v>0</v>
      </c>
      <c r="BE67" s="348">
        <f t="shared" si="5"/>
        <v>1.9500780031201249E-2</v>
      </c>
      <c r="BF67" s="348">
        <f t="shared" si="5"/>
        <v>0.1669266770670827</v>
      </c>
      <c r="BG67" s="348">
        <f t="shared" si="5"/>
        <v>2.8081123244929798E-2</v>
      </c>
      <c r="BH67" s="351"/>
    </row>
    <row r="71" spans="1:61">
      <c r="A71" s="165">
        <f>'Conveyor Downtime (new)'!A67</f>
        <v>46055</v>
      </c>
      <c r="B71" s="346"/>
      <c r="C71" s="346"/>
      <c r="D71" s="346"/>
      <c r="E71" s="346"/>
      <c r="F71" s="346"/>
      <c r="G71" s="346"/>
      <c r="H71" s="346">
        <f>3+3</f>
        <v>6</v>
      </c>
      <c r="I71" s="346">
        <v>3</v>
      </c>
      <c r="J71" s="346"/>
      <c r="K71" s="346"/>
      <c r="L71" s="346"/>
      <c r="M71" s="346"/>
      <c r="N71" s="346"/>
      <c r="O71" s="346"/>
      <c r="P71" s="346">
        <f>4</f>
        <v>4</v>
      </c>
      <c r="Q71" s="346"/>
      <c r="R71" s="346"/>
      <c r="S71" s="346"/>
      <c r="T71" s="346"/>
      <c r="U71" s="346"/>
      <c r="V71" s="346"/>
      <c r="W71" s="346"/>
      <c r="X71" s="346"/>
      <c r="Y71" s="346"/>
      <c r="Z71" s="346"/>
      <c r="AA71" s="346"/>
      <c r="AB71" s="346"/>
      <c r="AC71" s="346"/>
      <c r="AD71" s="346"/>
      <c r="AE71" s="346"/>
      <c r="AF71" s="346"/>
      <c r="AG71" s="346"/>
      <c r="AH71" s="346"/>
      <c r="AI71" s="346"/>
      <c r="AJ71" s="346"/>
      <c r="AK71" s="346"/>
      <c r="AL71" s="346"/>
      <c r="AM71" s="346"/>
      <c r="AN71" s="346"/>
      <c r="AO71" s="346"/>
      <c r="AP71" s="346"/>
      <c r="AQ71" s="346"/>
      <c r="AR71" s="346"/>
      <c r="AS71" s="346"/>
      <c r="AT71" s="346"/>
      <c r="AU71" s="346"/>
      <c r="AV71" s="346"/>
      <c r="AW71" s="346"/>
      <c r="AX71" s="346"/>
      <c r="AY71" s="346"/>
      <c r="AZ71" s="346"/>
      <c r="BA71" s="346"/>
      <c r="BB71" s="346"/>
      <c r="BC71" s="346"/>
      <c r="BD71" s="346"/>
      <c r="BE71" s="346"/>
      <c r="BF71" s="346"/>
      <c r="BG71" s="346"/>
      <c r="BH71">
        <f>SUM(B71:BG71)</f>
        <v>13</v>
      </c>
      <c r="BI71" s="351">
        <f t="shared" ref="BI71:BI94" si="6">BH71/$BH$123</f>
        <v>3.540305010893246E-3</v>
      </c>
    </row>
    <row r="72" spans="1:61">
      <c r="A72" s="165">
        <f>'Conveyor Downtime (new)'!A68</f>
        <v>46055</v>
      </c>
      <c r="H72">
        <f>2+2+3+3+2</f>
        <v>12</v>
      </c>
      <c r="I72">
        <f>3+2+2+3+3</f>
        <v>13</v>
      </c>
      <c r="AK72">
        <f>13</f>
        <v>13</v>
      </c>
      <c r="BF72">
        <f>3+3</f>
        <v>6</v>
      </c>
      <c r="BH72">
        <f t="shared" ref="BH72:BH122" si="7">SUM(B72:BG72)</f>
        <v>44</v>
      </c>
      <c r="BI72" s="351">
        <f t="shared" si="6"/>
        <v>1.1982570806100218E-2</v>
      </c>
    </row>
    <row r="73" spans="1:61">
      <c r="A73" s="165">
        <f>'Conveyor Downtime (new)'!A69</f>
        <v>46056</v>
      </c>
      <c r="B73" s="346"/>
      <c r="C73" s="346"/>
      <c r="D73" s="346"/>
      <c r="E73" s="346"/>
      <c r="F73" s="346"/>
      <c r="G73" s="346"/>
      <c r="H73" s="346">
        <f>3+3</f>
        <v>6</v>
      </c>
      <c r="I73" s="346">
        <f>2+3+4+3+4+5+10</f>
        <v>31</v>
      </c>
      <c r="J73" s="346"/>
      <c r="K73" s="346"/>
      <c r="L73" s="346"/>
      <c r="M73" s="346"/>
      <c r="N73" s="346"/>
      <c r="O73" s="346"/>
      <c r="P73" s="346">
        <f>5</f>
        <v>5</v>
      </c>
      <c r="Q73" s="346"/>
      <c r="R73" s="346"/>
      <c r="S73" s="346"/>
      <c r="T73" s="346"/>
      <c r="U73" s="346"/>
      <c r="V73" s="346"/>
      <c r="W73" s="346"/>
      <c r="X73" s="346"/>
      <c r="Y73" s="346"/>
      <c r="Z73" s="346"/>
      <c r="AA73" s="346"/>
      <c r="AB73" s="346"/>
      <c r="AC73" s="346"/>
      <c r="AD73" s="346"/>
      <c r="AE73" s="346"/>
      <c r="AF73" s="346"/>
      <c r="AG73" s="346"/>
      <c r="AH73" s="346"/>
      <c r="AI73" s="346"/>
      <c r="AJ73" s="346"/>
      <c r="AK73" s="346"/>
      <c r="AL73" s="346"/>
      <c r="AM73" s="346">
        <f>36+8</f>
        <v>44</v>
      </c>
      <c r="AN73" s="346"/>
      <c r="AO73" s="346"/>
      <c r="AP73" s="346"/>
      <c r="AQ73" s="346"/>
      <c r="AR73" s="346"/>
      <c r="AS73" s="346"/>
      <c r="AT73" s="346"/>
      <c r="AU73" s="346"/>
      <c r="AV73" s="346"/>
      <c r="AW73" s="346"/>
      <c r="AX73" s="346"/>
      <c r="AY73" s="346"/>
      <c r="AZ73" s="346"/>
      <c r="BA73" s="346"/>
      <c r="BB73" s="346"/>
      <c r="BC73" s="346"/>
      <c r="BD73" s="346"/>
      <c r="BE73" s="346"/>
      <c r="BF73" s="346"/>
      <c r="BG73" s="346"/>
      <c r="BH73">
        <f t="shared" si="7"/>
        <v>86</v>
      </c>
      <c r="BI73" s="351">
        <f t="shared" si="6"/>
        <v>2.3420479302832243E-2</v>
      </c>
    </row>
    <row r="74" spans="1:61">
      <c r="A74" s="165">
        <f>'Conveyor Downtime (new)'!A70</f>
        <v>46057</v>
      </c>
      <c r="H74">
        <f>4+3+9+9+7</f>
        <v>32</v>
      </c>
      <c r="I74">
        <f>6</f>
        <v>6</v>
      </c>
      <c r="AE74">
        <f>10</f>
        <v>10</v>
      </c>
      <c r="BH74">
        <f t="shared" si="7"/>
        <v>48</v>
      </c>
      <c r="BI74" s="351">
        <f t="shared" si="6"/>
        <v>1.3071895424836602E-2</v>
      </c>
    </row>
    <row r="75" spans="1:61">
      <c r="A75" s="165">
        <f>'Conveyor Downtime (new)'!A71</f>
        <v>46057</v>
      </c>
      <c r="B75" s="346"/>
      <c r="C75" s="346"/>
      <c r="D75" s="346"/>
      <c r="E75" s="346"/>
      <c r="F75" s="346"/>
      <c r="G75" s="346"/>
      <c r="H75" s="346"/>
      <c r="I75" s="346">
        <f>4</f>
        <v>4</v>
      </c>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346"/>
      <c r="AH75" s="346"/>
      <c r="AI75" s="346"/>
      <c r="AJ75" s="346"/>
      <c r="AK75" s="346"/>
      <c r="AL75" s="346"/>
      <c r="AM75" s="346"/>
      <c r="AN75" s="346"/>
      <c r="AO75" s="346"/>
      <c r="AP75" s="346"/>
      <c r="AQ75" s="346"/>
      <c r="AR75" s="346"/>
      <c r="AS75" s="346"/>
      <c r="AT75" s="346"/>
      <c r="AU75" s="346"/>
      <c r="AV75" s="346"/>
      <c r="AW75" s="346"/>
      <c r="AX75" s="346"/>
      <c r="AY75" s="346"/>
      <c r="AZ75" s="346"/>
      <c r="BA75" s="346"/>
      <c r="BB75" s="346"/>
      <c r="BC75" s="346"/>
      <c r="BD75" s="346"/>
      <c r="BE75" s="346"/>
      <c r="BF75" s="346"/>
      <c r="BG75" s="346"/>
      <c r="BH75">
        <f t="shared" si="7"/>
        <v>4</v>
      </c>
      <c r="BI75" s="351">
        <f t="shared" si="6"/>
        <v>1.0893246187363835E-3</v>
      </c>
    </row>
    <row r="76" spans="1:61">
      <c r="A76" s="165">
        <f>'Conveyor Downtime (new)'!A72</f>
        <v>46058</v>
      </c>
      <c r="BH76">
        <f t="shared" si="7"/>
        <v>0</v>
      </c>
      <c r="BI76" s="351">
        <f t="shared" si="6"/>
        <v>0</v>
      </c>
    </row>
    <row r="77" spans="1:61">
      <c r="A77" s="165">
        <f>'Conveyor Downtime (new)'!A73</f>
        <v>46058</v>
      </c>
      <c r="B77" s="346"/>
      <c r="C77" s="346"/>
      <c r="D77" s="346"/>
      <c r="E77" s="346"/>
      <c r="F77" s="346"/>
      <c r="G77" s="346"/>
      <c r="H77" s="346"/>
      <c r="I77" s="346">
        <f>2+4+3+5+5</f>
        <v>19</v>
      </c>
      <c r="J77" s="346"/>
      <c r="K77" s="346"/>
      <c r="L77" s="346"/>
      <c r="M77" s="346"/>
      <c r="N77" s="346"/>
      <c r="O77" s="346"/>
      <c r="P77" s="346"/>
      <c r="Q77" s="346"/>
      <c r="R77" s="346"/>
      <c r="S77" s="346"/>
      <c r="T77" s="346"/>
      <c r="U77" s="346">
        <v>3</v>
      </c>
      <c r="V77" s="346"/>
      <c r="W77" s="346"/>
      <c r="X77" s="346"/>
      <c r="Y77" s="346"/>
      <c r="Z77" s="346"/>
      <c r="AA77" s="346"/>
      <c r="AB77" s="346"/>
      <c r="AC77" s="346"/>
      <c r="AD77" s="346"/>
      <c r="AE77" s="346"/>
      <c r="AF77" s="346"/>
      <c r="AG77" s="346"/>
      <c r="AH77" s="346"/>
      <c r="AI77" s="346"/>
      <c r="AJ77" s="346"/>
      <c r="AK77" s="346"/>
      <c r="AL77" s="346"/>
      <c r="AM77" s="346"/>
      <c r="AN77" s="346"/>
      <c r="AO77" s="346"/>
      <c r="AP77" s="346"/>
      <c r="AQ77" s="346"/>
      <c r="AR77" s="346"/>
      <c r="AS77" s="346"/>
      <c r="AT77" s="346"/>
      <c r="AU77" s="346"/>
      <c r="AV77" s="346"/>
      <c r="AW77" s="346"/>
      <c r="AX77" s="346"/>
      <c r="AY77" s="346"/>
      <c r="AZ77" s="346"/>
      <c r="BA77" s="346"/>
      <c r="BB77" s="346"/>
      <c r="BC77" s="346"/>
      <c r="BD77" s="346"/>
      <c r="BE77" s="346"/>
      <c r="BF77" s="346">
        <f>4</f>
        <v>4</v>
      </c>
      <c r="BG77" s="346"/>
      <c r="BH77">
        <f t="shared" si="7"/>
        <v>26</v>
      </c>
      <c r="BI77" s="351">
        <f t="shared" si="6"/>
        <v>7.0806100217864921E-3</v>
      </c>
    </row>
    <row r="78" spans="1:61">
      <c r="A78" s="165">
        <f>'Conveyor Downtime (new)'!A74</f>
        <v>46058</v>
      </c>
      <c r="I78">
        <f>5+7+3+2</f>
        <v>17</v>
      </c>
      <c r="AO78" s="77"/>
      <c r="BH78">
        <f t="shared" si="7"/>
        <v>17</v>
      </c>
      <c r="BI78" s="351">
        <f t="shared" si="6"/>
        <v>4.6296296296296294E-3</v>
      </c>
    </row>
    <row r="79" spans="1:61">
      <c r="A79" s="165">
        <f>'Conveyor Downtime (new)'!A75</f>
        <v>46059</v>
      </c>
      <c r="B79" s="346"/>
      <c r="C79" s="346"/>
      <c r="D79" s="346"/>
      <c r="E79" s="346"/>
      <c r="F79" s="346"/>
      <c r="G79" s="346"/>
      <c r="H79" s="346">
        <f>3+5</f>
        <v>8</v>
      </c>
      <c r="I79" s="346">
        <f>2+10+8</f>
        <v>20</v>
      </c>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s="346"/>
      <c r="AW79" s="346"/>
      <c r="AX79" s="346"/>
      <c r="AY79" s="346"/>
      <c r="AZ79" s="346"/>
      <c r="BA79" s="346"/>
      <c r="BB79" s="346"/>
      <c r="BC79" s="346"/>
      <c r="BD79" s="346"/>
      <c r="BE79" s="346"/>
      <c r="BF79" s="346"/>
      <c r="BG79" s="346"/>
      <c r="BH79">
        <f t="shared" si="7"/>
        <v>28</v>
      </c>
      <c r="BI79" s="351">
        <f t="shared" si="6"/>
        <v>7.6252723311546842E-3</v>
      </c>
    </row>
    <row r="80" spans="1:61">
      <c r="A80" s="165">
        <f>'Conveyor Downtime (new)'!A76</f>
        <v>46059</v>
      </c>
      <c r="H80">
        <f>13</f>
        <v>13</v>
      </c>
      <c r="I80">
        <f>11+3</f>
        <v>14</v>
      </c>
      <c r="BH80">
        <f t="shared" si="7"/>
        <v>27</v>
      </c>
      <c r="BI80" s="351">
        <f t="shared" si="6"/>
        <v>7.3529411764705881E-3</v>
      </c>
    </row>
    <row r="81" spans="1:61">
      <c r="A81" s="165">
        <f>'Conveyor Downtime (new)'!A77</f>
        <v>46062</v>
      </c>
      <c r="B81" s="346"/>
      <c r="C81" s="346"/>
      <c r="D81" s="346"/>
      <c r="E81" s="346"/>
      <c r="F81" s="346"/>
      <c r="G81" s="346"/>
      <c r="H81" s="346"/>
      <c r="I81" s="346">
        <f>5</f>
        <v>5</v>
      </c>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f>4</f>
        <v>4</v>
      </c>
      <c r="AL81" s="346"/>
      <c r="AM81" s="346"/>
      <c r="AN81" s="346"/>
      <c r="AO81" s="346"/>
      <c r="AP81" s="346"/>
      <c r="AQ81" s="346"/>
      <c r="AR81" s="346"/>
      <c r="AS81" s="346"/>
      <c r="AT81" s="346"/>
      <c r="AU81" s="346"/>
      <c r="AV81" s="346"/>
      <c r="AW81" s="346"/>
      <c r="AX81" s="346"/>
      <c r="AY81" s="346"/>
      <c r="AZ81" s="346"/>
      <c r="BA81" s="346"/>
      <c r="BB81" s="346"/>
      <c r="BC81" s="346"/>
      <c r="BD81" s="346"/>
      <c r="BE81" s="346"/>
      <c r="BF81" s="346"/>
      <c r="BG81" s="346"/>
      <c r="BH81">
        <f t="shared" si="7"/>
        <v>9</v>
      </c>
      <c r="BI81" s="351">
        <f t="shared" si="6"/>
        <v>2.4509803921568627E-3</v>
      </c>
    </row>
    <row r="82" spans="1:61">
      <c r="A82" s="165">
        <f>'Conveyor Downtime (new)'!A78</f>
        <v>46062</v>
      </c>
      <c r="BH82">
        <f t="shared" si="7"/>
        <v>0</v>
      </c>
      <c r="BI82" s="351">
        <f t="shared" si="6"/>
        <v>0</v>
      </c>
    </row>
    <row r="83" spans="1:61">
      <c r="A83" s="165">
        <f>'Conveyor Downtime (new)'!A79</f>
        <v>46062</v>
      </c>
      <c r="B83" s="346"/>
      <c r="C83" s="346"/>
      <c r="D83" s="346"/>
      <c r="E83" s="346"/>
      <c r="F83" s="346"/>
      <c r="G83" s="346"/>
      <c r="H83" s="346">
        <f>3+2</f>
        <v>5</v>
      </c>
      <c r="I83" s="346">
        <f>3+6+3+2+3+3</f>
        <v>20</v>
      </c>
      <c r="J83" s="346"/>
      <c r="K83" s="346"/>
      <c r="L83" s="346"/>
      <c r="M83" s="346"/>
      <c r="N83" s="346"/>
      <c r="O83" s="346"/>
      <c r="P83" s="346"/>
      <c r="Q83" s="346"/>
      <c r="R83" s="346"/>
      <c r="S83" s="346"/>
      <c r="T83" s="346"/>
      <c r="U83" s="346"/>
      <c r="V83" s="346"/>
      <c r="W83" s="346"/>
      <c r="X83" s="346"/>
      <c r="Y83" s="346"/>
      <c r="Z83" s="346"/>
      <c r="AA83" s="346"/>
      <c r="AB83" s="346"/>
      <c r="AC83" s="346"/>
      <c r="AD83" s="346"/>
      <c r="AE83" s="346"/>
      <c r="AF83" s="346"/>
      <c r="AG83" s="346"/>
      <c r="AH83" s="346"/>
      <c r="AI83" s="346"/>
      <c r="AJ83" s="346"/>
      <c r="AK83" s="346"/>
      <c r="AL83" s="346"/>
      <c r="AM83" s="346"/>
      <c r="AN83" s="346"/>
      <c r="AO83" s="346"/>
      <c r="AP83" s="346"/>
      <c r="AQ83" s="346"/>
      <c r="AR83" s="346"/>
      <c r="AS83" s="346"/>
      <c r="AT83" s="346"/>
      <c r="AU83" s="346"/>
      <c r="AV83" s="346"/>
      <c r="AW83" s="346"/>
      <c r="AX83" s="346"/>
      <c r="AY83" s="346"/>
      <c r="AZ83" s="346"/>
      <c r="BA83" s="346"/>
      <c r="BB83" s="346"/>
      <c r="BC83" s="346"/>
      <c r="BD83" s="346"/>
      <c r="BE83" s="346"/>
      <c r="BF83" s="346"/>
      <c r="BG83" s="346"/>
      <c r="BH83">
        <f t="shared" si="7"/>
        <v>25</v>
      </c>
      <c r="BI83" s="351">
        <f t="shared" si="6"/>
        <v>6.8082788671023969E-3</v>
      </c>
    </row>
    <row r="84" spans="1:61">
      <c r="A84" s="165">
        <f>'Conveyor Downtime (new)'!A80</f>
        <v>46063</v>
      </c>
      <c r="I84">
        <f>5+7</f>
        <v>12</v>
      </c>
      <c r="BH84">
        <f t="shared" si="7"/>
        <v>12</v>
      </c>
      <c r="BI84" s="351">
        <f t="shared" si="6"/>
        <v>3.2679738562091504E-3</v>
      </c>
    </row>
    <row r="85" spans="1:61">
      <c r="A85" s="165">
        <f>'Conveyor Downtime (new)'!A81</f>
        <v>46063</v>
      </c>
      <c r="B85" s="346"/>
      <c r="C85" s="346"/>
      <c r="D85" s="346"/>
      <c r="E85" s="346"/>
      <c r="F85" s="346"/>
      <c r="G85" s="346"/>
      <c r="H85" s="346"/>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346"/>
      <c r="AJ85" s="346"/>
      <c r="AK85" s="346"/>
      <c r="AL85" s="346"/>
      <c r="AM85" s="346"/>
      <c r="AN85" s="346"/>
      <c r="AO85" s="346"/>
      <c r="AP85" s="346"/>
      <c r="AQ85" s="346"/>
      <c r="AR85" s="346"/>
      <c r="AS85" s="346"/>
      <c r="AT85" s="346"/>
      <c r="AU85" s="346"/>
      <c r="AV85" s="346"/>
      <c r="AW85" s="346"/>
      <c r="AX85" s="346"/>
      <c r="AY85" s="346"/>
      <c r="AZ85" s="346"/>
      <c r="BA85" s="346"/>
      <c r="BB85" s="346"/>
      <c r="BC85" s="346"/>
      <c r="BD85" s="346"/>
      <c r="BE85" s="346"/>
      <c r="BF85" s="346"/>
      <c r="BG85" s="346"/>
      <c r="BH85">
        <f t="shared" si="7"/>
        <v>0</v>
      </c>
      <c r="BI85" s="351">
        <f t="shared" si="6"/>
        <v>0</v>
      </c>
    </row>
    <row r="86" spans="1:61">
      <c r="A86" s="165">
        <f>'Conveyor Downtime (new)'!A82</f>
        <v>46063</v>
      </c>
      <c r="H86">
        <v>10</v>
      </c>
      <c r="I86">
        <v>4</v>
      </c>
      <c r="BH86">
        <f t="shared" si="7"/>
        <v>14</v>
      </c>
      <c r="BI86" s="351">
        <f t="shared" si="6"/>
        <v>3.8126361655773421E-3</v>
      </c>
    </row>
    <row r="87" spans="1:61">
      <c r="A87" s="165">
        <f>'Conveyor Downtime (new)'!A83</f>
        <v>46064</v>
      </c>
      <c r="B87" s="346"/>
      <c r="C87" s="346"/>
      <c r="D87" s="346"/>
      <c r="E87" s="346"/>
      <c r="F87" s="346"/>
      <c r="G87" s="346"/>
      <c r="H87" s="346">
        <f>5+5+4</f>
        <v>14</v>
      </c>
      <c r="I87" s="346">
        <f>6+3+3+5</f>
        <v>17</v>
      </c>
      <c r="J87" s="346"/>
      <c r="K87" s="346"/>
      <c r="L87" s="346"/>
      <c r="M87" s="346"/>
      <c r="N87" s="346"/>
      <c r="O87" s="346"/>
      <c r="P87" s="346"/>
      <c r="Q87" s="346"/>
      <c r="R87" s="346"/>
      <c r="S87" s="346"/>
      <c r="T87" s="346"/>
      <c r="U87" s="346"/>
      <c r="V87" s="346"/>
      <c r="W87" s="346"/>
      <c r="X87" s="346"/>
      <c r="Y87" s="346"/>
      <c r="Z87" s="346"/>
      <c r="AA87" s="346"/>
      <c r="AB87" s="346"/>
      <c r="AC87" s="346"/>
      <c r="AD87" s="346"/>
      <c r="AE87" s="346">
        <v>12</v>
      </c>
      <c r="AF87" s="346"/>
      <c r="AG87" s="346"/>
      <c r="AH87" s="346"/>
      <c r="AI87" s="346"/>
      <c r="AJ87" s="346"/>
      <c r="AK87" s="346"/>
      <c r="AL87" s="346"/>
      <c r="AM87" s="346"/>
      <c r="AN87" s="346"/>
      <c r="AO87" s="346"/>
      <c r="AP87" s="346"/>
      <c r="AQ87" s="346"/>
      <c r="AR87" s="346"/>
      <c r="AS87" s="346"/>
      <c r="AT87" s="346"/>
      <c r="AU87" s="346"/>
      <c r="AV87" s="346"/>
      <c r="AW87" s="346"/>
      <c r="AX87" s="346"/>
      <c r="AY87" s="346"/>
      <c r="AZ87" s="346"/>
      <c r="BA87" s="346"/>
      <c r="BB87" s="346"/>
      <c r="BC87" s="346"/>
      <c r="BD87" s="346"/>
      <c r="BE87" s="346"/>
      <c r="BF87" s="346">
        <f>5+3</f>
        <v>8</v>
      </c>
      <c r="BG87" s="346"/>
      <c r="BH87">
        <f t="shared" si="7"/>
        <v>51</v>
      </c>
      <c r="BI87" s="351">
        <f t="shared" si="6"/>
        <v>1.3888888888888888E-2</v>
      </c>
    </row>
    <row r="88" spans="1:61">
      <c r="A88" s="165">
        <f>'Conveyor Downtime (new)'!A84</f>
        <v>46064</v>
      </c>
      <c r="H88">
        <f>3+4+3+2+3+3</f>
        <v>18</v>
      </c>
      <c r="I88">
        <f>2+7+3+3+6+3+2+3+2+3+3</f>
        <v>37</v>
      </c>
      <c r="BG88">
        <f>18+60+10</f>
        <v>88</v>
      </c>
      <c r="BH88">
        <f t="shared" si="7"/>
        <v>143</v>
      </c>
      <c r="BI88" s="351">
        <f t="shared" si="6"/>
        <v>3.8943355119825711E-2</v>
      </c>
    </row>
    <row r="89" spans="1:61">
      <c r="A89" s="165">
        <f>'Conveyor Downtime (new)'!A85</f>
        <v>46065</v>
      </c>
      <c r="B89" s="346"/>
      <c r="C89" s="346"/>
      <c r="D89" s="346"/>
      <c r="E89" s="346"/>
      <c r="F89" s="346"/>
      <c r="G89" s="346"/>
      <c r="H89" s="346">
        <f>4+4+2+3+3+2</f>
        <v>18</v>
      </c>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s="346"/>
      <c r="AL89" s="346"/>
      <c r="AM89" s="346"/>
      <c r="AN89" s="346"/>
      <c r="AO89" s="346"/>
      <c r="AP89" s="346"/>
      <c r="AQ89" s="346"/>
      <c r="AR89" s="346"/>
      <c r="AS89" s="346"/>
      <c r="AT89" s="346"/>
      <c r="AU89" s="346"/>
      <c r="AV89" s="346"/>
      <c r="AW89" s="346"/>
      <c r="AX89" s="346"/>
      <c r="AY89" s="346"/>
      <c r="AZ89" s="346"/>
      <c r="BA89" s="346"/>
      <c r="BB89" s="346"/>
      <c r="BC89" s="346"/>
      <c r="BD89" s="346"/>
      <c r="BE89" s="346"/>
      <c r="BF89" s="346">
        <f>10+3</f>
        <v>13</v>
      </c>
      <c r="BG89" s="346"/>
      <c r="BH89">
        <f t="shared" si="7"/>
        <v>31</v>
      </c>
      <c r="BI89" s="351">
        <f t="shared" si="6"/>
        <v>8.4422657952069723E-3</v>
      </c>
    </row>
    <row r="90" spans="1:61">
      <c r="A90" s="165">
        <f>'Conveyor Downtime (new)'!A86</f>
        <v>46066</v>
      </c>
      <c r="H90">
        <f>4</f>
        <v>4</v>
      </c>
      <c r="BH90">
        <f t="shared" si="7"/>
        <v>4</v>
      </c>
      <c r="BI90" s="351">
        <f t="shared" si="6"/>
        <v>1.0893246187363835E-3</v>
      </c>
    </row>
    <row r="91" spans="1:61">
      <c r="A91" s="165">
        <f>'Conveyor Downtime (new)'!A87</f>
        <v>46066</v>
      </c>
      <c r="B91" s="346"/>
      <c r="C91" s="346"/>
      <c r="D91" s="346"/>
      <c r="E91" s="346"/>
      <c r="F91" s="346"/>
      <c r="G91" s="346"/>
      <c r="H91" s="346">
        <f>3+2</f>
        <v>5</v>
      </c>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346"/>
      <c r="AK91" s="346"/>
      <c r="AL91" s="346"/>
      <c r="AM91" s="346"/>
      <c r="AN91" s="346"/>
      <c r="AO91" s="346"/>
      <c r="AP91" s="346"/>
      <c r="AQ91" s="346"/>
      <c r="AR91" s="346"/>
      <c r="AS91" s="346"/>
      <c r="AT91" s="346"/>
      <c r="AU91" s="346"/>
      <c r="AV91" s="346"/>
      <c r="AW91" s="346"/>
      <c r="AX91" s="346"/>
      <c r="AY91" s="346"/>
      <c r="AZ91" s="346"/>
      <c r="BA91" s="346"/>
      <c r="BB91" s="346"/>
      <c r="BC91" s="346"/>
      <c r="BD91" s="346"/>
      <c r="BE91" s="346"/>
      <c r="BF91" s="346"/>
      <c r="BG91" s="346"/>
      <c r="BH91">
        <f t="shared" si="7"/>
        <v>5</v>
      </c>
      <c r="BI91" s="351">
        <f t="shared" si="6"/>
        <v>1.3616557734204794E-3</v>
      </c>
    </row>
    <row r="92" spans="1:61">
      <c r="A92" s="165">
        <f>'Conveyor Downtime (new)'!A88</f>
        <v>46069</v>
      </c>
      <c r="H92">
        <f>7</f>
        <v>7</v>
      </c>
      <c r="I92">
        <f>5+4+3+2</f>
        <v>14</v>
      </c>
      <c r="M92">
        <f>3+4</f>
        <v>7</v>
      </c>
      <c r="BF92">
        <v>3</v>
      </c>
      <c r="BH92">
        <f t="shared" si="7"/>
        <v>31</v>
      </c>
      <c r="BI92" s="351">
        <f t="shared" si="6"/>
        <v>8.4422657952069723E-3</v>
      </c>
    </row>
    <row r="93" spans="1:61">
      <c r="A93" s="165">
        <f>'Conveyor Downtime (new)'!A89</f>
        <v>46070</v>
      </c>
      <c r="B93" s="346"/>
      <c r="C93" s="346"/>
      <c r="D93" s="346"/>
      <c r="E93" s="346"/>
      <c r="F93" s="346"/>
      <c r="G93" s="346">
        <f>9+24+60+60+60+60+60+540</f>
        <v>873</v>
      </c>
      <c r="H93" s="346">
        <f>2+3+3</f>
        <v>8</v>
      </c>
      <c r="I93" s="346">
        <f>6+10+5</f>
        <v>21</v>
      </c>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6"/>
      <c r="AN93" s="346"/>
      <c r="AO93" s="346"/>
      <c r="AP93" s="346"/>
      <c r="AQ93" s="346"/>
      <c r="AR93" s="346"/>
      <c r="AS93" s="346"/>
      <c r="AT93" s="346"/>
      <c r="AU93" s="346"/>
      <c r="AV93" s="346"/>
      <c r="AW93" s="346"/>
      <c r="AX93" s="346"/>
      <c r="AY93" s="346"/>
      <c r="AZ93" s="346"/>
      <c r="BA93" s="346"/>
      <c r="BB93" s="346"/>
      <c r="BC93" s="346"/>
      <c r="BD93" s="346"/>
      <c r="BE93" s="346"/>
      <c r="BF93" s="346"/>
      <c r="BG93" s="346"/>
      <c r="BH93">
        <f t="shared" si="7"/>
        <v>902</v>
      </c>
      <c r="BI93" s="351">
        <f t="shared" si="6"/>
        <v>0.24564270152505446</v>
      </c>
    </row>
    <row r="94" spans="1:61">
      <c r="A94" s="165">
        <f>'Conveyor Downtime (new)'!A90</f>
        <v>46071</v>
      </c>
      <c r="G94">
        <v>1440</v>
      </c>
      <c r="BH94">
        <f t="shared" si="7"/>
        <v>1440</v>
      </c>
      <c r="BI94" s="351">
        <f t="shared" si="6"/>
        <v>0.39215686274509803</v>
      </c>
    </row>
    <row r="95" spans="1:61">
      <c r="A95" s="165">
        <f>'Conveyor Downtime (new)'!A91</f>
        <v>46072</v>
      </c>
      <c r="B95" s="346"/>
      <c r="C95" s="346"/>
      <c r="D95" s="346"/>
      <c r="E95" s="346"/>
      <c r="F95" s="346"/>
      <c r="G95" s="346">
        <f>60+60</f>
        <v>120</v>
      </c>
      <c r="H95" s="346"/>
      <c r="I95" s="346">
        <f>28+6</f>
        <v>34</v>
      </c>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s="346"/>
      <c r="AW95" s="346"/>
      <c r="AX95" s="346"/>
      <c r="AY95" s="346"/>
      <c r="AZ95" s="346"/>
      <c r="BA95" s="346"/>
      <c r="BB95" s="346"/>
      <c r="BC95" s="346"/>
      <c r="BD95" s="346"/>
      <c r="BE95" s="346"/>
      <c r="BF95" s="346">
        <f>5+6</f>
        <v>11</v>
      </c>
      <c r="BG95" s="346"/>
      <c r="BH95">
        <f t="shared" si="7"/>
        <v>165</v>
      </c>
      <c r="BI95" s="351">
        <f t="shared" ref="BI95:BI122" si="8">BH95/$BH$123</f>
        <v>4.4934640522875817E-2</v>
      </c>
    </row>
    <row r="96" spans="1:61">
      <c r="A96" s="165">
        <f>'Conveyor Downtime (new)'!A92</f>
        <v>46072</v>
      </c>
      <c r="BH96">
        <f t="shared" si="7"/>
        <v>0</v>
      </c>
      <c r="BI96" s="351">
        <f t="shared" si="8"/>
        <v>0</v>
      </c>
    </row>
    <row r="97" spans="1:61">
      <c r="A97" s="165">
        <f>'Conveyor Downtime (new)'!A93</f>
        <v>46072</v>
      </c>
      <c r="B97" s="346"/>
      <c r="C97" s="346"/>
      <c r="D97" s="346"/>
      <c r="E97" s="346"/>
      <c r="F97" s="346"/>
      <c r="G97" s="346"/>
      <c r="H97" s="346"/>
      <c r="I97" s="346">
        <f>3</f>
        <v>3</v>
      </c>
      <c r="J97" s="346"/>
      <c r="K97" s="346"/>
      <c r="L97" s="346"/>
      <c r="M97" s="346"/>
      <c r="N97" s="346"/>
      <c r="O97" s="346"/>
      <c r="P97" s="346"/>
      <c r="Q97" s="346"/>
      <c r="R97" s="346"/>
      <c r="S97" s="346"/>
      <c r="T97" s="346"/>
      <c r="U97" s="346"/>
      <c r="V97" s="346"/>
      <c r="W97" s="346"/>
      <c r="X97" s="346"/>
      <c r="Y97" s="346"/>
      <c r="Z97" s="346"/>
      <c r="AA97" s="346"/>
      <c r="AB97" s="346"/>
      <c r="AC97" s="346"/>
      <c r="AD97" s="346"/>
      <c r="AE97" s="346"/>
      <c r="AF97" s="346"/>
      <c r="AG97" s="346"/>
      <c r="AH97" s="346"/>
      <c r="AI97" s="346"/>
      <c r="AJ97" s="346"/>
      <c r="AK97" s="346"/>
      <c r="AL97" s="346"/>
      <c r="AM97" s="346"/>
      <c r="AN97" s="346"/>
      <c r="AO97" s="346"/>
      <c r="AP97" s="346"/>
      <c r="AQ97" s="346"/>
      <c r="AR97" s="346"/>
      <c r="AS97" s="346"/>
      <c r="AT97" s="346"/>
      <c r="AU97" s="77"/>
      <c r="AV97" s="346"/>
      <c r="AW97" s="346"/>
      <c r="AX97" s="346"/>
      <c r="AY97" s="346"/>
      <c r="AZ97" s="346"/>
      <c r="BA97" s="346"/>
      <c r="BB97" s="346"/>
      <c r="BC97" s="346"/>
      <c r="BD97" s="346"/>
      <c r="BE97" s="346"/>
      <c r="BF97" s="346"/>
      <c r="BG97" s="346"/>
      <c r="BH97">
        <f t="shared" si="7"/>
        <v>3</v>
      </c>
      <c r="BI97" s="351">
        <f t="shared" si="8"/>
        <v>8.1699346405228761E-4</v>
      </c>
    </row>
    <row r="98" spans="1:61">
      <c r="A98" s="165">
        <f>'Conveyor Downtime (new)'!A94</f>
        <v>46073</v>
      </c>
      <c r="I98">
        <f>9</f>
        <v>9</v>
      </c>
      <c r="BH98">
        <f t="shared" si="7"/>
        <v>9</v>
      </c>
      <c r="BI98" s="351">
        <f t="shared" si="8"/>
        <v>2.4509803921568627E-3</v>
      </c>
    </row>
    <row r="99" spans="1:61">
      <c r="A99" s="165">
        <f>'Conveyor Downtime (new)'!A95</f>
        <v>46073</v>
      </c>
      <c r="B99" s="346"/>
      <c r="C99" s="346"/>
      <c r="D99" s="346"/>
      <c r="E99" s="346"/>
      <c r="F99" s="346"/>
      <c r="G99" s="346"/>
      <c r="H99" s="346">
        <f>4</f>
        <v>4</v>
      </c>
      <c r="I99" s="346">
        <f>5</f>
        <v>5</v>
      </c>
      <c r="J99" s="346"/>
      <c r="K99" s="346"/>
      <c r="L99" s="346"/>
      <c r="M99" s="346"/>
      <c r="N99" s="346"/>
      <c r="O99" s="346"/>
      <c r="P99" s="346"/>
      <c r="Q99" s="346"/>
      <c r="R99" s="346"/>
      <c r="S99" s="346"/>
      <c r="T99" s="346"/>
      <c r="U99" s="346"/>
      <c r="V99" s="346"/>
      <c r="W99" s="346"/>
      <c r="X99" s="346"/>
      <c r="Y99" s="346"/>
      <c r="Z99" s="346"/>
      <c r="AA99" s="346"/>
      <c r="AB99" s="346"/>
      <c r="AC99" s="346"/>
      <c r="AD99" s="346"/>
      <c r="AE99" s="346"/>
      <c r="AF99" s="346"/>
      <c r="AG99" s="346"/>
      <c r="AH99" s="346"/>
      <c r="AI99" s="346"/>
      <c r="AJ99" s="346"/>
      <c r="AK99" s="346"/>
      <c r="AL99" s="346"/>
      <c r="AM99" s="346"/>
      <c r="AN99" s="346"/>
      <c r="AO99" s="346"/>
      <c r="AP99" s="346"/>
      <c r="AQ99" s="346"/>
      <c r="AR99" s="346"/>
      <c r="AS99" s="346"/>
      <c r="AT99" s="346"/>
      <c r="AU99" s="346"/>
      <c r="AV99" s="346"/>
      <c r="AW99" s="346"/>
      <c r="AX99" s="346"/>
      <c r="AY99" s="346"/>
      <c r="AZ99" s="346"/>
      <c r="BA99" s="346"/>
      <c r="BB99" s="346"/>
      <c r="BC99" s="346"/>
      <c r="BD99" s="346"/>
      <c r="BE99" s="346"/>
      <c r="BF99" s="346"/>
      <c r="BG99" s="346"/>
      <c r="BH99">
        <f t="shared" si="7"/>
        <v>9</v>
      </c>
      <c r="BI99" s="351">
        <f t="shared" si="8"/>
        <v>2.4509803921568627E-3</v>
      </c>
    </row>
    <row r="100" spans="1:61">
      <c r="A100" s="165">
        <f>'Conveyor Downtime (new)'!A96</f>
        <v>46076</v>
      </c>
      <c r="H100">
        <f>3+5+6+5+5+3+4</f>
        <v>31</v>
      </c>
      <c r="I100">
        <f>6+5</f>
        <v>11</v>
      </c>
      <c r="BH100">
        <f t="shared" si="7"/>
        <v>42</v>
      </c>
      <c r="BI100" s="351">
        <f t="shared" si="8"/>
        <v>1.1437908496732025E-2</v>
      </c>
    </row>
    <row r="101" spans="1:61">
      <c r="A101" s="165">
        <f>'Conveyor Downtime (new)'!A97</f>
        <v>46077</v>
      </c>
      <c r="I101">
        <f>4+4+3+4</f>
        <v>15</v>
      </c>
      <c r="BH101">
        <f t="shared" si="7"/>
        <v>15</v>
      </c>
      <c r="BI101" s="351">
        <f t="shared" si="8"/>
        <v>4.0849673202614381E-3</v>
      </c>
    </row>
    <row r="102" spans="1:61">
      <c r="A102" s="165">
        <f>'Conveyor Downtime (new)'!A98</f>
        <v>46077</v>
      </c>
      <c r="B102" s="346"/>
      <c r="C102" s="346"/>
      <c r="D102" s="346"/>
      <c r="E102" s="346"/>
      <c r="F102" s="346"/>
      <c r="G102" s="346"/>
      <c r="H102" s="346">
        <f>3</f>
        <v>3</v>
      </c>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f>3</f>
        <v>3</v>
      </c>
      <c r="AF102" s="346"/>
      <c r="AG102" s="346"/>
      <c r="AH102" s="346"/>
      <c r="AI102" s="346"/>
      <c r="AJ102" s="346"/>
      <c r="AK102" s="346"/>
      <c r="AL102" s="346"/>
      <c r="AM102" s="346"/>
      <c r="AN102" s="346"/>
      <c r="AO102" s="346"/>
      <c r="AP102" s="346"/>
      <c r="AQ102" s="346"/>
      <c r="AR102" s="346"/>
      <c r="AS102" s="346"/>
      <c r="AT102" s="346"/>
      <c r="AU102" s="346"/>
      <c r="AV102" s="346"/>
      <c r="AW102" s="346"/>
      <c r="AX102" s="346"/>
      <c r="AY102" s="346"/>
      <c r="AZ102" s="346"/>
      <c r="BA102" s="346"/>
      <c r="BB102" s="346"/>
      <c r="BC102" s="346"/>
      <c r="BD102" s="346"/>
      <c r="BE102" s="346"/>
      <c r="BF102" s="346">
        <f>5+4+6+5+3+4+3</f>
        <v>30</v>
      </c>
      <c r="BG102" s="346"/>
      <c r="BH102">
        <f t="shared" si="7"/>
        <v>36</v>
      </c>
      <c r="BI102" s="351">
        <f t="shared" si="8"/>
        <v>9.8039215686274508E-3</v>
      </c>
    </row>
    <row r="103" spans="1:61">
      <c r="A103" s="165">
        <f>'Conveyor Downtime (new)'!A99</f>
        <v>46078</v>
      </c>
      <c r="H103">
        <f>13+8+12+9+8+5+6+2+4+3+4+5</f>
        <v>79</v>
      </c>
      <c r="I103">
        <f>4+2+4</f>
        <v>10</v>
      </c>
      <c r="AS103">
        <f>5</f>
        <v>5</v>
      </c>
      <c r="BF103">
        <v>4</v>
      </c>
      <c r="BH103">
        <f t="shared" si="7"/>
        <v>98</v>
      </c>
      <c r="BI103" s="351">
        <f t="shared" si="8"/>
        <v>2.6688453159041396E-2</v>
      </c>
    </row>
    <row r="104" spans="1:61">
      <c r="A104" s="165">
        <f>'Conveyor Downtime (new)'!A100</f>
        <v>46079</v>
      </c>
      <c r="B104" s="346"/>
      <c r="C104" s="346"/>
      <c r="D104" s="346"/>
      <c r="E104" s="346"/>
      <c r="F104" s="346"/>
      <c r="G104" s="346"/>
      <c r="H104" s="346">
        <f>5+4+3+3+5+4</f>
        <v>24</v>
      </c>
      <c r="I104" s="346">
        <f>6+4</f>
        <v>10</v>
      </c>
      <c r="J104" s="346"/>
      <c r="K104" s="346"/>
      <c r="L104" s="346"/>
      <c r="M104" s="346"/>
      <c r="N104" s="346"/>
      <c r="O104" s="346"/>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c r="AK104" s="346"/>
      <c r="AL104" s="346"/>
      <c r="AM104" s="346"/>
      <c r="AN104" s="346"/>
      <c r="AO104" s="346"/>
      <c r="AP104" s="346"/>
      <c r="AQ104" s="346"/>
      <c r="AR104" s="346"/>
      <c r="AS104" s="346"/>
      <c r="AT104" s="346"/>
      <c r="AU104" s="346"/>
      <c r="AV104" s="346"/>
      <c r="AW104" s="346"/>
      <c r="AX104" s="346"/>
      <c r="AY104" s="346"/>
      <c r="AZ104" s="346"/>
      <c r="BA104" s="346"/>
      <c r="BB104" s="346"/>
      <c r="BC104" s="346"/>
      <c r="BD104" s="346"/>
      <c r="BE104" s="346"/>
      <c r="BF104" s="346">
        <v>4</v>
      </c>
      <c r="BG104" s="346"/>
      <c r="BH104">
        <f t="shared" si="7"/>
        <v>38</v>
      </c>
      <c r="BI104" s="351">
        <f t="shared" si="8"/>
        <v>1.0348583877995643E-2</v>
      </c>
    </row>
    <row r="105" spans="1:61">
      <c r="A105" s="165">
        <f>'Conveyor Downtime (new)'!A101</f>
        <v>46079</v>
      </c>
      <c r="H105">
        <f>6</f>
        <v>6</v>
      </c>
      <c r="BC105">
        <f>7</f>
        <v>7</v>
      </c>
      <c r="BF105">
        <f>5+7+6+4+5+4+4+3</f>
        <v>38</v>
      </c>
      <c r="BH105">
        <f t="shared" si="7"/>
        <v>51</v>
      </c>
      <c r="BI105" s="351">
        <f t="shared" si="8"/>
        <v>1.3888888888888888E-2</v>
      </c>
    </row>
    <row r="106" spans="1:61">
      <c r="A106" s="165">
        <f>'Conveyor Downtime (new)'!A102</f>
        <v>46080</v>
      </c>
      <c r="B106" s="346"/>
      <c r="C106" s="346"/>
      <c r="D106" s="346"/>
      <c r="E106" s="346"/>
      <c r="F106" s="346"/>
      <c r="G106" s="346"/>
      <c r="H106" s="346">
        <f>3+2+2</f>
        <v>7</v>
      </c>
      <c r="I106" s="346">
        <v>2</v>
      </c>
      <c r="J106" s="346"/>
      <c r="K106" s="346"/>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c r="AK106" s="346"/>
      <c r="AL106" s="346"/>
      <c r="AM106" s="346"/>
      <c r="AN106" s="346"/>
      <c r="AO106" s="346"/>
      <c r="AP106" s="346"/>
      <c r="AQ106" s="346"/>
      <c r="AR106" s="346"/>
      <c r="AS106" s="346"/>
      <c r="AT106" s="346"/>
      <c r="AU106" s="346"/>
      <c r="AV106" s="346"/>
      <c r="AW106" s="346"/>
      <c r="AX106" s="346"/>
      <c r="AY106" s="346"/>
      <c r="AZ106" s="346"/>
      <c r="BA106" s="346"/>
      <c r="BB106" s="346"/>
      <c r="BC106" s="346"/>
      <c r="BD106" s="346"/>
      <c r="BE106" s="346"/>
      <c r="BF106" s="346"/>
      <c r="BG106" s="346"/>
      <c r="BH106">
        <f t="shared" si="7"/>
        <v>9</v>
      </c>
      <c r="BI106" s="351">
        <f t="shared" si="8"/>
        <v>2.4509803921568627E-3</v>
      </c>
    </row>
    <row r="107" spans="1:61">
      <c r="A107" s="165">
        <f>'Conveyor Downtime (new)'!A103</f>
        <v>46080</v>
      </c>
      <c r="H107">
        <f>7+6+5+6</f>
        <v>24</v>
      </c>
      <c r="I107">
        <v>3</v>
      </c>
      <c r="BF107">
        <f>8+7</f>
        <v>15</v>
      </c>
      <c r="BH107">
        <f t="shared" si="7"/>
        <v>42</v>
      </c>
      <c r="BI107" s="351">
        <f t="shared" si="8"/>
        <v>1.1437908496732025E-2</v>
      </c>
    </row>
    <row r="108" spans="1:61">
      <c r="A108" s="165">
        <f>'Conveyor Downtime (new)'!A104</f>
        <v>46080</v>
      </c>
      <c r="B108" s="346"/>
      <c r="C108" s="346"/>
      <c r="D108" s="346"/>
      <c r="E108" s="346"/>
      <c r="F108" s="346"/>
      <c r="G108" s="346"/>
      <c r="H108" s="346">
        <f>6+4</f>
        <v>10</v>
      </c>
      <c r="I108" s="346">
        <v>6</v>
      </c>
      <c r="J108" s="34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c r="AK108" s="346"/>
      <c r="AL108" s="346"/>
      <c r="AM108" s="346"/>
      <c r="AN108" s="346"/>
      <c r="AO108" s="346"/>
      <c r="AP108" s="346"/>
      <c r="AQ108" s="346"/>
      <c r="AR108" s="346"/>
      <c r="AS108" s="346"/>
      <c r="AT108" s="346"/>
      <c r="AU108" s="346"/>
      <c r="AV108" s="346"/>
      <c r="AW108" s="346"/>
      <c r="AX108" s="346"/>
      <c r="AY108" s="346"/>
      <c r="AZ108" s="346"/>
      <c r="BA108" s="346"/>
      <c r="BB108" s="346"/>
      <c r="BC108" s="346"/>
      <c r="BD108" s="346"/>
      <c r="BE108" s="346"/>
      <c r="BF108" s="346">
        <f>7+5+5</f>
        <v>17</v>
      </c>
      <c r="BG108" s="346"/>
      <c r="BH108">
        <f t="shared" si="7"/>
        <v>33</v>
      </c>
      <c r="BI108" s="351">
        <f t="shared" si="8"/>
        <v>8.9869281045751627E-3</v>
      </c>
    </row>
    <row r="109" spans="1:61">
      <c r="A109" s="165">
        <f>'Conveyor Downtime (new)'!A105</f>
        <v>46081</v>
      </c>
      <c r="H109">
        <f>4+2+4+4+3+3+3+3+1</f>
        <v>27</v>
      </c>
      <c r="BH109">
        <f t="shared" si="7"/>
        <v>27</v>
      </c>
      <c r="BI109" s="351">
        <f t="shared" si="8"/>
        <v>7.3529411764705881E-3</v>
      </c>
    </row>
    <row r="110" spans="1:61">
      <c r="A110" s="165">
        <f>'Conveyor Downtime (new)'!A106</f>
        <v>46081</v>
      </c>
      <c r="B110" s="346"/>
      <c r="C110" s="346"/>
      <c r="D110" s="346"/>
      <c r="E110" s="346"/>
      <c r="F110" s="346"/>
      <c r="G110" s="346"/>
      <c r="H110" s="346">
        <f>6+3+4+4+4+4</f>
        <v>25</v>
      </c>
      <c r="I110" s="346">
        <f>5+6+4+5+7</f>
        <v>27</v>
      </c>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c r="AK110" s="346"/>
      <c r="AL110" s="346"/>
      <c r="AM110" s="346"/>
      <c r="AN110" s="346"/>
      <c r="AO110" s="346"/>
      <c r="AP110" s="346"/>
      <c r="AQ110" s="346"/>
      <c r="AR110" s="346"/>
      <c r="AS110" s="346"/>
      <c r="AT110" s="346"/>
      <c r="AU110" s="346"/>
      <c r="AV110" s="346"/>
      <c r="AW110" s="346"/>
      <c r="AX110" s="346"/>
      <c r="AY110" s="346"/>
      <c r="AZ110" s="346"/>
      <c r="BA110" s="346"/>
      <c r="BB110" s="346"/>
      <c r="BC110" s="346"/>
      <c r="BD110" s="346"/>
      <c r="BE110" s="346"/>
      <c r="BF110" s="346">
        <f>20+6+4+5+4+4+4+5+5+4+7+8+7</f>
        <v>83</v>
      </c>
      <c r="BG110" s="346"/>
      <c r="BH110">
        <f t="shared" si="7"/>
        <v>135</v>
      </c>
      <c r="BI110" s="351">
        <f t="shared" si="8"/>
        <v>3.6764705882352942E-2</v>
      </c>
    </row>
    <row r="111" spans="1:61">
      <c r="A111" s="165">
        <f>'Conveyor Downtime (new)'!A107</f>
        <v>0</v>
      </c>
      <c r="O111" s="77"/>
      <c r="BH111">
        <f t="shared" si="7"/>
        <v>0</v>
      </c>
      <c r="BI111" s="351">
        <f t="shared" si="8"/>
        <v>0</v>
      </c>
    </row>
    <row r="112" spans="1:61">
      <c r="A112" s="165">
        <f>'Conveyor Downtime (new)'!A108</f>
        <v>0</v>
      </c>
      <c r="B112" s="346"/>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c r="AH112" s="346"/>
      <c r="AI112" s="346"/>
      <c r="AJ112" s="346"/>
      <c r="AK112" s="346"/>
      <c r="AL112" s="346"/>
      <c r="AM112" s="346"/>
      <c r="AN112" s="346"/>
      <c r="AO112" s="346"/>
      <c r="AP112" s="346"/>
      <c r="AQ112" s="346"/>
      <c r="AR112" s="346"/>
      <c r="AS112" s="346"/>
      <c r="AT112" s="346"/>
      <c r="AU112" s="346"/>
      <c r="AV112" s="346"/>
      <c r="AW112" s="346"/>
      <c r="AX112" s="346"/>
      <c r="AY112" s="346"/>
      <c r="AZ112" s="346"/>
      <c r="BA112" s="346"/>
      <c r="BB112" s="346"/>
      <c r="BC112" s="346"/>
      <c r="BD112" s="346"/>
      <c r="BE112" s="346"/>
      <c r="BF112" s="346"/>
      <c r="BG112" s="346"/>
      <c r="BH112">
        <f t="shared" si="7"/>
        <v>0</v>
      </c>
      <c r="BI112" s="351">
        <f t="shared" si="8"/>
        <v>0</v>
      </c>
    </row>
    <row r="113" spans="1:61">
      <c r="A113" s="165">
        <f>'Conveyor Downtime (new)'!A109</f>
        <v>0</v>
      </c>
      <c r="BH113">
        <f t="shared" si="7"/>
        <v>0</v>
      </c>
      <c r="BI113" s="351">
        <f t="shared" si="8"/>
        <v>0</v>
      </c>
    </row>
    <row r="114" spans="1:61">
      <c r="A114" s="165">
        <f>'Conveyor Downtime (new)'!A110</f>
        <v>0</v>
      </c>
      <c r="B114" s="346"/>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c r="AH114" s="346"/>
      <c r="AI114" s="346"/>
      <c r="AJ114" s="346"/>
      <c r="AK114" s="346"/>
      <c r="AL114" s="346"/>
      <c r="AM114" s="346"/>
      <c r="AN114" s="346"/>
      <c r="AO114" s="346"/>
      <c r="AP114" s="346"/>
      <c r="AQ114" s="346"/>
      <c r="AR114" s="346"/>
      <c r="AS114" s="346"/>
      <c r="AT114" s="346"/>
      <c r="AU114" s="346"/>
      <c r="AV114" s="346"/>
      <c r="AW114" s="346"/>
      <c r="AX114" s="346"/>
      <c r="AY114" s="346"/>
      <c r="AZ114" s="346"/>
      <c r="BA114" s="346"/>
      <c r="BB114" s="346"/>
      <c r="BC114" s="346"/>
      <c r="BD114" s="346"/>
      <c r="BE114" s="346"/>
      <c r="BF114" s="346"/>
      <c r="BG114" s="346"/>
      <c r="BH114">
        <f t="shared" si="7"/>
        <v>0</v>
      </c>
      <c r="BI114" s="351">
        <f t="shared" si="8"/>
        <v>0</v>
      </c>
    </row>
    <row r="115" spans="1:61">
      <c r="A115" s="165">
        <f>'Conveyor Downtime (new)'!A111</f>
        <v>0</v>
      </c>
      <c r="BH115">
        <f t="shared" si="7"/>
        <v>0</v>
      </c>
      <c r="BI115" s="351">
        <f t="shared" si="8"/>
        <v>0</v>
      </c>
    </row>
    <row r="116" spans="1:61">
      <c r="A116" s="165">
        <f>'Conveyor Downtime (new)'!A112</f>
        <v>0</v>
      </c>
      <c r="B116" s="346"/>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s="346"/>
      <c r="AJ116" s="346"/>
      <c r="AK116" s="346"/>
      <c r="AL116" s="346"/>
      <c r="AM116" s="346"/>
      <c r="AN116" s="346"/>
      <c r="AO116" s="346"/>
      <c r="AP116" s="346"/>
      <c r="AQ116" s="346"/>
      <c r="AR116" s="346"/>
      <c r="AS116" s="346"/>
      <c r="AT116" s="346"/>
      <c r="AU116" s="346"/>
      <c r="AV116" s="346"/>
      <c r="AW116" s="346"/>
      <c r="AX116" s="346"/>
      <c r="AY116" s="346"/>
      <c r="AZ116" s="346"/>
      <c r="BA116" s="346"/>
      <c r="BB116" s="346"/>
      <c r="BC116" s="346"/>
      <c r="BD116" s="346"/>
      <c r="BE116" s="346"/>
      <c r="BF116" s="346"/>
      <c r="BG116" s="346"/>
      <c r="BH116">
        <f t="shared" si="7"/>
        <v>0</v>
      </c>
      <c r="BI116" s="351">
        <f t="shared" si="8"/>
        <v>0</v>
      </c>
    </row>
    <row r="117" spans="1:61">
      <c r="A117" s="165">
        <f>'Conveyor Downtime (new)'!A113</f>
        <v>0</v>
      </c>
      <c r="BH117">
        <f t="shared" si="7"/>
        <v>0</v>
      </c>
      <c r="BI117" s="351">
        <f t="shared" si="8"/>
        <v>0</v>
      </c>
    </row>
    <row r="118" spans="1:61">
      <c r="A118" s="165">
        <f>'Conveyor Downtime (new)'!A114</f>
        <v>0</v>
      </c>
      <c r="B118" s="346"/>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c r="AH118" s="346"/>
      <c r="AI118" s="346"/>
      <c r="AJ118" s="346"/>
      <c r="AK118" s="346"/>
      <c r="AL118" s="346"/>
      <c r="AM118" s="346"/>
      <c r="AN118" s="346"/>
      <c r="AO118" s="346"/>
      <c r="AP118" s="346"/>
      <c r="AQ118" s="346"/>
      <c r="AR118" s="346"/>
      <c r="AS118" s="346"/>
      <c r="AT118" s="346"/>
      <c r="AU118" s="346"/>
      <c r="AV118" s="346"/>
      <c r="AW118" s="346"/>
      <c r="AX118" s="346"/>
      <c r="AY118" s="346"/>
      <c r="AZ118" s="346"/>
      <c r="BA118" s="346"/>
      <c r="BB118" s="346"/>
      <c r="BC118" s="346"/>
      <c r="BD118" s="346"/>
      <c r="BE118" s="346"/>
      <c r="BF118" s="346"/>
      <c r="BG118" s="346"/>
      <c r="BH118">
        <f t="shared" si="7"/>
        <v>0</v>
      </c>
      <c r="BI118" s="351">
        <f t="shared" si="8"/>
        <v>0</v>
      </c>
    </row>
    <row r="119" spans="1:61">
      <c r="A119" s="165">
        <f>'Conveyor Downtime (new)'!A115</f>
        <v>0</v>
      </c>
      <c r="BH119">
        <f t="shared" si="7"/>
        <v>0</v>
      </c>
      <c r="BI119" s="351">
        <f t="shared" si="8"/>
        <v>0</v>
      </c>
    </row>
    <row r="120" spans="1:61">
      <c r="A120" s="165">
        <f>'Conveyor Downtime (new)'!A116</f>
        <v>0</v>
      </c>
      <c r="B120" s="346"/>
      <c r="C120" s="346"/>
      <c r="D120" s="346"/>
      <c r="E120" s="346"/>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c r="AH120" s="346"/>
      <c r="AI120" s="346"/>
      <c r="AJ120" s="346"/>
      <c r="AK120" s="346"/>
      <c r="AL120" s="346"/>
      <c r="AM120" s="346"/>
      <c r="AN120" s="346"/>
      <c r="AO120" s="346"/>
      <c r="AP120" s="346"/>
      <c r="AQ120" s="346"/>
      <c r="AR120" s="346"/>
      <c r="AS120" s="346"/>
      <c r="AT120" s="346"/>
      <c r="AU120" s="346"/>
      <c r="AV120" s="346"/>
      <c r="AW120" s="346"/>
      <c r="AX120" s="346"/>
      <c r="AY120" s="346"/>
      <c r="AZ120" s="346"/>
      <c r="BA120" s="346"/>
      <c r="BB120" s="346"/>
      <c r="BC120" s="346"/>
      <c r="BD120" s="346"/>
      <c r="BE120" s="346"/>
      <c r="BF120" s="346"/>
      <c r="BG120" s="346"/>
      <c r="BH120">
        <f t="shared" si="7"/>
        <v>0</v>
      </c>
      <c r="BI120" s="351">
        <f t="shared" si="8"/>
        <v>0</v>
      </c>
    </row>
    <row r="121" spans="1:61">
      <c r="A121" s="165"/>
      <c r="BH121">
        <f t="shared" si="7"/>
        <v>0</v>
      </c>
      <c r="BI121" s="351">
        <f t="shared" si="8"/>
        <v>0</v>
      </c>
    </row>
    <row r="122" spans="1:61">
      <c r="A122" s="165"/>
      <c r="BH122">
        <f t="shared" si="7"/>
        <v>0</v>
      </c>
      <c r="BI122" s="351">
        <f t="shared" si="8"/>
        <v>0</v>
      </c>
    </row>
    <row r="123" spans="1:61" ht="15">
      <c r="A123" s="347" t="s">
        <v>173</v>
      </c>
      <c r="B123" s="347">
        <f t="shared" ref="B123:BF123" si="9">SUM(B71:B122)</f>
        <v>0</v>
      </c>
      <c r="C123" s="347">
        <f t="shared" si="9"/>
        <v>0</v>
      </c>
      <c r="D123" s="347">
        <f t="shared" si="9"/>
        <v>0</v>
      </c>
      <c r="E123" s="347">
        <f t="shared" si="9"/>
        <v>0</v>
      </c>
      <c r="F123" s="347">
        <f t="shared" si="9"/>
        <v>0</v>
      </c>
      <c r="G123" s="347">
        <f t="shared" si="9"/>
        <v>2433</v>
      </c>
      <c r="H123" s="347">
        <f t="shared" si="9"/>
        <v>406</v>
      </c>
      <c r="I123" s="347">
        <f t="shared" si="9"/>
        <v>392</v>
      </c>
      <c r="J123" s="347">
        <f t="shared" si="9"/>
        <v>0</v>
      </c>
      <c r="K123" s="347">
        <f t="shared" si="9"/>
        <v>0</v>
      </c>
      <c r="L123" s="347">
        <f t="shared" si="9"/>
        <v>0</v>
      </c>
      <c r="M123" s="347">
        <f t="shared" si="9"/>
        <v>7</v>
      </c>
      <c r="N123" s="347">
        <f t="shared" si="9"/>
        <v>0</v>
      </c>
      <c r="O123" s="347">
        <f t="shared" si="9"/>
        <v>0</v>
      </c>
      <c r="P123" s="347">
        <f t="shared" si="9"/>
        <v>9</v>
      </c>
      <c r="Q123" s="347">
        <f t="shared" si="9"/>
        <v>0</v>
      </c>
      <c r="R123" s="347">
        <f t="shared" si="9"/>
        <v>0</v>
      </c>
      <c r="S123" s="347">
        <f t="shared" si="9"/>
        <v>0</v>
      </c>
      <c r="T123" s="347">
        <f t="shared" si="9"/>
        <v>0</v>
      </c>
      <c r="U123" s="347">
        <f t="shared" si="9"/>
        <v>3</v>
      </c>
      <c r="V123" s="347">
        <f t="shared" si="9"/>
        <v>0</v>
      </c>
      <c r="W123" s="347">
        <f t="shared" si="9"/>
        <v>0</v>
      </c>
      <c r="X123" s="347">
        <f t="shared" si="9"/>
        <v>0</v>
      </c>
      <c r="Y123" s="347">
        <f t="shared" si="9"/>
        <v>0</v>
      </c>
      <c r="Z123" s="347">
        <f t="shared" si="9"/>
        <v>0</v>
      </c>
      <c r="AA123" s="347">
        <f t="shared" si="9"/>
        <v>0</v>
      </c>
      <c r="AB123" s="347">
        <f t="shared" si="9"/>
        <v>0</v>
      </c>
      <c r="AC123" s="347">
        <f t="shared" si="9"/>
        <v>0</v>
      </c>
      <c r="AD123" s="347">
        <f t="shared" si="9"/>
        <v>0</v>
      </c>
      <c r="AE123" s="347">
        <f t="shared" si="9"/>
        <v>25</v>
      </c>
      <c r="AF123" s="347">
        <f t="shared" si="9"/>
        <v>0</v>
      </c>
      <c r="AG123" s="347">
        <f t="shared" si="9"/>
        <v>0</v>
      </c>
      <c r="AH123" s="347">
        <f t="shared" si="9"/>
        <v>0</v>
      </c>
      <c r="AI123" s="347">
        <f t="shared" si="9"/>
        <v>0</v>
      </c>
      <c r="AJ123" s="347">
        <f t="shared" si="9"/>
        <v>0</v>
      </c>
      <c r="AK123" s="347">
        <f t="shared" si="9"/>
        <v>17</v>
      </c>
      <c r="AL123" s="347">
        <f t="shared" si="9"/>
        <v>0</v>
      </c>
      <c r="AM123" s="347">
        <f t="shared" si="9"/>
        <v>44</v>
      </c>
      <c r="AN123" s="347">
        <f t="shared" si="9"/>
        <v>0</v>
      </c>
      <c r="AO123" s="347">
        <f t="shared" si="9"/>
        <v>0</v>
      </c>
      <c r="AP123" s="347">
        <f t="shared" si="9"/>
        <v>0</v>
      </c>
      <c r="AQ123" s="347">
        <f t="shared" si="9"/>
        <v>0</v>
      </c>
      <c r="AR123" s="347">
        <f t="shared" si="9"/>
        <v>0</v>
      </c>
      <c r="AS123" s="347">
        <f t="shared" si="9"/>
        <v>5</v>
      </c>
      <c r="AT123" s="347">
        <f t="shared" si="9"/>
        <v>0</v>
      </c>
      <c r="AU123" s="347">
        <f t="shared" si="9"/>
        <v>0</v>
      </c>
      <c r="AV123" s="347">
        <f t="shared" si="9"/>
        <v>0</v>
      </c>
      <c r="AW123" s="347">
        <f t="shared" si="9"/>
        <v>0</v>
      </c>
      <c r="AX123" s="347">
        <f t="shared" si="9"/>
        <v>0</v>
      </c>
      <c r="AY123" s="347">
        <f t="shared" si="9"/>
        <v>0</v>
      </c>
      <c r="AZ123" s="347">
        <f t="shared" si="9"/>
        <v>0</v>
      </c>
      <c r="BA123" s="347">
        <f t="shared" si="9"/>
        <v>0</v>
      </c>
      <c r="BB123" s="347">
        <f t="shared" si="9"/>
        <v>0</v>
      </c>
      <c r="BC123" s="347">
        <f t="shared" si="9"/>
        <v>7</v>
      </c>
      <c r="BD123" s="347">
        <f t="shared" si="9"/>
        <v>0</v>
      </c>
      <c r="BE123" s="347">
        <f t="shared" si="9"/>
        <v>0</v>
      </c>
      <c r="BF123" s="347">
        <f t="shared" si="9"/>
        <v>236</v>
      </c>
      <c r="BG123" s="347">
        <f>SUM(BG71:BG122)</f>
        <v>88</v>
      </c>
      <c r="BH123" s="347">
        <f>SUM(BH71:BH122)</f>
        <v>3672</v>
      </c>
    </row>
    <row r="124" spans="1:61" ht="15.75" thickBot="1">
      <c r="A124" s="348" t="s">
        <v>174</v>
      </c>
      <c r="B124" s="348">
        <f t="shared" ref="B124:L124" si="10">B123/$BH123</f>
        <v>0</v>
      </c>
      <c r="C124" s="348">
        <f t="shared" si="10"/>
        <v>0</v>
      </c>
      <c r="D124" s="348">
        <f t="shared" si="10"/>
        <v>0</v>
      </c>
      <c r="E124" s="348">
        <f t="shared" si="10"/>
        <v>0</v>
      </c>
      <c r="F124" s="348">
        <f t="shared" si="10"/>
        <v>0</v>
      </c>
      <c r="G124" s="348">
        <f t="shared" si="10"/>
        <v>0.66258169934640521</v>
      </c>
      <c r="H124" s="348">
        <f t="shared" si="10"/>
        <v>0.11056644880174292</v>
      </c>
      <c r="I124" s="348">
        <f t="shared" si="10"/>
        <v>0.10675381263616558</v>
      </c>
      <c r="J124" s="348">
        <f t="shared" si="10"/>
        <v>0</v>
      </c>
      <c r="K124" s="348">
        <f t="shared" si="10"/>
        <v>0</v>
      </c>
      <c r="L124" s="348">
        <f t="shared" si="10"/>
        <v>0</v>
      </c>
      <c r="M124" s="348">
        <f t="shared" ref="M124:Z124" si="11">M123/$BH123</f>
        <v>1.906318082788671E-3</v>
      </c>
      <c r="N124" s="348">
        <f t="shared" si="11"/>
        <v>0</v>
      </c>
      <c r="O124" s="348">
        <f t="shared" si="11"/>
        <v>0</v>
      </c>
      <c r="P124" s="348">
        <f t="shared" si="11"/>
        <v>2.4509803921568627E-3</v>
      </c>
      <c r="Q124" s="348">
        <f t="shared" si="11"/>
        <v>0</v>
      </c>
      <c r="R124" s="348">
        <f t="shared" si="11"/>
        <v>0</v>
      </c>
      <c r="S124" s="348">
        <f t="shared" si="11"/>
        <v>0</v>
      </c>
      <c r="T124" s="348">
        <f t="shared" si="11"/>
        <v>0</v>
      </c>
      <c r="U124" s="348">
        <f t="shared" si="11"/>
        <v>8.1699346405228761E-4</v>
      </c>
      <c r="V124" s="348">
        <f t="shared" si="11"/>
        <v>0</v>
      </c>
      <c r="W124" s="348">
        <f t="shared" si="11"/>
        <v>0</v>
      </c>
      <c r="X124" s="348">
        <f t="shared" si="11"/>
        <v>0</v>
      </c>
      <c r="Y124" s="348">
        <f t="shared" si="11"/>
        <v>0</v>
      </c>
      <c r="Z124" s="348">
        <f t="shared" si="11"/>
        <v>0</v>
      </c>
      <c r="AA124" s="348">
        <f t="shared" ref="AA124:AJ124" si="12">AA123/$BH123</f>
        <v>0</v>
      </c>
      <c r="AB124" s="348">
        <f t="shared" si="12"/>
        <v>0</v>
      </c>
      <c r="AC124" s="348">
        <f t="shared" si="12"/>
        <v>0</v>
      </c>
      <c r="AD124" s="348">
        <f t="shared" si="12"/>
        <v>0</v>
      </c>
      <c r="AE124" s="348">
        <f t="shared" si="12"/>
        <v>6.8082788671023969E-3</v>
      </c>
      <c r="AF124" s="348">
        <f t="shared" si="12"/>
        <v>0</v>
      </c>
      <c r="AG124" s="348">
        <f t="shared" si="12"/>
        <v>0</v>
      </c>
      <c r="AH124" s="348">
        <f t="shared" si="12"/>
        <v>0</v>
      </c>
      <c r="AI124" s="348">
        <f t="shared" si="12"/>
        <v>0</v>
      </c>
      <c r="AJ124" s="348">
        <f t="shared" si="12"/>
        <v>0</v>
      </c>
      <c r="AK124" s="348">
        <f t="shared" ref="AK124:BG124" si="13">AK123/$BH123</f>
        <v>4.6296296296296294E-3</v>
      </c>
      <c r="AL124" s="348">
        <f t="shared" si="13"/>
        <v>0</v>
      </c>
      <c r="AM124" s="348">
        <f t="shared" si="13"/>
        <v>1.1982570806100218E-2</v>
      </c>
      <c r="AN124" s="348">
        <f t="shared" si="13"/>
        <v>0</v>
      </c>
      <c r="AO124" s="348">
        <f t="shared" si="13"/>
        <v>0</v>
      </c>
      <c r="AP124" s="348">
        <f t="shared" si="13"/>
        <v>0</v>
      </c>
      <c r="AQ124" s="348">
        <f t="shared" si="13"/>
        <v>0</v>
      </c>
      <c r="AR124" s="348">
        <f t="shared" si="13"/>
        <v>0</v>
      </c>
      <c r="AS124" s="348">
        <f t="shared" si="13"/>
        <v>1.3616557734204794E-3</v>
      </c>
      <c r="AT124" s="348">
        <f t="shared" si="13"/>
        <v>0</v>
      </c>
      <c r="AU124" s="348">
        <f t="shared" si="13"/>
        <v>0</v>
      </c>
      <c r="AV124" s="348">
        <f t="shared" si="13"/>
        <v>0</v>
      </c>
      <c r="AW124" s="348">
        <f t="shared" si="13"/>
        <v>0</v>
      </c>
      <c r="AX124" s="348">
        <f t="shared" si="13"/>
        <v>0</v>
      </c>
      <c r="AY124" s="348">
        <f t="shared" si="13"/>
        <v>0</v>
      </c>
      <c r="AZ124" s="348">
        <f t="shared" si="13"/>
        <v>0</v>
      </c>
      <c r="BA124" s="348">
        <f t="shared" si="13"/>
        <v>0</v>
      </c>
      <c r="BB124" s="348">
        <f t="shared" si="13"/>
        <v>0</v>
      </c>
      <c r="BC124" s="348">
        <f t="shared" si="13"/>
        <v>1.906318082788671E-3</v>
      </c>
      <c r="BD124" s="348">
        <f t="shared" si="13"/>
        <v>0</v>
      </c>
      <c r="BE124" s="348">
        <f t="shared" si="13"/>
        <v>0</v>
      </c>
      <c r="BF124" s="348">
        <f t="shared" si="13"/>
        <v>6.4270152505446626E-2</v>
      </c>
      <c r="BG124" s="348">
        <f t="shared" si="13"/>
        <v>2.3965141612200435E-2</v>
      </c>
      <c r="BH124" s="351"/>
    </row>
    <row r="126" spans="1:61">
      <c r="A126" s="165"/>
    </row>
    <row r="127" spans="1:61">
      <c r="A127" s="165"/>
    </row>
    <row r="128" spans="1:61">
      <c r="A128" s="165"/>
      <c r="BI128" s="351"/>
    </row>
    <row r="129" spans="1:61">
      <c r="A129" s="165">
        <f>'Conveyor Downtime (new)'!A124</f>
        <v>46083</v>
      </c>
      <c r="B129" s="346"/>
      <c r="C129" s="346"/>
      <c r="D129" s="346"/>
      <c r="E129" s="346"/>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c r="AK129" s="346"/>
      <c r="AL129" s="346"/>
      <c r="AM129" s="346"/>
      <c r="AN129" s="346"/>
      <c r="AO129" s="346"/>
      <c r="AP129" s="346"/>
      <c r="AQ129" s="346"/>
      <c r="AR129" s="346"/>
      <c r="AS129" s="346"/>
      <c r="AT129" s="346"/>
      <c r="AU129" s="346"/>
      <c r="AV129" s="346"/>
      <c r="AW129" s="346"/>
      <c r="AX129" s="346"/>
      <c r="AY129" s="346"/>
      <c r="AZ129" s="346"/>
      <c r="BA129" s="346"/>
      <c r="BB129" s="346"/>
      <c r="BC129" s="346"/>
      <c r="BD129" s="346"/>
      <c r="BE129" s="346"/>
      <c r="BF129" s="346">
        <v>4</v>
      </c>
      <c r="BG129" s="346"/>
      <c r="BH129">
        <f t="shared" ref="BH129:BH159" si="14">SUM(B129:BG129)</f>
        <v>4</v>
      </c>
      <c r="BI129" s="351">
        <f>BH129/$BH$184</f>
        <v>9.5556617295747726E-4</v>
      </c>
    </row>
    <row r="130" spans="1:61">
      <c r="A130" s="165">
        <f>'Conveyor Downtime (new)'!A125</f>
        <v>46083</v>
      </c>
      <c r="H130">
        <f>4+4+5+3</f>
        <v>16</v>
      </c>
      <c r="I130">
        <f>3+2+3+4+4</f>
        <v>16</v>
      </c>
      <c r="BF130">
        <f>2+4+3+4+3+4+4+5+2+2+4+23+3+4+2+2+4+3+4+2+3+4+4+8</f>
        <v>103</v>
      </c>
      <c r="BH130">
        <f t="shared" si="14"/>
        <v>135</v>
      </c>
      <c r="BI130" s="351">
        <f>BH130/$BH$184</f>
        <v>3.2250358337314856E-2</v>
      </c>
    </row>
    <row r="131" spans="1:61">
      <c r="A131" s="165">
        <f>'Conveyor Downtime (new)'!A126</f>
        <v>46084</v>
      </c>
      <c r="B131" s="346"/>
      <c r="C131" s="346"/>
      <c r="D131" s="346"/>
      <c r="E131" s="346"/>
      <c r="F131" s="346"/>
      <c r="G131" s="346"/>
      <c r="H131" s="346">
        <f>3+3+5+4+5+4+3</f>
        <v>27</v>
      </c>
      <c r="I131" s="346">
        <f>5+3+11+3+3+4+4+2+12+15+14+4</f>
        <v>80</v>
      </c>
      <c r="J131" s="346"/>
      <c r="K131" s="346"/>
      <c r="L131" s="346"/>
      <c r="M131" s="346"/>
      <c r="N131" s="346"/>
      <c r="O131" s="346"/>
      <c r="P131" s="346"/>
      <c r="Q131" s="346"/>
      <c r="R131" s="346"/>
      <c r="S131" s="346">
        <v>14</v>
      </c>
      <c r="T131" s="346"/>
      <c r="U131" s="346"/>
      <c r="V131" s="346"/>
      <c r="W131" s="346"/>
      <c r="X131" s="346"/>
      <c r="Y131" s="346"/>
      <c r="Z131" s="346"/>
      <c r="AA131" s="346"/>
      <c r="AB131" s="346"/>
      <c r="AC131" s="346"/>
      <c r="AD131" s="346"/>
      <c r="AE131" s="346"/>
      <c r="AF131" s="346"/>
      <c r="AG131" s="346"/>
      <c r="AH131" s="346"/>
      <c r="AI131" s="346"/>
      <c r="AJ131" s="346">
        <v>4</v>
      </c>
      <c r="AK131" s="346"/>
      <c r="AL131" s="346"/>
      <c r="AM131" s="346"/>
      <c r="AN131" s="346"/>
      <c r="AO131" s="346"/>
      <c r="AP131" s="346"/>
      <c r="AQ131" s="346"/>
      <c r="AR131" s="346"/>
      <c r="AS131" s="346"/>
      <c r="AT131" s="346"/>
      <c r="AU131" s="346"/>
      <c r="AV131" s="346"/>
      <c r="AW131" s="346"/>
      <c r="AX131" s="346"/>
      <c r="AY131" s="346"/>
      <c r="AZ131" s="346"/>
      <c r="BA131" s="346"/>
      <c r="BB131" s="346"/>
      <c r="BC131" s="346"/>
      <c r="BD131" s="346"/>
      <c r="BE131" s="346"/>
      <c r="BF131" s="346">
        <f>6+4+4+3+3+2+5+4+4+2+3+4+7+8</f>
        <v>59</v>
      </c>
      <c r="BG131" s="346"/>
      <c r="BH131">
        <f t="shared" si="14"/>
        <v>184</v>
      </c>
      <c r="BI131" s="351">
        <f>BH131/$BH$184</f>
        <v>4.3956043956043959E-2</v>
      </c>
    </row>
    <row r="132" spans="1:61">
      <c r="A132" s="165">
        <f>'Conveyor Downtime (new)'!A127</f>
        <v>46085</v>
      </c>
      <c r="H132">
        <f>5+5+5+4+6</f>
        <v>25</v>
      </c>
      <c r="I132">
        <f>23+4</f>
        <v>27</v>
      </c>
      <c r="BF132">
        <v>3</v>
      </c>
      <c r="BH132">
        <f t="shared" si="14"/>
        <v>55</v>
      </c>
      <c r="BI132" s="351">
        <f>BH132/$BH$184</f>
        <v>1.3139034878165312E-2</v>
      </c>
    </row>
    <row r="133" spans="1:61">
      <c r="A133" s="165">
        <f>'Conveyor Downtime (new)'!A128</f>
        <v>46085</v>
      </c>
      <c r="H133">
        <f>2+2+3+4+4+4+2+3+4+4</f>
        <v>32</v>
      </c>
      <c r="I133">
        <f>2+4+2+2+9+6</f>
        <v>25</v>
      </c>
      <c r="BF133">
        <f>5+4+4+4</f>
        <v>17</v>
      </c>
      <c r="BH133">
        <f t="shared" si="14"/>
        <v>74</v>
      </c>
      <c r="BI133" s="351">
        <f t="shared" ref="BI133:BI138" si="15">BH133/$BH$184</f>
        <v>1.7677974199713332E-2</v>
      </c>
    </row>
    <row r="134" spans="1:61">
      <c r="A134" s="165">
        <f>'Conveyor Downtime (new)'!A129</f>
        <v>46086</v>
      </c>
      <c r="B134" s="346"/>
      <c r="C134" s="346"/>
      <c r="D134" s="346"/>
      <c r="E134" s="346"/>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c r="AK134" s="346"/>
      <c r="AL134" s="346"/>
      <c r="AM134" s="346"/>
      <c r="AN134" s="346"/>
      <c r="AO134" s="346"/>
      <c r="AP134" s="346"/>
      <c r="AQ134" s="346"/>
      <c r="AR134" s="346"/>
      <c r="AS134" s="346"/>
      <c r="AT134" s="346"/>
      <c r="AU134" s="346"/>
      <c r="AV134" s="346"/>
      <c r="AW134" s="346"/>
      <c r="AX134" s="346"/>
      <c r="AY134" s="346"/>
      <c r="AZ134" s="346"/>
      <c r="BA134" s="346"/>
      <c r="BB134" s="346"/>
      <c r="BC134" s="346"/>
      <c r="BD134" s="346"/>
      <c r="BE134" s="346"/>
      <c r="BF134" s="346">
        <f>5+4+4</f>
        <v>13</v>
      </c>
      <c r="BG134" s="346"/>
      <c r="BH134">
        <f t="shared" si="14"/>
        <v>13</v>
      </c>
      <c r="BI134" s="351">
        <f t="shared" si="15"/>
        <v>3.105590062111801E-3</v>
      </c>
    </row>
    <row r="135" spans="1:61">
      <c r="A135" s="165">
        <f>'Conveyor Downtime (new)'!A130</f>
        <v>46086</v>
      </c>
      <c r="AZ135">
        <f>26+5</f>
        <v>31</v>
      </c>
      <c r="BF135">
        <f>3+3+5+4+4+6+6+9+6+5+3+3+2+5+5+3+4+4+6+3+3+5+3+8+4+4+3+5+3</f>
        <v>127</v>
      </c>
      <c r="BH135">
        <f t="shared" si="14"/>
        <v>158</v>
      </c>
      <c r="BI135" s="351">
        <f t="shared" si="15"/>
        <v>3.7744863831820352E-2</v>
      </c>
    </row>
    <row r="136" spans="1:61">
      <c r="A136" s="165">
        <f>'Conveyor Downtime (new)'!A131</f>
        <v>46087</v>
      </c>
      <c r="B136" s="346"/>
      <c r="C136" s="346"/>
      <c r="D136" s="346"/>
      <c r="E136" s="346"/>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c r="AK136" s="346"/>
      <c r="AL136" s="346"/>
      <c r="AM136" s="346"/>
      <c r="AN136" s="346"/>
      <c r="AO136" s="346"/>
      <c r="AP136" s="346"/>
      <c r="AQ136" s="346"/>
      <c r="AR136" s="346"/>
      <c r="AS136" s="346"/>
      <c r="AT136" s="346"/>
      <c r="AU136" s="346"/>
      <c r="AV136" s="346"/>
      <c r="AW136" s="346"/>
      <c r="AX136" s="346"/>
      <c r="AY136" s="346"/>
      <c r="AZ136" s="346"/>
      <c r="BA136" s="346"/>
      <c r="BB136" s="346"/>
      <c r="BC136" s="346"/>
      <c r="BD136" s="346"/>
      <c r="BE136" s="346"/>
      <c r="BF136" s="346">
        <f>4+4+4+3+5+6+4</f>
        <v>30</v>
      </c>
      <c r="BG136" s="346"/>
      <c r="BH136">
        <f t="shared" si="14"/>
        <v>30</v>
      </c>
      <c r="BI136" s="351">
        <f t="shared" si="15"/>
        <v>7.16674629718108E-3</v>
      </c>
    </row>
    <row r="137" spans="1:61">
      <c r="A137" s="165">
        <f>'Conveyor Downtime (new)'!A132</f>
        <v>46087</v>
      </c>
      <c r="H137">
        <f>2+3+4+3</f>
        <v>12</v>
      </c>
      <c r="I137">
        <f>3</f>
        <v>3</v>
      </c>
      <c r="BF137">
        <f>5+6+5+3+2+3+3+4</f>
        <v>31</v>
      </c>
      <c r="BH137">
        <f t="shared" si="14"/>
        <v>46</v>
      </c>
      <c r="BI137" s="351">
        <f t="shared" si="15"/>
        <v>1.098901098901099E-2</v>
      </c>
    </row>
    <row r="138" spans="1:61">
      <c r="A138" s="165">
        <f>'Conveyor Downtime (new)'!A133</f>
        <v>46087</v>
      </c>
      <c r="B138" s="346"/>
      <c r="C138" s="346"/>
      <c r="D138" s="346"/>
      <c r="E138" s="346"/>
      <c r="F138" s="346"/>
      <c r="G138" s="346"/>
      <c r="H138" s="346">
        <f>2+3+3</f>
        <v>8</v>
      </c>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c r="AK138" s="346"/>
      <c r="AL138" s="346"/>
      <c r="AM138" s="346"/>
      <c r="AN138" s="346"/>
      <c r="AO138" s="346"/>
      <c r="AP138" s="346"/>
      <c r="AQ138" s="346"/>
      <c r="AR138" s="346"/>
      <c r="AS138" s="346"/>
      <c r="AT138" s="346"/>
      <c r="AU138" s="346"/>
      <c r="AV138" s="346"/>
      <c r="AW138" s="346"/>
      <c r="AX138" s="346"/>
      <c r="AY138" s="346"/>
      <c r="AZ138" s="346"/>
      <c r="BA138" s="346"/>
      <c r="BB138" s="346"/>
      <c r="BC138" s="346"/>
      <c r="BD138" s="346"/>
      <c r="BE138" s="346"/>
      <c r="BF138" s="346">
        <f>3+2+3+3+4+4+3</f>
        <v>22</v>
      </c>
      <c r="BG138" s="346"/>
      <c r="BH138">
        <f t="shared" si="14"/>
        <v>30</v>
      </c>
      <c r="BI138" s="351">
        <f t="shared" si="15"/>
        <v>7.16674629718108E-3</v>
      </c>
    </row>
    <row r="139" spans="1:61">
      <c r="A139" s="165">
        <f>'Conveyor Downtime (new)'!A134</f>
        <v>46089</v>
      </c>
      <c r="H139">
        <f>4+6+3+3+4+5</f>
        <v>25</v>
      </c>
      <c r="I139">
        <f>6+10+4+3+6+3</f>
        <v>32</v>
      </c>
      <c r="AC139" s="77"/>
      <c r="BF139">
        <f>5+5+3+4+2</f>
        <v>19</v>
      </c>
      <c r="BH139">
        <f t="shared" si="14"/>
        <v>76</v>
      </c>
      <c r="BI139" s="351">
        <f t="shared" ref="BI139:BI183" si="16">BH139/$BH$184</f>
        <v>1.8155757286192068E-2</v>
      </c>
    </row>
    <row r="140" spans="1:61">
      <c r="A140" s="165">
        <f>'Conveyor Downtime (new)'!A135</f>
        <v>46090</v>
      </c>
      <c r="B140" s="346"/>
      <c r="C140" s="346"/>
      <c r="D140" s="346"/>
      <c r="E140" s="346"/>
      <c r="F140" s="346"/>
      <c r="G140" s="346"/>
      <c r="H140" s="346">
        <f>3+3+2</f>
        <v>8</v>
      </c>
      <c r="I140" s="346">
        <f>20+8+8+4+6+5+3+3</f>
        <v>57</v>
      </c>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c r="AK140" s="346"/>
      <c r="AL140" s="346"/>
      <c r="AM140" s="346"/>
      <c r="AN140" s="346"/>
      <c r="AO140" s="346"/>
      <c r="AP140" s="346"/>
      <c r="AQ140" s="346"/>
      <c r="AR140" s="346"/>
      <c r="AS140" s="346"/>
      <c r="AT140" s="346"/>
      <c r="AU140" s="346"/>
      <c r="AV140" s="346"/>
      <c r="AW140" s="346"/>
      <c r="AX140" s="346"/>
      <c r="AY140" s="346"/>
      <c r="AZ140" s="346"/>
      <c r="BA140" s="346"/>
      <c r="BB140" s="346"/>
      <c r="BC140" s="346"/>
      <c r="BD140" s="346"/>
      <c r="BE140" s="346"/>
      <c r="BF140" s="346">
        <f>5+4+5+3</f>
        <v>17</v>
      </c>
      <c r="BG140" s="346"/>
      <c r="BH140">
        <f t="shared" si="14"/>
        <v>82</v>
      </c>
      <c r="BI140" s="351">
        <f t="shared" si="16"/>
        <v>1.9589106545628284E-2</v>
      </c>
    </row>
    <row r="141" spans="1:61">
      <c r="A141" s="165">
        <f>'Conveyor Downtime (new)'!A136</f>
        <v>46091</v>
      </c>
      <c r="H141">
        <f>3+4+3</f>
        <v>10</v>
      </c>
      <c r="I141">
        <f>3+3+4+3+6+7+4</f>
        <v>30</v>
      </c>
      <c r="BF141">
        <f>3+3+5+5+3</f>
        <v>19</v>
      </c>
      <c r="BH141">
        <f t="shared" si="14"/>
        <v>59</v>
      </c>
      <c r="BI141" s="351">
        <f t="shared" si="16"/>
        <v>1.409460105112279E-2</v>
      </c>
    </row>
    <row r="142" spans="1:61">
      <c r="A142" s="165">
        <f>'Conveyor Downtime (new)'!A137</f>
        <v>46091</v>
      </c>
      <c r="B142" s="346"/>
      <c r="C142" s="346"/>
      <c r="D142" s="346"/>
      <c r="E142" s="346"/>
      <c r="F142" s="346"/>
      <c r="G142" s="346"/>
      <c r="H142" s="346"/>
      <c r="I142" s="346" t="s">
        <v>209</v>
      </c>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c r="AK142" s="346"/>
      <c r="AL142" s="346"/>
      <c r="AM142" s="346"/>
      <c r="AN142" s="346"/>
      <c r="AO142" s="346"/>
      <c r="AP142" s="346"/>
      <c r="AQ142" s="346"/>
      <c r="AR142" s="346"/>
      <c r="AS142" s="346"/>
      <c r="AT142" s="346"/>
      <c r="AU142" s="346"/>
      <c r="AV142" s="346"/>
      <c r="AW142" s="346"/>
      <c r="AX142" s="346"/>
      <c r="AY142" s="346"/>
      <c r="AZ142" s="346"/>
      <c r="BA142" s="346"/>
      <c r="BB142" s="346"/>
      <c r="BC142" s="346"/>
      <c r="BD142" s="346"/>
      <c r="BE142" s="346"/>
      <c r="BF142" s="346">
        <v>2</v>
      </c>
      <c r="BG142" s="346"/>
      <c r="BH142">
        <f t="shared" si="14"/>
        <v>2</v>
      </c>
      <c r="BI142" s="351">
        <f t="shared" si="16"/>
        <v>4.7778308647873863E-4</v>
      </c>
    </row>
    <row r="143" spans="1:61">
      <c r="A143" s="165">
        <f>'Conveyor Downtime (new)'!A138</f>
        <v>46092</v>
      </c>
      <c r="H143">
        <f>3</f>
        <v>3</v>
      </c>
      <c r="I143">
        <f>4+4</f>
        <v>8</v>
      </c>
      <c r="BF143">
        <f>4+2+4</f>
        <v>10</v>
      </c>
      <c r="BH143">
        <f t="shared" si="14"/>
        <v>21</v>
      </c>
      <c r="BI143" s="351">
        <f t="shared" si="16"/>
        <v>5.016722408026756E-3</v>
      </c>
    </row>
    <row r="144" spans="1:61">
      <c r="A144" s="165">
        <f>'Conveyor Downtime (new)'!A139</f>
        <v>46092</v>
      </c>
      <c r="B144" s="346"/>
      <c r="C144" s="346"/>
      <c r="D144" s="346"/>
      <c r="E144" s="346"/>
      <c r="F144" s="346"/>
      <c r="G144" s="346"/>
      <c r="H144" s="346">
        <f>6+4+4</f>
        <v>14</v>
      </c>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s="346"/>
      <c r="AL144" s="346"/>
      <c r="AM144" s="346"/>
      <c r="AN144" s="346"/>
      <c r="AO144" s="346"/>
      <c r="AP144" s="346"/>
      <c r="AQ144" s="346"/>
      <c r="AR144" s="346"/>
      <c r="AS144" s="346"/>
      <c r="AT144" s="346"/>
      <c r="AU144" s="346"/>
      <c r="AV144" s="346"/>
      <c r="AW144" s="346"/>
      <c r="AX144" s="346"/>
      <c r="AY144" s="346"/>
      <c r="AZ144" s="346"/>
      <c r="BA144" s="346"/>
      <c r="BB144" s="346"/>
      <c r="BC144" s="346"/>
      <c r="BD144" s="346"/>
      <c r="BE144" s="346"/>
      <c r="BF144" s="346">
        <f>4</f>
        <v>4</v>
      </c>
      <c r="BG144" s="346"/>
      <c r="BH144">
        <f t="shared" si="14"/>
        <v>18</v>
      </c>
      <c r="BI144" s="351">
        <f t="shared" si="16"/>
        <v>4.300047778308648E-3</v>
      </c>
    </row>
    <row r="145" spans="1:61">
      <c r="A145" s="165">
        <f>'Conveyor Downtime (new)'!A140</f>
        <v>46092</v>
      </c>
      <c r="H145">
        <f>3+4</f>
        <v>7</v>
      </c>
      <c r="I145">
        <f>4+5+5</f>
        <v>14</v>
      </c>
      <c r="AR145">
        <f>4</f>
        <v>4</v>
      </c>
      <c r="BF145">
        <v>10</v>
      </c>
      <c r="BH145">
        <f t="shared" si="14"/>
        <v>35</v>
      </c>
      <c r="BI145" s="351">
        <f t="shared" si="16"/>
        <v>8.3612040133779261E-3</v>
      </c>
    </row>
    <row r="146" spans="1:61">
      <c r="A146" s="165">
        <f>'Conveyor Downtime (new)'!A141</f>
        <v>46093</v>
      </c>
      <c r="B146" s="346"/>
      <c r="C146" s="346"/>
      <c r="D146" s="346"/>
      <c r="E146" s="346"/>
      <c r="F146" s="346"/>
      <c r="G146" s="346"/>
      <c r="H146" s="346">
        <f>3+5+4</f>
        <v>12</v>
      </c>
      <c r="I146" s="346">
        <f>5+3</f>
        <v>8</v>
      </c>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c r="AK146" s="346"/>
      <c r="AL146" s="346"/>
      <c r="AM146" s="346"/>
      <c r="AN146" s="346"/>
      <c r="AO146" s="346"/>
      <c r="AP146" s="346"/>
      <c r="AQ146" s="346"/>
      <c r="AR146" s="346"/>
      <c r="AS146" s="346"/>
      <c r="AT146" s="346"/>
      <c r="AU146" s="346"/>
      <c r="AV146" s="346"/>
      <c r="AW146" s="346"/>
      <c r="AX146" s="346"/>
      <c r="AY146" s="346"/>
      <c r="AZ146" s="346"/>
      <c r="BA146" s="346"/>
      <c r="BB146" s="346"/>
      <c r="BC146" s="346"/>
      <c r="BD146" s="346"/>
      <c r="BE146" s="346"/>
      <c r="BF146" s="346">
        <f>2+5+5+5+7</f>
        <v>24</v>
      </c>
      <c r="BG146" s="346"/>
      <c r="BH146">
        <f t="shared" si="14"/>
        <v>44</v>
      </c>
      <c r="BI146" s="351">
        <f t="shared" si="16"/>
        <v>1.051122790253225E-2</v>
      </c>
    </row>
    <row r="147" spans="1:61">
      <c r="A147" s="165">
        <f>'Conveyor Downtime (new)'!A142</f>
        <v>46093</v>
      </c>
      <c r="H147">
        <f>5</f>
        <v>5</v>
      </c>
      <c r="I147">
        <f>4+3+7+11+6+2+5</f>
        <v>38</v>
      </c>
      <c r="BH147">
        <f t="shared" si="14"/>
        <v>43</v>
      </c>
      <c r="BI147" s="351">
        <f t="shared" si="16"/>
        <v>1.0272336359292882E-2</v>
      </c>
    </row>
    <row r="148" spans="1:61">
      <c r="A148" s="165">
        <f>'Conveyor Downtime (new)'!A143</f>
        <v>46094</v>
      </c>
      <c r="B148" s="346"/>
      <c r="C148" s="346"/>
      <c r="D148" s="346"/>
      <c r="E148" s="346"/>
      <c r="F148" s="346"/>
      <c r="G148" s="346"/>
      <c r="H148" s="346">
        <f>4+5</f>
        <v>9</v>
      </c>
      <c r="I148" s="346">
        <f>4+3+4</f>
        <v>11</v>
      </c>
      <c r="J148" s="34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c r="AK148" s="346"/>
      <c r="AL148" s="346"/>
      <c r="AM148" s="346"/>
      <c r="AN148" s="346"/>
      <c r="AO148" s="346"/>
      <c r="AP148" s="346"/>
      <c r="AQ148" s="346"/>
      <c r="AR148" s="346"/>
      <c r="AS148" s="346"/>
      <c r="AT148" s="346"/>
      <c r="AU148" s="346"/>
      <c r="AV148" s="346"/>
      <c r="AW148" s="346"/>
      <c r="AX148" s="346"/>
      <c r="AY148" s="346"/>
      <c r="AZ148" s="346"/>
      <c r="BA148" s="346"/>
      <c r="BB148" s="346"/>
      <c r="BC148" s="346"/>
      <c r="BD148" s="346"/>
      <c r="BE148" s="346">
        <v>5</v>
      </c>
      <c r="BF148" s="346"/>
      <c r="BG148" s="346"/>
      <c r="BH148">
        <f t="shared" si="14"/>
        <v>25</v>
      </c>
      <c r="BI148" s="351">
        <f t="shared" si="16"/>
        <v>5.972288580984233E-3</v>
      </c>
    </row>
    <row r="149" spans="1:61">
      <c r="A149" s="165">
        <f>'Conveyor Downtime (new)'!A144</f>
        <v>46094</v>
      </c>
      <c r="I149">
        <f>4+2</f>
        <v>6</v>
      </c>
      <c r="BH149">
        <f t="shared" si="14"/>
        <v>6</v>
      </c>
      <c r="BI149" s="351">
        <f t="shared" si="16"/>
        <v>1.433349259436216E-3</v>
      </c>
    </row>
    <row r="150" spans="1:61">
      <c r="A150" s="165">
        <f>'Conveyor Downtime (new)'!A145</f>
        <v>46097</v>
      </c>
      <c r="B150" s="346"/>
      <c r="C150" s="346"/>
      <c r="D150" s="346"/>
      <c r="E150" s="346"/>
      <c r="F150" s="346"/>
      <c r="G150" s="346"/>
      <c r="H150" s="346"/>
      <c r="I150" s="346">
        <f>1+5+3</f>
        <v>9</v>
      </c>
      <c r="J150" s="346"/>
      <c r="K150" s="346"/>
      <c r="L150" s="346"/>
      <c r="M150" s="346"/>
      <c r="N150" s="346">
        <f>48+780</f>
        <v>828</v>
      </c>
      <c r="O150" s="346"/>
      <c r="P150" s="346">
        <f>3</f>
        <v>3</v>
      </c>
      <c r="Q150" s="346"/>
      <c r="R150" s="346"/>
      <c r="S150" s="346"/>
      <c r="T150" s="346"/>
      <c r="U150" s="346"/>
      <c r="V150" s="346"/>
      <c r="W150" s="346"/>
      <c r="X150" s="346"/>
      <c r="Y150" s="346"/>
      <c r="Z150" s="346"/>
      <c r="AA150" s="346"/>
      <c r="AB150" s="346"/>
      <c r="AC150" s="346"/>
      <c r="AD150" s="346"/>
      <c r="AE150" s="346"/>
      <c r="AF150" s="346"/>
      <c r="AG150" s="346"/>
      <c r="AH150" s="346"/>
      <c r="AI150" s="346"/>
      <c r="AJ150" s="346"/>
      <c r="AK150" s="346"/>
      <c r="AL150" s="346"/>
      <c r="AM150" s="346"/>
      <c r="AN150" s="346"/>
      <c r="AO150" s="346"/>
      <c r="AP150" s="346"/>
      <c r="AQ150" s="346"/>
      <c r="AR150" s="346"/>
      <c r="AS150" s="346"/>
      <c r="AT150" s="346"/>
      <c r="AU150" s="346"/>
      <c r="AV150" s="346"/>
      <c r="AW150" s="346"/>
      <c r="AX150" s="346"/>
      <c r="AY150" s="346"/>
      <c r="AZ150" s="346"/>
      <c r="BA150" s="346"/>
      <c r="BB150" s="346"/>
      <c r="BC150" s="346"/>
      <c r="BD150" s="346"/>
      <c r="BE150" s="346"/>
      <c r="BF150" s="346">
        <f>7</f>
        <v>7</v>
      </c>
      <c r="BG150" s="346"/>
      <c r="BH150">
        <f t="shared" si="14"/>
        <v>847</v>
      </c>
      <c r="BI150" s="351">
        <f t="shared" si="16"/>
        <v>0.20234113712374582</v>
      </c>
    </row>
    <row r="151" spans="1:61">
      <c r="A151" s="165">
        <f>'Conveyor Downtime (new)'!A146</f>
        <v>46098</v>
      </c>
      <c r="B151" s="70"/>
      <c r="C151" s="70"/>
      <c r="D151" s="70"/>
      <c r="E151" s="70"/>
      <c r="F151" s="70"/>
      <c r="G151" s="70"/>
      <c r="H151" s="70"/>
      <c r="I151" s="70"/>
      <c r="J151" s="70"/>
      <c r="K151" s="70"/>
      <c r="L151" s="70"/>
      <c r="M151" s="70"/>
      <c r="N151" s="70">
        <v>1440</v>
      </c>
      <c r="O151" s="70"/>
      <c r="P151" s="70"/>
      <c r="Q151" s="70"/>
      <c r="R151" s="70"/>
      <c r="S151" s="70"/>
      <c r="T151" s="70"/>
      <c r="U151" s="70"/>
      <c r="V151" s="70"/>
      <c r="W151" s="70"/>
      <c r="X151" s="70"/>
      <c r="Y151" s="70"/>
      <c r="Z151" s="70"/>
      <c r="AA151" s="70"/>
      <c r="AB151" s="70"/>
      <c r="AC151" s="70"/>
      <c r="AD151" s="70"/>
      <c r="AE151" s="70"/>
      <c r="AF151" s="70"/>
      <c r="AG151" s="70"/>
      <c r="AH151" s="70"/>
      <c r="AI151" s="70"/>
      <c r="AJ151" s="70"/>
      <c r="AK151" s="70"/>
      <c r="AL151" s="70"/>
      <c r="AM151" s="70"/>
      <c r="AN151" s="70"/>
      <c r="AO151" s="70"/>
      <c r="AP151" s="70"/>
      <c r="AQ151" s="70"/>
      <c r="AR151" s="70"/>
      <c r="AS151" s="70"/>
      <c r="AT151" s="70"/>
      <c r="AU151" s="70"/>
      <c r="AV151" s="70"/>
      <c r="AW151" s="70"/>
      <c r="AX151" s="70"/>
      <c r="AY151" s="70"/>
      <c r="AZ151" s="70"/>
      <c r="BA151" s="70"/>
      <c r="BB151" s="70"/>
      <c r="BC151" s="70"/>
      <c r="BD151" s="70"/>
      <c r="BE151" s="70"/>
      <c r="BF151" s="70"/>
      <c r="BG151" s="70"/>
      <c r="BH151">
        <f t="shared" si="14"/>
        <v>1440</v>
      </c>
      <c r="BI151" s="351">
        <f t="shared" si="16"/>
        <v>0.34400382226469184</v>
      </c>
    </row>
    <row r="152" spans="1:61">
      <c r="A152" s="165">
        <f>'Conveyor Downtime (new)'!A147</f>
        <v>46099</v>
      </c>
      <c r="B152" s="353"/>
      <c r="C152" s="353"/>
      <c r="D152" s="353"/>
      <c r="E152" s="353"/>
      <c r="F152" s="353"/>
      <c r="G152" s="346"/>
      <c r="H152" s="353">
        <f>3+8</f>
        <v>11</v>
      </c>
      <c r="I152" s="353">
        <f>3+2+3</f>
        <v>8</v>
      </c>
      <c r="J152" s="346"/>
      <c r="K152" s="353"/>
      <c r="L152" s="353"/>
      <c r="M152" s="353"/>
      <c r="N152" s="353">
        <v>480</v>
      </c>
      <c r="O152" s="353"/>
      <c r="P152" s="353"/>
      <c r="Q152" s="353"/>
      <c r="R152" s="353"/>
      <c r="S152" s="353"/>
      <c r="T152" s="353"/>
      <c r="U152" s="353"/>
      <c r="V152" s="353"/>
      <c r="W152" s="353"/>
      <c r="X152" s="353"/>
      <c r="Y152" s="353"/>
      <c r="Z152" s="353"/>
      <c r="AA152" s="353"/>
      <c r="AB152" s="353"/>
      <c r="AC152" s="353"/>
      <c r="AD152" s="353"/>
      <c r="AE152" s="353"/>
      <c r="AF152" s="353"/>
      <c r="AG152" s="353"/>
      <c r="AH152" s="353"/>
      <c r="AI152" s="353"/>
      <c r="AJ152" s="353"/>
      <c r="AK152" s="353"/>
      <c r="AL152" s="353"/>
      <c r="AM152" s="353"/>
      <c r="AN152" s="353"/>
      <c r="AO152" s="353"/>
      <c r="AP152" s="353"/>
      <c r="AQ152" s="353"/>
      <c r="AR152" s="353"/>
      <c r="AS152" s="353"/>
      <c r="AT152" s="353"/>
      <c r="AU152" s="353"/>
      <c r="AV152" s="353"/>
      <c r="AW152" s="353"/>
      <c r="AX152" s="353"/>
      <c r="AY152" s="353"/>
      <c r="AZ152" s="353"/>
      <c r="BA152" s="353"/>
      <c r="BB152" s="353"/>
      <c r="BC152" s="353"/>
      <c r="BD152" s="353"/>
      <c r="BE152" s="353"/>
      <c r="BF152" s="353"/>
      <c r="BG152" s="353"/>
      <c r="BH152">
        <f t="shared" si="14"/>
        <v>499</v>
      </c>
      <c r="BI152" s="351">
        <f t="shared" si="16"/>
        <v>0.1192068800764453</v>
      </c>
    </row>
    <row r="153" spans="1:61">
      <c r="A153" s="165">
        <f>'Conveyor Downtime (new)'!A148</f>
        <v>46099</v>
      </c>
      <c r="G153" s="70"/>
      <c r="H153">
        <f>5+4</f>
        <v>9</v>
      </c>
      <c r="I153">
        <f>4</f>
        <v>4</v>
      </c>
      <c r="J153" s="70"/>
      <c r="K153" s="70"/>
      <c r="L153" s="70"/>
      <c r="M153" s="70"/>
      <c r="N153" s="70"/>
      <c r="BF153">
        <f>4+4</f>
        <v>8</v>
      </c>
      <c r="BH153">
        <f t="shared" si="14"/>
        <v>21</v>
      </c>
      <c r="BI153" s="351">
        <f t="shared" si="16"/>
        <v>5.016722408026756E-3</v>
      </c>
    </row>
    <row r="154" spans="1:61">
      <c r="A154" s="165">
        <f>'Conveyor Downtime (new)'!A149</f>
        <v>46100</v>
      </c>
      <c r="B154" s="346"/>
      <c r="C154" s="346"/>
      <c r="D154" s="346"/>
      <c r="E154" s="346"/>
      <c r="F154" s="346"/>
      <c r="G154" s="346"/>
      <c r="H154" s="346">
        <f>4+2+2+2+4</f>
        <v>14</v>
      </c>
      <c r="I154" s="346">
        <f>2+3</f>
        <v>5</v>
      </c>
      <c r="J154" s="346"/>
      <c r="K154" s="346"/>
      <c r="L154" s="346"/>
      <c r="M154" s="346"/>
      <c r="N154" s="346"/>
      <c r="O154" s="346"/>
      <c r="P154" s="346">
        <f>3</f>
        <v>3</v>
      </c>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s="346"/>
      <c r="AL154" s="346"/>
      <c r="AM154" s="346"/>
      <c r="AN154" s="346"/>
      <c r="AO154" s="346"/>
      <c r="AP154" s="346"/>
      <c r="AQ154" s="346"/>
      <c r="AR154" s="346"/>
      <c r="AS154" s="346"/>
      <c r="AT154" s="346"/>
      <c r="AU154" s="346"/>
      <c r="AV154" s="346"/>
      <c r="AW154" s="346"/>
      <c r="AX154" s="346"/>
      <c r="AY154" s="346"/>
      <c r="AZ154" s="346"/>
      <c r="BA154" s="346"/>
      <c r="BB154" s="346"/>
      <c r="BC154" s="346"/>
      <c r="BD154" s="346"/>
      <c r="BE154" s="346"/>
      <c r="BF154" s="346"/>
      <c r="BG154" s="346"/>
      <c r="BH154">
        <f t="shared" si="14"/>
        <v>22</v>
      </c>
      <c r="BI154" s="351">
        <f t="shared" si="16"/>
        <v>5.255613951266125E-3</v>
      </c>
    </row>
    <row r="155" spans="1:61">
      <c r="A155" s="165">
        <f>'Conveyor Downtime (new)'!A150</f>
        <v>46100</v>
      </c>
      <c r="H155">
        <f>4</f>
        <v>4</v>
      </c>
      <c r="I155">
        <f>7</f>
        <v>7</v>
      </c>
      <c r="BF155">
        <f>5+4+6</f>
        <v>15</v>
      </c>
      <c r="BH155">
        <f t="shared" si="14"/>
        <v>26</v>
      </c>
      <c r="BI155" s="351">
        <f t="shared" si="16"/>
        <v>6.2111801242236021E-3</v>
      </c>
    </row>
    <row r="156" spans="1:61">
      <c r="A156" s="165">
        <f>'Conveyor Downtime (new)'!A151</f>
        <v>46100</v>
      </c>
      <c r="B156" s="346"/>
      <c r="C156" s="346"/>
      <c r="D156" s="346"/>
      <c r="E156" s="346"/>
      <c r="F156" s="346"/>
      <c r="G156" s="346"/>
      <c r="H156" s="346">
        <f>4</f>
        <v>4</v>
      </c>
      <c r="I156" s="346">
        <f>6+5</f>
        <v>11</v>
      </c>
      <c r="J156" s="346"/>
      <c r="K156" s="346"/>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c r="AK156" s="346"/>
      <c r="AL156" s="346"/>
      <c r="AM156" s="346"/>
      <c r="AN156" s="346"/>
      <c r="AO156" s="346"/>
      <c r="AP156" s="346"/>
      <c r="AQ156" s="346"/>
      <c r="AR156" s="346"/>
      <c r="AS156" s="346"/>
      <c r="AT156" s="346"/>
      <c r="AU156" s="346"/>
      <c r="AV156" s="346"/>
      <c r="AW156" s="346"/>
      <c r="AX156" s="346"/>
      <c r="AY156" s="346"/>
      <c r="AZ156" s="346"/>
      <c r="BA156" s="346"/>
      <c r="BB156" s="346"/>
      <c r="BC156" s="346"/>
      <c r="BD156" s="346"/>
      <c r="BE156" s="346"/>
      <c r="BF156" s="346"/>
      <c r="BG156" s="346"/>
      <c r="BH156">
        <f t="shared" si="14"/>
        <v>15</v>
      </c>
      <c r="BI156" s="351">
        <f t="shared" si="16"/>
        <v>3.58337314859054E-3</v>
      </c>
    </row>
    <row r="157" spans="1:61">
      <c r="A157" s="165">
        <f>'Conveyor Downtime (new)'!A152</f>
        <v>46101</v>
      </c>
      <c r="H157">
        <f>4</f>
        <v>4</v>
      </c>
      <c r="I157">
        <f>3+4+4+3+3</f>
        <v>17</v>
      </c>
      <c r="BH157">
        <f t="shared" si="14"/>
        <v>21</v>
      </c>
      <c r="BI157" s="351">
        <f t="shared" si="16"/>
        <v>5.016722408026756E-3</v>
      </c>
    </row>
    <row r="158" spans="1:61" ht="12" customHeight="1">
      <c r="A158" s="165">
        <f>'Conveyor Downtime (new)'!A153</f>
        <v>46101</v>
      </c>
      <c r="B158" s="346"/>
      <c r="C158" s="346"/>
      <c r="D158" s="346"/>
      <c r="E158" s="346"/>
      <c r="F158" s="346"/>
      <c r="G158" s="346"/>
      <c r="H158">
        <f>4</f>
        <v>4</v>
      </c>
      <c r="I158" s="346">
        <v>6</v>
      </c>
      <c r="J158" s="346"/>
      <c r="K158" s="346"/>
      <c r="L158" s="346"/>
      <c r="M158" s="346"/>
      <c r="N158" s="346"/>
      <c r="O158" s="346"/>
      <c r="P158" s="346"/>
      <c r="Q158" s="346"/>
      <c r="R158" s="346">
        <f>12</f>
        <v>12</v>
      </c>
      <c r="S158" s="346"/>
      <c r="T158" s="346"/>
      <c r="U158" s="346"/>
      <c r="V158" s="346"/>
      <c r="W158" s="346"/>
      <c r="X158" s="346"/>
      <c r="Y158" s="346"/>
      <c r="Z158" s="346"/>
      <c r="AA158" s="346"/>
      <c r="AB158" s="346"/>
      <c r="AC158" s="346"/>
      <c r="AD158" s="346"/>
      <c r="AE158" s="346"/>
      <c r="AF158" s="346"/>
      <c r="AG158" s="346"/>
      <c r="AH158" s="346"/>
      <c r="AI158" s="346"/>
      <c r="AJ158" s="346"/>
      <c r="AK158" s="346"/>
      <c r="AL158" s="346"/>
      <c r="AM158" s="346"/>
      <c r="AN158" s="346"/>
      <c r="AO158" s="346"/>
      <c r="AP158" s="346"/>
      <c r="AQ158" s="346"/>
      <c r="AR158" s="346"/>
      <c r="AS158" s="346"/>
      <c r="AT158" s="346"/>
      <c r="AU158" s="346"/>
      <c r="AV158" s="346"/>
      <c r="AW158" s="346"/>
      <c r="AX158" s="346"/>
      <c r="AY158" s="346"/>
      <c r="AZ158" s="346"/>
      <c r="BA158" s="346"/>
      <c r="BB158" s="346"/>
      <c r="BC158" s="346"/>
      <c r="BD158" s="346"/>
      <c r="BE158" s="346"/>
      <c r="BF158" s="346">
        <f>4</f>
        <v>4</v>
      </c>
      <c r="BG158" s="346"/>
      <c r="BH158">
        <f t="shared" si="14"/>
        <v>26</v>
      </c>
      <c r="BI158" s="351">
        <f t="shared" si="16"/>
        <v>6.2111801242236021E-3</v>
      </c>
    </row>
    <row r="159" spans="1:61">
      <c r="A159" s="165">
        <f>'Conveyor Downtime (new)'!A154</f>
        <v>46104</v>
      </c>
      <c r="H159">
        <f>3</f>
        <v>3</v>
      </c>
      <c r="I159">
        <f>6+2+2+2+2+3</f>
        <v>17</v>
      </c>
      <c r="BF159">
        <f>5</f>
        <v>5</v>
      </c>
      <c r="BH159">
        <f t="shared" si="14"/>
        <v>25</v>
      </c>
      <c r="BI159" s="351">
        <f t="shared" si="16"/>
        <v>5.972288580984233E-3</v>
      </c>
    </row>
    <row r="160" spans="1:61">
      <c r="A160" s="165">
        <f>'Conveyor Downtime (new)'!A155</f>
        <v>46104</v>
      </c>
      <c r="B160" s="346"/>
      <c r="C160" s="346"/>
      <c r="D160" s="346"/>
      <c r="E160" s="346"/>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s="346"/>
      <c r="AH160" s="346"/>
      <c r="AI160" s="346"/>
      <c r="AJ160" s="346"/>
      <c r="AK160" s="346"/>
      <c r="AL160" s="346"/>
      <c r="AM160" s="346"/>
      <c r="AN160" s="346"/>
      <c r="AO160" s="346"/>
      <c r="AP160" s="346"/>
      <c r="AQ160" s="346"/>
      <c r="AR160" s="346"/>
      <c r="AS160" s="346"/>
      <c r="AT160" s="346"/>
      <c r="AU160" s="346"/>
      <c r="AV160" s="346"/>
      <c r="AW160" s="346"/>
      <c r="AX160" s="346"/>
      <c r="AY160" s="346"/>
      <c r="AZ160" s="346"/>
      <c r="BA160" s="346"/>
      <c r="BB160" s="346"/>
      <c r="BC160" s="346"/>
      <c r="BD160" s="346"/>
      <c r="BE160" s="346"/>
      <c r="BF160" s="346"/>
      <c r="BG160" s="346"/>
      <c r="BH160">
        <f t="shared" ref="BH160:BH183" si="17">SUM(B160:BG160)</f>
        <v>0</v>
      </c>
      <c r="BI160" s="351">
        <f t="shared" si="16"/>
        <v>0</v>
      </c>
    </row>
    <row r="161" spans="1:61">
      <c r="A161" s="165">
        <f>'Conveyor Downtime (new)'!A156</f>
        <v>46104</v>
      </c>
      <c r="BH161">
        <f t="shared" si="17"/>
        <v>0</v>
      </c>
      <c r="BI161" s="351">
        <f t="shared" si="16"/>
        <v>0</v>
      </c>
    </row>
    <row r="162" spans="1:61">
      <c r="A162" s="165">
        <f>'Conveyor Downtime (new)'!A157</f>
        <v>46105</v>
      </c>
      <c r="B162" s="346"/>
      <c r="C162" s="346"/>
      <c r="D162" s="346"/>
      <c r="E162" s="346"/>
      <c r="F162" s="346"/>
      <c r="G162" s="346"/>
      <c r="H162" s="346"/>
      <c r="I162" s="346">
        <f>4</f>
        <v>4</v>
      </c>
      <c r="J162" s="346"/>
      <c r="K162" s="346"/>
      <c r="L162" s="346"/>
      <c r="M162" s="346"/>
      <c r="N162" s="346"/>
      <c r="O162" s="346"/>
      <c r="P162" s="346"/>
      <c r="Q162" s="346"/>
      <c r="R162" s="346"/>
      <c r="S162" s="346"/>
      <c r="T162" s="346"/>
      <c r="U162" s="346"/>
      <c r="V162" s="346"/>
      <c r="W162" s="346"/>
      <c r="X162" s="346"/>
      <c r="Y162" s="346"/>
      <c r="Z162" s="346"/>
      <c r="AA162" s="346"/>
      <c r="AB162" s="346"/>
      <c r="AC162" s="346"/>
      <c r="AD162" s="346"/>
      <c r="AE162" s="346"/>
      <c r="AF162" s="346"/>
      <c r="AG162" s="346"/>
      <c r="AH162" s="346"/>
      <c r="AI162" s="346"/>
      <c r="AJ162" s="346"/>
      <c r="AK162" s="346"/>
      <c r="AL162" s="346"/>
      <c r="AM162" s="346"/>
      <c r="AN162" s="346"/>
      <c r="AO162" s="346"/>
      <c r="AP162" s="346"/>
      <c r="AQ162" s="346"/>
      <c r="AR162" s="346"/>
      <c r="AS162" s="346"/>
      <c r="AT162" s="346"/>
      <c r="AU162" s="346"/>
      <c r="AV162" s="346"/>
      <c r="AW162" s="346"/>
      <c r="AX162" s="346"/>
      <c r="AY162" s="346"/>
      <c r="AZ162" s="346"/>
      <c r="BA162" s="346"/>
      <c r="BB162" s="346"/>
      <c r="BC162" s="346"/>
      <c r="BD162" s="346"/>
      <c r="BE162" s="346"/>
      <c r="BF162" s="346"/>
      <c r="BG162" s="346"/>
      <c r="BH162">
        <f t="shared" si="17"/>
        <v>4</v>
      </c>
      <c r="BI162" s="351">
        <f t="shared" si="16"/>
        <v>9.5556617295747726E-4</v>
      </c>
    </row>
    <row r="163" spans="1:61">
      <c r="A163" s="165">
        <f>'Conveyor Downtime (new)'!A158</f>
        <v>46105</v>
      </c>
      <c r="H163">
        <f>3+2+2+2</f>
        <v>9</v>
      </c>
      <c r="I163">
        <f>3+2+4+3</f>
        <v>12</v>
      </c>
      <c r="BH163">
        <f t="shared" si="17"/>
        <v>21</v>
      </c>
      <c r="BI163" s="351">
        <f t="shared" si="16"/>
        <v>5.016722408026756E-3</v>
      </c>
    </row>
    <row r="164" spans="1:61">
      <c r="A164" s="165">
        <f>'Conveyor Downtime (new)'!A159</f>
        <v>46106</v>
      </c>
      <c r="B164" s="346"/>
      <c r="C164" s="346"/>
      <c r="D164" s="346"/>
      <c r="E164" s="346"/>
      <c r="F164" s="346"/>
      <c r="G164" s="346"/>
      <c r="H164" s="346">
        <f>5+4+5+6</f>
        <v>20</v>
      </c>
      <c r="I164" s="346">
        <f>4</f>
        <v>4</v>
      </c>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346"/>
      <c r="AK164" s="346"/>
      <c r="AL164" s="346"/>
      <c r="AM164" s="346"/>
      <c r="AN164" s="346"/>
      <c r="AO164" s="346"/>
      <c r="AP164" s="346"/>
      <c r="AQ164" s="346"/>
      <c r="AR164" s="346"/>
      <c r="AS164" s="346"/>
      <c r="AT164" s="346"/>
      <c r="AU164" s="346"/>
      <c r="AV164" s="346"/>
      <c r="AW164" s="346"/>
      <c r="AX164" s="346"/>
      <c r="AY164" s="346"/>
      <c r="AZ164" s="346"/>
      <c r="BA164" s="346"/>
      <c r="BB164" s="346"/>
      <c r="BC164" s="346"/>
      <c r="BD164" s="346"/>
      <c r="BE164" s="346"/>
      <c r="BF164" s="346"/>
      <c r="BG164" s="346"/>
      <c r="BH164">
        <f t="shared" si="17"/>
        <v>24</v>
      </c>
      <c r="BI164" s="351">
        <f t="shared" si="16"/>
        <v>5.733397037744864E-3</v>
      </c>
    </row>
    <row r="165" spans="1:61">
      <c r="A165" s="165">
        <f>'Conveyor Downtime (new)'!A160</f>
        <v>46106</v>
      </c>
      <c r="BH165">
        <f t="shared" si="17"/>
        <v>0</v>
      </c>
      <c r="BI165" s="351">
        <f t="shared" si="16"/>
        <v>0</v>
      </c>
    </row>
    <row r="166" spans="1:61">
      <c r="A166" s="165">
        <f>'Conveyor Downtime (new)'!A162</f>
        <v>46106</v>
      </c>
      <c r="B166" s="346"/>
      <c r="C166" s="346"/>
      <c r="D166" s="346"/>
      <c r="E166" s="346"/>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346"/>
      <c r="AK166" s="346"/>
      <c r="AL166" s="346"/>
      <c r="AM166" s="346"/>
      <c r="AN166" s="346"/>
      <c r="AO166" s="346"/>
      <c r="AP166" s="346"/>
      <c r="AQ166" s="346"/>
      <c r="AR166" s="346"/>
      <c r="AS166" s="346"/>
      <c r="AT166" s="346"/>
      <c r="AU166" s="346"/>
      <c r="AV166" s="346"/>
      <c r="AW166" s="346"/>
      <c r="AX166" s="346"/>
      <c r="AY166" s="346"/>
      <c r="AZ166" s="346"/>
      <c r="BA166" s="346"/>
      <c r="BB166" s="346"/>
      <c r="BC166" s="346"/>
      <c r="BD166" s="346"/>
      <c r="BE166" s="346"/>
      <c r="BF166" s="346"/>
      <c r="BG166" s="346"/>
      <c r="BH166">
        <f t="shared" si="17"/>
        <v>0</v>
      </c>
      <c r="BI166" s="351">
        <f t="shared" si="16"/>
        <v>0</v>
      </c>
    </row>
    <row r="167" spans="1:61">
      <c r="A167" s="165">
        <f>'Conveyor Downtime (new)'!A163</f>
        <v>46107</v>
      </c>
      <c r="BH167">
        <f t="shared" si="17"/>
        <v>0</v>
      </c>
      <c r="BI167" s="351">
        <f t="shared" si="16"/>
        <v>0</v>
      </c>
    </row>
    <row r="168" spans="1:61">
      <c r="A168" s="165">
        <f>'Conveyor Downtime (new)'!A164</f>
        <v>46107</v>
      </c>
      <c r="B168" s="346"/>
      <c r="C168" s="346"/>
      <c r="D168" s="346"/>
      <c r="E168" s="346"/>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c r="AB168" s="346"/>
      <c r="AC168" s="346"/>
      <c r="AD168" s="346"/>
      <c r="AE168" s="346"/>
      <c r="AF168" s="346"/>
      <c r="AG168" s="346"/>
      <c r="AH168" s="346"/>
      <c r="AI168" s="346"/>
      <c r="AJ168" s="346"/>
      <c r="AK168" s="346"/>
      <c r="AL168" s="346"/>
      <c r="AM168" s="346"/>
      <c r="AN168" s="346"/>
      <c r="AO168" s="346"/>
      <c r="AP168" s="346"/>
      <c r="AQ168" s="346"/>
      <c r="AR168" s="346"/>
      <c r="AS168" s="346"/>
      <c r="AT168" s="346"/>
      <c r="AU168" s="346"/>
      <c r="AV168" s="346"/>
      <c r="AW168" s="346"/>
      <c r="AX168" s="346"/>
      <c r="AY168" s="346"/>
      <c r="AZ168" s="346"/>
      <c r="BA168" s="346"/>
      <c r="BB168" s="346"/>
      <c r="BC168" s="346"/>
      <c r="BD168" s="346"/>
      <c r="BE168" s="346"/>
      <c r="BF168" s="346"/>
      <c r="BG168" s="346"/>
      <c r="BH168">
        <f t="shared" si="17"/>
        <v>0</v>
      </c>
      <c r="BI168" s="351">
        <f t="shared" si="16"/>
        <v>0</v>
      </c>
    </row>
    <row r="169" spans="1:61">
      <c r="A169" s="165">
        <f>'Conveyor Downtime (new)'!A165</f>
        <v>46107</v>
      </c>
      <c r="BH169">
        <f t="shared" si="17"/>
        <v>0</v>
      </c>
      <c r="BI169" s="351">
        <f t="shared" si="16"/>
        <v>0</v>
      </c>
    </row>
    <row r="170" spans="1:61">
      <c r="A170" s="165">
        <f>'Conveyor Downtime (new)'!A166</f>
        <v>46107</v>
      </c>
      <c r="B170" s="346"/>
      <c r="C170" s="346"/>
      <c r="D170" s="346"/>
      <c r="E170" s="346"/>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346"/>
      <c r="AL170" s="346"/>
      <c r="AM170" s="346"/>
      <c r="AN170" s="346"/>
      <c r="AO170" s="346"/>
      <c r="AP170" s="346"/>
      <c r="AQ170" s="346"/>
      <c r="AR170" s="346"/>
      <c r="AS170" s="346"/>
      <c r="AT170" s="346"/>
      <c r="AU170" s="346"/>
      <c r="AV170" s="346"/>
      <c r="AW170" s="346"/>
      <c r="AX170" s="346"/>
      <c r="AY170" s="346"/>
      <c r="AZ170" s="346"/>
      <c r="BA170" s="346"/>
      <c r="BB170" s="346"/>
      <c r="BC170" s="346"/>
      <c r="BD170" s="346"/>
      <c r="BE170" s="346"/>
      <c r="BF170" s="346"/>
      <c r="BG170" s="346"/>
      <c r="BH170">
        <f t="shared" si="17"/>
        <v>0</v>
      </c>
      <c r="BI170" s="351">
        <f t="shared" si="16"/>
        <v>0</v>
      </c>
    </row>
    <row r="171" spans="1:61">
      <c r="A171" s="165">
        <f>'Conveyor Downtime (new)'!A167</f>
        <v>46108</v>
      </c>
      <c r="BH171">
        <f t="shared" si="17"/>
        <v>0</v>
      </c>
      <c r="BI171" s="351">
        <f t="shared" si="16"/>
        <v>0</v>
      </c>
    </row>
    <row r="172" spans="1:61">
      <c r="A172" s="165">
        <f>'Conveyor Downtime (new)'!A168</f>
        <v>46108</v>
      </c>
      <c r="B172" s="346"/>
      <c r="C172" s="346"/>
      <c r="D172" s="346"/>
      <c r="E172" s="346"/>
      <c r="F172" s="346"/>
      <c r="G172" s="346"/>
      <c r="H172" s="346">
        <v>3</v>
      </c>
      <c r="I172" s="346"/>
      <c r="J172" s="346"/>
      <c r="K172" s="346"/>
      <c r="L172" s="346"/>
      <c r="M172" s="346"/>
      <c r="N172" s="346"/>
      <c r="O172" s="346"/>
      <c r="P172" s="346"/>
      <c r="Q172" s="346"/>
      <c r="R172" s="346"/>
      <c r="S172" s="346"/>
      <c r="T172" s="346"/>
      <c r="U172" s="346"/>
      <c r="V172" s="346"/>
      <c r="W172" s="346"/>
      <c r="X172" s="346"/>
      <c r="Y172" s="346"/>
      <c r="Z172" s="346"/>
      <c r="AA172" s="346"/>
      <c r="AB172" s="346"/>
      <c r="AC172" s="346"/>
      <c r="AD172" s="346"/>
      <c r="AE172" s="346"/>
      <c r="AF172" s="346"/>
      <c r="AG172" s="346"/>
      <c r="AH172" s="346"/>
      <c r="AI172" s="346"/>
      <c r="AJ172" s="346"/>
      <c r="AK172" s="346"/>
      <c r="AL172" s="346"/>
      <c r="AM172" s="346"/>
      <c r="AN172" s="346"/>
      <c r="AO172" s="346"/>
      <c r="AP172" s="346"/>
      <c r="AQ172" s="346"/>
      <c r="AR172" s="346"/>
      <c r="AS172" s="346"/>
      <c r="AT172" s="346"/>
      <c r="AU172" s="346"/>
      <c r="AV172" s="346"/>
      <c r="AW172" s="346"/>
      <c r="AX172" s="346"/>
      <c r="AY172" s="346"/>
      <c r="AZ172" s="346"/>
      <c r="BA172" s="346"/>
      <c r="BB172" s="346"/>
      <c r="BC172" s="346"/>
      <c r="BD172" s="346"/>
      <c r="BE172" s="346"/>
      <c r="BF172" s="346"/>
      <c r="BG172" s="346"/>
      <c r="BH172">
        <f t="shared" si="17"/>
        <v>3</v>
      </c>
      <c r="BI172" s="351">
        <f t="shared" si="16"/>
        <v>7.16674629718108E-4</v>
      </c>
    </row>
    <row r="173" spans="1:61">
      <c r="A173" s="165">
        <f>'Conveyor Downtime (new)'!A169</f>
        <v>46111</v>
      </c>
      <c r="H173">
        <f>3+3</f>
        <v>6</v>
      </c>
      <c r="I173">
        <f>4</f>
        <v>4</v>
      </c>
      <c r="AC173" s="77"/>
      <c r="BH173">
        <f t="shared" si="17"/>
        <v>10</v>
      </c>
      <c r="BI173" s="351">
        <f t="shared" si="16"/>
        <v>2.3889154323936935E-3</v>
      </c>
    </row>
    <row r="174" spans="1:61">
      <c r="A174" s="165">
        <f>'Conveyor Downtime (new)'!A170</f>
        <v>46112</v>
      </c>
      <c r="B174" s="346"/>
      <c r="C174" s="346"/>
      <c r="D174" s="346"/>
      <c r="E174" s="346"/>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46"/>
      <c r="AN174" s="346"/>
      <c r="AO174" s="346"/>
      <c r="AP174" s="346"/>
      <c r="AQ174" s="346"/>
      <c r="AR174" s="346"/>
      <c r="AS174" s="346"/>
      <c r="AT174" s="346"/>
      <c r="AU174" s="346"/>
      <c r="AV174" s="346"/>
      <c r="AW174" s="346"/>
      <c r="AX174" s="346"/>
      <c r="AY174" s="346"/>
      <c r="AZ174" s="346"/>
      <c r="BA174" s="346"/>
      <c r="BB174" s="346"/>
      <c r="BC174" s="346"/>
      <c r="BD174" s="346"/>
      <c r="BE174" s="346"/>
      <c r="BF174" s="346">
        <f>3</f>
        <v>3</v>
      </c>
      <c r="BG174" s="346"/>
      <c r="BH174">
        <f t="shared" si="17"/>
        <v>3</v>
      </c>
      <c r="BI174" s="351">
        <f t="shared" si="16"/>
        <v>7.16674629718108E-4</v>
      </c>
    </row>
    <row r="175" spans="1:61">
      <c r="A175" s="165">
        <f>'Conveyor Downtime (new)'!A171</f>
        <v>46112</v>
      </c>
      <c r="H175">
        <v>7</v>
      </c>
      <c r="I175">
        <v>4</v>
      </c>
      <c r="BH175">
        <f t="shared" si="17"/>
        <v>11</v>
      </c>
      <c r="BI175" s="351">
        <f t="shared" si="16"/>
        <v>2.6278069756330625E-3</v>
      </c>
    </row>
    <row r="176" spans="1:61">
      <c r="A176" s="165">
        <f>'Conveyor Downtime (new)'!A172</f>
        <v>46112</v>
      </c>
      <c r="B176" s="346"/>
      <c r="C176" s="346"/>
      <c r="D176" s="346"/>
      <c r="E176" s="346"/>
      <c r="F176" s="346"/>
      <c r="G176" s="346"/>
      <c r="H176" s="346">
        <f>4</f>
        <v>4</v>
      </c>
      <c r="I176" s="346">
        <f>5+5+9+5</f>
        <v>24</v>
      </c>
      <c r="J176" s="346"/>
      <c r="K176" s="346"/>
      <c r="L176" s="346"/>
      <c r="M176" s="346"/>
      <c r="N176" s="346"/>
      <c r="O176" s="346"/>
      <c r="P176" s="346"/>
      <c r="Q176" s="346"/>
      <c r="R176" s="346"/>
      <c r="S176" s="346"/>
      <c r="T176" s="346"/>
      <c r="U176" s="346"/>
      <c r="V176" s="346"/>
      <c r="W176" s="346"/>
      <c r="X176" s="346"/>
      <c r="Y176" s="346"/>
      <c r="Z176" s="346"/>
      <c r="AA176" s="346"/>
      <c r="AB176" s="77"/>
      <c r="AC176" s="346"/>
      <c r="AD176" s="346"/>
      <c r="AE176" s="346"/>
      <c r="AF176" s="346"/>
      <c r="AG176" s="346"/>
      <c r="AH176" s="346"/>
      <c r="AI176" s="346"/>
      <c r="AJ176" s="346"/>
      <c r="AK176" s="346"/>
      <c r="AL176" s="346"/>
      <c r="AM176" s="346"/>
      <c r="AN176" s="346"/>
      <c r="AO176" s="346"/>
      <c r="AP176" s="346"/>
      <c r="AQ176" s="346"/>
      <c r="AR176" s="346"/>
      <c r="AS176" s="346"/>
      <c r="AT176" s="346"/>
      <c r="AU176" s="346"/>
      <c r="AV176" s="346"/>
      <c r="AW176" s="346"/>
      <c r="AX176" s="346"/>
      <c r="AY176" s="346"/>
      <c r="AZ176" s="346"/>
      <c r="BA176" s="346"/>
      <c r="BB176" s="346"/>
      <c r="BC176" s="346"/>
      <c r="BD176" s="346"/>
      <c r="BE176" s="346"/>
      <c r="BF176" s="346"/>
      <c r="BG176" s="346"/>
      <c r="BH176">
        <f t="shared" si="17"/>
        <v>28</v>
      </c>
      <c r="BI176" s="351">
        <f t="shared" si="16"/>
        <v>6.688963210702341E-3</v>
      </c>
    </row>
    <row r="177" spans="1:61">
      <c r="A177" s="165">
        <f>'Conveyor Downtime (new)'!A173</f>
        <v>46112</v>
      </c>
      <c r="BH177">
        <f t="shared" si="17"/>
        <v>0</v>
      </c>
      <c r="BI177" s="351">
        <f t="shared" si="16"/>
        <v>0</v>
      </c>
    </row>
    <row r="178" spans="1:61">
      <c r="A178" s="165">
        <f>'Conveyor Downtime (new)'!A174</f>
        <v>0</v>
      </c>
      <c r="B178" s="346"/>
      <c r="C178" s="346"/>
      <c r="D178" s="346"/>
      <c r="E178" s="346"/>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s="346"/>
      <c r="AL178" s="346"/>
      <c r="AM178" s="346"/>
      <c r="AN178" s="346"/>
      <c r="AO178" s="346"/>
      <c r="AP178" s="346"/>
      <c r="AQ178" s="346"/>
      <c r="AR178" s="346"/>
      <c r="AS178" s="346"/>
      <c r="AT178" s="346"/>
      <c r="AU178" s="346"/>
      <c r="AV178" s="346"/>
      <c r="AW178" s="346"/>
      <c r="AX178" s="346"/>
      <c r="AY178" s="346"/>
      <c r="AZ178" s="346"/>
      <c r="BA178" s="346"/>
      <c r="BB178" s="346"/>
      <c r="BC178" s="346"/>
      <c r="BD178" s="346"/>
      <c r="BE178" s="346"/>
      <c r="BF178" s="346"/>
      <c r="BG178" s="346"/>
      <c r="BH178">
        <f t="shared" si="17"/>
        <v>0</v>
      </c>
      <c r="BI178" s="351">
        <f t="shared" si="16"/>
        <v>0</v>
      </c>
    </row>
    <row r="179" spans="1:61">
      <c r="A179" s="165">
        <f>'Conveyor Downtime (new)'!A175</f>
        <v>0</v>
      </c>
      <c r="BH179">
        <f t="shared" si="17"/>
        <v>0</v>
      </c>
      <c r="BI179" s="351">
        <f t="shared" si="16"/>
        <v>0</v>
      </c>
    </row>
    <row r="180" spans="1:61">
      <c r="A180" s="165">
        <f>'Conveyor Downtime (new)'!A176</f>
        <v>0</v>
      </c>
      <c r="B180" s="346"/>
      <c r="C180" s="346"/>
      <c r="D180" s="346"/>
      <c r="E180" s="346"/>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s="346"/>
      <c r="AL180" s="346"/>
      <c r="AM180" s="346"/>
      <c r="AN180" s="346"/>
      <c r="AO180" s="346"/>
      <c r="AP180" s="346"/>
      <c r="AQ180" s="346"/>
      <c r="AR180" s="346"/>
      <c r="AS180" s="346"/>
      <c r="AT180" s="346"/>
      <c r="AU180" s="346"/>
      <c r="AV180" s="346"/>
      <c r="AW180" s="346"/>
      <c r="AX180" s="346"/>
      <c r="AY180" s="346"/>
      <c r="AZ180" s="346"/>
      <c r="BA180" s="346"/>
      <c r="BB180" s="346"/>
      <c r="BC180" s="346"/>
      <c r="BD180" s="346"/>
      <c r="BE180" s="346"/>
      <c r="BF180" s="346"/>
      <c r="BG180" s="346"/>
      <c r="BH180">
        <f t="shared" si="17"/>
        <v>0</v>
      </c>
      <c r="BI180" s="351">
        <f t="shared" si="16"/>
        <v>0</v>
      </c>
    </row>
    <row r="181" spans="1:61">
      <c r="A181" s="165">
        <f>'Conveyor Downtime (new)'!A177</f>
        <v>0</v>
      </c>
      <c r="BH181">
        <f t="shared" si="17"/>
        <v>0</v>
      </c>
      <c r="BI181" s="351">
        <f t="shared" si="16"/>
        <v>0</v>
      </c>
    </row>
    <row r="182" spans="1:61">
      <c r="A182" s="165"/>
      <c r="B182" s="346"/>
      <c r="C182" s="346"/>
      <c r="D182" s="346"/>
      <c r="E182" s="346"/>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346"/>
      <c r="AK182" s="346"/>
      <c r="AL182" s="346"/>
      <c r="AM182" s="346"/>
      <c r="AN182" s="346"/>
      <c r="AO182" s="346"/>
      <c r="AP182" s="346"/>
      <c r="AQ182" s="346"/>
      <c r="AR182" s="346"/>
      <c r="AS182" s="346"/>
      <c r="AT182" s="346"/>
      <c r="AU182" s="346"/>
      <c r="AV182" s="346"/>
      <c r="AW182" s="346"/>
      <c r="AX182" s="346"/>
      <c r="AY182" s="346"/>
      <c r="AZ182" s="346"/>
      <c r="BA182" s="346"/>
      <c r="BB182" s="346"/>
      <c r="BC182" s="346"/>
      <c r="BD182" s="346"/>
      <c r="BE182" s="346"/>
      <c r="BF182" s="346"/>
      <c r="BG182" s="346"/>
      <c r="BH182">
        <f t="shared" si="17"/>
        <v>0</v>
      </c>
      <c r="BI182" s="351">
        <f t="shared" si="16"/>
        <v>0</v>
      </c>
    </row>
    <row r="183" spans="1:61">
      <c r="A183" s="165"/>
      <c r="BH183">
        <f t="shared" si="17"/>
        <v>0</v>
      </c>
      <c r="BI183" s="351">
        <f t="shared" si="16"/>
        <v>0</v>
      </c>
    </row>
    <row r="184" spans="1:61" ht="15">
      <c r="A184" s="347" t="s">
        <v>173</v>
      </c>
      <c r="B184" s="347">
        <f>SUM(B128:B183)</f>
        <v>0</v>
      </c>
      <c r="C184" s="347">
        <f>SUM(C128:C183)</f>
        <v>0</v>
      </c>
      <c r="D184" s="347">
        <f>SUM(D128:D183)</f>
        <v>0</v>
      </c>
      <c r="E184" s="347">
        <f>SUM(E128:E183)</f>
        <v>0</v>
      </c>
      <c r="F184" s="347">
        <f t="shared" ref="F184:X184" si="18">SUM(F128:F183)</f>
        <v>0</v>
      </c>
      <c r="G184" s="347">
        <f t="shared" si="18"/>
        <v>0</v>
      </c>
      <c r="H184" s="347">
        <f t="shared" si="18"/>
        <v>315</v>
      </c>
      <c r="I184" s="347">
        <f t="shared" si="18"/>
        <v>491</v>
      </c>
      <c r="J184" s="347">
        <f t="shared" si="18"/>
        <v>0</v>
      </c>
      <c r="K184" s="347">
        <f t="shared" si="18"/>
        <v>0</v>
      </c>
      <c r="L184" s="347">
        <f t="shared" si="18"/>
        <v>0</v>
      </c>
      <c r="M184" s="347">
        <f t="shared" si="18"/>
        <v>0</v>
      </c>
      <c r="N184" s="347">
        <f t="shared" si="18"/>
        <v>2748</v>
      </c>
      <c r="O184" s="347">
        <f t="shared" si="18"/>
        <v>0</v>
      </c>
      <c r="P184" s="347">
        <f t="shared" si="18"/>
        <v>6</v>
      </c>
      <c r="Q184" s="347">
        <f t="shared" si="18"/>
        <v>0</v>
      </c>
      <c r="R184" s="347">
        <f t="shared" si="18"/>
        <v>12</v>
      </c>
      <c r="S184" s="347">
        <f t="shared" si="18"/>
        <v>14</v>
      </c>
      <c r="T184" s="347">
        <f t="shared" si="18"/>
        <v>0</v>
      </c>
      <c r="U184" s="347">
        <f t="shared" si="18"/>
        <v>0</v>
      </c>
      <c r="V184" s="347">
        <f t="shared" si="18"/>
        <v>0</v>
      </c>
      <c r="W184" s="347">
        <f t="shared" si="18"/>
        <v>0</v>
      </c>
      <c r="X184" s="347">
        <f t="shared" si="18"/>
        <v>0</v>
      </c>
      <c r="Y184" s="347">
        <f t="shared" ref="Y184:BH184" si="19">SUM(Y128:Y183)</f>
        <v>0</v>
      </c>
      <c r="Z184" s="347">
        <f t="shared" si="19"/>
        <v>0</v>
      </c>
      <c r="AA184" s="347">
        <f t="shared" si="19"/>
        <v>0</v>
      </c>
      <c r="AB184" s="347">
        <f t="shared" si="19"/>
        <v>0</v>
      </c>
      <c r="AC184" s="347">
        <f t="shared" si="19"/>
        <v>0</v>
      </c>
      <c r="AD184" s="347">
        <f t="shared" si="19"/>
        <v>0</v>
      </c>
      <c r="AE184" s="347">
        <f t="shared" si="19"/>
        <v>0</v>
      </c>
      <c r="AF184" s="347">
        <f t="shared" si="19"/>
        <v>0</v>
      </c>
      <c r="AG184" s="347">
        <f t="shared" si="19"/>
        <v>0</v>
      </c>
      <c r="AH184" s="347">
        <f t="shared" si="19"/>
        <v>0</v>
      </c>
      <c r="AI184" s="347">
        <f t="shared" si="19"/>
        <v>0</v>
      </c>
      <c r="AJ184" s="347">
        <f t="shared" si="19"/>
        <v>4</v>
      </c>
      <c r="AK184" s="347">
        <f t="shared" si="19"/>
        <v>0</v>
      </c>
      <c r="AL184" s="347">
        <f t="shared" si="19"/>
        <v>0</v>
      </c>
      <c r="AM184" s="347">
        <f t="shared" si="19"/>
        <v>0</v>
      </c>
      <c r="AN184" s="347">
        <f t="shared" si="19"/>
        <v>0</v>
      </c>
      <c r="AO184" s="347">
        <f t="shared" si="19"/>
        <v>0</v>
      </c>
      <c r="AP184" s="347">
        <f t="shared" si="19"/>
        <v>0</v>
      </c>
      <c r="AQ184" s="347">
        <f t="shared" si="19"/>
        <v>0</v>
      </c>
      <c r="AR184" s="347">
        <f t="shared" si="19"/>
        <v>4</v>
      </c>
      <c r="AS184" s="347">
        <f t="shared" si="19"/>
        <v>0</v>
      </c>
      <c r="AT184" s="347">
        <f t="shared" si="19"/>
        <v>0</v>
      </c>
      <c r="AU184" s="347">
        <f t="shared" si="19"/>
        <v>0</v>
      </c>
      <c r="AV184" s="347">
        <f t="shared" si="19"/>
        <v>0</v>
      </c>
      <c r="AW184" s="347">
        <f t="shared" si="19"/>
        <v>0</v>
      </c>
      <c r="AX184" s="347">
        <f t="shared" si="19"/>
        <v>0</v>
      </c>
      <c r="AY184" s="347">
        <f t="shared" si="19"/>
        <v>0</v>
      </c>
      <c r="AZ184" s="347">
        <f t="shared" si="19"/>
        <v>31</v>
      </c>
      <c r="BA184" s="347">
        <f t="shared" si="19"/>
        <v>0</v>
      </c>
      <c r="BB184" s="347">
        <f t="shared" si="19"/>
        <v>0</v>
      </c>
      <c r="BC184" s="347">
        <f t="shared" si="19"/>
        <v>0</v>
      </c>
      <c r="BD184" s="347">
        <f t="shared" si="19"/>
        <v>0</v>
      </c>
      <c r="BE184" s="347">
        <f t="shared" si="19"/>
        <v>5</v>
      </c>
      <c r="BF184" s="347">
        <f t="shared" si="19"/>
        <v>556</v>
      </c>
      <c r="BG184" s="347">
        <f t="shared" si="19"/>
        <v>0</v>
      </c>
      <c r="BH184" s="347">
        <f t="shared" si="19"/>
        <v>4186</v>
      </c>
    </row>
    <row r="185" spans="1:61" ht="15.75" thickBot="1">
      <c r="A185" s="348" t="s">
        <v>174</v>
      </c>
      <c r="B185" s="348">
        <f>B184/$BH184</f>
        <v>0</v>
      </c>
      <c r="C185" s="348">
        <f>C184/$BH184</f>
        <v>0</v>
      </c>
      <c r="D185" s="348">
        <f>D184/$BH184</f>
        <v>0</v>
      </c>
      <c r="E185" s="348">
        <f>E184/$BH184</f>
        <v>0</v>
      </c>
      <c r="F185" s="348">
        <f t="shared" ref="F185:X185" si="20">F184/$BH184</f>
        <v>0</v>
      </c>
      <c r="G185" s="348">
        <f t="shared" si="20"/>
        <v>0</v>
      </c>
      <c r="H185" s="348">
        <f t="shared" si="20"/>
        <v>7.5250836120401343E-2</v>
      </c>
      <c r="I185" s="348">
        <f t="shared" si="20"/>
        <v>0.11729574773053034</v>
      </c>
      <c r="J185" s="348">
        <f t="shared" si="20"/>
        <v>0</v>
      </c>
      <c r="K185" s="348">
        <f t="shared" si="20"/>
        <v>0</v>
      </c>
      <c r="L185" s="348">
        <f t="shared" si="20"/>
        <v>0</v>
      </c>
      <c r="M185" s="348">
        <f t="shared" si="20"/>
        <v>0</v>
      </c>
      <c r="N185" s="348">
        <f t="shared" si="20"/>
        <v>0.65647396082178688</v>
      </c>
      <c r="O185" s="348">
        <f t="shared" si="20"/>
        <v>0</v>
      </c>
      <c r="P185" s="348">
        <f t="shared" si="20"/>
        <v>1.433349259436216E-3</v>
      </c>
      <c r="Q185" s="348">
        <f t="shared" si="20"/>
        <v>0</v>
      </c>
      <c r="R185" s="348">
        <f t="shared" si="20"/>
        <v>2.866698518872432E-3</v>
      </c>
      <c r="S185" s="348">
        <f t="shared" si="20"/>
        <v>3.3444816053511705E-3</v>
      </c>
      <c r="T185" s="348">
        <f t="shared" si="20"/>
        <v>0</v>
      </c>
      <c r="U185" s="348">
        <f t="shared" si="20"/>
        <v>0</v>
      </c>
      <c r="V185" s="348">
        <f t="shared" si="20"/>
        <v>0</v>
      </c>
      <c r="W185" s="348">
        <f t="shared" si="20"/>
        <v>0</v>
      </c>
      <c r="X185" s="348">
        <f t="shared" si="20"/>
        <v>0</v>
      </c>
      <c r="Y185" s="348">
        <f t="shared" ref="Y185:BG185" si="21">Y184/$BH184</f>
        <v>0</v>
      </c>
      <c r="Z185" s="348">
        <f t="shared" si="21"/>
        <v>0</v>
      </c>
      <c r="AA185" s="348">
        <f t="shared" si="21"/>
        <v>0</v>
      </c>
      <c r="AB185" s="348">
        <f t="shared" si="21"/>
        <v>0</v>
      </c>
      <c r="AC185" s="348">
        <f t="shared" si="21"/>
        <v>0</v>
      </c>
      <c r="AD185" s="348">
        <f t="shared" si="21"/>
        <v>0</v>
      </c>
      <c r="AE185" s="348">
        <f t="shared" si="21"/>
        <v>0</v>
      </c>
      <c r="AF185" s="348">
        <f t="shared" si="21"/>
        <v>0</v>
      </c>
      <c r="AG185" s="348">
        <f t="shared" si="21"/>
        <v>0</v>
      </c>
      <c r="AH185" s="348">
        <f t="shared" si="21"/>
        <v>0</v>
      </c>
      <c r="AI185" s="348">
        <f t="shared" si="21"/>
        <v>0</v>
      </c>
      <c r="AJ185" s="348">
        <f t="shared" si="21"/>
        <v>9.5556617295747726E-4</v>
      </c>
      <c r="AK185" s="348">
        <f t="shared" si="21"/>
        <v>0</v>
      </c>
      <c r="AL185" s="348">
        <f t="shared" si="21"/>
        <v>0</v>
      </c>
      <c r="AM185" s="348">
        <f t="shared" si="21"/>
        <v>0</v>
      </c>
      <c r="AN185" s="348">
        <f t="shared" si="21"/>
        <v>0</v>
      </c>
      <c r="AO185" s="348">
        <f t="shared" si="21"/>
        <v>0</v>
      </c>
      <c r="AP185" s="348">
        <f t="shared" si="21"/>
        <v>0</v>
      </c>
      <c r="AQ185" s="348">
        <f t="shared" si="21"/>
        <v>0</v>
      </c>
      <c r="AR185" s="348">
        <f t="shared" si="21"/>
        <v>9.5556617295747726E-4</v>
      </c>
      <c r="AS185" s="348">
        <f t="shared" si="21"/>
        <v>0</v>
      </c>
      <c r="AT185" s="348">
        <f t="shared" si="21"/>
        <v>0</v>
      </c>
      <c r="AU185" s="348">
        <f t="shared" si="21"/>
        <v>0</v>
      </c>
      <c r="AV185" s="348">
        <f t="shared" si="21"/>
        <v>0</v>
      </c>
      <c r="AW185" s="348">
        <f t="shared" si="21"/>
        <v>0</v>
      </c>
      <c r="AX185" s="348">
        <f t="shared" si="21"/>
        <v>0</v>
      </c>
      <c r="AY185" s="348">
        <f t="shared" si="21"/>
        <v>0</v>
      </c>
      <c r="AZ185" s="348">
        <f t="shared" si="21"/>
        <v>7.405637840420449E-3</v>
      </c>
      <c r="BA185" s="348">
        <f t="shared" si="21"/>
        <v>0</v>
      </c>
      <c r="BB185" s="348">
        <f t="shared" si="21"/>
        <v>0</v>
      </c>
      <c r="BC185" s="348">
        <f t="shared" si="21"/>
        <v>0</v>
      </c>
      <c r="BD185" s="348">
        <f t="shared" si="21"/>
        <v>0</v>
      </c>
      <c r="BE185" s="348">
        <f t="shared" si="21"/>
        <v>1.1944577161968467E-3</v>
      </c>
      <c r="BF185" s="348">
        <f t="shared" si="21"/>
        <v>0.13282369804108934</v>
      </c>
      <c r="BG185" s="348">
        <f t="shared" si="21"/>
        <v>0</v>
      </c>
      <c r="BH185" s="351"/>
    </row>
    <row r="188" spans="1:61" ht="14.25" customHeight="1"/>
    <row r="189" spans="1:61" ht="14.25" customHeight="1">
      <c r="A189" s="165">
        <f>'Conveyor Downtime (new)'!A187</f>
        <v>46113</v>
      </c>
      <c r="I189">
        <v>5</v>
      </c>
      <c r="BH189">
        <f t="shared" ref="BH189:BH220" si="22">SUM(B189:BG189)</f>
        <v>5</v>
      </c>
      <c r="BI189" s="351">
        <f t="shared" ref="BI189:BI215" si="23">BH189/$BH$245</f>
        <v>2.8169014084507044E-3</v>
      </c>
    </row>
    <row r="190" spans="1:61" ht="14.25" customHeight="1">
      <c r="A190" s="165">
        <f>'Conveyor Downtime (new)'!A188</f>
        <v>46113</v>
      </c>
      <c r="B190" s="346"/>
      <c r="C190" s="346"/>
      <c r="D190" s="346"/>
      <c r="E190" s="346"/>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s="346"/>
      <c r="AE190" s="346"/>
      <c r="AF190" s="346"/>
      <c r="AG190" s="346"/>
      <c r="AH190" s="346"/>
      <c r="AI190" s="346"/>
      <c r="AJ190" s="346"/>
      <c r="AK190" s="346"/>
      <c r="AL190" s="346"/>
      <c r="AM190" s="346"/>
      <c r="AN190" s="346"/>
      <c r="AO190" s="346"/>
      <c r="AP190" s="346"/>
      <c r="AQ190" s="346"/>
      <c r="AR190" s="346"/>
      <c r="AS190" s="346"/>
      <c r="AT190" s="346"/>
      <c r="AU190" s="346"/>
      <c r="AV190" s="346"/>
      <c r="AW190" s="346"/>
      <c r="AX190" s="346"/>
      <c r="AY190" s="346"/>
      <c r="AZ190" s="346"/>
      <c r="BA190" s="346"/>
      <c r="BB190" s="346"/>
      <c r="BC190" s="346"/>
      <c r="BD190" s="346"/>
      <c r="BE190" s="346"/>
      <c r="BF190" s="346"/>
      <c r="BG190" s="346"/>
      <c r="BH190">
        <f t="shared" si="22"/>
        <v>0</v>
      </c>
      <c r="BI190" s="351">
        <f t="shared" si="23"/>
        <v>0</v>
      </c>
    </row>
    <row r="191" spans="1:61" ht="14.25" customHeight="1">
      <c r="A191" s="165">
        <f>'Conveyor Downtime (new)'!A189</f>
        <v>46113</v>
      </c>
      <c r="BH191">
        <f t="shared" si="22"/>
        <v>0</v>
      </c>
      <c r="BI191" s="351">
        <f t="shared" si="23"/>
        <v>0</v>
      </c>
    </row>
    <row r="192" spans="1:61" ht="14.25" customHeight="1">
      <c r="A192" s="165">
        <f>'Conveyor Downtime (new)'!A190</f>
        <v>46114</v>
      </c>
      <c r="B192" s="346"/>
      <c r="C192" s="346"/>
      <c r="D192" s="346"/>
      <c r="E192" s="346"/>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s="346"/>
      <c r="AE192" s="346"/>
      <c r="AF192" s="346"/>
      <c r="AG192" s="346"/>
      <c r="AH192" s="346"/>
      <c r="AI192" s="346"/>
      <c r="AJ192" s="346"/>
      <c r="AK192" s="346"/>
      <c r="AL192" s="346"/>
      <c r="AM192" s="346"/>
      <c r="AN192" s="346"/>
      <c r="AO192" s="346"/>
      <c r="AP192" s="346"/>
      <c r="AQ192" s="346"/>
      <c r="AR192" s="346"/>
      <c r="AS192" s="346"/>
      <c r="AT192" s="346"/>
      <c r="AU192" s="346"/>
      <c r="AV192" s="346"/>
      <c r="AW192" s="346"/>
      <c r="AX192" s="346"/>
      <c r="AY192" s="346"/>
      <c r="AZ192" s="346"/>
      <c r="BA192" s="346"/>
      <c r="BB192" s="346"/>
      <c r="BC192" s="346"/>
      <c r="BD192" s="346"/>
      <c r="BE192" s="346"/>
      <c r="BF192" s="346"/>
      <c r="BG192" s="346"/>
      <c r="BH192">
        <f t="shared" si="22"/>
        <v>0</v>
      </c>
      <c r="BI192" s="351">
        <f t="shared" si="23"/>
        <v>0</v>
      </c>
    </row>
    <row r="193" spans="1:61" ht="14.25" customHeight="1">
      <c r="A193" s="165">
        <f>'Conveyor Downtime (new)'!A191</f>
        <v>46114</v>
      </c>
      <c r="BH193">
        <f t="shared" si="22"/>
        <v>0</v>
      </c>
      <c r="BI193" s="351">
        <f t="shared" si="23"/>
        <v>0</v>
      </c>
    </row>
    <row r="194" spans="1:61" ht="14.25" customHeight="1">
      <c r="A194" s="165">
        <f>'Conveyor Downtime (new)'!A192</f>
        <v>46119</v>
      </c>
      <c r="B194" s="346"/>
      <c r="C194" s="346"/>
      <c r="D194" s="346"/>
      <c r="E194" s="346"/>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s="346"/>
      <c r="AE194" s="346"/>
      <c r="AF194" s="346"/>
      <c r="AG194" s="346"/>
      <c r="AH194" s="346"/>
      <c r="AI194" s="346"/>
      <c r="AJ194" s="346"/>
      <c r="AK194" s="346"/>
      <c r="AL194" s="346"/>
      <c r="AM194" s="346"/>
      <c r="AN194" s="346"/>
      <c r="AO194" s="346"/>
      <c r="AP194" s="346"/>
      <c r="AQ194" s="346"/>
      <c r="AR194" s="346"/>
      <c r="AS194" s="346"/>
      <c r="AT194" s="346"/>
      <c r="AU194" s="346"/>
      <c r="AV194" s="346"/>
      <c r="AW194" s="346"/>
      <c r="AX194" s="346"/>
      <c r="AY194" s="346"/>
      <c r="AZ194" s="346"/>
      <c r="BA194" s="346"/>
      <c r="BB194" s="346"/>
      <c r="BC194" s="346"/>
      <c r="BD194" s="346"/>
      <c r="BE194" s="346"/>
      <c r="BF194" s="346">
        <f>5</f>
        <v>5</v>
      </c>
      <c r="BG194" s="346"/>
      <c r="BH194">
        <f t="shared" si="22"/>
        <v>5</v>
      </c>
      <c r="BI194" s="351">
        <f t="shared" si="23"/>
        <v>2.8169014084507044E-3</v>
      </c>
    </row>
    <row r="195" spans="1:61" ht="14.25" customHeight="1">
      <c r="A195" s="165">
        <f>'Conveyor Downtime (new)'!A193</f>
        <v>46119</v>
      </c>
      <c r="BH195">
        <f t="shared" si="22"/>
        <v>0</v>
      </c>
      <c r="BI195" s="351">
        <f t="shared" si="23"/>
        <v>0</v>
      </c>
    </row>
    <row r="196" spans="1:61" ht="14.25" customHeight="1">
      <c r="A196" s="165">
        <f>'Conveyor Downtime (new)'!A194</f>
        <v>46120</v>
      </c>
      <c r="B196" s="346"/>
      <c r="C196" s="346"/>
      <c r="D196" s="346"/>
      <c r="E196" s="346"/>
      <c r="F196" s="346"/>
      <c r="G196" s="346"/>
      <c r="H196" s="346">
        <f>2+3+4</f>
        <v>9</v>
      </c>
      <c r="I196" s="346">
        <f>4+2+6+3+9+5+6+4+4+4</f>
        <v>47</v>
      </c>
      <c r="J196" s="346"/>
      <c r="K196" s="346"/>
      <c r="L196" s="346"/>
      <c r="M196" s="346"/>
      <c r="N196" s="346"/>
      <c r="O196" s="346"/>
      <c r="P196" s="346"/>
      <c r="Q196" s="346"/>
      <c r="R196" s="346"/>
      <c r="S196" s="346"/>
      <c r="T196" s="346"/>
      <c r="U196" s="346"/>
      <c r="V196" s="346"/>
      <c r="W196" s="346"/>
      <c r="X196" s="346"/>
      <c r="Y196" s="346"/>
      <c r="Z196" s="346"/>
      <c r="AA196" s="346"/>
      <c r="AB196" s="346"/>
      <c r="AC196" s="346"/>
      <c r="AD196" s="346"/>
      <c r="AE196" s="346"/>
      <c r="AF196" s="346"/>
      <c r="AG196" s="346"/>
      <c r="AH196" s="346"/>
      <c r="AI196" s="346"/>
      <c r="AJ196" s="346"/>
      <c r="AK196" s="346"/>
      <c r="AL196" s="346"/>
      <c r="AM196" s="346"/>
      <c r="AN196" s="346"/>
      <c r="AO196" s="346"/>
      <c r="AP196" s="346"/>
      <c r="AQ196" s="346"/>
      <c r="AR196" s="346"/>
      <c r="AS196" s="346"/>
      <c r="AT196" s="346"/>
      <c r="AU196" s="346"/>
      <c r="AV196" s="346"/>
      <c r="AW196" s="346"/>
      <c r="AX196" s="346"/>
      <c r="AY196" s="346"/>
      <c r="AZ196" s="346"/>
      <c r="BA196" s="346"/>
      <c r="BB196" s="346"/>
      <c r="BC196" s="346"/>
      <c r="BD196" s="346"/>
      <c r="BE196" s="346"/>
      <c r="BF196" s="346">
        <f>3+5+5+4+5</f>
        <v>22</v>
      </c>
      <c r="BG196" s="346"/>
      <c r="BH196">
        <f t="shared" si="22"/>
        <v>78</v>
      </c>
      <c r="BI196" s="351">
        <f t="shared" si="23"/>
        <v>4.3943661971830986E-2</v>
      </c>
    </row>
    <row r="197" spans="1:61" ht="14.25" customHeight="1">
      <c r="A197" s="165">
        <f>'Conveyor Downtime (new)'!A195</f>
        <v>46120</v>
      </c>
      <c r="I197">
        <f>8</f>
        <v>8</v>
      </c>
      <c r="AO197" s="77"/>
      <c r="BF197">
        <f>5+6</f>
        <v>11</v>
      </c>
      <c r="BH197">
        <f t="shared" si="22"/>
        <v>19</v>
      </c>
      <c r="BI197" s="351">
        <f t="shared" si="23"/>
        <v>1.0704225352112675E-2</v>
      </c>
    </row>
    <row r="198" spans="1:61" ht="14.25" customHeight="1">
      <c r="A198" s="165">
        <f>'Conveyor Downtime (new)'!A196</f>
        <v>46121</v>
      </c>
      <c r="B198" s="346"/>
      <c r="C198" s="346"/>
      <c r="D198" s="346"/>
      <c r="E198" s="346"/>
      <c r="F198" s="346"/>
      <c r="G198" s="346"/>
      <c r="H198" s="346">
        <f>2+2</f>
        <v>4</v>
      </c>
      <c r="I198" s="346">
        <f>16+3+5+4+4+5+4+6+10+2+2+3</f>
        <v>64</v>
      </c>
      <c r="J198" s="346"/>
      <c r="K198" s="346"/>
      <c r="L198" s="346"/>
      <c r="M198" s="346"/>
      <c r="N198" s="346"/>
      <c r="O198" s="346"/>
      <c r="P198" s="346"/>
      <c r="Q198" s="346"/>
      <c r="R198" s="346"/>
      <c r="S198" s="346"/>
      <c r="T198" s="346"/>
      <c r="U198" s="346"/>
      <c r="V198" s="346"/>
      <c r="W198" s="346"/>
      <c r="X198" s="346"/>
      <c r="Y198" s="346"/>
      <c r="Z198" s="346"/>
      <c r="AA198" s="346"/>
      <c r="AB198" s="346"/>
      <c r="AC198" s="346"/>
      <c r="AD198" s="346"/>
      <c r="AE198" s="346"/>
      <c r="AF198" s="346"/>
      <c r="AG198" s="346"/>
      <c r="AH198" s="346"/>
      <c r="AI198" s="346"/>
      <c r="AJ198" s="346"/>
      <c r="AK198" s="346"/>
      <c r="AL198" s="346"/>
      <c r="AM198" s="346"/>
      <c r="AN198" s="346"/>
      <c r="AO198" s="77"/>
      <c r="AP198" s="346"/>
      <c r="AQ198" s="346"/>
      <c r="AR198" s="346"/>
      <c r="AS198" s="77"/>
      <c r="AT198" s="346"/>
      <c r="AU198" s="346"/>
      <c r="AV198" s="346"/>
      <c r="AW198" s="346"/>
      <c r="AX198" s="346"/>
      <c r="AY198" s="346"/>
      <c r="AZ198" s="346"/>
      <c r="BA198" s="346"/>
      <c r="BB198" s="346"/>
      <c r="BC198" s="346"/>
      <c r="BD198" s="346"/>
      <c r="BE198" s="346"/>
      <c r="BF198" s="346">
        <f>2+4+3</f>
        <v>9</v>
      </c>
      <c r="BG198" s="346"/>
      <c r="BH198">
        <f t="shared" si="22"/>
        <v>77</v>
      </c>
      <c r="BI198" s="351">
        <f t="shared" si="23"/>
        <v>4.3380281690140847E-2</v>
      </c>
    </row>
    <row r="199" spans="1:61" ht="14.25" customHeight="1">
      <c r="A199" s="165">
        <f>'Conveyor Downtime (new)'!A197</f>
        <v>46122</v>
      </c>
      <c r="H199">
        <f>6</f>
        <v>6</v>
      </c>
      <c r="I199">
        <f>2+5+5+3+3+4</f>
        <v>22</v>
      </c>
      <c r="BF199">
        <f>7+5+4+4+4</f>
        <v>24</v>
      </c>
      <c r="BH199">
        <f t="shared" si="22"/>
        <v>52</v>
      </c>
      <c r="BI199" s="351">
        <f t="shared" si="23"/>
        <v>2.9295774647887324E-2</v>
      </c>
    </row>
    <row r="200" spans="1:61" ht="14.25" customHeight="1">
      <c r="A200" s="165">
        <f>'Conveyor Downtime (new)'!A198</f>
        <v>46125</v>
      </c>
      <c r="B200" s="346"/>
      <c r="C200" s="346"/>
      <c r="D200" s="346"/>
      <c r="E200" s="346"/>
      <c r="F200" s="346"/>
      <c r="G200" s="346"/>
      <c r="H200" s="346">
        <f>5</f>
        <v>5</v>
      </c>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s="346"/>
      <c r="AE200" s="346"/>
      <c r="AF200" s="346"/>
      <c r="AG200" s="346"/>
      <c r="AH200" s="346"/>
      <c r="AI200" s="346"/>
      <c r="AJ200" s="346"/>
      <c r="AK200" s="346"/>
      <c r="AL200" s="346"/>
      <c r="AM200" s="346"/>
      <c r="AN200" s="346"/>
      <c r="AO200" s="346"/>
      <c r="AP200" s="346"/>
      <c r="AQ200" s="346"/>
      <c r="AR200" s="346"/>
      <c r="AS200" s="346"/>
      <c r="AT200" s="346"/>
      <c r="AU200" s="346"/>
      <c r="AV200" s="346"/>
      <c r="AW200" s="346"/>
      <c r="AX200" s="346"/>
      <c r="AY200" s="346"/>
      <c r="AZ200" s="346"/>
      <c r="BA200" s="346"/>
      <c r="BB200" s="346"/>
      <c r="BC200" s="346"/>
      <c r="BD200" s="346"/>
      <c r="BE200" s="346"/>
      <c r="BF200" s="346"/>
      <c r="BG200" s="346"/>
      <c r="BH200">
        <f t="shared" si="22"/>
        <v>5</v>
      </c>
      <c r="BI200" s="351">
        <f t="shared" si="23"/>
        <v>2.8169014084507044E-3</v>
      </c>
    </row>
    <row r="201" spans="1:61" ht="14.25" customHeight="1">
      <c r="A201" s="165">
        <f>'Conveyor Downtime (new)'!A199</f>
        <v>46125</v>
      </c>
      <c r="I201">
        <f>4</f>
        <v>4</v>
      </c>
      <c r="BF201">
        <f>2</f>
        <v>2</v>
      </c>
      <c r="BH201">
        <f t="shared" si="22"/>
        <v>6</v>
      </c>
      <c r="BI201" s="351">
        <f t="shared" si="23"/>
        <v>3.3802816901408453E-3</v>
      </c>
    </row>
    <row r="202" spans="1:61" ht="14.25" customHeight="1">
      <c r="A202" s="165">
        <f>'Conveyor Downtime (new)'!A200</f>
        <v>46126</v>
      </c>
      <c r="B202" s="346"/>
      <c r="C202" s="346"/>
      <c r="D202" s="346"/>
      <c r="E202" s="346"/>
      <c r="F202" s="346"/>
      <c r="G202" s="346"/>
      <c r="H202" s="346">
        <f>8</f>
        <v>8</v>
      </c>
      <c r="I202" s="346">
        <f>6+6+4+5+5+4+4</f>
        <v>34</v>
      </c>
      <c r="J202" s="346"/>
      <c r="K202" s="346"/>
      <c r="L202" s="346"/>
      <c r="M202" s="346"/>
      <c r="N202" s="346"/>
      <c r="O202" s="346"/>
      <c r="P202" s="346"/>
      <c r="Q202" s="346"/>
      <c r="R202" s="346"/>
      <c r="S202" s="346"/>
      <c r="T202" s="77"/>
      <c r="U202" s="346"/>
      <c r="V202" s="346"/>
      <c r="W202" s="346"/>
      <c r="X202" s="346"/>
      <c r="Y202" s="346"/>
      <c r="Z202" s="346"/>
      <c r="AA202" s="346"/>
      <c r="AB202" s="346"/>
      <c r="AC202" s="346"/>
      <c r="AD202" s="346"/>
      <c r="AE202" s="346"/>
      <c r="AF202" s="346"/>
      <c r="AG202" s="346"/>
      <c r="AH202" s="346"/>
      <c r="AI202" s="346"/>
      <c r="AJ202" s="346"/>
      <c r="AK202" s="346"/>
      <c r="AL202" s="346"/>
      <c r="AM202" s="346"/>
      <c r="AN202" s="346"/>
      <c r="AO202" s="346"/>
      <c r="AP202" s="346"/>
      <c r="AQ202" s="346"/>
      <c r="AR202" s="346"/>
      <c r="AS202" s="346"/>
      <c r="AT202" s="346"/>
      <c r="AU202" s="346"/>
      <c r="AV202" s="346"/>
      <c r="AW202" s="346"/>
      <c r="AX202" s="346"/>
      <c r="AY202" s="346"/>
      <c r="AZ202" s="346"/>
      <c r="BA202" s="346"/>
      <c r="BB202" s="346"/>
      <c r="BC202" s="346"/>
      <c r="BD202" s="346"/>
      <c r="BE202" s="346"/>
      <c r="BF202" s="346">
        <f>4</f>
        <v>4</v>
      </c>
      <c r="BG202" s="346"/>
      <c r="BH202">
        <f t="shared" si="22"/>
        <v>46</v>
      </c>
      <c r="BI202" s="351">
        <f t="shared" si="23"/>
        <v>2.5915492957746478E-2</v>
      </c>
    </row>
    <row r="203" spans="1:61" ht="14.25" customHeight="1">
      <c r="A203" s="165">
        <f>'Conveyor Downtime (new)'!A201</f>
        <v>46126</v>
      </c>
      <c r="BF203">
        <f>3</f>
        <v>3</v>
      </c>
      <c r="BH203">
        <f t="shared" si="22"/>
        <v>3</v>
      </c>
      <c r="BI203" s="351">
        <f t="shared" si="23"/>
        <v>1.6901408450704226E-3</v>
      </c>
    </row>
    <row r="204" spans="1:61" ht="14.25" customHeight="1">
      <c r="A204" s="165">
        <f>'Conveyor Downtime (new)'!A202</f>
        <v>46126</v>
      </c>
      <c r="B204" s="346"/>
      <c r="C204" s="346"/>
      <c r="D204" s="346"/>
      <c r="E204" s="346"/>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s="346"/>
      <c r="AE204" s="346"/>
      <c r="AF204" s="346"/>
      <c r="AG204" s="346"/>
      <c r="AH204" s="346"/>
      <c r="AI204" s="346"/>
      <c r="AJ204" s="346"/>
      <c r="AK204" s="346"/>
      <c r="AL204" s="346"/>
      <c r="AM204" s="346"/>
      <c r="AN204" s="346"/>
      <c r="AO204" s="346"/>
      <c r="AP204" s="346"/>
      <c r="AQ204" s="346"/>
      <c r="AR204" s="346"/>
      <c r="AS204" s="346"/>
      <c r="AT204" s="346"/>
      <c r="AU204" s="346"/>
      <c r="AV204" s="346"/>
      <c r="AW204" s="346"/>
      <c r="AX204" s="346"/>
      <c r="AY204" s="346"/>
      <c r="AZ204" s="346"/>
      <c r="BA204" s="346"/>
      <c r="BB204" s="346"/>
      <c r="BC204" s="346"/>
      <c r="BD204" s="346"/>
      <c r="BE204" s="346"/>
      <c r="BF204" s="346"/>
      <c r="BG204" s="346"/>
      <c r="BH204">
        <f t="shared" si="22"/>
        <v>0</v>
      </c>
      <c r="BI204" s="351">
        <f t="shared" si="23"/>
        <v>0</v>
      </c>
    </row>
    <row r="205" spans="1:61" ht="14.25" customHeight="1">
      <c r="A205" s="165">
        <f>'Conveyor Downtime (new)'!A203</f>
        <v>46126</v>
      </c>
      <c r="BH205">
        <f t="shared" si="22"/>
        <v>0</v>
      </c>
      <c r="BI205" s="351">
        <f t="shared" si="23"/>
        <v>0</v>
      </c>
    </row>
    <row r="206" spans="1:61" ht="14.25" customHeight="1">
      <c r="A206" s="165">
        <f>'Conveyor Downtime (new)'!A204</f>
        <v>46127</v>
      </c>
      <c r="B206" s="346"/>
      <c r="C206" s="346"/>
      <c r="D206" s="346"/>
      <c r="E206" s="346"/>
      <c r="F206" s="346"/>
      <c r="G206" s="346"/>
      <c r="H206" s="346"/>
      <c r="I206" s="346">
        <f>8+4</f>
        <v>12</v>
      </c>
      <c r="J206" s="346"/>
      <c r="K206" s="346"/>
      <c r="L206" s="346"/>
      <c r="M206" s="346"/>
      <c r="N206" s="346"/>
      <c r="O206" s="346"/>
      <c r="P206" s="346"/>
      <c r="Q206" s="346"/>
      <c r="R206" s="346"/>
      <c r="S206" s="346"/>
      <c r="T206" s="346"/>
      <c r="U206" s="346"/>
      <c r="V206" s="346"/>
      <c r="W206" s="346"/>
      <c r="X206" s="346"/>
      <c r="Y206" s="346"/>
      <c r="Z206" s="346"/>
      <c r="AA206" s="346"/>
      <c r="AB206" s="346"/>
      <c r="AC206" s="346"/>
      <c r="AD206" s="346"/>
      <c r="AE206" s="346"/>
      <c r="AF206" s="346"/>
      <c r="AG206" s="346"/>
      <c r="AH206" s="346"/>
      <c r="AI206" s="346"/>
      <c r="AJ206" s="346"/>
      <c r="AK206" s="346"/>
      <c r="AL206" s="346"/>
      <c r="AM206" s="346"/>
      <c r="AN206" s="346"/>
      <c r="AO206" s="346"/>
      <c r="AP206" s="346"/>
      <c r="AQ206" s="346"/>
      <c r="AR206" s="346"/>
      <c r="AS206" s="77"/>
      <c r="AT206" s="346"/>
      <c r="AU206" s="346"/>
      <c r="AV206" s="346"/>
      <c r="AW206" s="346"/>
      <c r="AX206" s="346"/>
      <c r="AY206" s="346"/>
      <c r="AZ206" s="346"/>
      <c r="BA206" s="346"/>
      <c r="BB206" s="346"/>
      <c r="BC206" s="346"/>
      <c r="BD206" s="346"/>
      <c r="BE206" s="346"/>
      <c r="BF206" s="346"/>
      <c r="BG206" s="346"/>
      <c r="BH206">
        <f t="shared" si="22"/>
        <v>12</v>
      </c>
      <c r="BI206" s="351">
        <f t="shared" si="23"/>
        <v>6.7605633802816905E-3</v>
      </c>
    </row>
    <row r="207" spans="1:61" ht="14.25" customHeight="1">
      <c r="A207" s="165">
        <f>'Conveyor Downtime (new)'!A205</f>
        <v>46127</v>
      </c>
      <c r="I207">
        <f>10+4</f>
        <v>14</v>
      </c>
      <c r="Y207" s="77"/>
      <c r="BF207">
        <f>5+4+5+3+4+2</f>
        <v>23</v>
      </c>
      <c r="BH207">
        <f t="shared" si="22"/>
        <v>37</v>
      </c>
      <c r="BI207" s="351">
        <f t="shared" si="23"/>
        <v>2.0845070422535212E-2</v>
      </c>
    </row>
    <row r="208" spans="1:61" ht="14.25" customHeight="1">
      <c r="A208" s="165">
        <f>'Conveyor Downtime (new)'!A206</f>
        <v>46127</v>
      </c>
      <c r="B208" s="346"/>
      <c r="C208" s="346"/>
      <c r="D208" s="346"/>
      <c r="E208" s="346"/>
      <c r="F208" s="346"/>
      <c r="G208" s="346"/>
      <c r="H208" s="346">
        <f>2+4</f>
        <v>6</v>
      </c>
      <c r="I208" s="346">
        <f>4+7+3+6</f>
        <v>20</v>
      </c>
      <c r="J208" s="346"/>
      <c r="K208" s="346"/>
      <c r="L208" s="346"/>
      <c r="M208" s="346"/>
      <c r="N208" s="346"/>
      <c r="O208" s="346"/>
      <c r="P208" s="346"/>
      <c r="Q208" s="346"/>
      <c r="R208" s="346"/>
      <c r="S208" s="346"/>
      <c r="T208" s="346"/>
      <c r="U208" s="346"/>
      <c r="V208" s="346"/>
      <c r="W208" s="346"/>
      <c r="X208" s="346"/>
      <c r="Y208" s="346"/>
      <c r="Z208" s="346"/>
      <c r="AA208" s="346"/>
      <c r="AB208" s="346"/>
      <c r="AC208" s="346"/>
      <c r="AD208" s="346"/>
      <c r="AE208" s="346"/>
      <c r="AF208" s="346"/>
      <c r="AG208" s="346"/>
      <c r="AH208" s="346"/>
      <c r="AI208" s="346"/>
      <c r="AJ208" s="346"/>
      <c r="AK208" s="346"/>
      <c r="AL208" s="346"/>
      <c r="AM208" s="346"/>
      <c r="AN208" s="346"/>
      <c r="AO208" s="346"/>
      <c r="AP208" s="346"/>
      <c r="AQ208" s="346"/>
      <c r="AR208" s="346"/>
      <c r="AS208" s="346"/>
      <c r="AT208" s="346"/>
      <c r="AU208" s="346"/>
      <c r="AV208" s="346"/>
      <c r="AW208" s="346"/>
      <c r="AX208" s="346"/>
      <c r="AY208" s="346"/>
      <c r="AZ208" s="346"/>
      <c r="BA208" s="346"/>
      <c r="BB208" s="346"/>
      <c r="BC208" s="346"/>
      <c r="BD208" s="346"/>
      <c r="BE208" s="346"/>
      <c r="BF208" s="346">
        <f>5+4</f>
        <v>9</v>
      </c>
      <c r="BG208" s="346"/>
      <c r="BH208">
        <f t="shared" si="22"/>
        <v>35</v>
      </c>
      <c r="BI208" s="351">
        <f t="shared" si="23"/>
        <v>1.9718309859154931E-2</v>
      </c>
    </row>
    <row r="209" spans="1:61" ht="14.25" customHeight="1">
      <c r="A209" s="165">
        <f>'Conveyor Downtime (new)'!A207</f>
        <v>46128</v>
      </c>
      <c r="H209">
        <f>5</f>
        <v>5</v>
      </c>
      <c r="I209">
        <f>4+6+8</f>
        <v>18</v>
      </c>
      <c r="BH209">
        <f t="shared" si="22"/>
        <v>23</v>
      </c>
      <c r="BI209" s="351">
        <f t="shared" si="23"/>
        <v>1.2957746478873239E-2</v>
      </c>
    </row>
    <row r="210" spans="1:61" ht="14.25" customHeight="1">
      <c r="A210" s="165">
        <f>'Conveyor Downtime (new)'!A208</f>
        <v>46128</v>
      </c>
      <c r="B210" s="346"/>
      <c r="C210" s="346"/>
      <c r="D210" s="346"/>
      <c r="E210" s="346"/>
      <c r="F210" s="346"/>
      <c r="G210" s="346"/>
      <c r="H210" s="346"/>
      <c r="I210" s="346">
        <f>6+8+3</f>
        <v>17</v>
      </c>
      <c r="J210" s="346"/>
      <c r="K210" s="346"/>
      <c r="L210" s="346"/>
      <c r="M210" s="346"/>
      <c r="N210" s="346"/>
      <c r="O210" s="346"/>
      <c r="P210" s="346"/>
      <c r="Q210" s="346"/>
      <c r="R210" s="346"/>
      <c r="S210" s="346"/>
      <c r="T210" s="346"/>
      <c r="U210" s="346"/>
      <c r="V210" s="346"/>
      <c r="W210" s="346"/>
      <c r="X210" s="346"/>
      <c r="Y210" s="346"/>
      <c r="Z210" s="346"/>
      <c r="AA210" s="346"/>
      <c r="AB210" s="346"/>
      <c r="AC210" s="346"/>
      <c r="AD210" s="346"/>
      <c r="AE210" s="346"/>
      <c r="AF210" s="346"/>
      <c r="AG210" s="346"/>
      <c r="AH210" s="346"/>
      <c r="AI210" s="346"/>
      <c r="AJ210" s="346"/>
      <c r="AK210" s="77"/>
      <c r="AL210" s="346"/>
      <c r="AM210" s="346"/>
      <c r="AN210" s="346"/>
      <c r="AO210" s="346"/>
      <c r="AP210" s="346"/>
      <c r="AQ210" s="346"/>
      <c r="AR210" s="346"/>
      <c r="AS210" s="346"/>
      <c r="AT210" s="346"/>
      <c r="AU210" s="346"/>
      <c r="AV210" s="346"/>
      <c r="AW210" s="346"/>
      <c r="AX210" s="346"/>
      <c r="AY210" s="346"/>
      <c r="AZ210" s="346"/>
      <c r="BA210" s="346"/>
      <c r="BB210" s="346"/>
      <c r="BC210" s="346"/>
      <c r="BD210" s="346"/>
      <c r="BE210" s="346"/>
      <c r="BF210" s="346"/>
      <c r="BG210" s="346"/>
      <c r="BH210">
        <f t="shared" si="22"/>
        <v>17</v>
      </c>
      <c r="BI210" s="351">
        <f t="shared" si="23"/>
        <v>9.5774647887323944E-3</v>
      </c>
    </row>
    <row r="211" spans="1:61" ht="14.25" customHeight="1">
      <c r="A211" s="165">
        <f>'Conveyor Downtime (new)'!A209</f>
        <v>46129</v>
      </c>
      <c r="B211" s="70"/>
      <c r="C211" s="70"/>
      <c r="D211" s="70"/>
      <c r="E211" s="70"/>
      <c r="F211" s="70"/>
      <c r="G211" s="70"/>
      <c r="H211" s="70">
        <f>6</f>
        <v>6</v>
      </c>
      <c r="I211" s="70">
        <f>4+5+5+5</f>
        <v>19</v>
      </c>
      <c r="J211" s="70"/>
      <c r="K211" s="70"/>
      <c r="L211" s="70"/>
      <c r="M211" s="70"/>
      <c r="N211" s="70"/>
      <c r="O211" s="70"/>
      <c r="P211" s="70"/>
      <c r="Q211" s="70"/>
      <c r="R211" s="70"/>
      <c r="S211" s="70"/>
      <c r="T211" s="70"/>
      <c r="U211" s="70"/>
      <c r="V211" s="70"/>
      <c r="W211" s="70"/>
      <c r="X211" s="70"/>
      <c r="Y211" s="70"/>
      <c r="Z211" s="70"/>
      <c r="AA211" s="70"/>
      <c r="AB211" s="70"/>
      <c r="AC211" s="70"/>
      <c r="AD211" s="70"/>
      <c r="AE211" s="70"/>
      <c r="AF211" s="70"/>
      <c r="AG211" s="70"/>
      <c r="AH211" s="70"/>
      <c r="AI211" s="70"/>
      <c r="AJ211" s="70"/>
      <c r="AK211" s="70"/>
      <c r="AL211" s="70"/>
      <c r="AM211" s="70"/>
      <c r="AN211" s="70"/>
      <c r="AO211" s="70"/>
      <c r="AP211" s="70"/>
      <c r="AQ211" s="70"/>
      <c r="AR211" s="70"/>
      <c r="AS211" s="70"/>
      <c r="AT211" s="70"/>
      <c r="AU211" s="70"/>
      <c r="AV211" s="70"/>
      <c r="AW211" s="70"/>
      <c r="AX211" s="70"/>
      <c r="AY211" s="70"/>
      <c r="AZ211" s="70"/>
      <c r="BA211" s="70"/>
      <c r="BB211" s="70"/>
      <c r="BC211" s="70"/>
      <c r="BD211" s="70"/>
      <c r="BE211" s="70"/>
      <c r="BF211" s="70"/>
      <c r="BG211" s="70"/>
      <c r="BH211">
        <f t="shared" si="22"/>
        <v>25</v>
      </c>
      <c r="BI211" s="351">
        <f t="shared" si="23"/>
        <v>1.4084507042253521E-2</v>
      </c>
    </row>
    <row r="212" spans="1:61" ht="14.25" customHeight="1">
      <c r="A212" s="165">
        <f>'Conveyor Downtime (new)'!A210</f>
        <v>46129</v>
      </c>
      <c r="B212" s="353"/>
      <c r="C212" s="353"/>
      <c r="D212" s="353"/>
      <c r="E212" s="353"/>
      <c r="F212" s="353"/>
      <c r="G212" s="346"/>
      <c r="H212" s="353">
        <f>8+7</f>
        <v>15</v>
      </c>
      <c r="I212" s="353">
        <f>6</f>
        <v>6</v>
      </c>
      <c r="J212" s="353"/>
      <c r="K212" s="353"/>
      <c r="L212" s="353"/>
      <c r="M212" s="353"/>
      <c r="N212" s="353"/>
      <c r="O212" s="353"/>
      <c r="P212" s="353"/>
      <c r="Q212" s="353"/>
      <c r="R212" s="353"/>
      <c r="S212" s="353"/>
      <c r="T212" s="353"/>
      <c r="U212" s="353"/>
      <c r="V212" s="353"/>
      <c r="W212" s="353"/>
      <c r="X212" s="353"/>
      <c r="Y212" s="353"/>
      <c r="Z212" s="353"/>
      <c r="AA212" s="353"/>
      <c r="AB212" s="353"/>
      <c r="AC212" s="353"/>
      <c r="AD212" s="353"/>
      <c r="AE212" s="353"/>
      <c r="AF212" s="353"/>
      <c r="AG212" s="353"/>
      <c r="AH212" s="353"/>
      <c r="AI212" s="353"/>
      <c r="AJ212" s="353"/>
      <c r="AK212" s="353"/>
      <c r="AL212" s="353"/>
      <c r="AM212" s="353"/>
      <c r="AN212" s="353"/>
      <c r="AO212" s="353"/>
      <c r="AP212" s="353"/>
      <c r="AQ212" s="353"/>
      <c r="AR212" s="353"/>
      <c r="AS212" s="353"/>
      <c r="AT212" s="353"/>
      <c r="AU212" s="353"/>
      <c r="AV212" s="353"/>
      <c r="AW212" s="353"/>
      <c r="AX212" s="353"/>
      <c r="AY212" s="353"/>
      <c r="AZ212" s="353"/>
      <c r="BA212" s="353"/>
      <c r="BB212" s="353"/>
      <c r="BC212" s="353"/>
      <c r="BD212" s="353"/>
      <c r="BE212" s="353"/>
      <c r="BF212" s="353">
        <f>4+2+9+9+5+17+5</f>
        <v>51</v>
      </c>
      <c r="BG212" s="353"/>
      <c r="BH212">
        <f t="shared" si="22"/>
        <v>72</v>
      </c>
      <c r="BI212" s="351">
        <f t="shared" si="23"/>
        <v>4.056338028169014E-2</v>
      </c>
    </row>
    <row r="213" spans="1:61" ht="14.25" customHeight="1">
      <c r="A213" s="165">
        <f>'Conveyor Downtime (new)'!A211</f>
        <v>46132</v>
      </c>
      <c r="B213">
        <f>18</f>
        <v>18</v>
      </c>
      <c r="G213" s="70"/>
      <c r="H213" s="70"/>
      <c r="I213" s="70"/>
      <c r="J213" s="70"/>
      <c r="K213" s="70"/>
      <c r="L213" s="70"/>
      <c r="M213" s="70"/>
      <c r="N213" s="70"/>
      <c r="BF213">
        <f>16+7+5+12+4</f>
        <v>44</v>
      </c>
      <c r="BH213">
        <f t="shared" si="22"/>
        <v>62</v>
      </c>
      <c r="BI213" s="351">
        <f t="shared" si="23"/>
        <v>3.4929577464788732E-2</v>
      </c>
    </row>
    <row r="214" spans="1:61" ht="14.25" customHeight="1">
      <c r="A214" s="165">
        <f>'Conveyor Downtime (new)'!A212</f>
        <v>46132</v>
      </c>
      <c r="B214" s="346"/>
      <c r="C214" s="346"/>
      <c r="D214" s="346"/>
      <c r="E214" s="346"/>
      <c r="F214" s="346"/>
      <c r="G214" s="346"/>
      <c r="H214" s="346"/>
      <c r="I214" s="346"/>
      <c r="J214" s="346"/>
      <c r="K214" s="346"/>
      <c r="L214" s="346"/>
      <c r="M214" s="346"/>
      <c r="N214" s="346"/>
      <c r="O214" s="346"/>
      <c r="P214" s="346"/>
      <c r="Q214" s="346"/>
      <c r="R214" s="346"/>
      <c r="S214" s="346"/>
      <c r="T214" s="346"/>
      <c r="U214" s="346"/>
      <c r="V214" s="346"/>
      <c r="W214" s="346"/>
      <c r="X214" s="346"/>
      <c r="Y214" s="346"/>
      <c r="Z214" s="346"/>
      <c r="AA214" s="346"/>
      <c r="AB214" s="346"/>
      <c r="AC214" s="346"/>
      <c r="AD214" s="346"/>
      <c r="AE214" s="346"/>
      <c r="AF214" s="346"/>
      <c r="AG214" s="346"/>
      <c r="AH214" s="346"/>
      <c r="AI214" s="346"/>
      <c r="AJ214" s="346"/>
      <c r="AK214" s="346"/>
      <c r="AL214" s="346"/>
      <c r="AM214" s="346"/>
      <c r="AN214" s="346"/>
      <c r="AO214" s="346"/>
      <c r="AP214" s="346"/>
      <c r="AQ214" s="346"/>
      <c r="AR214" s="346"/>
      <c r="AS214" s="346"/>
      <c r="AT214" s="346"/>
      <c r="AU214" s="346"/>
      <c r="AV214" s="346"/>
      <c r="AW214" s="346"/>
      <c r="AX214" s="346"/>
      <c r="AY214" s="346"/>
      <c r="AZ214" s="346"/>
      <c r="BA214" s="346"/>
      <c r="BB214" s="346"/>
      <c r="BC214" s="346"/>
      <c r="BD214" s="346"/>
      <c r="BE214" s="346"/>
      <c r="BF214" s="346">
        <f>2+4</f>
        <v>6</v>
      </c>
      <c r="BG214" s="346"/>
      <c r="BH214">
        <f t="shared" si="22"/>
        <v>6</v>
      </c>
      <c r="BI214" s="351">
        <f t="shared" si="23"/>
        <v>3.3802816901408453E-3</v>
      </c>
    </row>
    <row r="215" spans="1:61" ht="14.25" customHeight="1">
      <c r="A215" s="165">
        <f>'Conveyor Downtime (new)'!A213</f>
        <v>46132</v>
      </c>
      <c r="B215" s="346"/>
      <c r="C215" s="346"/>
      <c r="D215" s="346"/>
      <c r="E215" s="346"/>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s="346"/>
      <c r="AE215" s="346"/>
      <c r="AF215" s="346"/>
      <c r="AG215" s="346"/>
      <c r="AH215" s="346"/>
      <c r="AI215" s="346"/>
      <c r="AJ215" s="346"/>
      <c r="AK215" s="346"/>
      <c r="AL215" s="346"/>
      <c r="AM215" s="346"/>
      <c r="AN215" s="346"/>
      <c r="AO215" s="346"/>
      <c r="AP215" s="346"/>
      <c r="AQ215" s="346"/>
      <c r="AR215" s="346"/>
      <c r="AS215" s="346"/>
      <c r="AT215" s="346"/>
      <c r="AU215" s="346"/>
      <c r="AV215" s="346"/>
      <c r="AW215" s="346"/>
      <c r="AX215" s="346"/>
      <c r="AY215" s="346"/>
      <c r="AZ215" s="346"/>
      <c r="BA215" s="346"/>
      <c r="BB215" s="346"/>
      <c r="BC215" s="346"/>
      <c r="BD215" s="346"/>
      <c r="BE215" s="346"/>
      <c r="BF215" s="346"/>
      <c r="BG215" s="346"/>
      <c r="BH215">
        <f t="shared" si="22"/>
        <v>0</v>
      </c>
      <c r="BI215" s="351">
        <f t="shared" si="23"/>
        <v>0</v>
      </c>
    </row>
    <row r="216" spans="1:61" ht="14.25" customHeight="1">
      <c r="A216" s="165">
        <f>'Conveyor Downtime (new)'!A214</f>
        <v>46133</v>
      </c>
      <c r="H216">
        <f>5</f>
        <v>5</v>
      </c>
      <c r="I216">
        <f>6+6+4+4</f>
        <v>20</v>
      </c>
      <c r="BF216">
        <f>5</f>
        <v>5</v>
      </c>
      <c r="BH216">
        <f t="shared" si="22"/>
        <v>30</v>
      </c>
      <c r="BI216" s="351">
        <f t="shared" ref="BI216:BI244" si="24">BH216/$BH$245</f>
        <v>1.6901408450704224E-2</v>
      </c>
    </row>
    <row r="217" spans="1:61" ht="14.25" customHeight="1">
      <c r="A217" s="165">
        <f>'Conveyor Downtime (new)'!A215</f>
        <v>46133</v>
      </c>
      <c r="B217" s="346"/>
      <c r="C217" s="346"/>
      <c r="D217" s="346"/>
      <c r="E217" s="346"/>
      <c r="F217" s="346"/>
      <c r="G217" s="346"/>
      <c r="H217" s="346"/>
      <c r="I217" s="346">
        <f>3</f>
        <v>3</v>
      </c>
      <c r="J217" s="346"/>
      <c r="K217" s="346"/>
      <c r="L217" s="346"/>
      <c r="M217" s="346"/>
      <c r="N217" s="346"/>
      <c r="O217" s="346"/>
      <c r="P217" s="346"/>
      <c r="Q217" s="346"/>
      <c r="R217" s="346"/>
      <c r="S217" s="346"/>
      <c r="T217" s="346"/>
      <c r="U217" s="346"/>
      <c r="V217" s="346"/>
      <c r="W217" s="346"/>
      <c r="X217" s="346"/>
      <c r="Y217" s="346"/>
      <c r="Z217" s="346"/>
      <c r="AA217" s="346"/>
      <c r="AB217" s="346"/>
      <c r="AC217" s="346"/>
      <c r="AD217" s="346"/>
      <c r="AE217" s="346"/>
      <c r="AF217" s="346"/>
      <c r="AG217" s="346"/>
      <c r="AH217" s="77"/>
      <c r="AI217" s="346"/>
      <c r="AJ217" s="346"/>
      <c r="AK217" s="346"/>
      <c r="AL217" s="346"/>
      <c r="AM217" s="346"/>
      <c r="AN217" s="346"/>
      <c r="AO217" s="346"/>
      <c r="AP217" s="346"/>
      <c r="AQ217" s="346"/>
      <c r="AR217" s="346"/>
      <c r="AS217" s="346"/>
      <c r="AT217" s="346"/>
      <c r="AU217" s="346"/>
      <c r="AV217" s="346"/>
      <c r="AW217" s="346"/>
      <c r="AX217" s="346"/>
      <c r="AY217" s="346"/>
      <c r="AZ217" s="346"/>
      <c r="BA217" s="346"/>
      <c r="BB217" s="346"/>
      <c r="BC217" s="346"/>
      <c r="BD217" s="346"/>
      <c r="BE217" s="346"/>
      <c r="BF217" s="346"/>
      <c r="BG217" s="346"/>
      <c r="BH217">
        <f t="shared" si="22"/>
        <v>3</v>
      </c>
      <c r="BI217" s="351">
        <f t="shared" si="24"/>
        <v>1.6901408450704226E-3</v>
      </c>
    </row>
    <row r="218" spans="1:61" ht="14.25" customHeight="1">
      <c r="A218" s="165">
        <f>'Conveyor Downtime (new)'!A216</f>
        <v>46134</v>
      </c>
      <c r="I218">
        <f>4</f>
        <v>4</v>
      </c>
      <c r="P218">
        <f>30+11</f>
        <v>41</v>
      </c>
      <c r="BH218">
        <f t="shared" si="22"/>
        <v>45</v>
      </c>
      <c r="BI218" s="351">
        <f t="shared" si="24"/>
        <v>2.5352112676056339E-2</v>
      </c>
    </row>
    <row r="219" spans="1:61" ht="14.25" customHeight="1">
      <c r="A219" s="165">
        <f>'Conveyor Downtime (new)'!A217</f>
        <v>46134</v>
      </c>
      <c r="B219" s="346"/>
      <c r="C219" s="346"/>
      <c r="D219" s="346"/>
      <c r="E219" s="346"/>
      <c r="F219" s="346"/>
      <c r="G219" s="346"/>
      <c r="H219" s="346"/>
      <c r="I219" s="346">
        <f>4+5+5+3+1+2</f>
        <v>20</v>
      </c>
      <c r="J219" s="346"/>
      <c r="K219" s="346"/>
      <c r="L219" s="346"/>
      <c r="M219" s="346"/>
      <c r="N219" s="346"/>
      <c r="O219" s="346"/>
      <c r="P219" s="346"/>
      <c r="Q219" s="346"/>
      <c r="R219" s="346"/>
      <c r="S219" s="346"/>
      <c r="T219" s="346"/>
      <c r="U219" s="346"/>
      <c r="V219" s="346"/>
      <c r="W219" s="346"/>
      <c r="X219" s="346"/>
      <c r="Y219" s="346"/>
      <c r="Z219" s="346"/>
      <c r="AA219" s="346"/>
      <c r="AB219" s="346"/>
      <c r="AC219" s="346"/>
      <c r="AD219" s="346"/>
      <c r="AE219" s="346"/>
      <c r="AF219" s="346"/>
      <c r="AG219" s="346"/>
      <c r="AH219" s="346"/>
      <c r="AI219" s="346"/>
      <c r="AJ219" s="346"/>
      <c r="AK219" s="346"/>
      <c r="AL219" s="346"/>
      <c r="AM219" s="346"/>
      <c r="AN219" s="346"/>
      <c r="AO219" s="346"/>
      <c r="AP219" s="346"/>
      <c r="AQ219" s="346"/>
      <c r="AR219" s="346"/>
      <c r="AS219" s="346"/>
      <c r="AT219" s="346"/>
      <c r="AU219" s="346"/>
      <c r="AV219" s="346"/>
      <c r="AW219" s="346"/>
      <c r="AX219" s="346"/>
      <c r="AY219" s="346"/>
      <c r="AZ219" s="346"/>
      <c r="BA219" s="346"/>
      <c r="BB219" s="346"/>
      <c r="BC219" s="346"/>
      <c r="BD219" s="346"/>
      <c r="BE219" s="346"/>
      <c r="BF219" s="346"/>
      <c r="BG219" s="346"/>
      <c r="BH219">
        <f t="shared" si="22"/>
        <v>20</v>
      </c>
      <c r="BI219" s="351">
        <f t="shared" si="24"/>
        <v>1.1267605633802818E-2</v>
      </c>
    </row>
    <row r="220" spans="1:61" ht="14.25" customHeight="1">
      <c r="A220" s="165">
        <f>'Conveyor Downtime (new)'!A218</f>
        <v>46135</v>
      </c>
      <c r="H220">
        <f>4</f>
        <v>4</v>
      </c>
      <c r="R220">
        <f>40</f>
        <v>40</v>
      </c>
      <c r="AP220">
        <f>60+60+60+60+5</f>
        <v>245</v>
      </c>
      <c r="BH220">
        <f t="shared" si="22"/>
        <v>289</v>
      </c>
      <c r="BI220" s="351">
        <f t="shared" si="24"/>
        <v>0.1628169014084507</v>
      </c>
    </row>
    <row r="221" spans="1:61" ht="14.25" customHeight="1">
      <c r="A221" s="165">
        <f>'Conveyor Downtime (new)'!A219</f>
        <v>46135</v>
      </c>
      <c r="B221" s="346"/>
      <c r="C221" s="346"/>
      <c r="D221" s="346"/>
      <c r="E221" s="346"/>
      <c r="F221" s="346"/>
      <c r="G221" s="346"/>
      <c r="H221" s="346"/>
      <c r="I221" s="346">
        <f>1+7</f>
        <v>8</v>
      </c>
      <c r="J221" s="346"/>
      <c r="K221" s="346"/>
      <c r="L221" s="346"/>
      <c r="M221" s="346"/>
      <c r="N221" s="346"/>
      <c r="O221" s="346"/>
      <c r="P221" s="346"/>
      <c r="Q221" s="346"/>
      <c r="R221" s="346"/>
      <c r="S221" s="346"/>
      <c r="T221" s="346"/>
      <c r="U221" s="346"/>
      <c r="V221" s="346"/>
      <c r="W221" s="346"/>
      <c r="X221" s="346"/>
      <c r="Y221" s="346"/>
      <c r="Z221" s="346"/>
      <c r="AA221" s="346"/>
      <c r="AB221" s="346"/>
      <c r="AC221" s="346"/>
      <c r="AD221" s="346"/>
      <c r="AE221" s="346"/>
      <c r="AF221" s="346"/>
      <c r="AG221" s="346"/>
      <c r="AH221" s="346"/>
      <c r="AI221" s="346"/>
      <c r="AJ221" s="346"/>
      <c r="AK221" s="346"/>
      <c r="AL221" s="346"/>
      <c r="AM221" s="346"/>
      <c r="AN221" s="346"/>
      <c r="AO221" s="346"/>
      <c r="AP221" s="346"/>
      <c r="AQ221" s="346"/>
      <c r="AR221" s="346"/>
      <c r="AS221" s="346"/>
      <c r="AT221" s="346"/>
      <c r="AU221" s="346"/>
      <c r="AV221" s="346"/>
      <c r="AW221" s="346"/>
      <c r="AX221" s="346"/>
      <c r="AY221" s="346"/>
      <c r="AZ221" s="346"/>
      <c r="BA221" s="346"/>
      <c r="BB221" s="346"/>
      <c r="BC221" s="346"/>
      <c r="BD221" s="346"/>
      <c r="BE221" s="346"/>
      <c r="BF221" s="346"/>
      <c r="BG221" s="346"/>
      <c r="BH221">
        <f t="shared" ref="BH221:BH244" si="25">SUM(B221:BG221)</f>
        <v>8</v>
      </c>
      <c r="BI221" s="351">
        <f t="shared" si="24"/>
        <v>4.507042253521127E-3</v>
      </c>
    </row>
    <row r="222" spans="1:61" ht="15" customHeight="1">
      <c r="A222" s="165">
        <f>'Conveyor Downtime (new)'!A220</f>
        <v>46136</v>
      </c>
      <c r="H222">
        <f>5</f>
        <v>5</v>
      </c>
      <c r="BH222">
        <f t="shared" si="25"/>
        <v>5</v>
      </c>
      <c r="BI222" s="351">
        <f t="shared" si="24"/>
        <v>2.8169014084507044E-3</v>
      </c>
    </row>
    <row r="223" spans="1:61" ht="14.25" customHeight="1">
      <c r="A223" s="165">
        <f>'Conveyor Downtime (new)'!A221</f>
        <v>46136</v>
      </c>
      <c r="B223" s="346"/>
      <c r="C223" s="346"/>
      <c r="D223" s="346"/>
      <c r="E223" s="346"/>
      <c r="F223" s="346"/>
      <c r="G223" s="346"/>
      <c r="H223" s="346"/>
      <c r="I223" s="346">
        <v>6</v>
      </c>
      <c r="J223" s="346"/>
      <c r="K223" s="346"/>
      <c r="L223" s="346"/>
      <c r="M223" s="346"/>
      <c r="N223" s="346"/>
      <c r="O223" s="346"/>
      <c r="P223" s="346"/>
      <c r="Q223" s="346"/>
      <c r="R223" s="346"/>
      <c r="S223" s="346"/>
      <c r="T223" s="346"/>
      <c r="U223" s="346"/>
      <c r="V223" s="346"/>
      <c r="W223" s="346"/>
      <c r="X223" s="346"/>
      <c r="Y223" s="346"/>
      <c r="Z223" s="346"/>
      <c r="AA223" s="346"/>
      <c r="AB223" s="346"/>
      <c r="AC223" s="346"/>
      <c r="AD223" s="346"/>
      <c r="AE223" s="346"/>
      <c r="AF223" s="346"/>
      <c r="AG223" s="346"/>
      <c r="AH223" s="346"/>
      <c r="AI223" s="346"/>
      <c r="AJ223" s="346"/>
      <c r="AK223" s="346"/>
      <c r="AL223" s="346"/>
      <c r="AM223" s="346"/>
      <c r="AN223" s="346"/>
      <c r="AO223" s="346"/>
      <c r="AP223" s="346"/>
      <c r="AQ223" s="346">
        <f>40</f>
        <v>40</v>
      </c>
      <c r="AR223" s="346">
        <f>15+60+60+34+473</f>
        <v>642</v>
      </c>
      <c r="AS223" s="346"/>
      <c r="AT223" s="346"/>
      <c r="AU223" s="346"/>
      <c r="AV223" s="346"/>
      <c r="AW223" s="346"/>
      <c r="AX223" s="346"/>
      <c r="AY223" s="346"/>
      <c r="AZ223" s="346"/>
      <c r="BA223" s="346"/>
      <c r="BB223" s="346"/>
      <c r="BC223" s="346"/>
      <c r="BD223" s="346"/>
      <c r="BE223" s="346"/>
      <c r="BF223" s="346"/>
      <c r="BG223" s="346"/>
      <c r="BH223">
        <f t="shared" si="25"/>
        <v>688</v>
      </c>
      <c r="BI223" s="351">
        <f t="shared" si="24"/>
        <v>0.38760563380281693</v>
      </c>
    </row>
    <row r="224" spans="1:61" ht="14.25" customHeight="1">
      <c r="A224" s="165">
        <f>'Conveyor Downtime (new)'!A222</f>
        <v>46139</v>
      </c>
      <c r="H224">
        <f>2</f>
        <v>2</v>
      </c>
      <c r="I224">
        <f>4+2+3+4+5</f>
        <v>18</v>
      </c>
      <c r="BH224">
        <f t="shared" si="25"/>
        <v>20</v>
      </c>
      <c r="BI224" s="351">
        <f t="shared" si="24"/>
        <v>1.1267605633802818E-2</v>
      </c>
    </row>
    <row r="225" spans="1:61" ht="14.25" customHeight="1">
      <c r="A225" s="165">
        <f>'Conveyor Downtime (new)'!A223</f>
        <v>46140</v>
      </c>
      <c r="B225" s="346"/>
      <c r="C225" s="346"/>
      <c r="D225" s="346"/>
      <c r="E225" s="346"/>
      <c r="F225" s="346"/>
      <c r="G225" s="346"/>
      <c r="H225" s="346">
        <f>2+4+4</f>
        <v>10</v>
      </c>
      <c r="I225" s="346">
        <f>3</f>
        <v>3</v>
      </c>
      <c r="J225" s="346"/>
      <c r="K225" s="346"/>
      <c r="L225" s="346"/>
      <c r="M225" s="346"/>
      <c r="N225" s="346"/>
      <c r="O225" s="346"/>
      <c r="P225" s="346"/>
      <c r="Q225" s="346"/>
      <c r="R225" s="346"/>
      <c r="S225" s="346"/>
      <c r="T225" s="346"/>
      <c r="U225" s="346"/>
      <c r="V225" s="346"/>
      <c r="W225" s="346"/>
      <c r="X225" s="346"/>
      <c r="Y225" s="346"/>
      <c r="Z225" s="346"/>
      <c r="AA225" s="346"/>
      <c r="AB225" s="346"/>
      <c r="AC225" s="346"/>
      <c r="AD225" s="346"/>
      <c r="AE225" s="346"/>
      <c r="AF225" s="346"/>
      <c r="AG225" s="346"/>
      <c r="AH225" s="346"/>
      <c r="AI225" s="346"/>
      <c r="AJ225" s="346"/>
      <c r="AK225" s="346"/>
      <c r="AL225" s="346"/>
      <c r="AM225" s="346"/>
      <c r="AN225" s="346"/>
      <c r="AO225" s="346"/>
      <c r="AP225" s="346"/>
      <c r="AQ225" s="346"/>
      <c r="AR225" s="346"/>
      <c r="AS225" s="346"/>
      <c r="AT225" s="346"/>
      <c r="AU225" s="346"/>
      <c r="AV225" s="346"/>
      <c r="AW225" s="346"/>
      <c r="AX225" s="346"/>
      <c r="AY225" s="346"/>
      <c r="AZ225" s="346"/>
      <c r="BA225" s="346"/>
      <c r="BB225" s="346"/>
      <c r="BC225" s="346"/>
      <c r="BD225" s="346"/>
      <c r="BE225" s="346"/>
      <c r="BF225" s="346">
        <f>4</f>
        <v>4</v>
      </c>
      <c r="BG225" s="346"/>
      <c r="BH225">
        <f t="shared" si="25"/>
        <v>17</v>
      </c>
      <c r="BI225" s="351">
        <f t="shared" si="24"/>
        <v>9.5774647887323944E-3</v>
      </c>
    </row>
    <row r="226" spans="1:61" ht="14.25" customHeight="1">
      <c r="A226" s="165">
        <f>'Conveyor Downtime (new)'!A224</f>
        <v>46141</v>
      </c>
      <c r="BH226">
        <f t="shared" si="25"/>
        <v>0</v>
      </c>
      <c r="BI226" s="351">
        <f t="shared" si="24"/>
        <v>0</v>
      </c>
    </row>
    <row r="227" spans="1:61" ht="14.25" customHeight="1">
      <c r="A227" s="165">
        <f>'Conveyor Downtime (new)'!A225</f>
        <v>46141</v>
      </c>
      <c r="B227" s="346"/>
      <c r="C227" s="346"/>
      <c r="D227" s="346"/>
      <c r="E227" s="346"/>
      <c r="F227" s="346"/>
      <c r="G227" s="346"/>
      <c r="H227" s="346">
        <f>4+4</f>
        <v>8</v>
      </c>
      <c r="I227" s="346">
        <f>7+5+4</f>
        <v>16</v>
      </c>
      <c r="J227" s="346"/>
      <c r="K227" s="346"/>
      <c r="L227" s="346"/>
      <c r="M227" s="346"/>
      <c r="N227" s="346"/>
      <c r="O227" s="346"/>
      <c r="P227" s="346"/>
      <c r="Q227" s="346"/>
      <c r="R227" s="346"/>
      <c r="S227" s="346"/>
      <c r="T227" s="346"/>
      <c r="U227" s="346"/>
      <c r="V227" s="346"/>
      <c r="W227" s="346"/>
      <c r="X227" s="346"/>
      <c r="Y227" s="346"/>
      <c r="Z227" s="346"/>
      <c r="AA227" s="346"/>
      <c r="AB227" s="346"/>
      <c r="AC227" s="346"/>
      <c r="AD227" s="346"/>
      <c r="AE227" s="346"/>
      <c r="AF227" s="346"/>
      <c r="AG227" s="346"/>
      <c r="AH227" s="346"/>
      <c r="AI227" s="346"/>
      <c r="AJ227" s="346"/>
      <c r="AK227" s="346"/>
      <c r="AL227" s="346"/>
      <c r="AM227" s="346"/>
      <c r="AN227" s="346"/>
      <c r="AO227" s="346"/>
      <c r="AP227" s="346"/>
      <c r="AQ227" s="346"/>
      <c r="AR227" s="346"/>
      <c r="AS227" s="346"/>
      <c r="AT227" s="346"/>
      <c r="AU227" s="346"/>
      <c r="AV227" s="346"/>
      <c r="AW227" s="346"/>
      <c r="AX227" s="346"/>
      <c r="AY227" s="346"/>
      <c r="AZ227" s="346"/>
      <c r="BA227" s="346"/>
      <c r="BB227" s="346"/>
      <c r="BC227" s="346"/>
      <c r="BD227" s="346"/>
      <c r="BE227" s="346"/>
      <c r="BF227" s="346"/>
      <c r="BG227" s="346"/>
      <c r="BH227">
        <f t="shared" si="25"/>
        <v>24</v>
      </c>
      <c r="BI227" s="351">
        <f t="shared" si="24"/>
        <v>1.3521126760563381E-2</v>
      </c>
    </row>
    <row r="228" spans="1:61" ht="14.25" customHeight="1">
      <c r="A228" s="165">
        <f>'Conveyor Downtime (new)'!A226</f>
        <v>46142</v>
      </c>
      <c r="BH228">
        <f t="shared" si="25"/>
        <v>0</v>
      </c>
      <c r="BI228" s="351">
        <f t="shared" si="24"/>
        <v>0</v>
      </c>
    </row>
    <row r="229" spans="1:61" ht="14.25" customHeight="1">
      <c r="A229" s="165">
        <f>'Conveyor Downtime (new)'!A227</f>
        <v>46142</v>
      </c>
      <c r="B229" s="346"/>
      <c r="C229" s="346"/>
      <c r="D229" s="346"/>
      <c r="E229" s="346"/>
      <c r="F229" s="346"/>
      <c r="G229" s="346"/>
      <c r="H229" s="346"/>
      <c r="I229" s="346">
        <f>4+6+3+5+8+6+5</f>
        <v>37</v>
      </c>
      <c r="J229" s="346"/>
      <c r="K229" s="346"/>
      <c r="L229" s="346"/>
      <c r="M229" s="346"/>
      <c r="N229" s="346"/>
      <c r="O229" s="346"/>
      <c r="P229" s="346"/>
      <c r="Q229" s="346"/>
      <c r="R229" s="346"/>
      <c r="S229" s="346"/>
      <c r="T229" s="346"/>
      <c r="U229" s="346"/>
      <c r="V229" s="346"/>
      <c r="W229" s="346"/>
      <c r="X229" s="346"/>
      <c r="Y229" s="346"/>
      <c r="Z229" s="346"/>
      <c r="AA229" s="346"/>
      <c r="AB229" s="346"/>
      <c r="AC229" s="346"/>
      <c r="AD229" s="346"/>
      <c r="AE229" s="346"/>
      <c r="AF229" s="346"/>
      <c r="AG229" s="346"/>
      <c r="AH229" s="346"/>
      <c r="AI229" s="346"/>
      <c r="AJ229" s="346"/>
      <c r="AK229" s="346"/>
      <c r="AL229" s="346"/>
      <c r="AM229" s="346"/>
      <c r="AN229" s="346"/>
      <c r="AO229" s="346"/>
      <c r="AP229" s="346"/>
      <c r="AQ229" s="346"/>
      <c r="AR229" s="346"/>
      <c r="AS229" s="346"/>
      <c r="AT229" s="346"/>
      <c r="AU229" s="346"/>
      <c r="AV229" s="346"/>
      <c r="AW229" s="346"/>
      <c r="AX229" s="346"/>
      <c r="AY229" s="346"/>
      <c r="AZ229" s="346"/>
      <c r="BA229" s="346"/>
      <c r="BB229" s="346"/>
      <c r="BC229" s="346"/>
      <c r="BD229" s="346"/>
      <c r="BE229" s="346"/>
      <c r="BF229" s="346">
        <v>4</v>
      </c>
      <c r="BG229" s="346"/>
      <c r="BH229">
        <f t="shared" si="25"/>
        <v>41</v>
      </c>
      <c r="BI229" s="351">
        <f t="shared" si="24"/>
        <v>2.3098591549295774E-2</v>
      </c>
    </row>
    <row r="230" spans="1:61" ht="14.25" customHeight="1">
      <c r="A230" s="165">
        <f>'Conveyor Downtime (new)'!A228</f>
        <v>0</v>
      </c>
      <c r="BH230">
        <f t="shared" si="25"/>
        <v>0</v>
      </c>
      <c r="BI230" s="351">
        <f t="shared" si="24"/>
        <v>0</v>
      </c>
    </row>
    <row r="231" spans="1:61" ht="14.25" customHeight="1">
      <c r="A231" s="165">
        <f>'Conveyor Downtime (new)'!A229</f>
        <v>0</v>
      </c>
      <c r="B231" s="346"/>
      <c r="C231" s="346"/>
      <c r="D231" s="346"/>
      <c r="E231" s="346"/>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s="346"/>
      <c r="AE231" s="346"/>
      <c r="AF231" s="346"/>
      <c r="AG231" s="346"/>
      <c r="AH231" s="346"/>
      <c r="AI231" s="346"/>
      <c r="AJ231" s="346"/>
      <c r="AK231" s="346"/>
      <c r="AL231" s="346"/>
      <c r="AM231" s="346"/>
      <c r="AN231" s="346"/>
      <c r="AO231" s="346"/>
      <c r="AP231" s="346"/>
      <c r="AQ231" s="346"/>
      <c r="AR231" s="346"/>
      <c r="AS231" s="346"/>
      <c r="AT231" s="346"/>
      <c r="AU231" s="346"/>
      <c r="AV231" s="346"/>
      <c r="AW231" s="346"/>
      <c r="AX231" s="346"/>
      <c r="AY231" s="346"/>
      <c r="AZ231" s="346"/>
      <c r="BA231" s="346"/>
      <c r="BB231" s="346"/>
      <c r="BC231" s="346"/>
      <c r="BD231" s="346"/>
      <c r="BE231" s="346"/>
      <c r="BF231" s="346"/>
      <c r="BG231" s="346"/>
      <c r="BH231">
        <f t="shared" si="25"/>
        <v>0</v>
      </c>
      <c r="BI231" s="351">
        <f t="shared" si="24"/>
        <v>0</v>
      </c>
    </row>
    <row r="232" spans="1:61" ht="14.25" customHeight="1">
      <c r="A232" s="165">
        <f>'Conveyor Downtime (new)'!A230</f>
        <v>0</v>
      </c>
      <c r="BH232">
        <f t="shared" si="25"/>
        <v>0</v>
      </c>
      <c r="BI232" s="351">
        <f t="shared" si="24"/>
        <v>0</v>
      </c>
    </row>
    <row r="233" spans="1:61" ht="14.25" customHeight="1">
      <c r="A233" s="165">
        <f>'Conveyor Downtime (new)'!A231</f>
        <v>0</v>
      </c>
      <c r="B233" s="346"/>
      <c r="C233" s="346"/>
      <c r="D233" s="346"/>
      <c r="E233" s="346"/>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s="346"/>
      <c r="AE233" s="346"/>
      <c r="AF233" s="346"/>
      <c r="AG233" s="346"/>
      <c r="AH233" s="346"/>
      <c r="AI233" s="346"/>
      <c r="AJ233" s="346"/>
      <c r="AK233" s="346"/>
      <c r="AL233" s="346"/>
      <c r="AM233" s="346"/>
      <c r="AN233" s="346"/>
      <c r="AO233" s="346"/>
      <c r="AP233" s="346"/>
      <c r="AQ233" s="346"/>
      <c r="AR233" s="346"/>
      <c r="AS233" s="346"/>
      <c r="AT233" s="346"/>
      <c r="AU233" s="346"/>
      <c r="AV233" s="346"/>
      <c r="AW233" s="346"/>
      <c r="AX233" s="346"/>
      <c r="AY233" s="346"/>
      <c r="AZ233" s="346"/>
      <c r="BA233" s="346"/>
      <c r="BB233" s="346"/>
      <c r="BC233" s="346"/>
      <c r="BD233" s="346"/>
      <c r="BE233" s="346"/>
      <c r="BF233" s="346"/>
      <c r="BG233" s="346"/>
      <c r="BH233">
        <f t="shared" si="25"/>
        <v>0</v>
      </c>
      <c r="BI233" s="351">
        <f t="shared" si="24"/>
        <v>0</v>
      </c>
    </row>
    <row r="234" spans="1:61" ht="14.25" customHeight="1">
      <c r="A234" s="165">
        <f>'Conveyor Downtime (new)'!A232</f>
        <v>0</v>
      </c>
      <c r="BH234">
        <f t="shared" si="25"/>
        <v>0</v>
      </c>
      <c r="BI234" s="351">
        <f t="shared" si="24"/>
        <v>0</v>
      </c>
    </row>
    <row r="235" spans="1:61" ht="14.25" customHeight="1">
      <c r="A235" s="165">
        <f>'Conveyor Downtime (new)'!A233</f>
        <v>0</v>
      </c>
      <c r="B235" s="346"/>
      <c r="C235" s="346"/>
      <c r="D235" s="346"/>
      <c r="E235" s="346"/>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s="346"/>
      <c r="AE235" s="346"/>
      <c r="AF235" s="346"/>
      <c r="AG235" s="346"/>
      <c r="AH235" s="346"/>
      <c r="AI235" s="346"/>
      <c r="AJ235" s="346"/>
      <c r="AK235" s="346"/>
      <c r="AL235" s="346"/>
      <c r="AM235" s="346"/>
      <c r="AN235" s="346"/>
      <c r="AO235" s="346"/>
      <c r="AP235" s="346"/>
      <c r="AQ235" s="346"/>
      <c r="AR235" s="346"/>
      <c r="AS235" s="346"/>
      <c r="AT235" s="346"/>
      <c r="AU235" s="346"/>
      <c r="AV235" s="346"/>
      <c r="AW235" s="346"/>
      <c r="AX235" s="346"/>
      <c r="AY235" s="346"/>
      <c r="AZ235" s="346"/>
      <c r="BA235" s="346"/>
      <c r="BB235" s="346"/>
      <c r="BC235" s="346"/>
      <c r="BD235" s="346"/>
      <c r="BE235" s="346"/>
      <c r="BF235" s="346"/>
      <c r="BG235" s="346"/>
      <c r="BH235">
        <f t="shared" si="25"/>
        <v>0</v>
      </c>
      <c r="BI235" s="351">
        <f t="shared" si="24"/>
        <v>0</v>
      </c>
    </row>
    <row r="236" spans="1:61" ht="14.25" customHeight="1">
      <c r="A236" s="165"/>
      <c r="BH236">
        <f t="shared" si="25"/>
        <v>0</v>
      </c>
      <c r="BI236" s="351">
        <f t="shared" si="24"/>
        <v>0</v>
      </c>
    </row>
    <row r="237" spans="1:61" ht="14.25" customHeight="1">
      <c r="A237" s="165"/>
      <c r="B237" s="346"/>
      <c r="C237" s="346"/>
      <c r="D237" s="346"/>
      <c r="E237" s="346"/>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s="346"/>
      <c r="AE237" s="346"/>
      <c r="AF237" s="346"/>
      <c r="AG237" s="346"/>
      <c r="AH237" s="346"/>
      <c r="AI237" s="346"/>
      <c r="AJ237" s="346"/>
      <c r="AK237" s="346"/>
      <c r="AL237" s="346"/>
      <c r="AM237" s="346"/>
      <c r="AN237" s="346"/>
      <c r="AO237" s="346"/>
      <c r="AP237" s="346"/>
      <c r="AQ237" s="346"/>
      <c r="AR237" s="346"/>
      <c r="AS237" s="346"/>
      <c r="AT237" s="346"/>
      <c r="AU237" s="346"/>
      <c r="AV237" s="346"/>
      <c r="AW237" s="346"/>
      <c r="AX237" s="346"/>
      <c r="AY237" s="346"/>
      <c r="AZ237" s="346"/>
      <c r="BA237" s="346"/>
      <c r="BB237" s="346"/>
      <c r="BC237" s="346"/>
      <c r="BD237" s="346"/>
      <c r="BE237" s="346"/>
      <c r="BF237" s="346"/>
      <c r="BG237" s="346"/>
      <c r="BH237">
        <f t="shared" si="25"/>
        <v>0</v>
      </c>
      <c r="BI237" s="351">
        <f t="shared" si="24"/>
        <v>0</v>
      </c>
    </row>
    <row r="238" spans="1:61" ht="14.25" customHeight="1">
      <c r="A238" s="165"/>
      <c r="BH238">
        <f t="shared" si="25"/>
        <v>0</v>
      </c>
      <c r="BI238" s="351">
        <f t="shared" si="24"/>
        <v>0</v>
      </c>
    </row>
    <row r="239" spans="1:61" ht="14.25" customHeight="1">
      <c r="A239" s="165"/>
      <c r="B239" s="346"/>
      <c r="C239" s="346"/>
      <c r="D239" s="346"/>
      <c r="E239" s="346"/>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s="346"/>
      <c r="AE239" s="346"/>
      <c r="AF239" s="346"/>
      <c r="AG239" s="346"/>
      <c r="AH239" s="346"/>
      <c r="AI239" s="346"/>
      <c r="AJ239" s="346"/>
      <c r="AK239" s="346"/>
      <c r="AL239" s="346"/>
      <c r="AM239" s="346"/>
      <c r="AN239" s="346"/>
      <c r="AO239" s="346"/>
      <c r="AP239" s="346"/>
      <c r="AQ239" s="346"/>
      <c r="AR239" s="346"/>
      <c r="AS239" s="346"/>
      <c r="AT239" s="346"/>
      <c r="AU239" s="346"/>
      <c r="AV239" s="346"/>
      <c r="AW239" s="346"/>
      <c r="AX239" s="346"/>
      <c r="AY239" s="346"/>
      <c r="AZ239" s="346"/>
      <c r="BA239" s="346"/>
      <c r="BB239" s="346"/>
      <c r="BC239" s="346"/>
      <c r="BD239" s="346"/>
      <c r="BE239" s="346"/>
      <c r="BF239" s="346"/>
      <c r="BG239" s="346"/>
      <c r="BH239">
        <f t="shared" si="25"/>
        <v>0</v>
      </c>
      <c r="BI239" s="351">
        <f t="shared" si="24"/>
        <v>0</v>
      </c>
    </row>
    <row r="240" spans="1:61" ht="14.25" customHeight="1">
      <c r="A240" s="165"/>
      <c r="BH240">
        <f t="shared" si="25"/>
        <v>0</v>
      </c>
      <c r="BI240" s="351">
        <f t="shared" si="24"/>
        <v>0</v>
      </c>
    </row>
    <row r="241" spans="1:61" ht="14.25" customHeight="1">
      <c r="A241" s="165"/>
      <c r="B241" s="346"/>
      <c r="C241" s="346"/>
      <c r="D241" s="346"/>
      <c r="E241" s="346"/>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s="346"/>
      <c r="AE241" s="346"/>
      <c r="AF241" s="346"/>
      <c r="AG241" s="346"/>
      <c r="AH241" s="346"/>
      <c r="AI241" s="346"/>
      <c r="AJ241" s="346"/>
      <c r="AK241" s="346"/>
      <c r="AL241" s="346"/>
      <c r="AM241" s="346"/>
      <c r="AN241" s="346"/>
      <c r="AO241" s="346"/>
      <c r="AP241" s="346"/>
      <c r="AQ241" s="346"/>
      <c r="AR241" s="346"/>
      <c r="AS241" s="346"/>
      <c r="AT241" s="346"/>
      <c r="AU241" s="346"/>
      <c r="AV241" s="346"/>
      <c r="AW241" s="346"/>
      <c r="AX241" s="346"/>
      <c r="AY241" s="346"/>
      <c r="AZ241" s="346"/>
      <c r="BA241" s="346"/>
      <c r="BB241" s="346"/>
      <c r="BC241" s="346"/>
      <c r="BD241" s="346"/>
      <c r="BE241" s="346"/>
      <c r="BF241" s="346"/>
      <c r="BG241" s="346"/>
      <c r="BH241">
        <f t="shared" si="25"/>
        <v>0</v>
      </c>
      <c r="BI241" s="351">
        <f t="shared" si="24"/>
        <v>0</v>
      </c>
    </row>
    <row r="242" spans="1:61" ht="14.25" customHeight="1">
      <c r="A242" s="165"/>
      <c r="BH242">
        <f t="shared" si="25"/>
        <v>0</v>
      </c>
      <c r="BI242" s="351">
        <f t="shared" si="24"/>
        <v>0</v>
      </c>
    </row>
    <row r="243" spans="1:61" ht="14.25" customHeight="1">
      <c r="A243" s="165"/>
      <c r="B243" s="346"/>
      <c r="C243" s="346"/>
      <c r="D243" s="346"/>
      <c r="E243" s="346"/>
      <c r="F243" s="346"/>
      <c r="G243" s="346"/>
      <c r="H243" s="346"/>
      <c r="I243" s="346"/>
      <c r="J243" s="346"/>
      <c r="K243" s="346"/>
      <c r="L243" s="346"/>
      <c r="M243" s="346"/>
      <c r="N243" s="346"/>
      <c r="O243" s="346"/>
      <c r="P243" s="346"/>
      <c r="Q243" s="346"/>
      <c r="R243" s="346"/>
      <c r="S243" s="346"/>
      <c r="T243" s="346"/>
      <c r="U243" s="346"/>
      <c r="V243" s="346"/>
      <c r="W243" s="346"/>
      <c r="X243" s="346"/>
      <c r="Y243" s="346"/>
      <c r="Z243" s="346"/>
      <c r="AA243" s="346"/>
      <c r="AB243" s="346"/>
      <c r="AC243" s="346"/>
      <c r="AD243" s="346"/>
      <c r="AE243" s="346"/>
      <c r="AF243" s="346"/>
      <c r="AG243" s="346"/>
      <c r="AH243" s="346"/>
      <c r="AI243" s="346"/>
      <c r="AJ243" s="346"/>
      <c r="AK243" s="346"/>
      <c r="AL243" s="346"/>
      <c r="AM243" s="346"/>
      <c r="AN243" s="346"/>
      <c r="AO243" s="346"/>
      <c r="AP243" s="346"/>
      <c r="AQ243" s="346"/>
      <c r="AR243" s="346"/>
      <c r="AS243" s="346"/>
      <c r="AT243" s="346"/>
      <c r="AU243" s="346"/>
      <c r="AV243" s="346"/>
      <c r="AW243" s="346"/>
      <c r="AX243" s="346"/>
      <c r="AY243" s="346"/>
      <c r="AZ243" s="346"/>
      <c r="BA243" s="346"/>
      <c r="BB243" s="346"/>
      <c r="BC243" s="346"/>
      <c r="BD243" s="346"/>
      <c r="BE243" s="346"/>
      <c r="BF243" s="346"/>
      <c r="BG243" s="346"/>
      <c r="BH243">
        <f t="shared" si="25"/>
        <v>0</v>
      </c>
      <c r="BI243" s="351">
        <f t="shared" si="24"/>
        <v>0</v>
      </c>
    </row>
    <row r="244" spans="1:61" ht="14.25" customHeight="1">
      <c r="A244" s="165"/>
      <c r="BH244">
        <f t="shared" si="25"/>
        <v>0</v>
      </c>
      <c r="BI244" s="351">
        <f t="shared" si="24"/>
        <v>0</v>
      </c>
    </row>
    <row r="245" spans="1:61" ht="14.25" customHeight="1">
      <c r="A245" s="347" t="s">
        <v>173</v>
      </c>
      <c r="B245" s="347">
        <f>SUM(B189:B244)</f>
        <v>18</v>
      </c>
      <c r="C245" s="347">
        <f>SUM(C189:C244)</f>
        <v>0</v>
      </c>
      <c r="D245" s="347">
        <f>SUM(D189:D244)</f>
        <v>0</v>
      </c>
      <c r="E245" s="347">
        <f>SUM(E189:E244)</f>
        <v>0</v>
      </c>
      <c r="F245" s="347">
        <f t="shared" ref="F245:T245" si="26">SUM(F189:F244)</f>
        <v>0</v>
      </c>
      <c r="G245" s="347">
        <f t="shared" si="26"/>
        <v>0</v>
      </c>
      <c r="H245" s="347">
        <f t="shared" si="26"/>
        <v>98</v>
      </c>
      <c r="I245" s="347">
        <f t="shared" si="26"/>
        <v>425</v>
      </c>
      <c r="J245" s="347">
        <f t="shared" si="26"/>
        <v>0</v>
      </c>
      <c r="K245" s="347">
        <f t="shared" si="26"/>
        <v>0</v>
      </c>
      <c r="L245" s="347">
        <f t="shared" si="26"/>
        <v>0</v>
      </c>
      <c r="M245" s="347">
        <f t="shared" si="26"/>
        <v>0</v>
      </c>
      <c r="N245" s="347">
        <f t="shared" si="26"/>
        <v>0</v>
      </c>
      <c r="O245" s="347">
        <f t="shared" si="26"/>
        <v>0</v>
      </c>
      <c r="P245" s="347">
        <f t="shared" si="26"/>
        <v>41</v>
      </c>
      <c r="Q245" s="347">
        <f t="shared" si="26"/>
        <v>0</v>
      </c>
      <c r="R245" s="347">
        <f t="shared" si="26"/>
        <v>40</v>
      </c>
      <c r="S245" s="347">
        <f t="shared" si="26"/>
        <v>0</v>
      </c>
      <c r="T245" s="347">
        <f t="shared" si="26"/>
        <v>0</v>
      </c>
      <c r="U245" s="347">
        <f t="shared" ref="U245:BH245" si="27">SUM(U189:U244)</f>
        <v>0</v>
      </c>
      <c r="V245" s="347">
        <f t="shared" si="27"/>
        <v>0</v>
      </c>
      <c r="W245" s="347">
        <f t="shared" si="27"/>
        <v>0</v>
      </c>
      <c r="X245" s="347">
        <f t="shared" si="27"/>
        <v>0</v>
      </c>
      <c r="Y245" s="347">
        <f t="shared" si="27"/>
        <v>0</v>
      </c>
      <c r="Z245" s="347">
        <f t="shared" si="27"/>
        <v>0</v>
      </c>
      <c r="AA245" s="347">
        <f t="shared" si="27"/>
        <v>0</v>
      </c>
      <c r="AB245" s="347">
        <f t="shared" si="27"/>
        <v>0</v>
      </c>
      <c r="AC245" s="347">
        <f t="shared" si="27"/>
        <v>0</v>
      </c>
      <c r="AD245" s="347">
        <f t="shared" si="27"/>
        <v>0</v>
      </c>
      <c r="AE245" s="347">
        <f t="shared" si="27"/>
        <v>0</v>
      </c>
      <c r="AF245" s="347">
        <f t="shared" si="27"/>
        <v>0</v>
      </c>
      <c r="AG245" s="347">
        <f t="shared" si="27"/>
        <v>0</v>
      </c>
      <c r="AH245" s="347">
        <f t="shared" si="27"/>
        <v>0</v>
      </c>
      <c r="AI245" s="347">
        <f t="shared" si="27"/>
        <v>0</v>
      </c>
      <c r="AJ245" s="347">
        <f t="shared" si="27"/>
        <v>0</v>
      </c>
      <c r="AK245" s="347">
        <f t="shared" si="27"/>
        <v>0</v>
      </c>
      <c r="AL245" s="347">
        <f t="shared" si="27"/>
        <v>0</v>
      </c>
      <c r="AM245" s="347">
        <f t="shared" si="27"/>
        <v>0</v>
      </c>
      <c r="AN245" s="347">
        <f t="shared" si="27"/>
        <v>0</v>
      </c>
      <c r="AO245" s="347">
        <f t="shared" si="27"/>
        <v>0</v>
      </c>
      <c r="AP245" s="347">
        <f t="shared" si="27"/>
        <v>245</v>
      </c>
      <c r="AQ245" s="347">
        <f t="shared" si="27"/>
        <v>40</v>
      </c>
      <c r="AR245" s="347">
        <f t="shared" si="27"/>
        <v>642</v>
      </c>
      <c r="AS245" s="347">
        <f t="shared" si="27"/>
        <v>0</v>
      </c>
      <c r="AT245" s="347">
        <f t="shared" si="27"/>
        <v>0</v>
      </c>
      <c r="AU245" s="347">
        <f t="shared" si="27"/>
        <v>0</v>
      </c>
      <c r="AV245" s="347">
        <f t="shared" si="27"/>
        <v>0</v>
      </c>
      <c r="AW245" s="347">
        <f t="shared" si="27"/>
        <v>0</v>
      </c>
      <c r="AX245" s="347">
        <f t="shared" si="27"/>
        <v>0</v>
      </c>
      <c r="AY245" s="347">
        <f t="shared" si="27"/>
        <v>0</v>
      </c>
      <c r="AZ245" s="347">
        <f t="shared" si="27"/>
        <v>0</v>
      </c>
      <c r="BA245" s="347">
        <f t="shared" si="27"/>
        <v>0</v>
      </c>
      <c r="BB245" s="347">
        <f t="shared" si="27"/>
        <v>0</v>
      </c>
      <c r="BC245" s="347">
        <f t="shared" si="27"/>
        <v>0</v>
      </c>
      <c r="BD245" s="347">
        <f t="shared" si="27"/>
        <v>0</v>
      </c>
      <c r="BE245" s="347">
        <f t="shared" si="27"/>
        <v>0</v>
      </c>
      <c r="BF245" s="347">
        <f t="shared" si="27"/>
        <v>226</v>
      </c>
      <c r="BG245" s="347">
        <f t="shared" si="27"/>
        <v>0</v>
      </c>
      <c r="BH245" s="347">
        <f t="shared" si="27"/>
        <v>1775</v>
      </c>
      <c r="BI245" s="351"/>
    </row>
    <row r="246" spans="1:61" ht="14.25" customHeight="1" thickBot="1">
      <c r="A246" s="348" t="s">
        <v>174</v>
      </c>
      <c r="B246" s="348">
        <f>B245/$BH245</f>
        <v>1.0140845070422535E-2</v>
      </c>
      <c r="C246" s="348">
        <f>C245/$BH245</f>
        <v>0</v>
      </c>
      <c r="D246" s="348">
        <f>D245/$BH245</f>
        <v>0</v>
      </c>
      <c r="E246" s="348">
        <f>E245/$BH245</f>
        <v>0</v>
      </c>
      <c r="F246" s="348">
        <f t="shared" ref="F246:T246" si="28">F245/$BH245</f>
        <v>0</v>
      </c>
      <c r="G246" s="348">
        <f t="shared" si="28"/>
        <v>0</v>
      </c>
      <c r="H246" s="348">
        <f t="shared" si="28"/>
        <v>5.5211267605633801E-2</v>
      </c>
      <c r="I246" s="348">
        <f t="shared" si="28"/>
        <v>0.23943661971830985</v>
      </c>
      <c r="J246" s="348">
        <f t="shared" si="28"/>
        <v>0</v>
      </c>
      <c r="K246" s="348">
        <f t="shared" si="28"/>
        <v>0</v>
      </c>
      <c r="L246" s="348">
        <f t="shared" si="28"/>
        <v>0</v>
      </c>
      <c r="M246" s="348">
        <f t="shared" si="28"/>
        <v>0</v>
      </c>
      <c r="N246" s="348">
        <f t="shared" si="28"/>
        <v>0</v>
      </c>
      <c r="O246" s="348">
        <f t="shared" si="28"/>
        <v>0</v>
      </c>
      <c r="P246" s="348">
        <f t="shared" si="28"/>
        <v>2.3098591549295774E-2</v>
      </c>
      <c r="Q246" s="348">
        <f t="shared" si="28"/>
        <v>0</v>
      </c>
      <c r="R246" s="348">
        <f t="shared" si="28"/>
        <v>2.2535211267605635E-2</v>
      </c>
      <c r="S246" s="348">
        <f t="shared" si="28"/>
        <v>0</v>
      </c>
      <c r="T246" s="348">
        <f t="shared" si="28"/>
        <v>0</v>
      </c>
      <c r="U246" s="348">
        <f t="shared" ref="U246:Z246" si="29">U245/$BH245</f>
        <v>0</v>
      </c>
      <c r="V246" s="348">
        <f t="shared" si="29"/>
        <v>0</v>
      </c>
      <c r="W246" s="348">
        <f t="shared" si="29"/>
        <v>0</v>
      </c>
      <c r="X246" s="348">
        <f t="shared" si="29"/>
        <v>0</v>
      </c>
      <c r="Y246" s="348">
        <f t="shared" si="29"/>
        <v>0</v>
      </c>
      <c r="Z246" s="348">
        <f t="shared" si="29"/>
        <v>0</v>
      </c>
      <c r="AA246" s="348">
        <f t="shared" ref="AA246:BG246" si="30">AA245/$BH245</f>
        <v>0</v>
      </c>
      <c r="AB246" s="348">
        <f t="shared" si="30"/>
        <v>0</v>
      </c>
      <c r="AC246" s="348">
        <f t="shared" si="30"/>
        <v>0</v>
      </c>
      <c r="AD246" s="348">
        <f t="shared" si="30"/>
        <v>0</v>
      </c>
      <c r="AE246" s="348">
        <f t="shared" si="30"/>
        <v>0</v>
      </c>
      <c r="AF246" s="348">
        <f t="shared" si="30"/>
        <v>0</v>
      </c>
      <c r="AG246" s="348">
        <f t="shared" si="30"/>
        <v>0</v>
      </c>
      <c r="AH246" s="348">
        <f t="shared" si="30"/>
        <v>0</v>
      </c>
      <c r="AI246" s="348">
        <f t="shared" si="30"/>
        <v>0</v>
      </c>
      <c r="AJ246" s="348">
        <f t="shared" si="30"/>
        <v>0</v>
      </c>
      <c r="AK246" s="348">
        <f t="shared" si="30"/>
        <v>0</v>
      </c>
      <c r="AL246" s="348">
        <f t="shared" si="30"/>
        <v>0</v>
      </c>
      <c r="AM246" s="348">
        <f t="shared" si="30"/>
        <v>0</v>
      </c>
      <c r="AN246" s="348">
        <f t="shared" si="30"/>
        <v>0</v>
      </c>
      <c r="AO246" s="348">
        <f t="shared" si="30"/>
        <v>0</v>
      </c>
      <c r="AP246" s="348">
        <f t="shared" si="30"/>
        <v>0.13802816901408452</v>
      </c>
      <c r="AQ246" s="348">
        <f t="shared" si="30"/>
        <v>2.2535211267605635E-2</v>
      </c>
      <c r="AR246" s="348">
        <f t="shared" si="30"/>
        <v>0.3616901408450704</v>
      </c>
      <c r="AS246" s="348">
        <f t="shared" si="30"/>
        <v>0</v>
      </c>
      <c r="AT246" s="348">
        <f t="shared" si="30"/>
        <v>0</v>
      </c>
      <c r="AU246" s="348">
        <f t="shared" si="30"/>
        <v>0</v>
      </c>
      <c r="AV246" s="348">
        <f t="shared" si="30"/>
        <v>0</v>
      </c>
      <c r="AW246" s="348">
        <f t="shared" si="30"/>
        <v>0</v>
      </c>
      <c r="AX246" s="348">
        <f t="shared" si="30"/>
        <v>0</v>
      </c>
      <c r="AY246" s="348">
        <f t="shared" si="30"/>
        <v>0</v>
      </c>
      <c r="AZ246" s="348">
        <f t="shared" si="30"/>
        <v>0</v>
      </c>
      <c r="BA246" s="348">
        <f t="shared" si="30"/>
        <v>0</v>
      </c>
      <c r="BB246" s="348">
        <f t="shared" si="30"/>
        <v>0</v>
      </c>
      <c r="BC246" s="348">
        <f t="shared" si="30"/>
        <v>0</v>
      </c>
      <c r="BD246" s="348">
        <f t="shared" si="30"/>
        <v>0</v>
      </c>
      <c r="BE246" s="348">
        <f t="shared" si="30"/>
        <v>0</v>
      </c>
      <c r="BF246" s="348">
        <f t="shared" si="30"/>
        <v>0.12732394366197183</v>
      </c>
      <c r="BG246" s="348">
        <f t="shared" si="30"/>
        <v>0</v>
      </c>
      <c r="BH246" s="351"/>
      <c r="BI246" s="351"/>
    </row>
    <row r="247" spans="1:61" ht="14.25" customHeight="1"/>
    <row r="248" spans="1:61" ht="14.25" customHeight="1"/>
    <row r="249" spans="1:61" ht="14.25" customHeight="1"/>
    <row r="250" spans="1:61" ht="14.25" customHeight="1">
      <c r="A250" s="165">
        <f>'Conveyor Downtime (new)'!A248</f>
        <v>46146</v>
      </c>
      <c r="B250" s="346"/>
      <c r="C250" s="346"/>
      <c r="D250" s="346"/>
      <c r="E250" s="346"/>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346"/>
      <c r="AK250" s="346"/>
      <c r="AL250" s="346"/>
      <c r="AM250" s="346"/>
      <c r="AN250" s="346"/>
      <c r="AO250" s="346"/>
      <c r="AP250" s="346"/>
      <c r="AQ250" s="346"/>
      <c r="AR250" s="346"/>
      <c r="AS250" s="346"/>
      <c r="AT250" s="346"/>
      <c r="AU250" s="346"/>
      <c r="AV250" s="346"/>
      <c r="AW250" s="346"/>
      <c r="AX250" s="346"/>
      <c r="AY250" s="346"/>
      <c r="AZ250" s="346"/>
      <c r="BA250" s="346"/>
      <c r="BB250" s="346"/>
      <c r="BC250" s="346"/>
      <c r="BD250" s="346"/>
      <c r="BE250" s="346"/>
      <c r="BF250" s="346"/>
      <c r="BG250" s="346"/>
      <c r="BH250">
        <f t="shared" ref="BH250:BH281" si="31">SUM(B250:BG250)</f>
        <v>0</v>
      </c>
      <c r="BI250" s="351">
        <f t="shared" ref="BI250:BI281" si="32">BH250/$BH$306</f>
        <v>0</v>
      </c>
    </row>
    <row r="251" spans="1:61" ht="14.25" customHeight="1">
      <c r="A251" s="165">
        <f>'Conveyor Downtime (new)'!A249</f>
        <v>46146</v>
      </c>
      <c r="BH251">
        <f t="shared" si="31"/>
        <v>0</v>
      </c>
      <c r="BI251" s="351">
        <f t="shared" si="32"/>
        <v>0</v>
      </c>
    </row>
    <row r="252" spans="1:61" ht="14.25" customHeight="1">
      <c r="A252" s="165">
        <f>'Conveyor Downtime (new)'!A250</f>
        <v>46147</v>
      </c>
      <c r="B252" s="346"/>
      <c r="C252" s="346"/>
      <c r="D252" s="346"/>
      <c r="E252" s="346"/>
      <c r="F252" s="346"/>
      <c r="G252" s="346"/>
      <c r="H252" s="346"/>
      <c r="I252" s="346">
        <f>7</f>
        <v>7</v>
      </c>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346"/>
      <c r="AL252" s="346"/>
      <c r="AM252" s="346"/>
      <c r="AN252" s="346"/>
      <c r="AO252" s="346"/>
      <c r="AP252" s="346"/>
      <c r="AQ252" s="346"/>
      <c r="AR252" s="346"/>
      <c r="AS252" s="346"/>
      <c r="AT252" s="346"/>
      <c r="AU252" s="346"/>
      <c r="AV252" s="346"/>
      <c r="AW252" s="346"/>
      <c r="AX252" s="346"/>
      <c r="AY252" s="346"/>
      <c r="AZ252" s="346"/>
      <c r="BA252" s="346"/>
      <c r="BB252" s="346"/>
      <c r="BC252" s="346"/>
      <c r="BD252" s="346"/>
      <c r="BE252" s="346"/>
      <c r="BF252" s="346"/>
      <c r="BG252" s="346"/>
      <c r="BH252">
        <f t="shared" si="31"/>
        <v>7</v>
      </c>
      <c r="BI252" s="351">
        <f t="shared" si="32"/>
        <v>1.2027491408934709E-2</v>
      </c>
    </row>
    <row r="253" spans="1:61" ht="14.25" customHeight="1">
      <c r="A253" s="165">
        <f>'Conveyor Downtime (new)'!A251</f>
        <v>46147</v>
      </c>
      <c r="BH253">
        <f t="shared" si="31"/>
        <v>0</v>
      </c>
      <c r="BI253" s="351">
        <f t="shared" si="32"/>
        <v>0</v>
      </c>
    </row>
    <row r="254" spans="1:61" ht="14.25" customHeight="1">
      <c r="A254" s="165">
        <f>'Conveyor Downtime (new)'!A252</f>
        <v>46148</v>
      </c>
      <c r="B254" s="346"/>
      <c r="C254" s="346"/>
      <c r="D254" s="346"/>
      <c r="E254" s="346"/>
      <c r="F254" s="346"/>
      <c r="G254" s="346"/>
      <c r="H254" s="346"/>
      <c r="I254" s="346">
        <f>5+5+4+5</f>
        <v>19</v>
      </c>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346"/>
      <c r="AL254" s="346"/>
      <c r="AM254" s="346"/>
      <c r="AN254" s="346"/>
      <c r="AO254" s="346"/>
      <c r="AP254" s="346"/>
      <c r="AQ254" s="346"/>
      <c r="AR254" s="346"/>
      <c r="AS254" s="346"/>
      <c r="AT254" s="346"/>
      <c r="AU254" s="346"/>
      <c r="AV254" s="346"/>
      <c r="AW254" s="346"/>
      <c r="AX254" s="346"/>
      <c r="AY254" s="346"/>
      <c r="AZ254" s="346"/>
      <c r="BA254" s="346"/>
      <c r="BB254" s="346"/>
      <c r="BC254" s="346"/>
      <c r="BD254" s="346"/>
      <c r="BE254" s="346"/>
      <c r="BF254" s="346"/>
      <c r="BG254" s="346"/>
      <c r="BH254">
        <f t="shared" si="31"/>
        <v>19</v>
      </c>
      <c r="BI254" s="351">
        <f t="shared" si="32"/>
        <v>3.2646048109965638E-2</v>
      </c>
    </row>
    <row r="255" spans="1:61" ht="14.25" customHeight="1">
      <c r="A255" s="165">
        <f>'Conveyor Downtime (new)'!A253</f>
        <v>46149</v>
      </c>
      <c r="I255">
        <f>5+4+6+6+4</f>
        <v>25</v>
      </c>
      <c r="BH255">
        <f t="shared" si="31"/>
        <v>25</v>
      </c>
      <c r="BI255" s="351">
        <f t="shared" si="32"/>
        <v>4.29553264604811E-2</v>
      </c>
    </row>
    <row r="256" spans="1:61" ht="14.25" customHeight="1">
      <c r="A256" s="165">
        <f>'Conveyor Downtime (new)'!A254</f>
        <v>46149</v>
      </c>
      <c r="B256" s="346"/>
      <c r="C256" s="346"/>
      <c r="D256" s="346"/>
      <c r="E256" s="346"/>
      <c r="F256" s="346"/>
      <c r="G256" s="346"/>
      <c r="H256" s="346"/>
      <c r="I256" s="346">
        <v>4</v>
      </c>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s="346"/>
      <c r="AJ256" s="346"/>
      <c r="AK256" s="346"/>
      <c r="AL256" s="346"/>
      <c r="AM256" s="346"/>
      <c r="AN256" s="346"/>
      <c r="AO256" s="346"/>
      <c r="AP256" s="346"/>
      <c r="AQ256" s="346"/>
      <c r="AR256" s="346"/>
      <c r="AS256" s="346"/>
      <c r="AT256" s="346"/>
      <c r="AU256" s="346"/>
      <c r="AV256" s="346"/>
      <c r="AW256" s="346"/>
      <c r="AX256" s="346"/>
      <c r="AY256" s="346"/>
      <c r="AZ256" s="346"/>
      <c r="BA256" s="346"/>
      <c r="BB256" s="346"/>
      <c r="BC256" s="346"/>
      <c r="BD256" s="346"/>
      <c r="BE256" s="346"/>
      <c r="BF256" s="346"/>
      <c r="BG256" s="346"/>
      <c r="BH256">
        <f t="shared" si="31"/>
        <v>4</v>
      </c>
      <c r="BI256" s="351">
        <f t="shared" si="32"/>
        <v>6.8728522336769758E-3</v>
      </c>
    </row>
    <row r="257" spans="1:61" ht="14.25" customHeight="1">
      <c r="A257" s="165">
        <f>'Conveyor Downtime (new)'!A255</f>
        <v>46149</v>
      </c>
      <c r="I257">
        <f>5</f>
        <v>5</v>
      </c>
      <c r="AK257">
        <v>6</v>
      </c>
      <c r="BH257">
        <f t="shared" si="31"/>
        <v>11</v>
      </c>
      <c r="BI257" s="351">
        <f t="shared" si="32"/>
        <v>1.8900343642611683E-2</v>
      </c>
    </row>
    <row r="258" spans="1:61" ht="14.25" customHeight="1">
      <c r="A258" s="165">
        <f>'Conveyor Downtime (new)'!A256</f>
        <v>46150</v>
      </c>
      <c r="B258" s="346"/>
      <c r="C258" s="346"/>
      <c r="D258" s="346"/>
      <c r="E258" s="346"/>
      <c r="F258" s="346"/>
      <c r="G258" s="346"/>
      <c r="H258" s="346">
        <f>4+5+3</f>
        <v>12</v>
      </c>
      <c r="I258" s="346">
        <f>7+3+3</f>
        <v>13</v>
      </c>
      <c r="J258" s="346"/>
      <c r="K258" s="346"/>
      <c r="L258" s="346"/>
      <c r="M258" s="346"/>
      <c r="N258" s="346"/>
      <c r="O258" s="346"/>
      <c r="P258" s="346"/>
      <c r="Q258" s="346"/>
      <c r="R258" s="346"/>
      <c r="S258" s="346"/>
      <c r="T258" s="346"/>
      <c r="U258" s="346"/>
      <c r="V258" s="346"/>
      <c r="W258" s="346"/>
      <c r="X258" s="346"/>
      <c r="Y258" s="346"/>
      <c r="Z258" s="346"/>
      <c r="AA258" s="346"/>
      <c r="AB258" s="346"/>
      <c r="AC258" s="346"/>
      <c r="AD258" s="346"/>
      <c r="AE258" s="346"/>
      <c r="AF258" s="346"/>
      <c r="AG258" s="346"/>
      <c r="AH258" s="346"/>
      <c r="AI258" s="346"/>
      <c r="AJ258" s="346"/>
      <c r="AK258" s="346"/>
      <c r="AL258" s="346"/>
      <c r="AM258" s="346"/>
      <c r="AN258" s="346"/>
      <c r="AO258" s="346"/>
      <c r="AP258" s="346"/>
      <c r="AQ258" s="346"/>
      <c r="AR258" s="346"/>
      <c r="AS258" s="346"/>
      <c r="AT258" s="346"/>
      <c r="AU258" s="346"/>
      <c r="AV258" s="346"/>
      <c r="AW258" s="346"/>
      <c r="AX258" s="346"/>
      <c r="AY258" s="346"/>
      <c r="AZ258" s="346"/>
      <c r="BA258" s="346"/>
      <c r="BB258" s="346"/>
      <c r="BC258" s="346"/>
      <c r="BD258" s="346"/>
      <c r="BE258" s="346"/>
      <c r="BF258" s="346">
        <f>4+4+4</f>
        <v>12</v>
      </c>
      <c r="BG258" s="346"/>
      <c r="BH258">
        <f t="shared" si="31"/>
        <v>37</v>
      </c>
      <c r="BI258" s="351">
        <f t="shared" si="32"/>
        <v>6.3573883161512024E-2</v>
      </c>
    </row>
    <row r="259" spans="1:61" ht="14.25" customHeight="1">
      <c r="A259" s="165">
        <f>'Conveyor Downtime (new)'!A257</f>
        <v>46150</v>
      </c>
      <c r="BH259">
        <f t="shared" si="31"/>
        <v>0</v>
      </c>
      <c r="BI259" s="351">
        <f t="shared" si="32"/>
        <v>0</v>
      </c>
    </row>
    <row r="260" spans="1:61" ht="14.25" customHeight="1">
      <c r="A260" s="165">
        <f>'Conveyor Downtime (new)'!A258</f>
        <v>46151</v>
      </c>
      <c r="B260" s="346"/>
      <c r="C260" s="346"/>
      <c r="D260" s="346"/>
      <c r="E260" s="346"/>
      <c r="F260" s="346"/>
      <c r="G260" s="346"/>
      <c r="H260" s="346"/>
      <c r="I260" s="346">
        <f>3+9+2+3+4+3+2</f>
        <v>26</v>
      </c>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346"/>
      <c r="AL260" s="346"/>
      <c r="AM260" s="346"/>
      <c r="AN260" s="346"/>
      <c r="AO260" s="346"/>
      <c r="AP260" s="346"/>
      <c r="AQ260" s="346"/>
      <c r="AR260" s="346"/>
      <c r="AS260" s="346"/>
      <c r="AT260" s="346"/>
      <c r="AU260" s="346"/>
      <c r="AV260" s="346"/>
      <c r="AW260" s="346"/>
      <c r="AX260" s="346"/>
      <c r="AY260" s="346"/>
      <c r="AZ260" s="346"/>
      <c r="BA260" s="346"/>
      <c r="BB260" s="346"/>
      <c r="BC260" s="346"/>
      <c r="BD260" s="346"/>
      <c r="BE260" s="346"/>
      <c r="BF260" s="346"/>
      <c r="BG260" s="346"/>
      <c r="BH260">
        <f t="shared" si="31"/>
        <v>26</v>
      </c>
      <c r="BI260" s="351">
        <f t="shared" si="32"/>
        <v>4.4673539518900345E-2</v>
      </c>
    </row>
    <row r="261" spans="1:61" ht="14.25" customHeight="1">
      <c r="A261" s="165">
        <f>'Conveyor Downtime (new)'!A259</f>
        <v>46153</v>
      </c>
      <c r="H261">
        <f>4</f>
        <v>4</v>
      </c>
      <c r="I261">
        <f>4+4</f>
        <v>8</v>
      </c>
      <c r="BG261">
        <v>3</v>
      </c>
      <c r="BH261">
        <f t="shared" si="31"/>
        <v>15</v>
      </c>
      <c r="BI261" s="351">
        <f t="shared" si="32"/>
        <v>2.5773195876288658E-2</v>
      </c>
    </row>
    <row r="262" spans="1:61" ht="14.25" customHeight="1">
      <c r="A262" s="165">
        <f>'Conveyor Downtime (new)'!A260</f>
        <v>46154</v>
      </c>
      <c r="B262" s="346"/>
      <c r="C262" s="346"/>
      <c r="D262" s="346"/>
      <c r="E262" s="346"/>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346"/>
      <c r="AL262" s="346"/>
      <c r="AM262" s="346"/>
      <c r="AN262" s="346"/>
      <c r="AO262" s="346"/>
      <c r="AP262" s="346"/>
      <c r="AQ262" s="346"/>
      <c r="AR262" s="346"/>
      <c r="AS262" s="346"/>
      <c r="AT262" s="346"/>
      <c r="AU262" s="346"/>
      <c r="AV262" s="346"/>
      <c r="AW262" s="346"/>
      <c r="AX262" s="346"/>
      <c r="AY262" s="346"/>
      <c r="AZ262" s="346"/>
      <c r="BA262" s="346"/>
      <c r="BB262" s="346"/>
      <c r="BC262" s="346"/>
      <c r="BD262" s="346"/>
      <c r="BE262" s="346"/>
      <c r="BF262" s="346"/>
      <c r="BG262" s="346"/>
      <c r="BH262">
        <f t="shared" si="31"/>
        <v>0</v>
      </c>
      <c r="BI262" s="351">
        <f t="shared" si="32"/>
        <v>0</v>
      </c>
    </row>
    <row r="263" spans="1:61" ht="14.25" customHeight="1">
      <c r="A263" s="165">
        <f>'Conveyor Downtime (new)'!A261</f>
        <v>46154</v>
      </c>
      <c r="I263">
        <f>6+5+5+5+4+5</f>
        <v>30</v>
      </c>
      <c r="BF263">
        <f>4</f>
        <v>4</v>
      </c>
      <c r="BG263">
        <v>60</v>
      </c>
      <c r="BH263">
        <f t="shared" si="31"/>
        <v>94</v>
      </c>
      <c r="BI263" s="351">
        <f t="shared" si="32"/>
        <v>0.16151202749140894</v>
      </c>
    </row>
    <row r="264" spans="1:61" ht="14.25" customHeight="1">
      <c r="A264" s="165">
        <f>'Conveyor Downtime (new)'!A262</f>
        <v>46155</v>
      </c>
      <c r="B264" s="346"/>
      <c r="C264" s="346"/>
      <c r="D264" s="346"/>
      <c r="E264" s="346"/>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346"/>
      <c r="AL264" s="346"/>
      <c r="AM264" s="346"/>
      <c r="AN264" s="346"/>
      <c r="AO264" s="346"/>
      <c r="AP264" s="346"/>
      <c r="AQ264" s="346"/>
      <c r="AR264" s="346"/>
      <c r="AS264" s="346"/>
      <c r="AT264" s="346"/>
      <c r="AU264" s="346"/>
      <c r="AV264" s="346"/>
      <c r="AW264" s="346"/>
      <c r="AX264" s="346"/>
      <c r="AY264" s="346"/>
      <c r="AZ264" s="346"/>
      <c r="BA264" s="346"/>
      <c r="BB264" s="346"/>
      <c r="BC264" s="346"/>
      <c r="BD264" s="346"/>
      <c r="BE264" s="346"/>
      <c r="BF264" s="346"/>
      <c r="BG264" s="346"/>
      <c r="BH264">
        <f t="shared" si="31"/>
        <v>0</v>
      </c>
      <c r="BI264" s="351">
        <f t="shared" si="32"/>
        <v>0</v>
      </c>
    </row>
    <row r="265" spans="1:61" ht="14.25" customHeight="1">
      <c r="A265" s="165">
        <f>'Conveyor Downtime (new)'!A263</f>
        <v>46155</v>
      </c>
      <c r="I265">
        <f>3</f>
        <v>3</v>
      </c>
      <c r="BH265">
        <f t="shared" si="31"/>
        <v>3</v>
      </c>
      <c r="BI265" s="351">
        <f t="shared" si="32"/>
        <v>5.1546391752577319E-3</v>
      </c>
    </row>
    <row r="266" spans="1:61" ht="14.25" customHeight="1">
      <c r="A266" s="165">
        <f>'Conveyor Downtime (new)'!A264</f>
        <v>46156</v>
      </c>
      <c r="B266" s="346"/>
      <c r="C266" s="346"/>
      <c r="D266" s="346"/>
      <c r="E266" s="346"/>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346"/>
      <c r="AL266" s="346"/>
      <c r="AM266" s="346"/>
      <c r="AN266" s="346"/>
      <c r="AO266" s="346"/>
      <c r="AP266" s="346"/>
      <c r="AQ266" s="346"/>
      <c r="AR266" s="346"/>
      <c r="AS266" s="346"/>
      <c r="AT266" s="346"/>
      <c r="AU266" s="346"/>
      <c r="AV266" s="346"/>
      <c r="AW266" s="346"/>
      <c r="AX266" s="346"/>
      <c r="AY266" s="346"/>
      <c r="AZ266" s="346"/>
      <c r="BA266" s="346"/>
      <c r="BB266" s="346"/>
      <c r="BC266" s="346"/>
      <c r="BD266" s="346"/>
      <c r="BE266" s="346"/>
      <c r="BF266" s="346"/>
      <c r="BG266" s="346"/>
      <c r="BH266">
        <f t="shared" si="31"/>
        <v>0</v>
      </c>
      <c r="BI266" s="351">
        <f t="shared" si="32"/>
        <v>0</v>
      </c>
    </row>
    <row r="267" spans="1:61" ht="14.25" customHeight="1">
      <c r="A267" s="165">
        <f>'Conveyor Downtime (new)'!A265</f>
        <v>46156</v>
      </c>
      <c r="BF267">
        <f>4+5</f>
        <v>9</v>
      </c>
      <c r="BG267">
        <v>28</v>
      </c>
      <c r="BH267">
        <f t="shared" si="31"/>
        <v>37</v>
      </c>
      <c r="BI267" s="351">
        <f t="shared" si="32"/>
        <v>6.3573883161512024E-2</v>
      </c>
    </row>
    <row r="268" spans="1:61" ht="14.25" customHeight="1">
      <c r="A268" s="165">
        <f>'Conveyor Downtime (new)'!A266</f>
        <v>46156</v>
      </c>
      <c r="B268" s="346"/>
      <c r="C268" s="346"/>
      <c r="D268" s="346"/>
      <c r="E268" s="346"/>
      <c r="F268" s="346"/>
      <c r="G268" s="346"/>
      <c r="H268" s="346"/>
      <c r="I268" s="346">
        <f>5+4+4</f>
        <v>13</v>
      </c>
      <c r="J268" s="346"/>
      <c r="K268" s="346"/>
      <c r="L268" s="346"/>
      <c r="M268" s="346"/>
      <c r="N268" s="346"/>
      <c r="O268" s="346"/>
      <c r="P268" s="346"/>
      <c r="Q268" s="346"/>
      <c r="R268" s="346"/>
      <c r="S268" s="77"/>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s="346"/>
      <c r="AO268" s="346"/>
      <c r="AP268" s="346"/>
      <c r="AQ268" s="346"/>
      <c r="AR268" s="346"/>
      <c r="AS268" s="346"/>
      <c r="AT268" s="346"/>
      <c r="AU268" s="346"/>
      <c r="AV268" s="346"/>
      <c r="AW268" s="346"/>
      <c r="AX268" s="346"/>
      <c r="AY268" s="346"/>
      <c r="AZ268" s="346"/>
      <c r="BA268" s="346"/>
      <c r="BB268" s="346"/>
      <c r="BC268" s="346"/>
      <c r="BD268" s="346"/>
      <c r="BE268" s="346"/>
      <c r="BF268" s="346">
        <f>3+8+5</f>
        <v>16</v>
      </c>
      <c r="BG268" s="346"/>
      <c r="BH268">
        <f t="shared" si="31"/>
        <v>29</v>
      </c>
      <c r="BI268" s="351">
        <f t="shared" si="32"/>
        <v>4.9828178694158079E-2</v>
      </c>
    </row>
    <row r="269" spans="1:61" ht="14.25" customHeight="1">
      <c r="A269" s="165">
        <f>'Conveyor Downtime (new)'!A267</f>
        <v>46156</v>
      </c>
      <c r="I269">
        <f>3</f>
        <v>3</v>
      </c>
      <c r="BH269">
        <f t="shared" si="31"/>
        <v>3</v>
      </c>
      <c r="BI269" s="351">
        <f t="shared" si="32"/>
        <v>5.1546391752577319E-3</v>
      </c>
    </row>
    <row r="270" spans="1:61" ht="14.25" customHeight="1">
      <c r="A270" s="165">
        <f>'Conveyor Downtime (new)'!A268</f>
        <v>46157</v>
      </c>
      <c r="B270" s="346"/>
      <c r="C270" s="346"/>
      <c r="D270" s="346"/>
      <c r="E270" s="346"/>
      <c r="F270" s="346"/>
      <c r="G270" s="346"/>
      <c r="H270" s="346"/>
      <c r="I270" s="346">
        <f>5+4+4+4</f>
        <v>17</v>
      </c>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346"/>
      <c r="AL270" s="346"/>
      <c r="AM270" s="346"/>
      <c r="AN270" s="346"/>
      <c r="AO270" s="346"/>
      <c r="AP270" s="346"/>
      <c r="AQ270" s="346"/>
      <c r="AR270" s="346"/>
      <c r="AS270" s="346"/>
      <c r="AT270" s="346"/>
      <c r="AU270" s="346"/>
      <c r="AV270" s="346"/>
      <c r="AW270" s="346"/>
      <c r="AX270" s="346"/>
      <c r="AY270" s="346"/>
      <c r="AZ270" s="346"/>
      <c r="BA270" s="346"/>
      <c r="BB270" s="346"/>
      <c r="BC270" s="346"/>
      <c r="BD270" s="346"/>
      <c r="BE270" s="346"/>
      <c r="BF270" s="346"/>
      <c r="BG270" s="346"/>
      <c r="BH270">
        <f t="shared" si="31"/>
        <v>17</v>
      </c>
      <c r="BI270" s="351">
        <f t="shared" si="32"/>
        <v>2.9209621993127148E-2</v>
      </c>
    </row>
    <row r="271" spans="1:61" ht="14.25" customHeight="1">
      <c r="A271" s="165">
        <f>'Conveyor Downtime (new)'!A269</f>
        <v>46157</v>
      </c>
      <c r="BH271">
        <f t="shared" si="31"/>
        <v>0</v>
      </c>
      <c r="BI271" s="351">
        <f t="shared" si="32"/>
        <v>0</v>
      </c>
    </row>
    <row r="272" spans="1:61" ht="14.25" customHeight="1">
      <c r="A272" s="165">
        <f>'Conveyor Downtime (new)'!A270</f>
        <v>46158</v>
      </c>
      <c r="B272" s="346"/>
      <c r="C272" s="346"/>
      <c r="D272" s="346"/>
      <c r="E272" s="346"/>
      <c r="F272" s="346"/>
      <c r="G272" s="346"/>
      <c r="H272" s="346">
        <f>4+4</f>
        <v>8</v>
      </c>
      <c r="I272" s="346">
        <f>4+5+2+1+2</f>
        <v>14</v>
      </c>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346"/>
      <c r="AL272" s="346"/>
      <c r="AM272" s="346"/>
      <c r="AN272" s="346"/>
      <c r="AO272" s="346"/>
      <c r="AP272" s="346"/>
      <c r="AQ272" s="346"/>
      <c r="AR272" s="346"/>
      <c r="AS272" s="346"/>
      <c r="AT272" s="346"/>
      <c r="AU272" s="346"/>
      <c r="AV272" s="346"/>
      <c r="AW272" s="346"/>
      <c r="AX272" s="346"/>
      <c r="AY272" s="346"/>
      <c r="AZ272" s="346"/>
      <c r="BA272" s="346"/>
      <c r="BB272" s="346"/>
      <c r="BC272" s="346"/>
      <c r="BD272" s="346"/>
      <c r="BE272" s="346"/>
      <c r="BF272" s="346"/>
      <c r="BG272" s="346"/>
      <c r="BH272">
        <f t="shared" si="31"/>
        <v>22</v>
      </c>
      <c r="BI272" s="351">
        <f t="shared" si="32"/>
        <v>3.7800687285223365E-2</v>
      </c>
    </row>
    <row r="273" spans="1:61" ht="14.25" customHeight="1">
      <c r="A273" s="165">
        <f>'Conveyor Downtime (new)'!A271</f>
        <v>46160</v>
      </c>
      <c r="B273" s="70"/>
      <c r="C273" s="70"/>
      <c r="D273" s="70"/>
      <c r="E273" s="70"/>
      <c r="F273" s="70"/>
      <c r="G273" s="70"/>
      <c r="H273" s="70"/>
      <c r="I273" s="70">
        <f>5+3</f>
        <v>8</v>
      </c>
      <c r="J273" s="70"/>
      <c r="K273" s="70"/>
      <c r="L273" s="70"/>
      <c r="M273" s="70"/>
      <c r="N273" s="70"/>
      <c r="O273" s="70"/>
      <c r="P273" s="70"/>
      <c r="Q273" s="70"/>
      <c r="R273" s="70"/>
      <c r="S273" s="70"/>
      <c r="T273" s="70"/>
      <c r="U273" s="70"/>
      <c r="V273" s="70"/>
      <c r="W273" s="70"/>
      <c r="X273" s="70"/>
      <c r="Y273" s="70"/>
      <c r="Z273" s="70"/>
      <c r="AA273" s="70"/>
      <c r="AB273" s="70"/>
      <c r="AC273" s="70"/>
      <c r="AD273" s="70"/>
      <c r="AE273" s="70"/>
      <c r="AF273" s="70"/>
      <c r="AG273" s="70"/>
      <c r="AH273" s="70"/>
      <c r="AI273" s="70"/>
      <c r="AJ273" s="70"/>
      <c r="AK273" s="70"/>
      <c r="AL273" s="70"/>
      <c r="AM273" s="70"/>
      <c r="AN273" s="70"/>
      <c r="AO273" s="70"/>
      <c r="AP273" s="70"/>
      <c r="AQ273" s="70"/>
      <c r="AR273" s="70"/>
      <c r="AS273" s="70"/>
      <c r="AT273" s="70"/>
      <c r="AU273" s="70"/>
      <c r="AV273" s="70"/>
      <c r="AW273" s="70"/>
      <c r="AX273" s="70"/>
      <c r="AY273" s="70"/>
      <c r="AZ273" s="70"/>
      <c r="BA273" s="70"/>
      <c r="BB273" s="70"/>
      <c r="BC273" s="70"/>
      <c r="BD273" s="70"/>
      <c r="BE273" s="70"/>
      <c r="BF273" s="70"/>
      <c r="BG273" s="70"/>
      <c r="BH273">
        <f t="shared" si="31"/>
        <v>8</v>
      </c>
      <c r="BI273" s="351">
        <f t="shared" si="32"/>
        <v>1.3745704467353952E-2</v>
      </c>
    </row>
    <row r="274" spans="1:61" ht="14.25" customHeight="1">
      <c r="A274" s="165">
        <f>'Conveyor Downtime (new)'!A272</f>
        <v>46160</v>
      </c>
      <c r="B274" s="353"/>
      <c r="C274" s="353"/>
      <c r="D274" s="353"/>
      <c r="E274" s="353"/>
      <c r="F274" s="353"/>
      <c r="G274" s="346"/>
      <c r="H274" s="353">
        <f>4</f>
        <v>4</v>
      </c>
      <c r="I274" s="353">
        <f>6+6+4</f>
        <v>16</v>
      </c>
      <c r="J274" s="353"/>
      <c r="K274" s="353"/>
      <c r="L274" s="353"/>
      <c r="M274" s="353"/>
      <c r="N274" s="353"/>
      <c r="O274" s="353"/>
      <c r="P274" s="353"/>
      <c r="Q274" s="353"/>
      <c r="R274" s="353"/>
      <c r="S274" s="353"/>
      <c r="T274" s="353"/>
      <c r="U274" s="353"/>
      <c r="V274" s="353"/>
      <c r="W274" s="353"/>
      <c r="X274" s="353"/>
      <c r="Y274" s="353"/>
      <c r="Z274" s="353"/>
      <c r="AA274" s="353"/>
      <c r="AB274" s="353"/>
      <c r="AC274" s="353"/>
      <c r="AD274" s="353"/>
      <c r="AE274" s="353"/>
      <c r="AF274" s="353"/>
      <c r="AG274" s="353"/>
      <c r="AH274" s="353"/>
      <c r="AI274" s="353"/>
      <c r="AJ274" s="353"/>
      <c r="AK274" s="353"/>
      <c r="AL274" s="353"/>
      <c r="AM274" s="353"/>
      <c r="AN274" s="353"/>
      <c r="AO274" s="353"/>
      <c r="AP274" s="353"/>
      <c r="AQ274" s="353"/>
      <c r="AR274" s="353"/>
      <c r="AS274" s="346"/>
      <c r="AT274" s="346"/>
      <c r="AU274" s="346"/>
      <c r="AV274" s="346"/>
      <c r="AW274" s="346"/>
      <c r="AX274" s="346"/>
      <c r="AY274" s="346"/>
      <c r="AZ274" s="353"/>
      <c r="BA274" s="353"/>
      <c r="BB274" s="353"/>
      <c r="BC274" s="353"/>
      <c r="BD274" s="353"/>
      <c r="BE274" s="353"/>
      <c r="BF274" s="353"/>
      <c r="BG274" s="353"/>
      <c r="BH274">
        <f t="shared" si="31"/>
        <v>20</v>
      </c>
      <c r="BI274" s="351">
        <f t="shared" si="32"/>
        <v>3.4364261168384883E-2</v>
      </c>
    </row>
    <row r="275" spans="1:61" ht="14.25" customHeight="1">
      <c r="A275" s="165">
        <f>'Conveyor Downtime (new)'!A273</f>
        <v>46161</v>
      </c>
      <c r="G275" s="70"/>
      <c r="H275" s="70"/>
      <c r="I275" s="70">
        <f>6+10</f>
        <v>16</v>
      </c>
      <c r="J275" s="70"/>
      <c r="K275" s="70"/>
      <c r="L275" s="70"/>
      <c r="M275" s="70"/>
      <c r="N275" s="70"/>
      <c r="AH275" s="70"/>
      <c r="AI275" s="70"/>
      <c r="AJ275" s="70"/>
      <c r="AK275" s="70"/>
      <c r="AL275" s="70"/>
      <c r="AM275" s="70"/>
      <c r="AN275" s="70"/>
      <c r="AO275" s="70"/>
      <c r="AP275" s="70"/>
      <c r="AQ275" s="70"/>
      <c r="BF275">
        <f>5+5+3+4+4+6+6+11+3+2+4+2+2</f>
        <v>57</v>
      </c>
      <c r="BH275">
        <f t="shared" si="31"/>
        <v>73</v>
      </c>
      <c r="BI275" s="351">
        <f t="shared" si="32"/>
        <v>0.12542955326460481</v>
      </c>
    </row>
    <row r="276" spans="1:61" ht="14.25" customHeight="1">
      <c r="A276" s="165">
        <f>'Conveyor Downtime (new)'!A274</f>
        <v>46161</v>
      </c>
      <c r="B276" s="346"/>
      <c r="C276" s="346"/>
      <c r="D276" s="346"/>
      <c r="E276" s="346"/>
      <c r="F276" s="346"/>
      <c r="G276" s="346"/>
      <c r="H276" s="346">
        <f>4+6+5</f>
        <v>15</v>
      </c>
      <c r="I276" s="346">
        <f>6+6+5+5+4</f>
        <v>26</v>
      </c>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346"/>
      <c r="AL276" s="346"/>
      <c r="AM276" s="346"/>
      <c r="AN276" s="346"/>
      <c r="AO276" s="346"/>
      <c r="AP276" s="346"/>
      <c r="AQ276" s="346"/>
      <c r="AR276" s="346"/>
      <c r="AS276" s="346"/>
      <c r="AT276" s="346"/>
      <c r="AU276" s="346"/>
      <c r="AV276" s="346"/>
      <c r="AW276" s="346"/>
      <c r="AX276" s="346"/>
      <c r="AY276" s="346"/>
      <c r="AZ276" s="346"/>
      <c r="BA276" s="346"/>
      <c r="BB276" s="346"/>
      <c r="BC276" s="346"/>
      <c r="BD276" s="346"/>
      <c r="BE276" s="346"/>
      <c r="BF276" s="346">
        <f>3</f>
        <v>3</v>
      </c>
      <c r="BG276" s="346"/>
      <c r="BH276">
        <f t="shared" si="31"/>
        <v>44</v>
      </c>
      <c r="BI276" s="351">
        <f t="shared" si="32"/>
        <v>7.560137457044673E-2</v>
      </c>
    </row>
    <row r="277" spans="1:61" ht="14.25" customHeight="1">
      <c r="A277" s="165">
        <f>'Conveyor Downtime (new)'!A275</f>
        <v>46161</v>
      </c>
      <c r="I277">
        <f>4</f>
        <v>4</v>
      </c>
      <c r="BF277">
        <f>13</f>
        <v>13</v>
      </c>
      <c r="BH277">
        <f t="shared" si="31"/>
        <v>17</v>
      </c>
      <c r="BI277" s="351">
        <f t="shared" si="32"/>
        <v>2.9209621993127148E-2</v>
      </c>
    </row>
    <row r="278" spans="1:61" ht="14.25" customHeight="1">
      <c r="A278" s="165">
        <f>'Conveyor Downtime (new)'!A276</f>
        <v>46162</v>
      </c>
      <c r="B278" s="346"/>
      <c r="C278" s="346"/>
      <c r="D278" s="346"/>
      <c r="E278" s="346"/>
      <c r="F278" s="346"/>
      <c r="G278" s="346"/>
      <c r="H278" s="346">
        <f>2</f>
        <v>2</v>
      </c>
      <c r="I278" s="346">
        <f>4+3</f>
        <v>7</v>
      </c>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s="346"/>
      <c r="AO278" s="346"/>
      <c r="AP278" s="346"/>
      <c r="AQ278" s="346"/>
      <c r="AR278" s="346"/>
      <c r="AS278" s="346"/>
      <c r="AT278" s="346"/>
      <c r="AU278" s="346"/>
      <c r="AV278" s="346"/>
      <c r="AW278" s="346"/>
      <c r="AX278" s="346"/>
      <c r="AY278" s="346"/>
      <c r="AZ278" s="346"/>
      <c r="BA278" s="346"/>
      <c r="BB278" s="346"/>
      <c r="BC278" s="346"/>
      <c r="BD278" s="346"/>
      <c r="BE278" s="346"/>
      <c r="BF278" s="346"/>
      <c r="BG278" s="346"/>
      <c r="BH278">
        <f t="shared" si="31"/>
        <v>9</v>
      </c>
      <c r="BI278" s="351">
        <f t="shared" si="32"/>
        <v>1.5463917525773196E-2</v>
      </c>
    </row>
    <row r="279" spans="1:61" ht="14.25" customHeight="1">
      <c r="A279" s="165">
        <f>'Conveyor Downtime (new)'!A277</f>
        <v>46162</v>
      </c>
      <c r="H279">
        <f>5</f>
        <v>5</v>
      </c>
      <c r="I279">
        <f>5</f>
        <v>5</v>
      </c>
      <c r="BG279" t="s">
        <v>209</v>
      </c>
      <c r="BH279">
        <f t="shared" si="31"/>
        <v>10</v>
      </c>
      <c r="BI279" s="351">
        <f t="shared" si="32"/>
        <v>1.7182130584192441E-2</v>
      </c>
    </row>
    <row r="280" spans="1:61" ht="14.25" customHeight="1">
      <c r="A280" s="165">
        <f>'Conveyor Downtime (new)'!A278</f>
        <v>46163</v>
      </c>
      <c r="B280" s="346"/>
      <c r="C280" s="346"/>
      <c r="D280" s="346"/>
      <c r="E280" s="346"/>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346"/>
      <c r="AL280" s="346"/>
      <c r="AM280" s="346"/>
      <c r="AN280" s="346"/>
      <c r="AO280" s="346"/>
      <c r="AP280" s="346"/>
      <c r="AQ280" s="346"/>
      <c r="AR280" s="346"/>
      <c r="AS280" s="346"/>
      <c r="AT280" s="346"/>
      <c r="AU280" s="346"/>
      <c r="AV280" s="346"/>
      <c r="AW280" s="346"/>
      <c r="AX280" s="346"/>
      <c r="AY280" s="346"/>
      <c r="AZ280" s="346"/>
      <c r="BA280" s="346"/>
      <c r="BB280" s="346"/>
      <c r="BC280" s="346"/>
      <c r="BD280" s="346"/>
      <c r="BE280" s="346"/>
      <c r="BF280" s="346"/>
      <c r="BG280" s="346"/>
      <c r="BH280">
        <f t="shared" si="31"/>
        <v>0</v>
      </c>
      <c r="BI280" s="351">
        <f t="shared" si="32"/>
        <v>0</v>
      </c>
    </row>
    <row r="281" spans="1:61" ht="14.25" customHeight="1">
      <c r="A281" s="165">
        <f>'Conveyor Downtime (new)'!A279</f>
        <v>46163</v>
      </c>
      <c r="H281">
        <f>4</f>
        <v>4</v>
      </c>
      <c r="BF281">
        <f>2+3+2+2</f>
        <v>9</v>
      </c>
      <c r="BH281">
        <f t="shared" si="31"/>
        <v>13</v>
      </c>
      <c r="BI281" s="351">
        <f t="shared" si="32"/>
        <v>2.2336769759450172E-2</v>
      </c>
    </row>
    <row r="282" spans="1:61" ht="14.25" customHeight="1">
      <c r="A282" s="165">
        <f>'Conveyor Downtime (new)'!A280</f>
        <v>46163</v>
      </c>
      <c r="B282" s="346"/>
      <c r="C282" s="346"/>
      <c r="D282" s="346"/>
      <c r="E282" s="346"/>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346"/>
      <c r="AL282" s="346"/>
      <c r="AM282" s="346"/>
      <c r="AN282" s="346"/>
      <c r="AO282" s="346"/>
      <c r="AP282" s="346"/>
      <c r="AQ282" s="346"/>
      <c r="AR282" s="346"/>
      <c r="AS282" s="346"/>
      <c r="AT282" s="346"/>
      <c r="AU282" s="346"/>
      <c r="AV282" s="346"/>
      <c r="AW282" s="346"/>
      <c r="AX282" s="346"/>
      <c r="AY282" s="346"/>
      <c r="AZ282" s="346"/>
      <c r="BA282" s="346"/>
      <c r="BB282" s="346"/>
      <c r="BC282" s="346"/>
      <c r="BD282" s="346"/>
      <c r="BE282" s="346"/>
      <c r="BF282" s="346"/>
      <c r="BG282" s="346"/>
      <c r="BH282">
        <f t="shared" ref="BH282:BH305" si="33">SUM(B282:BG282)</f>
        <v>0</v>
      </c>
      <c r="BI282" s="351">
        <f t="shared" ref="BI282:BI305" si="34">BH282/$BH$306</f>
        <v>0</v>
      </c>
    </row>
    <row r="283" spans="1:61" ht="14.25" customHeight="1">
      <c r="A283" s="165">
        <f>'Conveyor Downtime (new)'!A281</f>
        <v>46164</v>
      </c>
      <c r="I283">
        <f>3</f>
        <v>3</v>
      </c>
      <c r="BF283">
        <f>5</f>
        <v>5</v>
      </c>
      <c r="BH283">
        <f t="shared" si="33"/>
        <v>8</v>
      </c>
      <c r="BI283" s="351">
        <f t="shared" si="34"/>
        <v>1.3745704467353952E-2</v>
      </c>
    </row>
    <row r="284" spans="1:61" ht="14.25" customHeight="1">
      <c r="A284" s="165">
        <f>'Conveyor Downtime (new)'!A282</f>
        <v>46164</v>
      </c>
      <c r="B284" s="346"/>
      <c r="C284" s="346"/>
      <c r="D284" s="346"/>
      <c r="E284" s="346"/>
      <c r="F284" s="346"/>
      <c r="G284" s="346"/>
      <c r="H284" s="346"/>
      <c r="I284" s="346"/>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346"/>
      <c r="AL284" s="346"/>
      <c r="AM284" s="346"/>
      <c r="AN284" s="346"/>
      <c r="AO284" s="346"/>
      <c r="AP284" s="346"/>
      <c r="AQ284" s="346"/>
      <c r="AR284" s="346"/>
      <c r="AS284" s="346"/>
      <c r="AT284" s="346"/>
      <c r="AU284" s="346"/>
      <c r="AV284" s="346"/>
      <c r="AW284" s="346"/>
      <c r="AX284" s="346"/>
      <c r="AY284" s="346"/>
      <c r="AZ284" s="346"/>
      <c r="BA284" s="346"/>
      <c r="BB284" s="346"/>
      <c r="BC284" s="346"/>
      <c r="BD284" s="346"/>
      <c r="BE284" s="346"/>
      <c r="BF284" s="346"/>
      <c r="BG284" s="346"/>
      <c r="BH284">
        <f t="shared" si="33"/>
        <v>0</v>
      </c>
      <c r="BI284" s="351">
        <f t="shared" si="34"/>
        <v>0</v>
      </c>
    </row>
    <row r="285" spans="1:61" ht="14.25" customHeight="1">
      <c r="A285" s="165">
        <f>'Conveyor Downtime (new)'!A283</f>
        <v>46164</v>
      </c>
      <c r="BF285">
        <f>5+6+4</f>
        <v>15</v>
      </c>
      <c r="BH285">
        <f t="shared" si="33"/>
        <v>15</v>
      </c>
      <c r="BI285" s="351">
        <f t="shared" si="34"/>
        <v>2.5773195876288658E-2</v>
      </c>
    </row>
    <row r="286" spans="1:61" ht="14.25" customHeight="1">
      <c r="A286" s="165">
        <f>'Conveyor Downtime (new)'!A284</f>
        <v>46168</v>
      </c>
      <c r="B286" s="346"/>
      <c r="C286" s="346"/>
      <c r="D286" s="346"/>
      <c r="E286" s="346"/>
      <c r="F286" s="346"/>
      <c r="G286" s="346"/>
      <c r="H286" s="346"/>
      <c r="I286" s="346">
        <f>3</f>
        <v>3</v>
      </c>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346"/>
      <c r="AL286" s="346"/>
      <c r="AM286" s="346"/>
      <c r="AN286" s="346"/>
      <c r="AO286" s="346"/>
      <c r="AP286" s="346"/>
      <c r="AQ286" s="346"/>
      <c r="AR286" s="346"/>
      <c r="AS286" s="346"/>
      <c r="AT286" s="346"/>
      <c r="AU286" s="346"/>
      <c r="AV286" s="346"/>
      <c r="AW286" s="346"/>
      <c r="AX286" s="346"/>
      <c r="AY286" s="346"/>
      <c r="AZ286" s="346"/>
      <c r="BA286" s="346"/>
      <c r="BB286" s="346"/>
      <c r="BC286" s="346"/>
      <c r="BD286" s="346"/>
      <c r="BE286" s="346"/>
      <c r="BF286" s="346">
        <f>4</f>
        <v>4</v>
      </c>
      <c r="BG286" s="346"/>
      <c r="BH286">
        <f t="shared" si="33"/>
        <v>7</v>
      </c>
      <c r="BI286" s="351">
        <f t="shared" si="34"/>
        <v>1.2027491408934709E-2</v>
      </c>
    </row>
    <row r="287" spans="1:61" ht="14.25" customHeight="1">
      <c r="A287" s="165">
        <f>'Conveyor Downtime (new)'!A285</f>
        <v>46169</v>
      </c>
      <c r="I287">
        <f>4</f>
        <v>4</v>
      </c>
      <c r="BH287">
        <f t="shared" si="33"/>
        <v>4</v>
      </c>
      <c r="BI287" s="351">
        <f t="shared" si="34"/>
        <v>6.8728522336769758E-3</v>
      </c>
    </row>
    <row r="288" spans="1:61" ht="14.25" customHeight="1">
      <c r="A288" s="165">
        <f>'Conveyor Downtime (new)'!A286</f>
        <v>46169</v>
      </c>
      <c r="B288" s="346"/>
      <c r="C288" s="346"/>
      <c r="D288" s="346"/>
      <c r="E288" s="346"/>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346"/>
      <c r="AL288" s="346"/>
      <c r="AM288" s="346"/>
      <c r="AN288" s="346"/>
      <c r="AO288" s="346"/>
      <c r="AP288" s="346"/>
      <c r="AQ288" s="346"/>
      <c r="AR288" s="346"/>
      <c r="AS288" s="346"/>
      <c r="AT288" s="346"/>
      <c r="AU288" s="346"/>
      <c r="AV288" s="346"/>
      <c r="AW288" s="346"/>
      <c r="AX288" s="346"/>
      <c r="AY288" s="346"/>
      <c r="AZ288" s="346"/>
      <c r="BA288" s="346"/>
      <c r="BB288" s="346"/>
      <c r="BC288" s="346"/>
      <c r="BD288" s="346"/>
      <c r="BE288" s="346"/>
      <c r="BF288" s="346">
        <f>5</f>
        <v>5</v>
      </c>
      <c r="BG288" s="346"/>
      <c r="BH288">
        <f t="shared" si="33"/>
        <v>5</v>
      </c>
      <c r="BI288" s="351">
        <f t="shared" si="34"/>
        <v>8.5910652920962206E-3</v>
      </c>
    </row>
    <row r="289" spans="1:61" ht="14.25" customHeight="1">
      <c r="A289" s="165">
        <f>'Conveyor Downtime (new)'!A287</f>
        <v>46170</v>
      </c>
      <c r="BH289">
        <f t="shared" si="33"/>
        <v>0</v>
      </c>
      <c r="BI289" s="351">
        <f t="shared" si="34"/>
        <v>0</v>
      </c>
    </row>
    <row r="290" spans="1:61" ht="14.25" hidden="1" customHeight="1">
      <c r="A290" s="165">
        <f>'Conveyor Downtime (new)'!A288</f>
        <v>0</v>
      </c>
      <c r="B290" s="346"/>
      <c r="C290" s="346"/>
      <c r="D290" s="346"/>
      <c r="E290" s="346"/>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346"/>
      <c r="AL290" s="346"/>
      <c r="AM290" s="346"/>
      <c r="AN290" s="346"/>
      <c r="AO290" s="346"/>
      <c r="AP290" s="346"/>
      <c r="AQ290" s="346"/>
      <c r="AR290" s="346"/>
      <c r="AS290" s="346"/>
      <c r="AT290" s="346"/>
      <c r="AU290" s="346"/>
      <c r="AV290" s="346"/>
      <c r="AW290" s="346"/>
      <c r="AX290" s="346"/>
      <c r="AY290" s="346"/>
      <c r="AZ290" s="346"/>
      <c r="BA290" s="346"/>
      <c r="BB290" s="346"/>
      <c r="BC290" s="346"/>
      <c r="BD290" s="346"/>
      <c r="BE290" s="346"/>
      <c r="BF290" s="346"/>
      <c r="BG290" s="346"/>
      <c r="BH290">
        <f t="shared" si="33"/>
        <v>0</v>
      </c>
      <c r="BI290" s="351">
        <f t="shared" si="34"/>
        <v>0</v>
      </c>
    </row>
    <row r="291" spans="1:61" ht="14.25" hidden="1" customHeight="1">
      <c r="A291" s="165">
        <f>'Conveyor Downtime (new)'!A289</f>
        <v>0</v>
      </c>
      <c r="BH291">
        <f t="shared" si="33"/>
        <v>0</v>
      </c>
      <c r="BI291" s="351">
        <f t="shared" si="34"/>
        <v>0</v>
      </c>
    </row>
    <row r="292" spans="1:61" ht="14.25" hidden="1" customHeight="1">
      <c r="A292" s="165">
        <f>'Conveyor Downtime (new)'!A290</f>
        <v>0</v>
      </c>
      <c r="B292" s="346"/>
      <c r="C292" s="346"/>
      <c r="D292" s="346"/>
      <c r="E292" s="346"/>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346"/>
      <c r="AL292" s="346"/>
      <c r="AM292" s="346"/>
      <c r="AN292" s="346"/>
      <c r="AO292" s="346"/>
      <c r="AP292" s="346"/>
      <c r="AQ292" s="346"/>
      <c r="AR292" s="346"/>
      <c r="AS292" s="346"/>
      <c r="AT292" s="346"/>
      <c r="AU292" s="346"/>
      <c r="AV292" s="346"/>
      <c r="AW292" s="346"/>
      <c r="AX292" s="346"/>
      <c r="AY292" s="346"/>
      <c r="AZ292" s="346"/>
      <c r="BA292" s="346"/>
      <c r="BB292" s="346"/>
      <c r="BC292" s="346"/>
      <c r="BD292" s="346"/>
      <c r="BE292" s="346"/>
      <c r="BF292" s="346"/>
      <c r="BG292" s="346"/>
      <c r="BH292">
        <f t="shared" si="33"/>
        <v>0</v>
      </c>
      <c r="BI292" s="351">
        <f t="shared" si="34"/>
        <v>0</v>
      </c>
    </row>
    <row r="293" spans="1:61" ht="14.25" hidden="1" customHeight="1">
      <c r="A293" s="165">
        <f>'Conveyor Downtime (new)'!A291</f>
        <v>0</v>
      </c>
      <c r="BH293">
        <f t="shared" si="33"/>
        <v>0</v>
      </c>
      <c r="BI293" s="351">
        <f t="shared" si="34"/>
        <v>0</v>
      </c>
    </row>
    <row r="294" spans="1:61" ht="14.25" hidden="1" customHeight="1">
      <c r="A294" s="165">
        <f>'Conveyor Downtime (new)'!A292</f>
        <v>0</v>
      </c>
      <c r="B294" s="346"/>
      <c r="C294" s="346"/>
      <c r="D294" s="346"/>
      <c r="E294" s="346"/>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346"/>
      <c r="AL294" s="346"/>
      <c r="AM294" s="346"/>
      <c r="AN294" s="346"/>
      <c r="AO294" s="346"/>
      <c r="AP294" s="346"/>
      <c r="AQ294" s="346"/>
      <c r="AR294" s="346"/>
      <c r="AS294" s="346"/>
      <c r="AT294" s="346"/>
      <c r="AU294" s="346"/>
      <c r="AV294" s="346"/>
      <c r="AW294" s="346"/>
      <c r="AX294" s="346"/>
      <c r="AY294" s="346"/>
      <c r="AZ294" s="346"/>
      <c r="BA294" s="346"/>
      <c r="BB294" s="346"/>
      <c r="BC294" s="346"/>
      <c r="BD294" s="346"/>
      <c r="BE294" s="346"/>
      <c r="BF294" s="346"/>
      <c r="BG294" s="346"/>
      <c r="BH294">
        <f t="shared" si="33"/>
        <v>0</v>
      </c>
      <c r="BI294" s="351">
        <f t="shared" si="34"/>
        <v>0</v>
      </c>
    </row>
    <row r="295" spans="1:61" ht="14.25" hidden="1" customHeight="1">
      <c r="A295" s="165">
        <f>'Conveyor Downtime (new)'!A293</f>
        <v>0</v>
      </c>
      <c r="BH295">
        <f t="shared" si="33"/>
        <v>0</v>
      </c>
      <c r="BI295" s="351">
        <f t="shared" si="34"/>
        <v>0</v>
      </c>
    </row>
    <row r="296" spans="1:61" ht="14.25" hidden="1" customHeight="1">
      <c r="A296" s="165">
        <f>'Conveyor Downtime (new)'!A294</f>
        <v>0</v>
      </c>
      <c r="B296" s="346"/>
      <c r="C296" s="346"/>
      <c r="D296" s="346"/>
      <c r="E296" s="346"/>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346"/>
      <c r="AL296" s="346"/>
      <c r="AM296" s="346"/>
      <c r="AN296" s="346"/>
      <c r="AO296" s="346"/>
      <c r="AP296" s="346"/>
      <c r="AQ296" s="346"/>
      <c r="AR296" s="346"/>
      <c r="AS296" s="346"/>
      <c r="AT296" s="346"/>
      <c r="AU296" s="346"/>
      <c r="AV296" s="346"/>
      <c r="AW296" s="346"/>
      <c r="AX296" s="346"/>
      <c r="AY296" s="346"/>
      <c r="AZ296" s="346"/>
      <c r="BA296" s="346"/>
      <c r="BB296" s="346"/>
      <c r="BC296" s="346"/>
      <c r="BD296" s="346"/>
      <c r="BE296" s="346"/>
      <c r="BF296" s="346"/>
      <c r="BG296" s="346"/>
      <c r="BH296">
        <f t="shared" si="33"/>
        <v>0</v>
      </c>
      <c r="BI296" s="351">
        <f t="shared" si="34"/>
        <v>0</v>
      </c>
    </row>
    <row r="297" spans="1:61" ht="14.25" hidden="1" customHeight="1">
      <c r="A297" s="165">
        <f>'Conveyor Downtime (new)'!A295</f>
        <v>0</v>
      </c>
      <c r="BH297">
        <f t="shared" si="33"/>
        <v>0</v>
      </c>
      <c r="BI297" s="351">
        <f t="shared" si="34"/>
        <v>0</v>
      </c>
    </row>
    <row r="298" spans="1:61" ht="14.25" hidden="1" customHeight="1">
      <c r="A298" s="165">
        <f>'Conveyor Downtime (new)'!A296</f>
        <v>0</v>
      </c>
      <c r="B298" s="346"/>
      <c r="C298" s="346"/>
      <c r="D298" s="346"/>
      <c r="E298" s="346"/>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346"/>
      <c r="AL298" s="346"/>
      <c r="AM298" s="346"/>
      <c r="AN298" s="346"/>
      <c r="AO298" s="346"/>
      <c r="AP298" s="346"/>
      <c r="AQ298" s="346"/>
      <c r="AR298" s="346"/>
      <c r="AS298" s="346"/>
      <c r="AT298" s="346"/>
      <c r="AU298" s="346"/>
      <c r="AV298" s="346"/>
      <c r="AW298" s="346"/>
      <c r="AX298" s="346"/>
      <c r="AY298" s="346"/>
      <c r="AZ298" s="346"/>
      <c r="BA298" s="346"/>
      <c r="BB298" s="346"/>
      <c r="BC298" s="346"/>
      <c r="BD298" s="346"/>
      <c r="BE298" s="346"/>
      <c r="BF298" s="346"/>
      <c r="BG298" s="346"/>
      <c r="BH298">
        <f t="shared" si="33"/>
        <v>0</v>
      </c>
      <c r="BI298" s="351">
        <f t="shared" si="34"/>
        <v>0</v>
      </c>
    </row>
    <row r="299" spans="1:61" ht="14.25" hidden="1" customHeight="1">
      <c r="A299" s="165">
        <f>'Conveyor Downtime (new)'!A297</f>
        <v>0</v>
      </c>
      <c r="BH299">
        <f t="shared" si="33"/>
        <v>0</v>
      </c>
      <c r="BI299" s="351">
        <f t="shared" si="34"/>
        <v>0</v>
      </c>
    </row>
    <row r="300" spans="1:61" ht="14.25" hidden="1" customHeight="1">
      <c r="A300" s="165">
        <f>'Conveyor Downtime (new)'!A298</f>
        <v>0</v>
      </c>
      <c r="B300" s="346"/>
      <c r="C300" s="346"/>
      <c r="D300" s="346"/>
      <c r="E300" s="346"/>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346"/>
      <c r="AL300" s="346"/>
      <c r="AM300" s="346"/>
      <c r="AN300" s="346"/>
      <c r="AO300" s="346"/>
      <c r="AP300" s="346"/>
      <c r="AQ300" s="346"/>
      <c r="AR300" s="346"/>
      <c r="AS300" s="346"/>
      <c r="AT300" s="346"/>
      <c r="AU300" s="346"/>
      <c r="AV300" s="346"/>
      <c r="AW300" s="346"/>
      <c r="AX300" s="346"/>
      <c r="AY300" s="346"/>
      <c r="AZ300" s="346"/>
      <c r="BA300" s="346"/>
      <c r="BB300" s="346"/>
      <c r="BC300" s="346"/>
      <c r="BD300" s="346"/>
      <c r="BE300" s="346"/>
      <c r="BF300" s="346"/>
      <c r="BG300" s="346"/>
      <c r="BH300">
        <f t="shared" si="33"/>
        <v>0</v>
      </c>
      <c r="BI300" s="351">
        <f t="shared" si="34"/>
        <v>0</v>
      </c>
    </row>
    <row r="301" spans="1:61" ht="14.25" hidden="1" customHeight="1">
      <c r="A301" s="165">
        <f>'Conveyor Downtime (new)'!A299</f>
        <v>0</v>
      </c>
      <c r="BH301">
        <f t="shared" si="33"/>
        <v>0</v>
      </c>
      <c r="BI301" s="351">
        <f t="shared" si="34"/>
        <v>0</v>
      </c>
    </row>
    <row r="302" spans="1:61" ht="14.25" hidden="1" customHeight="1">
      <c r="A302" s="165">
        <f>'Conveyor Downtime (new)'!A300</f>
        <v>0</v>
      </c>
      <c r="B302" s="346"/>
      <c r="C302" s="346"/>
      <c r="D302" s="346"/>
      <c r="E302" s="346"/>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346"/>
      <c r="AL302" s="346"/>
      <c r="AM302" s="346"/>
      <c r="AN302" s="346"/>
      <c r="AO302" s="346"/>
      <c r="AP302" s="346"/>
      <c r="AQ302" s="346"/>
      <c r="AR302" s="346"/>
      <c r="AS302" s="346"/>
      <c r="AT302" s="346"/>
      <c r="AU302" s="346"/>
      <c r="AV302" s="346"/>
      <c r="AW302" s="346"/>
      <c r="AX302" s="346"/>
      <c r="AY302" s="346"/>
      <c r="AZ302" s="346"/>
      <c r="BA302" s="346"/>
      <c r="BB302" s="346"/>
      <c r="BC302" s="346"/>
      <c r="BD302" s="346"/>
      <c r="BE302" s="346"/>
      <c r="BF302" s="346"/>
      <c r="BG302" s="346"/>
      <c r="BH302">
        <f t="shared" si="33"/>
        <v>0</v>
      </c>
      <c r="BI302" s="351">
        <f t="shared" si="34"/>
        <v>0</v>
      </c>
    </row>
    <row r="303" spans="1:61" ht="14.25" hidden="1" customHeight="1">
      <c r="A303" s="165">
        <f>'Conveyor Downtime (new)'!A301</f>
        <v>0</v>
      </c>
      <c r="BH303">
        <f t="shared" si="33"/>
        <v>0</v>
      </c>
      <c r="BI303" s="351">
        <f t="shared" si="34"/>
        <v>0</v>
      </c>
    </row>
    <row r="304" spans="1:61" ht="14.25" hidden="1" customHeight="1">
      <c r="A304" s="165"/>
      <c r="B304" s="346"/>
      <c r="C304" s="346"/>
      <c r="D304" s="346"/>
      <c r="E304" s="346"/>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s="346"/>
      <c r="AJ304" s="346"/>
      <c r="AK304" s="346"/>
      <c r="AL304" s="346"/>
      <c r="AM304" s="346"/>
      <c r="AN304" s="346"/>
      <c r="AO304" s="346"/>
      <c r="AP304" s="346"/>
      <c r="AQ304" s="346"/>
      <c r="AR304" s="346"/>
      <c r="AS304" s="346"/>
      <c r="AT304" s="346"/>
      <c r="AU304" s="346"/>
      <c r="AV304" s="346"/>
      <c r="AW304" s="346"/>
      <c r="AX304" s="346"/>
      <c r="AY304" s="346"/>
      <c r="AZ304" s="346"/>
      <c r="BA304" s="346"/>
      <c r="BB304" s="346"/>
      <c r="BC304" s="346"/>
      <c r="BD304" s="346"/>
      <c r="BE304" s="346"/>
      <c r="BF304" s="346"/>
      <c r="BG304" s="346"/>
      <c r="BH304">
        <f t="shared" si="33"/>
        <v>0</v>
      </c>
      <c r="BI304" s="351">
        <f t="shared" si="34"/>
        <v>0</v>
      </c>
    </row>
    <row r="305" spans="1:61" ht="14.25" hidden="1" customHeight="1">
      <c r="A305" s="165"/>
      <c r="BH305">
        <f t="shared" si="33"/>
        <v>0</v>
      </c>
      <c r="BI305" s="351">
        <f t="shared" si="34"/>
        <v>0</v>
      </c>
    </row>
    <row r="306" spans="1:61" ht="14.25" customHeight="1">
      <c r="A306" s="347" t="s">
        <v>173</v>
      </c>
      <c r="B306" s="347">
        <f t="shared" ref="B306:AG306" si="35">SUM(B250:B305)</f>
        <v>0</v>
      </c>
      <c r="C306" s="347">
        <f t="shared" si="35"/>
        <v>0</v>
      </c>
      <c r="D306" s="347">
        <f t="shared" si="35"/>
        <v>0</v>
      </c>
      <c r="E306" s="347">
        <f t="shared" si="35"/>
        <v>0</v>
      </c>
      <c r="F306" s="347">
        <f t="shared" si="35"/>
        <v>0</v>
      </c>
      <c r="G306" s="347">
        <f t="shared" si="35"/>
        <v>0</v>
      </c>
      <c r="H306" s="347">
        <f t="shared" si="35"/>
        <v>54</v>
      </c>
      <c r="I306" s="347">
        <f t="shared" si="35"/>
        <v>279</v>
      </c>
      <c r="J306" s="347">
        <f t="shared" si="35"/>
        <v>0</v>
      </c>
      <c r="K306" s="347">
        <f t="shared" si="35"/>
        <v>0</v>
      </c>
      <c r="L306" s="347">
        <f t="shared" si="35"/>
        <v>0</v>
      </c>
      <c r="M306" s="347">
        <f t="shared" si="35"/>
        <v>0</v>
      </c>
      <c r="N306" s="347">
        <f t="shared" si="35"/>
        <v>0</v>
      </c>
      <c r="O306" s="347">
        <f t="shared" si="35"/>
        <v>0</v>
      </c>
      <c r="P306" s="347">
        <f t="shared" si="35"/>
        <v>0</v>
      </c>
      <c r="Q306" s="347">
        <f t="shared" si="35"/>
        <v>0</v>
      </c>
      <c r="R306" s="347">
        <f t="shared" si="35"/>
        <v>0</v>
      </c>
      <c r="S306" s="347">
        <f t="shared" si="35"/>
        <v>0</v>
      </c>
      <c r="T306" s="347">
        <f t="shared" si="35"/>
        <v>0</v>
      </c>
      <c r="U306" s="347">
        <f t="shared" si="35"/>
        <v>0</v>
      </c>
      <c r="V306" s="347">
        <f t="shared" si="35"/>
        <v>0</v>
      </c>
      <c r="W306" s="347">
        <f t="shared" si="35"/>
        <v>0</v>
      </c>
      <c r="X306" s="347">
        <f t="shared" si="35"/>
        <v>0</v>
      </c>
      <c r="Y306" s="347">
        <f t="shared" si="35"/>
        <v>0</v>
      </c>
      <c r="Z306" s="347">
        <f t="shared" si="35"/>
        <v>0</v>
      </c>
      <c r="AA306" s="347">
        <f t="shared" si="35"/>
        <v>0</v>
      </c>
      <c r="AB306" s="347">
        <f t="shared" si="35"/>
        <v>0</v>
      </c>
      <c r="AC306" s="347">
        <f t="shared" si="35"/>
        <v>0</v>
      </c>
      <c r="AD306" s="347">
        <f t="shared" si="35"/>
        <v>0</v>
      </c>
      <c r="AE306" s="347">
        <f t="shared" si="35"/>
        <v>0</v>
      </c>
      <c r="AF306" s="347">
        <f t="shared" si="35"/>
        <v>0</v>
      </c>
      <c r="AG306" s="347">
        <f t="shared" si="35"/>
        <v>0</v>
      </c>
      <c r="AH306" s="347">
        <f t="shared" ref="AH306:BG306" si="36">SUM(AH250:AH305)</f>
        <v>0</v>
      </c>
      <c r="AI306" s="347">
        <f t="shared" si="36"/>
        <v>0</v>
      </c>
      <c r="AJ306" s="347">
        <f t="shared" si="36"/>
        <v>0</v>
      </c>
      <c r="AK306" s="347">
        <f t="shared" si="36"/>
        <v>6</v>
      </c>
      <c r="AL306" s="347">
        <f t="shared" si="36"/>
        <v>0</v>
      </c>
      <c r="AM306" s="347">
        <f t="shared" si="36"/>
        <v>0</v>
      </c>
      <c r="AN306" s="347">
        <f t="shared" si="36"/>
        <v>0</v>
      </c>
      <c r="AO306" s="347">
        <f t="shared" si="36"/>
        <v>0</v>
      </c>
      <c r="AP306" s="347">
        <f t="shared" si="36"/>
        <v>0</v>
      </c>
      <c r="AQ306" s="347">
        <f t="shared" si="36"/>
        <v>0</v>
      </c>
      <c r="AR306" s="347">
        <f t="shared" si="36"/>
        <v>0</v>
      </c>
      <c r="AS306" s="347">
        <f t="shared" si="36"/>
        <v>0</v>
      </c>
      <c r="AT306" s="347">
        <f t="shared" si="36"/>
        <v>0</v>
      </c>
      <c r="AU306" s="347">
        <f t="shared" si="36"/>
        <v>0</v>
      </c>
      <c r="AV306" s="347">
        <f t="shared" si="36"/>
        <v>0</v>
      </c>
      <c r="AW306" s="347">
        <f t="shared" si="36"/>
        <v>0</v>
      </c>
      <c r="AX306" s="347">
        <f t="shared" si="36"/>
        <v>0</v>
      </c>
      <c r="AY306" s="347">
        <f t="shared" si="36"/>
        <v>0</v>
      </c>
      <c r="AZ306" s="347">
        <f t="shared" si="36"/>
        <v>0</v>
      </c>
      <c r="BA306" s="347">
        <f t="shared" si="36"/>
        <v>0</v>
      </c>
      <c r="BB306" s="347">
        <f t="shared" si="36"/>
        <v>0</v>
      </c>
      <c r="BC306" s="347">
        <f t="shared" si="36"/>
        <v>0</v>
      </c>
      <c r="BD306" s="347">
        <f t="shared" si="36"/>
        <v>0</v>
      </c>
      <c r="BE306" s="347">
        <f t="shared" si="36"/>
        <v>0</v>
      </c>
      <c r="BF306" s="347">
        <f t="shared" si="36"/>
        <v>152</v>
      </c>
      <c r="BG306" s="347">
        <f t="shared" si="36"/>
        <v>91</v>
      </c>
      <c r="BH306" s="347">
        <f>SUM(BH250:BH305)</f>
        <v>582</v>
      </c>
    </row>
    <row r="307" spans="1:61" ht="14.25" customHeight="1" thickBot="1">
      <c r="A307" s="348" t="s">
        <v>174</v>
      </c>
      <c r="B307" s="348">
        <f t="shared" ref="B307:I307" si="37">B306/$BH306</f>
        <v>0</v>
      </c>
      <c r="C307" s="348">
        <f t="shared" si="37"/>
        <v>0</v>
      </c>
      <c r="D307" s="348">
        <f t="shared" si="37"/>
        <v>0</v>
      </c>
      <c r="E307" s="348">
        <f t="shared" si="37"/>
        <v>0</v>
      </c>
      <c r="F307" s="348">
        <f t="shared" si="37"/>
        <v>0</v>
      </c>
      <c r="G307" s="348">
        <f t="shared" si="37"/>
        <v>0</v>
      </c>
      <c r="H307" s="348">
        <f t="shared" si="37"/>
        <v>9.2783505154639179E-2</v>
      </c>
      <c r="I307" s="348">
        <f t="shared" si="37"/>
        <v>0.47938144329896909</v>
      </c>
      <c r="J307" s="348">
        <f t="shared" ref="J307:AG307" si="38">J306/$BH306</f>
        <v>0</v>
      </c>
      <c r="K307" s="348">
        <f t="shared" si="38"/>
        <v>0</v>
      </c>
      <c r="L307" s="348">
        <f t="shared" si="38"/>
        <v>0</v>
      </c>
      <c r="M307" s="348">
        <f t="shared" si="38"/>
        <v>0</v>
      </c>
      <c r="N307" s="348">
        <f t="shared" si="38"/>
        <v>0</v>
      </c>
      <c r="O307" s="348">
        <f t="shared" si="38"/>
        <v>0</v>
      </c>
      <c r="P307" s="348">
        <f t="shared" si="38"/>
        <v>0</v>
      </c>
      <c r="Q307" s="348">
        <f t="shared" si="38"/>
        <v>0</v>
      </c>
      <c r="R307" s="348">
        <f t="shared" si="38"/>
        <v>0</v>
      </c>
      <c r="S307" s="348">
        <f t="shared" si="38"/>
        <v>0</v>
      </c>
      <c r="T307" s="348">
        <f t="shared" si="38"/>
        <v>0</v>
      </c>
      <c r="U307" s="348">
        <f t="shared" si="38"/>
        <v>0</v>
      </c>
      <c r="V307" s="348">
        <f t="shared" si="38"/>
        <v>0</v>
      </c>
      <c r="W307" s="348">
        <f t="shared" si="38"/>
        <v>0</v>
      </c>
      <c r="X307" s="348">
        <f t="shared" si="38"/>
        <v>0</v>
      </c>
      <c r="Y307" s="348">
        <f t="shared" si="38"/>
        <v>0</v>
      </c>
      <c r="Z307" s="348">
        <f t="shared" si="38"/>
        <v>0</v>
      </c>
      <c r="AA307" s="348">
        <f t="shared" si="38"/>
        <v>0</v>
      </c>
      <c r="AB307" s="348">
        <f t="shared" si="38"/>
        <v>0</v>
      </c>
      <c r="AC307" s="348">
        <f t="shared" si="38"/>
        <v>0</v>
      </c>
      <c r="AD307" s="348">
        <f t="shared" si="38"/>
        <v>0</v>
      </c>
      <c r="AE307" s="348">
        <f t="shared" si="38"/>
        <v>0</v>
      </c>
      <c r="AF307" s="348">
        <f t="shared" si="38"/>
        <v>0</v>
      </c>
      <c r="AG307" s="348">
        <f t="shared" si="38"/>
        <v>0</v>
      </c>
      <c r="AH307" s="348">
        <f t="shared" ref="AH307:BG307" si="39">AH306/$BH306</f>
        <v>0</v>
      </c>
      <c r="AI307" s="348">
        <f t="shared" si="39"/>
        <v>0</v>
      </c>
      <c r="AJ307" s="348">
        <f t="shared" si="39"/>
        <v>0</v>
      </c>
      <c r="AK307" s="348">
        <f t="shared" si="39"/>
        <v>1.0309278350515464E-2</v>
      </c>
      <c r="AL307" s="348">
        <f t="shared" si="39"/>
        <v>0</v>
      </c>
      <c r="AM307" s="348">
        <f t="shared" si="39"/>
        <v>0</v>
      </c>
      <c r="AN307" s="348">
        <f t="shared" si="39"/>
        <v>0</v>
      </c>
      <c r="AO307" s="348">
        <f t="shared" si="39"/>
        <v>0</v>
      </c>
      <c r="AP307" s="348">
        <f t="shared" si="39"/>
        <v>0</v>
      </c>
      <c r="AQ307" s="348">
        <f t="shared" si="39"/>
        <v>0</v>
      </c>
      <c r="AR307" s="348">
        <f t="shared" si="39"/>
        <v>0</v>
      </c>
      <c r="AS307" s="348">
        <f t="shared" si="39"/>
        <v>0</v>
      </c>
      <c r="AT307" s="348">
        <f t="shared" si="39"/>
        <v>0</v>
      </c>
      <c r="AU307" s="348">
        <f t="shared" si="39"/>
        <v>0</v>
      </c>
      <c r="AV307" s="348">
        <f t="shared" si="39"/>
        <v>0</v>
      </c>
      <c r="AW307" s="348">
        <f t="shared" si="39"/>
        <v>0</v>
      </c>
      <c r="AX307" s="348">
        <f t="shared" si="39"/>
        <v>0</v>
      </c>
      <c r="AY307" s="348">
        <f t="shared" si="39"/>
        <v>0</v>
      </c>
      <c r="AZ307" s="348">
        <f t="shared" si="39"/>
        <v>0</v>
      </c>
      <c r="BA307" s="348">
        <f t="shared" si="39"/>
        <v>0</v>
      </c>
      <c r="BB307" s="348">
        <f t="shared" si="39"/>
        <v>0</v>
      </c>
      <c r="BC307" s="348">
        <f t="shared" si="39"/>
        <v>0</v>
      </c>
      <c r="BD307" s="348">
        <f t="shared" si="39"/>
        <v>0</v>
      </c>
      <c r="BE307" s="348">
        <f t="shared" si="39"/>
        <v>0</v>
      </c>
      <c r="BF307" s="348">
        <f t="shared" si="39"/>
        <v>0.2611683848797251</v>
      </c>
      <c r="BG307" s="348">
        <f t="shared" si="39"/>
        <v>0.1563573883161512</v>
      </c>
      <c r="BH307" s="351"/>
    </row>
    <row r="308" spans="1:61" ht="14.25" customHeight="1">
      <c r="A308" s="376"/>
      <c r="B308" s="376"/>
      <c r="C308" s="376"/>
      <c r="D308" s="376"/>
      <c r="E308" s="376"/>
      <c r="F308" s="376"/>
      <c r="G308" s="376"/>
      <c r="H308" s="376"/>
      <c r="I308" s="376"/>
      <c r="J308" s="376"/>
      <c r="K308" s="376"/>
      <c r="L308" s="376"/>
      <c r="M308" s="376"/>
      <c r="N308" s="376"/>
      <c r="O308" s="376"/>
      <c r="P308" s="376"/>
      <c r="Q308" s="376"/>
      <c r="R308" s="376"/>
      <c r="S308" s="376"/>
      <c r="T308" s="376"/>
      <c r="U308" s="376"/>
      <c r="V308" s="376"/>
      <c r="W308" s="376"/>
      <c r="X308" s="376"/>
      <c r="Y308" s="376"/>
      <c r="Z308" s="376"/>
      <c r="AA308" s="376"/>
      <c r="AB308" s="376"/>
      <c r="AC308" s="376"/>
      <c r="AD308" s="376"/>
      <c r="AE308" s="376"/>
      <c r="AF308" s="376"/>
      <c r="AG308" s="376"/>
      <c r="AH308" s="376"/>
      <c r="AI308" s="376"/>
      <c r="AJ308" s="376"/>
      <c r="AK308" s="376"/>
      <c r="AL308" s="376"/>
      <c r="AM308" s="376"/>
      <c r="AN308" s="376"/>
      <c r="AO308" s="376"/>
      <c r="AP308" s="376"/>
      <c r="AQ308" s="376"/>
      <c r="AR308" s="376"/>
      <c r="AS308" s="376"/>
      <c r="AT308" s="376"/>
      <c r="AU308" s="376"/>
      <c r="AV308" s="376"/>
      <c r="AW308" s="376"/>
      <c r="AX308" s="376"/>
      <c r="AY308" s="376"/>
      <c r="AZ308" s="376"/>
      <c r="BA308" s="376"/>
      <c r="BB308" s="376"/>
      <c r="BC308" s="376"/>
      <c r="BD308" s="376"/>
      <c r="BE308" s="376"/>
      <c r="BF308" s="376"/>
      <c r="BG308" s="376"/>
      <c r="BH308" s="360"/>
    </row>
    <row r="309" spans="1:61" ht="14.25" customHeight="1">
      <c r="A309" s="376"/>
      <c r="B309" s="376"/>
      <c r="C309" s="376"/>
      <c r="D309" s="376"/>
      <c r="E309" s="376"/>
      <c r="F309" s="376"/>
      <c r="G309" s="376"/>
      <c r="H309" s="376"/>
      <c r="I309" s="376"/>
      <c r="J309" s="376"/>
      <c r="K309" s="376"/>
      <c r="L309" s="376"/>
      <c r="M309" s="376"/>
      <c r="N309" s="376"/>
      <c r="O309" s="376"/>
      <c r="P309" s="376"/>
      <c r="Q309" s="376"/>
      <c r="R309" s="376"/>
      <c r="S309" s="376"/>
      <c r="T309" s="376"/>
      <c r="U309" s="376"/>
      <c r="V309" s="376"/>
      <c r="W309" s="376"/>
      <c r="X309" s="376"/>
      <c r="Y309" s="376"/>
      <c r="Z309" s="376"/>
      <c r="AA309" s="376"/>
      <c r="AB309" s="376"/>
      <c r="AC309" s="376"/>
      <c r="AD309" s="376"/>
      <c r="AE309" s="376"/>
      <c r="AF309" s="376"/>
      <c r="AG309" s="376"/>
      <c r="AH309" s="376"/>
      <c r="AI309" s="376"/>
      <c r="AJ309" s="376"/>
      <c r="AK309" s="376"/>
      <c r="AL309" s="376"/>
      <c r="AM309" s="376"/>
      <c r="AN309" s="376"/>
      <c r="AO309" s="376"/>
      <c r="AP309" s="376"/>
      <c r="AQ309" s="376"/>
      <c r="AR309" s="376"/>
      <c r="AS309" s="376"/>
      <c r="AT309" s="376"/>
      <c r="AU309" s="376"/>
      <c r="AV309" s="376"/>
      <c r="AW309" s="376"/>
      <c r="AX309" s="376"/>
      <c r="AY309" s="376"/>
      <c r="AZ309" s="376"/>
      <c r="BA309" s="376"/>
      <c r="BB309" s="376"/>
      <c r="BC309" s="376"/>
      <c r="BD309" s="376"/>
      <c r="BE309" s="376"/>
      <c r="BF309" s="376"/>
      <c r="BG309" s="376"/>
      <c r="BH309" s="360"/>
    </row>
    <row r="310" spans="1:61" ht="14.25" customHeight="1"/>
    <row r="311" spans="1:61" ht="14.25" customHeight="1">
      <c r="A311" s="165">
        <f>'Conveyor Downtime (new)'!A308</f>
        <v>46192</v>
      </c>
      <c r="B311" s="346"/>
      <c r="C311" s="346"/>
      <c r="D311" s="346"/>
      <c r="E311" s="346"/>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s="346"/>
      <c r="AE311" s="346"/>
      <c r="AF311" s="346"/>
      <c r="AG311" s="346"/>
      <c r="AH311" s="346"/>
      <c r="AI311" s="346"/>
      <c r="AJ311" s="346"/>
      <c r="AK311" s="346"/>
      <c r="AL311" s="346"/>
      <c r="AM311" s="346"/>
      <c r="AN311" s="346"/>
      <c r="AO311" s="346"/>
      <c r="AP311" s="346"/>
      <c r="AQ311" s="346"/>
      <c r="AR311" s="346"/>
      <c r="AS311" s="346"/>
      <c r="AT311" s="346"/>
      <c r="AU311" s="346"/>
      <c r="AV311" s="346"/>
      <c r="AW311" s="346"/>
      <c r="AX311" s="346"/>
      <c r="AY311" s="346"/>
      <c r="AZ311" s="346"/>
      <c r="BA311" s="346"/>
      <c r="BB311" s="346"/>
      <c r="BC311" s="346"/>
      <c r="BD311" s="346"/>
      <c r="BE311" s="346"/>
      <c r="BF311" s="346"/>
      <c r="BG311" s="346"/>
      <c r="BH311">
        <f t="shared" ref="BH311:BH347" si="40">SUM(B311:BG311)</f>
        <v>0</v>
      </c>
      <c r="BI311" s="351">
        <f t="shared" ref="BI311" si="41">BH311/$BH$372</f>
        <v>0</v>
      </c>
    </row>
    <row r="312" spans="1:61" ht="14.25" customHeight="1">
      <c r="A312" s="165">
        <f>'Conveyor Downtime (new)'!A309</f>
        <v>46193</v>
      </c>
      <c r="H312">
        <f>3</f>
        <v>3</v>
      </c>
      <c r="I312">
        <f>10+4+3</f>
        <v>17</v>
      </c>
      <c r="AN312">
        <f>40</f>
        <v>40</v>
      </c>
      <c r="AS312">
        <f>60+15</f>
        <v>75</v>
      </c>
      <c r="BH312">
        <f t="shared" si="40"/>
        <v>135</v>
      </c>
      <c r="BI312" s="351">
        <f t="shared" ref="BI312:BI343" si="42">BH312/$BH$372</f>
        <v>0.33834586466165412</v>
      </c>
    </row>
    <row r="313" spans="1:61" ht="14.25" customHeight="1">
      <c r="A313" s="165">
        <f>'Conveyor Downtime (new)'!A310</f>
        <v>46194</v>
      </c>
      <c r="B313" s="346"/>
      <c r="C313" s="346"/>
      <c r="D313" s="346"/>
      <c r="E313" s="346"/>
      <c r="F313" s="346"/>
      <c r="G313" s="346"/>
      <c r="H313" s="346">
        <f>2</f>
        <v>2</v>
      </c>
      <c r="I313" s="346">
        <f>2+9</f>
        <v>11</v>
      </c>
      <c r="J313" s="346"/>
      <c r="K313" s="346"/>
      <c r="L313" s="346"/>
      <c r="M313" s="346"/>
      <c r="N313" s="346"/>
      <c r="O313" s="346"/>
      <c r="P313" s="346"/>
      <c r="Q313" s="346"/>
      <c r="R313" s="346"/>
      <c r="S313" s="346"/>
      <c r="T313" s="346"/>
      <c r="U313" s="346"/>
      <c r="V313" s="346"/>
      <c r="W313" s="346"/>
      <c r="X313" s="346"/>
      <c r="Y313" s="346"/>
      <c r="Z313" s="346"/>
      <c r="AA313" s="346"/>
      <c r="AB313" s="346"/>
      <c r="AC313" s="346"/>
      <c r="AD313" s="346"/>
      <c r="AE313" s="346"/>
      <c r="AF313" s="346"/>
      <c r="AG313" s="346"/>
      <c r="AH313" s="346"/>
      <c r="AI313" s="346"/>
      <c r="AJ313" s="346"/>
      <c r="AK313" s="346"/>
      <c r="AL313" s="346"/>
      <c r="AM313" s="346"/>
      <c r="AN313" s="346"/>
      <c r="AO313" s="346"/>
      <c r="AP313" s="346"/>
      <c r="AQ313" s="346"/>
      <c r="AR313" s="346"/>
      <c r="AS313" s="346"/>
      <c r="AT313" s="346"/>
      <c r="AU313" s="346"/>
      <c r="AV313" s="346"/>
      <c r="AW313" s="346"/>
      <c r="AX313" s="346"/>
      <c r="AY313" s="346"/>
      <c r="AZ313" s="346"/>
      <c r="BA313" s="346"/>
      <c r="BB313" s="346"/>
      <c r="BC313" s="346"/>
      <c r="BD313" s="346"/>
      <c r="BE313" s="346"/>
      <c r="BF313" s="346"/>
      <c r="BG313" s="346"/>
      <c r="BH313">
        <f t="shared" si="40"/>
        <v>13</v>
      </c>
      <c r="BI313" s="351">
        <f t="shared" si="42"/>
        <v>3.2581453634085211E-2</v>
      </c>
    </row>
    <row r="314" spans="1:61" ht="14.25" customHeight="1">
      <c r="A314" s="165">
        <f>'Conveyor Downtime (new)'!A311</f>
        <v>46195</v>
      </c>
      <c r="H314">
        <v>3</v>
      </c>
      <c r="I314">
        <f>2</f>
        <v>2</v>
      </c>
      <c r="P314">
        <f>5</f>
        <v>5</v>
      </c>
      <c r="BH314">
        <f t="shared" si="40"/>
        <v>10</v>
      </c>
      <c r="BI314" s="351">
        <f t="shared" si="42"/>
        <v>2.5062656641604009E-2</v>
      </c>
    </row>
    <row r="315" spans="1:61" ht="14.25" customHeight="1">
      <c r="A315" s="165">
        <f>'Conveyor Downtime (new)'!A312</f>
        <v>46195</v>
      </c>
      <c r="B315" s="346"/>
      <c r="C315" s="346"/>
      <c r="D315" s="346"/>
      <c r="E315" s="346"/>
      <c r="F315" s="346"/>
      <c r="G315" s="346"/>
      <c r="H315" s="346"/>
      <c r="I315" s="346">
        <f>3+2+2</f>
        <v>7</v>
      </c>
      <c r="J315" s="346"/>
      <c r="K315" s="346"/>
      <c r="L315" s="346"/>
      <c r="M315" s="346"/>
      <c r="N315" s="346"/>
      <c r="O315" s="346"/>
      <c r="P315" s="346"/>
      <c r="Q315" s="346"/>
      <c r="R315" s="346"/>
      <c r="S315" s="346"/>
      <c r="T315" s="346"/>
      <c r="U315" s="346"/>
      <c r="V315" s="346"/>
      <c r="W315" s="346"/>
      <c r="X315" s="346"/>
      <c r="Y315" s="346"/>
      <c r="Z315" s="346"/>
      <c r="AA315" s="346"/>
      <c r="AB315" s="346"/>
      <c r="AC315" s="346"/>
      <c r="AD315" s="346"/>
      <c r="AE315" s="346"/>
      <c r="AF315" s="346"/>
      <c r="AG315" s="346"/>
      <c r="AH315" s="346"/>
      <c r="AI315" s="346"/>
      <c r="AJ315" s="346"/>
      <c r="AK315" s="346"/>
      <c r="AL315" s="346"/>
      <c r="AM315" s="346"/>
      <c r="AN315" s="346"/>
      <c r="AO315" s="346"/>
      <c r="AP315" s="346"/>
      <c r="AQ315" s="346"/>
      <c r="AR315" s="346"/>
      <c r="AS315" s="346"/>
      <c r="AT315" s="346"/>
      <c r="AU315" s="346"/>
      <c r="AV315" s="346"/>
      <c r="AW315" s="346"/>
      <c r="AX315" s="346"/>
      <c r="AY315" s="346"/>
      <c r="AZ315" s="346"/>
      <c r="BA315" s="346"/>
      <c r="BB315" s="346"/>
      <c r="BC315" s="346"/>
      <c r="BD315" s="346"/>
      <c r="BE315" s="346"/>
      <c r="BF315" s="346"/>
      <c r="BG315" s="346"/>
      <c r="BH315">
        <f t="shared" si="40"/>
        <v>7</v>
      </c>
      <c r="BI315" s="351">
        <f t="shared" si="42"/>
        <v>1.7543859649122806E-2</v>
      </c>
    </row>
    <row r="316" spans="1:61" ht="14.25" customHeight="1">
      <c r="A316" s="165">
        <f>'Conveyor Downtime (new)'!A313</f>
        <v>46196</v>
      </c>
      <c r="H316">
        <f>3</f>
        <v>3</v>
      </c>
      <c r="I316">
        <f>3+4+5+3</f>
        <v>15</v>
      </c>
      <c r="BH316">
        <f t="shared" si="40"/>
        <v>18</v>
      </c>
      <c r="BI316" s="351">
        <f t="shared" si="42"/>
        <v>4.5112781954887216E-2</v>
      </c>
    </row>
    <row r="317" spans="1:61" ht="14.25" customHeight="1">
      <c r="A317" s="165">
        <f>'Conveyor Downtime (new)'!A314</f>
        <v>46196</v>
      </c>
      <c r="B317" s="346"/>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s="346"/>
      <c r="AE317" s="346"/>
      <c r="AF317" s="346"/>
      <c r="AG317" s="346"/>
      <c r="AH317" s="346"/>
      <c r="AI317" s="346"/>
      <c r="AJ317" s="346"/>
      <c r="AK317" s="346"/>
      <c r="AL317" s="346"/>
      <c r="AM317" s="346"/>
      <c r="AN317" s="346"/>
      <c r="AO317" s="346"/>
      <c r="AP317" s="346"/>
      <c r="AQ317" s="346"/>
      <c r="AR317" s="346"/>
      <c r="AS317" s="346"/>
      <c r="AT317" s="346"/>
      <c r="AU317" s="346"/>
      <c r="AV317" s="346"/>
      <c r="AW317" s="346"/>
      <c r="AX317" s="346"/>
      <c r="AY317" s="346"/>
      <c r="AZ317" s="346"/>
      <c r="BA317" s="346"/>
      <c r="BB317" s="346"/>
      <c r="BC317" s="346"/>
      <c r="BD317" s="346"/>
      <c r="BE317" s="346"/>
      <c r="BF317" s="346"/>
      <c r="BG317" s="346"/>
      <c r="BH317">
        <f t="shared" si="40"/>
        <v>0</v>
      </c>
      <c r="BI317" s="351">
        <f t="shared" si="42"/>
        <v>0</v>
      </c>
    </row>
    <row r="318" spans="1:61" ht="14.25" customHeight="1">
      <c r="A318" s="165">
        <f>'Conveyor Downtime (new)'!A315</f>
        <v>46196</v>
      </c>
      <c r="I318">
        <f>5+5+4+10+5</f>
        <v>29</v>
      </c>
      <c r="BH318">
        <f t="shared" si="40"/>
        <v>29</v>
      </c>
      <c r="BI318" s="351">
        <f t="shared" si="42"/>
        <v>7.2681704260651625E-2</v>
      </c>
    </row>
    <row r="319" spans="1:61" ht="14.25" customHeight="1">
      <c r="A319" s="165">
        <f>'Conveyor Downtime (new)'!A316</f>
        <v>46197</v>
      </c>
      <c r="B319" s="346"/>
      <c r="C319" s="346"/>
      <c r="D319" s="346"/>
      <c r="E319" s="346"/>
      <c r="F319" s="346"/>
      <c r="G319" s="346"/>
      <c r="H319" s="346"/>
      <c r="I319" s="346">
        <f>2+3+3+9+4+3+5+4</f>
        <v>33</v>
      </c>
      <c r="J319" s="346"/>
      <c r="K319" s="346"/>
      <c r="L319" s="346"/>
      <c r="M319" s="346"/>
      <c r="N319" s="346"/>
      <c r="O319" s="346"/>
      <c r="P319" s="346"/>
      <c r="Q319" s="346"/>
      <c r="R319" s="346"/>
      <c r="S319" s="346"/>
      <c r="T319" s="346"/>
      <c r="U319" s="346"/>
      <c r="V319" s="346"/>
      <c r="W319" s="346"/>
      <c r="X319" s="346"/>
      <c r="Y319" s="346"/>
      <c r="Z319" s="346"/>
      <c r="AA319" s="346"/>
      <c r="AB319" s="346"/>
      <c r="AC319" s="346"/>
      <c r="AD319" s="346"/>
      <c r="AE319" s="346"/>
      <c r="AF319" s="346"/>
      <c r="AG319" s="346"/>
      <c r="AH319" s="346"/>
      <c r="AI319" s="346"/>
      <c r="AJ319" s="346"/>
      <c r="AK319" s="346"/>
      <c r="AL319" s="346"/>
      <c r="AM319" s="346"/>
      <c r="AN319" s="346"/>
      <c r="AO319" s="346"/>
      <c r="AP319" s="346"/>
      <c r="AQ319" s="346"/>
      <c r="AR319" s="346"/>
      <c r="AS319" s="346"/>
      <c r="AT319" s="346"/>
      <c r="AU319" s="346"/>
      <c r="AV319" s="346"/>
      <c r="AW319" s="346"/>
      <c r="AX319" s="346"/>
      <c r="AY319" s="346"/>
      <c r="AZ319" s="346"/>
      <c r="BA319" s="346"/>
      <c r="BB319" s="346"/>
      <c r="BC319" s="346"/>
      <c r="BD319" s="346"/>
      <c r="BE319" s="346"/>
      <c r="BF319" s="346"/>
      <c r="BG319" s="346"/>
      <c r="BH319">
        <f t="shared" si="40"/>
        <v>33</v>
      </c>
      <c r="BI319" s="351">
        <f t="shared" si="42"/>
        <v>8.2706766917293228E-2</v>
      </c>
    </row>
    <row r="320" spans="1:61" ht="14.25" customHeight="1">
      <c r="A320" s="165">
        <f>'Conveyor Downtime (new)'!A317</f>
        <v>46197</v>
      </c>
      <c r="I320">
        <f>2</f>
        <v>2</v>
      </c>
      <c r="BH320">
        <f t="shared" si="40"/>
        <v>2</v>
      </c>
      <c r="BI320" s="351">
        <f t="shared" si="42"/>
        <v>5.0125313283208017E-3</v>
      </c>
    </row>
    <row r="321" spans="1:61" ht="14.25" customHeight="1">
      <c r="A321" s="165">
        <f>'Conveyor Downtime (new)'!A318</f>
        <v>46198</v>
      </c>
      <c r="B321" s="346"/>
      <c r="C321" s="346"/>
      <c r="D321" s="346"/>
      <c r="E321" s="346"/>
      <c r="F321" s="346"/>
      <c r="G321" s="346"/>
      <c r="H321" s="346">
        <f>3+3</f>
        <v>6</v>
      </c>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346"/>
      <c r="AK321" s="346"/>
      <c r="AL321" s="346"/>
      <c r="AM321" s="346"/>
      <c r="AN321" s="346"/>
      <c r="AO321" s="346"/>
      <c r="AP321" s="346"/>
      <c r="AQ321" s="346"/>
      <c r="AR321" s="346"/>
      <c r="AS321" s="346"/>
      <c r="AT321" s="346"/>
      <c r="AU321" s="346"/>
      <c r="AV321" s="346"/>
      <c r="AW321" s="346"/>
      <c r="AX321" s="346"/>
      <c r="AY321" s="346"/>
      <c r="AZ321" s="346"/>
      <c r="BA321" s="346"/>
      <c r="BB321" s="346"/>
      <c r="BC321" s="346"/>
      <c r="BD321" s="346"/>
      <c r="BE321" s="346"/>
      <c r="BF321" s="346"/>
      <c r="BG321" s="346"/>
      <c r="BH321">
        <f t="shared" si="40"/>
        <v>6</v>
      </c>
      <c r="BI321" s="351">
        <f t="shared" si="42"/>
        <v>1.5037593984962405E-2</v>
      </c>
    </row>
    <row r="322" spans="1:61" ht="14.25" customHeight="1">
      <c r="A322" s="165">
        <f>'Conveyor Downtime (new)'!A319</f>
        <v>46198</v>
      </c>
      <c r="H322">
        <f>3</f>
        <v>3</v>
      </c>
      <c r="BH322">
        <f t="shared" si="40"/>
        <v>3</v>
      </c>
      <c r="BI322" s="351">
        <f t="shared" si="42"/>
        <v>7.5187969924812026E-3</v>
      </c>
    </row>
    <row r="323" spans="1:61" ht="14.25" customHeight="1">
      <c r="A323" s="165">
        <f>'Conveyor Downtime (new)'!A320</f>
        <v>46198</v>
      </c>
      <c r="B323" s="346"/>
      <c r="C323" s="346"/>
      <c r="D323" s="346"/>
      <c r="E323" s="346"/>
      <c r="F323" s="346"/>
      <c r="G323" s="346"/>
      <c r="H323" s="346"/>
      <c r="I323" s="346">
        <f>5</f>
        <v>5</v>
      </c>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346"/>
      <c r="AK323" s="346"/>
      <c r="AL323" s="346"/>
      <c r="AM323" s="346"/>
      <c r="AN323" s="346"/>
      <c r="AO323" s="346"/>
      <c r="AP323" s="346"/>
      <c r="AQ323" s="346"/>
      <c r="AR323" s="346"/>
      <c r="AS323" s="346"/>
      <c r="AT323" s="346"/>
      <c r="AU323" s="346"/>
      <c r="AV323" s="346"/>
      <c r="AW323" s="346"/>
      <c r="AX323" s="346"/>
      <c r="AY323" s="346"/>
      <c r="AZ323" s="346"/>
      <c r="BA323" s="346"/>
      <c r="BB323" s="346"/>
      <c r="BC323" s="346"/>
      <c r="BD323" s="346"/>
      <c r="BE323" s="346"/>
      <c r="BF323" s="346"/>
      <c r="BG323" s="346"/>
      <c r="BH323">
        <f t="shared" si="40"/>
        <v>5</v>
      </c>
      <c r="BI323" s="351">
        <f t="shared" si="42"/>
        <v>1.2531328320802004E-2</v>
      </c>
    </row>
    <row r="324" spans="1:61" ht="14.25" customHeight="1">
      <c r="A324" s="165">
        <f>'Conveyor Downtime (new)'!A321</f>
        <v>46198</v>
      </c>
      <c r="I324">
        <f>2+3+5</f>
        <v>10</v>
      </c>
      <c r="BG324">
        <f>25+12</f>
        <v>37</v>
      </c>
      <c r="BH324">
        <f t="shared" si="40"/>
        <v>47</v>
      </c>
      <c r="BI324" s="351">
        <f t="shared" si="42"/>
        <v>0.11779448621553884</v>
      </c>
    </row>
    <row r="325" spans="1:61" ht="14.25" customHeight="1">
      <c r="A325" s="165">
        <f>'Conveyor Downtime (new)'!A322</f>
        <v>46199</v>
      </c>
      <c r="B325" s="346"/>
      <c r="C325" s="346"/>
      <c r="D325" s="346"/>
      <c r="E325" s="346"/>
      <c r="F325" s="346"/>
      <c r="G325" s="346"/>
      <c r="H325" s="346">
        <f>3</f>
        <v>3</v>
      </c>
      <c r="I325" s="346">
        <f>3+3+3</f>
        <v>9</v>
      </c>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346"/>
      <c r="AK325" s="346"/>
      <c r="AL325" s="346"/>
      <c r="AM325" s="346"/>
      <c r="AN325" s="346"/>
      <c r="AO325" s="346"/>
      <c r="AP325" s="346"/>
      <c r="AQ325" s="346"/>
      <c r="AR325" s="346"/>
      <c r="AS325" s="346"/>
      <c r="AT325" s="346"/>
      <c r="AU325" s="346"/>
      <c r="AV325" s="346"/>
      <c r="AW325" s="346"/>
      <c r="AX325" s="346"/>
      <c r="AY325" s="346"/>
      <c r="AZ325" s="346"/>
      <c r="BA325" s="346"/>
      <c r="BB325" s="346"/>
      <c r="BC325" s="346"/>
      <c r="BD325" s="346"/>
      <c r="BE325" s="346"/>
      <c r="BF325" s="346"/>
      <c r="BG325" s="346"/>
      <c r="BH325">
        <f t="shared" si="40"/>
        <v>12</v>
      </c>
      <c r="BI325" s="351">
        <f t="shared" si="42"/>
        <v>3.007518796992481E-2</v>
      </c>
    </row>
    <row r="326" spans="1:61" ht="14.25" customHeight="1">
      <c r="A326" s="165">
        <f>'Conveyor Downtime (new)'!A323</f>
        <v>46199</v>
      </c>
      <c r="B326" s="346"/>
      <c r="C326" s="346"/>
      <c r="D326" s="346"/>
      <c r="E326" s="346"/>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346"/>
      <c r="AK326" s="346"/>
      <c r="AL326" s="346"/>
      <c r="AM326" s="346"/>
      <c r="AN326" s="346"/>
      <c r="AO326" s="346"/>
      <c r="AP326" s="346"/>
      <c r="AQ326" s="346"/>
      <c r="AR326" s="346"/>
      <c r="AS326" s="346"/>
      <c r="AT326" s="346"/>
      <c r="AU326" s="346"/>
      <c r="AV326" s="346"/>
      <c r="AW326" s="346"/>
      <c r="AX326" s="346"/>
      <c r="AY326" s="346"/>
      <c r="AZ326" s="346"/>
      <c r="BA326" s="346"/>
      <c r="BB326" s="346"/>
      <c r="BC326" s="346"/>
      <c r="BD326" s="346"/>
      <c r="BE326" s="346"/>
      <c r="BF326" s="346"/>
      <c r="BG326" s="346"/>
      <c r="BH326">
        <f t="shared" ref="BH326" si="43">SUM(B326:BG326)</f>
        <v>0</v>
      </c>
      <c r="BI326" s="351">
        <f t="shared" si="42"/>
        <v>0</v>
      </c>
    </row>
    <row r="327" spans="1:61" ht="14.25" customHeight="1">
      <c r="A327" s="165">
        <f>'Conveyor Downtime (new)'!A324</f>
        <v>46200</v>
      </c>
      <c r="B327" s="346"/>
      <c r="C327" s="346"/>
      <c r="D327" s="346"/>
      <c r="E327" s="346"/>
      <c r="F327" s="346"/>
      <c r="G327" s="346"/>
      <c r="H327" s="346"/>
      <c r="I327" s="346">
        <f>6+10+5+3+3+3+4+4+11</f>
        <v>49</v>
      </c>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s="346"/>
      <c r="AJ327" s="346"/>
      <c r="AK327" s="346"/>
      <c r="AL327" s="346"/>
      <c r="AM327" s="346"/>
      <c r="AN327" s="346"/>
      <c r="AO327" s="346"/>
      <c r="AP327" s="346"/>
      <c r="BH327">
        <f t="shared" si="40"/>
        <v>49</v>
      </c>
      <c r="BI327" s="351">
        <f t="shared" si="42"/>
        <v>0.12280701754385964</v>
      </c>
    </row>
    <row r="328" spans="1:61" ht="14.25" customHeight="1">
      <c r="A328" s="165">
        <f>'Conveyor Downtime (new)'!A325</f>
        <v>46200</v>
      </c>
      <c r="AQ328" s="346"/>
      <c r="AR328" s="346"/>
      <c r="AS328" s="346"/>
      <c r="AT328" s="346"/>
      <c r="AU328" s="346"/>
      <c r="AV328" s="346"/>
      <c r="AW328" s="346"/>
      <c r="AX328" s="346"/>
      <c r="AY328" s="346"/>
      <c r="AZ328" s="346"/>
      <c r="BA328" s="346"/>
      <c r="BB328" s="346"/>
      <c r="BC328" s="346"/>
      <c r="BD328" s="346"/>
      <c r="BE328" s="346"/>
      <c r="BF328" s="346"/>
      <c r="BG328" s="346"/>
      <c r="BH328">
        <f t="shared" si="40"/>
        <v>0</v>
      </c>
      <c r="BI328" s="351">
        <f t="shared" si="42"/>
        <v>0</v>
      </c>
    </row>
    <row r="329" spans="1:61" ht="14.25" customHeight="1">
      <c r="A329" s="165">
        <f>'Conveyor Downtime (new)'!A326</f>
        <v>46202</v>
      </c>
      <c r="H329">
        <f>6</f>
        <v>6</v>
      </c>
      <c r="BH329">
        <f t="shared" si="40"/>
        <v>6</v>
      </c>
      <c r="BI329" s="351">
        <f t="shared" si="42"/>
        <v>1.5037593984962405E-2</v>
      </c>
    </row>
    <row r="330" spans="1:61" ht="14.25" customHeight="1">
      <c r="A330" s="165">
        <f>'Conveyor Downtime (new)'!A327</f>
        <v>46202</v>
      </c>
      <c r="B330" s="346"/>
      <c r="C330" s="346"/>
      <c r="D330" s="346"/>
      <c r="E330" s="346"/>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346"/>
      <c r="AK330" s="346"/>
      <c r="AL330" s="346"/>
      <c r="AM330" s="346"/>
      <c r="AN330" s="346"/>
      <c r="AO330" s="346"/>
      <c r="AP330" s="346"/>
      <c r="AQ330" s="346"/>
      <c r="AR330" s="346"/>
      <c r="AS330" s="346"/>
      <c r="AT330" s="346"/>
      <c r="AU330" s="346"/>
      <c r="AV330" s="346"/>
      <c r="AW330" s="346"/>
      <c r="AX330" s="346"/>
      <c r="AY330" s="346"/>
      <c r="AZ330" s="346"/>
      <c r="BA330" s="346"/>
      <c r="BB330" s="346"/>
      <c r="BC330" s="346"/>
      <c r="BD330" s="346"/>
      <c r="BE330" s="346"/>
      <c r="BF330" s="346"/>
      <c r="BG330" s="346"/>
      <c r="BH330">
        <f t="shared" si="40"/>
        <v>0</v>
      </c>
      <c r="BI330" s="351">
        <f t="shared" si="42"/>
        <v>0</v>
      </c>
    </row>
    <row r="331" spans="1:61" ht="14.25" customHeight="1">
      <c r="A331" s="165">
        <f>'Conveyor Downtime (new)'!A328</f>
        <v>46202</v>
      </c>
      <c r="B331" s="346"/>
      <c r="C331" s="346"/>
      <c r="D331" s="346"/>
      <c r="E331" s="346"/>
      <c r="F331" s="346"/>
      <c r="G331" s="346"/>
      <c r="H331" s="346"/>
      <c r="I331" s="346">
        <f>5</f>
        <v>5</v>
      </c>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346"/>
      <c r="AL331" s="346"/>
      <c r="AM331" s="346"/>
      <c r="AN331" s="346"/>
      <c r="AO331" s="346"/>
      <c r="AP331" s="346"/>
      <c r="BH331">
        <f t="shared" si="40"/>
        <v>5</v>
      </c>
      <c r="BI331" s="351">
        <f t="shared" si="42"/>
        <v>1.2531328320802004E-2</v>
      </c>
    </row>
    <row r="332" spans="1:61" ht="14.25" customHeight="1">
      <c r="A332" s="165">
        <f>'Conveyor Downtime (new)'!A329</f>
        <v>46203</v>
      </c>
      <c r="I332">
        <f>4+3+2</f>
        <v>9</v>
      </c>
      <c r="AQ332" s="346"/>
      <c r="AR332" s="346"/>
      <c r="AS332" s="346"/>
      <c r="AT332" s="346"/>
      <c r="AU332" s="346"/>
      <c r="AV332" s="346"/>
      <c r="AW332" s="346"/>
      <c r="AX332" s="346"/>
      <c r="AY332" s="346"/>
      <c r="AZ332" s="346"/>
      <c r="BA332" s="346"/>
      <c r="BB332" s="346"/>
      <c r="BC332" s="346"/>
      <c r="BD332" s="346"/>
      <c r="BE332" s="346"/>
      <c r="BF332" s="346"/>
      <c r="BG332" s="346"/>
      <c r="BH332">
        <f t="shared" si="40"/>
        <v>9</v>
      </c>
      <c r="BI332" s="351">
        <f t="shared" si="42"/>
        <v>2.2556390977443608E-2</v>
      </c>
    </row>
    <row r="333" spans="1:61" ht="14.25" customHeight="1">
      <c r="A333" s="165">
        <f>'Conveyor Downtime (new)'!A330</f>
        <v>46203</v>
      </c>
      <c r="B333" s="346">
        <f>4</f>
        <v>4</v>
      </c>
      <c r="C333" s="346"/>
      <c r="D333" s="346"/>
      <c r="E333" s="346"/>
      <c r="F333" s="346"/>
      <c r="G333" s="346"/>
      <c r="H333" s="346">
        <f>6</f>
        <v>6</v>
      </c>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s="346"/>
      <c r="AJ333" s="346"/>
      <c r="AK333" s="346"/>
      <c r="AL333" s="346"/>
      <c r="AM333" s="346"/>
      <c r="AN333" s="346"/>
      <c r="AO333" s="346"/>
      <c r="AP333" s="346"/>
      <c r="BH333">
        <f t="shared" si="40"/>
        <v>10</v>
      </c>
      <c r="BI333" s="351">
        <f t="shared" si="42"/>
        <v>2.5062656641604009E-2</v>
      </c>
    </row>
    <row r="334" spans="1:61" ht="14.25" customHeight="1">
      <c r="A334" s="165">
        <f>'Conveyor Downtime (new)'!A331</f>
        <v>0</v>
      </c>
      <c r="B334" s="346"/>
      <c r="C334" s="346"/>
      <c r="D334" s="346"/>
      <c r="E334" s="346"/>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346"/>
      <c r="AL334" s="346"/>
      <c r="AM334" s="346"/>
      <c r="AN334" s="346"/>
      <c r="AO334" s="346"/>
      <c r="AP334" s="346"/>
      <c r="AQ334" s="346"/>
      <c r="AR334" s="346"/>
      <c r="AS334" s="346"/>
      <c r="AT334" s="346"/>
      <c r="AU334" s="346"/>
      <c r="AV334" s="346"/>
      <c r="AW334" s="346"/>
      <c r="AX334" s="346"/>
      <c r="AY334" s="346"/>
      <c r="AZ334" s="346"/>
      <c r="BA334" s="346"/>
      <c r="BB334" s="346"/>
      <c r="BC334" s="346"/>
      <c r="BD334" s="346"/>
      <c r="BE334" s="346"/>
      <c r="BF334" s="346"/>
      <c r="BG334" s="346"/>
      <c r="BH334">
        <f t="shared" si="40"/>
        <v>0</v>
      </c>
      <c r="BI334" s="351">
        <f t="shared" si="42"/>
        <v>0</v>
      </c>
    </row>
    <row r="335" spans="1:61" ht="14.25" customHeight="1">
      <c r="A335" s="165">
        <f>'Conveyor Downtime (new)'!A332</f>
        <v>0</v>
      </c>
      <c r="B335" s="346"/>
      <c r="C335" s="346"/>
      <c r="D335" s="346"/>
      <c r="E335" s="346"/>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346"/>
      <c r="AL335" s="346"/>
      <c r="AM335" s="346"/>
      <c r="AN335" s="346"/>
      <c r="AO335" s="346"/>
      <c r="AP335" s="346"/>
      <c r="BH335">
        <f t="shared" si="40"/>
        <v>0</v>
      </c>
      <c r="BI335" s="351">
        <f t="shared" si="42"/>
        <v>0</v>
      </c>
    </row>
    <row r="336" spans="1:61" ht="14.25" customHeight="1">
      <c r="A336" s="165">
        <f>'Conveyor Downtime (new)'!A333</f>
        <v>0</v>
      </c>
      <c r="AQ336" s="346"/>
      <c r="AR336" s="346"/>
      <c r="AS336" s="346"/>
      <c r="AT336" s="346"/>
      <c r="AU336" s="346"/>
      <c r="AV336" s="346"/>
      <c r="AW336" s="346"/>
      <c r="AX336" s="346"/>
      <c r="AY336" s="346"/>
      <c r="AZ336" s="346"/>
      <c r="BA336" s="346"/>
      <c r="BB336" s="346"/>
      <c r="BC336" s="346"/>
      <c r="BD336" s="346"/>
      <c r="BE336" s="346"/>
      <c r="BF336" s="346"/>
      <c r="BG336" s="346"/>
      <c r="BH336">
        <f t="shared" si="40"/>
        <v>0</v>
      </c>
      <c r="BI336" s="351">
        <f t="shared" si="42"/>
        <v>0</v>
      </c>
    </row>
    <row r="337" spans="1:61" ht="14.25" customHeight="1">
      <c r="A337" s="165">
        <f>'Conveyor Downtime (new)'!A334</f>
        <v>0</v>
      </c>
      <c r="B337" s="353"/>
      <c r="C337" s="353"/>
      <c r="D337" s="353"/>
      <c r="E337" s="353"/>
      <c r="F337" s="353"/>
      <c r="G337" s="353"/>
      <c r="H337" s="353"/>
      <c r="I337" s="353"/>
      <c r="J337" s="353"/>
      <c r="K337" s="353"/>
      <c r="L337" s="353"/>
      <c r="M337" s="353"/>
      <c r="N337" s="353"/>
      <c r="O337" s="353"/>
      <c r="P337" s="353"/>
      <c r="Q337" s="353"/>
      <c r="R337" s="353"/>
      <c r="S337" s="353"/>
      <c r="T337" s="353"/>
      <c r="U337" s="353"/>
      <c r="V337" s="353"/>
      <c r="W337" s="353"/>
      <c r="X337" s="353"/>
      <c r="Y337" s="353"/>
      <c r="Z337" s="353"/>
      <c r="AA337" s="353"/>
      <c r="AB337" s="353"/>
      <c r="AC337" s="353"/>
      <c r="AD337" s="353"/>
      <c r="AE337" s="353"/>
      <c r="AF337" s="353"/>
      <c r="AG337" s="353"/>
      <c r="AH337" s="353"/>
      <c r="AI337" s="353"/>
      <c r="AJ337" s="353"/>
      <c r="AK337" s="353"/>
      <c r="AL337" s="353"/>
      <c r="AM337" s="353"/>
      <c r="AN337" s="353"/>
      <c r="AO337" s="353"/>
      <c r="AP337" s="353"/>
      <c r="BH337">
        <f t="shared" si="40"/>
        <v>0</v>
      </c>
      <c r="BI337" s="351">
        <f t="shared" si="42"/>
        <v>0</v>
      </c>
    </row>
    <row r="338" spans="1:61" ht="14.25" customHeight="1">
      <c r="A338" s="165">
        <f>'Conveyor Downtime (new)'!A335</f>
        <v>0</v>
      </c>
      <c r="AQ338" s="346"/>
      <c r="AR338" s="346"/>
      <c r="AS338" s="346"/>
      <c r="AT338" s="346"/>
      <c r="AU338" s="346"/>
      <c r="AV338" s="346"/>
      <c r="AW338" s="346"/>
      <c r="AX338" s="346"/>
      <c r="AY338" s="346"/>
      <c r="AZ338" s="346"/>
      <c r="BA338" s="346"/>
      <c r="BB338" s="346"/>
      <c r="BC338" s="346"/>
      <c r="BD338" s="346"/>
      <c r="BE338" s="346"/>
      <c r="BF338" s="346"/>
      <c r="BG338" s="346"/>
      <c r="BH338">
        <f t="shared" si="40"/>
        <v>0</v>
      </c>
      <c r="BI338" s="351">
        <f t="shared" si="42"/>
        <v>0</v>
      </c>
    </row>
    <row r="339" spans="1:61" ht="14.25" hidden="1" customHeight="1">
      <c r="A339" s="165">
        <f>'Conveyor Downtime (new)'!A336</f>
        <v>0</v>
      </c>
      <c r="BH339">
        <f t="shared" si="40"/>
        <v>0</v>
      </c>
      <c r="BI339" s="351">
        <f t="shared" si="42"/>
        <v>0</v>
      </c>
    </row>
    <row r="340" spans="1:61" ht="14.25" hidden="1" customHeight="1">
      <c r="A340" s="165">
        <f>'Conveyor Downtime (new)'!A337</f>
        <v>0</v>
      </c>
      <c r="B340" s="346"/>
      <c r="C340" s="346"/>
      <c r="D340" s="346"/>
      <c r="E340" s="346"/>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s="346"/>
      <c r="AE340" s="346"/>
      <c r="AF340" s="346"/>
      <c r="AG340" s="346"/>
      <c r="AH340" s="346"/>
      <c r="AI340" s="346"/>
      <c r="AJ340" s="346"/>
      <c r="AK340" s="346"/>
      <c r="AL340" s="346"/>
      <c r="AM340" s="346"/>
      <c r="AN340" s="346"/>
      <c r="AO340" s="346"/>
      <c r="AP340" s="346"/>
      <c r="AQ340" s="346"/>
      <c r="AR340" s="346"/>
      <c r="AS340" s="346"/>
      <c r="AT340" s="346"/>
      <c r="AU340" s="346"/>
      <c r="AV340" s="346"/>
      <c r="AW340" s="346"/>
      <c r="AX340" s="346"/>
      <c r="AY340" s="346"/>
      <c r="AZ340" s="346"/>
      <c r="BA340" s="346"/>
      <c r="BB340" s="346"/>
      <c r="BC340" s="346"/>
      <c r="BD340" s="346"/>
      <c r="BE340" s="346"/>
      <c r="BF340" s="346"/>
      <c r="BG340" s="346"/>
      <c r="BH340">
        <f t="shared" si="40"/>
        <v>0</v>
      </c>
      <c r="BI340" s="351">
        <f t="shared" si="42"/>
        <v>0</v>
      </c>
    </row>
    <row r="341" spans="1:61" ht="14.25" hidden="1" customHeight="1">
      <c r="A341" s="165">
        <f>'Conveyor Downtime (new)'!A338</f>
        <v>0</v>
      </c>
      <c r="BH341">
        <f t="shared" si="40"/>
        <v>0</v>
      </c>
      <c r="BI341" s="351">
        <f t="shared" si="42"/>
        <v>0</v>
      </c>
    </row>
    <row r="342" spans="1:61" ht="14.25" hidden="1" customHeight="1">
      <c r="A342" s="165">
        <f>'Conveyor Downtime (new)'!A339</f>
        <v>0</v>
      </c>
      <c r="AQ342" s="346"/>
      <c r="AR342" s="346"/>
      <c r="AS342" s="346"/>
      <c r="AT342" s="346"/>
      <c r="AU342" s="346"/>
      <c r="AV342" s="346"/>
      <c r="AW342" s="346"/>
      <c r="AX342" s="346"/>
      <c r="AY342" s="346"/>
      <c r="AZ342" s="346"/>
      <c r="BA342" s="346"/>
      <c r="BB342" s="346"/>
      <c r="BC342" s="346"/>
      <c r="BD342" s="346"/>
      <c r="BE342" s="346"/>
      <c r="BF342" s="346"/>
      <c r="BG342" s="346"/>
      <c r="BH342">
        <f t="shared" si="40"/>
        <v>0</v>
      </c>
      <c r="BI342" s="351">
        <f t="shared" si="42"/>
        <v>0</v>
      </c>
    </row>
    <row r="343" spans="1:61" ht="14.25" hidden="1" customHeight="1">
      <c r="A343" s="165">
        <f>'Conveyor Downtime (new)'!A340</f>
        <v>0</v>
      </c>
      <c r="BH343">
        <f t="shared" si="40"/>
        <v>0</v>
      </c>
      <c r="BI343" s="351">
        <f t="shared" si="42"/>
        <v>0</v>
      </c>
    </row>
    <row r="344" spans="1:61" ht="14.25" hidden="1" customHeight="1">
      <c r="A344" s="165">
        <f>'Conveyor Downtime (new)'!A341</f>
        <v>0</v>
      </c>
      <c r="B344" s="346"/>
      <c r="C344" s="346"/>
      <c r="D344" s="346"/>
      <c r="E344" s="346"/>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s="346"/>
      <c r="AE344" s="346"/>
      <c r="AF344" s="346"/>
      <c r="AG344" s="346"/>
      <c r="AH344" s="346"/>
      <c r="AI344" s="346"/>
      <c r="AJ344" s="346"/>
      <c r="AK344" s="346"/>
      <c r="AL344" s="346"/>
      <c r="AM344" s="346"/>
      <c r="AN344" s="346"/>
      <c r="AO344" s="346"/>
      <c r="AP344" s="346"/>
      <c r="AQ344" s="346"/>
      <c r="AR344" s="346"/>
      <c r="AS344" s="346"/>
      <c r="AT344" s="346"/>
      <c r="AU344" s="346"/>
      <c r="AV344" s="346"/>
      <c r="AW344" s="346"/>
      <c r="AX344" s="346"/>
      <c r="AY344" s="346"/>
      <c r="AZ344" s="346"/>
      <c r="BA344" s="346"/>
      <c r="BB344" s="346"/>
      <c r="BC344" s="346"/>
      <c r="BD344" s="346"/>
      <c r="BE344" s="346"/>
      <c r="BF344" s="346"/>
      <c r="BG344" s="346"/>
      <c r="BH344">
        <f t="shared" si="40"/>
        <v>0</v>
      </c>
      <c r="BI344" s="351">
        <f t="shared" ref="BI344:BI371" si="44">BH344/$BH$372</f>
        <v>0</v>
      </c>
    </row>
    <row r="345" spans="1:61" ht="14.25" hidden="1" customHeight="1">
      <c r="A345" s="165">
        <f>'Conveyor Downtime (new)'!A342</f>
        <v>0</v>
      </c>
      <c r="BH345">
        <f t="shared" si="40"/>
        <v>0</v>
      </c>
      <c r="BI345" s="351">
        <f t="shared" si="44"/>
        <v>0</v>
      </c>
    </row>
    <row r="346" spans="1:61" ht="14.25" hidden="1" customHeight="1">
      <c r="A346" s="165">
        <f>'Conveyor Downtime (new)'!A343</f>
        <v>0</v>
      </c>
      <c r="B346" s="346"/>
      <c r="C346" s="346"/>
      <c r="D346" s="346"/>
      <c r="E346" s="346"/>
      <c r="F346" s="137"/>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s="346"/>
      <c r="AE346" s="346"/>
      <c r="AF346" s="346"/>
      <c r="AG346" s="346"/>
      <c r="AH346" s="346"/>
      <c r="AI346" s="346"/>
      <c r="AJ346" s="346"/>
      <c r="AK346" s="346"/>
      <c r="AL346" s="346"/>
      <c r="AM346" s="346"/>
      <c r="AN346" s="346"/>
      <c r="AO346" s="346"/>
      <c r="AP346" s="346"/>
      <c r="AQ346" s="346"/>
      <c r="AR346" s="346"/>
      <c r="AS346" s="346"/>
      <c r="AT346" s="346"/>
      <c r="AU346" s="346"/>
      <c r="AV346" s="346"/>
      <c r="AW346" s="346"/>
      <c r="AX346" s="346"/>
      <c r="AY346" s="346"/>
      <c r="AZ346" s="346"/>
      <c r="BA346" s="346"/>
      <c r="BB346" s="346"/>
      <c r="BC346" s="346"/>
      <c r="BD346" s="346"/>
      <c r="BE346" s="346"/>
      <c r="BF346" s="346"/>
      <c r="BG346" s="346"/>
      <c r="BH346">
        <f t="shared" si="40"/>
        <v>0</v>
      </c>
      <c r="BI346" s="351">
        <f t="shared" si="44"/>
        <v>0</v>
      </c>
    </row>
    <row r="347" spans="1:61" ht="14.25" hidden="1" customHeight="1">
      <c r="A347" s="165">
        <f>'Conveyor Downtime (new)'!A344</f>
        <v>0</v>
      </c>
      <c r="BH347">
        <f t="shared" si="40"/>
        <v>0</v>
      </c>
      <c r="BI347" s="351">
        <f t="shared" si="44"/>
        <v>0</v>
      </c>
    </row>
    <row r="348" spans="1:61" ht="14.25" hidden="1" customHeight="1">
      <c r="A348" s="165">
        <f>'Conveyor Downtime (new)'!A345</f>
        <v>0</v>
      </c>
      <c r="B348" s="346"/>
      <c r="C348" s="346"/>
      <c r="D348" s="346"/>
      <c r="E348" s="346"/>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s="346"/>
      <c r="AE348" s="346"/>
      <c r="AF348" s="346"/>
      <c r="AG348" s="346"/>
      <c r="AH348" s="346"/>
      <c r="AI348" s="346"/>
      <c r="AJ348" s="346"/>
      <c r="AK348" s="346"/>
      <c r="AL348" s="346"/>
      <c r="AM348" s="346"/>
      <c r="AN348" s="346"/>
      <c r="AO348" s="346"/>
      <c r="AP348" s="346"/>
      <c r="AQ348" s="346"/>
      <c r="AR348" s="346"/>
      <c r="AS348" s="346"/>
      <c r="AT348" s="346"/>
      <c r="AU348" s="346"/>
      <c r="AV348" s="346"/>
      <c r="AW348" s="346"/>
      <c r="AX348" s="346"/>
      <c r="AY348" s="346"/>
      <c r="AZ348" s="346"/>
      <c r="BA348" s="346"/>
      <c r="BB348" s="346"/>
      <c r="BC348" s="346"/>
      <c r="BD348" s="346"/>
      <c r="BE348" s="346"/>
      <c r="BF348" s="346"/>
      <c r="BG348" s="346"/>
      <c r="BH348">
        <f t="shared" ref="BH348:BH371" si="45">SUM(B348:BG348)</f>
        <v>0</v>
      </c>
      <c r="BI348" s="351">
        <f t="shared" si="44"/>
        <v>0</v>
      </c>
    </row>
    <row r="349" spans="1:61" ht="14.25" hidden="1" customHeight="1">
      <c r="A349" s="165">
        <f>'Conveyor Downtime (new)'!A346</f>
        <v>0</v>
      </c>
      <c r="BH349">
        <f t="shared" si="45"/>
        <v>0</v>
      </c>
      <c r="BI349" s="351">
        <f t="shared" si="44"/>
        <v>0</v>
      </c>
    </row>
    <row r="350" spans="1:61" ht="14.25" hidden="1" customHeight="1">
      <c r="A350" s="165">
        <f>'Conveyor Downtime (new)'!A347</f>
        <v>0</v>
      </c>
      <c r="B350" s="346"/>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s="346"/>
      <c r="AE350" s="346"/>
      <c r="AF350" s="346"/>
      <c r="AG350" s="346"/>
      <c r="AH350" s="346"/>
      <c r="AI350" s="346"/>
      <c r="AJ350" s="346"/>
      <c r="AK350" s="346"/>
      <c r="AL350" s="346"/>
      <c r="AM350" s="346"/>
      <c r="AN350" s="346"/>
      <c r="AO350" s="346"/>
      <c r="AP350" s="346"/>
      <c r="AQ350" s="346"/>
      <c r="AR350" s="346"/>
      <c r="AS350" s="346"/>
      <c r="AT350" s="346"/>
      <c r="AU350" s="346"/>
      <c r="AV350" s="346"/>
      <c r="AW350" s="346"/>
      <c r="AX350" s="346"/>
      <c r="AY350" s="346"/>
      <c r="AZ350" s="346"/>
      <c r="BA350" s="346"/>
      <c r="BB350" s="346"/>
      <c r="BC350" s="346"/>
      <c r="BD350" s="346"/>
      <c r="BE350" s="346"/>
      <c r="BF350" s="346"/>
      <c r="BG350" s="346"/>
      <c r="BH350">
        <f t="shared" si="45"/>
        <v>0</v>
      </c>
      <c r="BI350" s="351">
        <f t="shared" si="44"/>
        <v>0</v>
      </c>
    </row>
    <row r="351" spans="1:61" ht="14.25" hidden="1" customHeight="1">
      <c r="A351" s="165">
        <f>'Conveyor Downtime (new)'!A348</f>
        <v>0</v>
      </c>
      <c r="B351" s="165"/>
      <c r="C351" s="165"/>
      <c r="D351" s="165"/>
      <c r="E351" s="165"/>
      <c r="F351" s="165"/>
      <c r="G351" s="165"/>
      <c r="J351" s="165"/>
      <c r="K351" s="165"/>
      <c r="L351" s="165"/>
      <c r="M351" s="165"/>
      <c r="BH351">
        <f t="shared" si="45"/>
        <v>0</v>
      </c>
      <c r="BI351" s="351">
        <f t="shared" si="44"/>
        <v>0</v>
      </c>
    </row>
    <row r="352" spans="1:61" ht="14.25" hidden="1" customHeight="1">
      <c r="A352" s="165">
        <f>'Conveyor Downtime (new)'!A349</f>
        <v>0</v>
      </c>
      <c r="B352" s="346"/>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s="346"/>
      <c r="AE352" s="346"/>
      <c r="AF352" s="346"/>
      <c r="AG352" s="346"/>
      <c r="AH352" s="346"/>
      <c r="AI352" s="346"/>
      <c r="AJ352" s="346"/>
      <c r="AK352" s="346"/>
      <c r="AL352" s="346"/>
      <c r="AM352" s="346"/>
      <c r="AN352" s="346"/>
      <c r="AO352" s="346"/>
      <c r="AP352" s="346"/>
      <c r="AQ352" s="346"/>
      <c r="AR352" s="346"/>
      <c r="AS352" s="346"/>
      <c r="AT352" s="346"/>
      <c r="AU352" s="346"/>
      <c r="AV352" s="346"/>
      <c r="AW352" s="346"/>
      <c r="AX352" s="346"/>
      <c r="AY352" s="346"/>
      <c r="AZ352" s="346"/>
      <c r="BA352" s="346"/>
      <c r="BB352" s="346"/>
      <c r="BC352" s="346"/>
      <c r="BD352" s="346"/>
      <c r="BE352" s="346"/>
      <c r="BF352" s="346"/>
      <c r="BG352" s="346"/>
      <c r="BH352">
        <f t="shared" si="45"/>
        <v>0</v>
      </c>
      <c r="BI352" s="351">
        <f t="shared" si="44"/>
        <v>0</v>
      </c>
    </row>
    <row r="353" spans="1:61" ht="14.25" hidden="1" customHeight="1">
      <c r="A353" s="165">
        <f>'Conveyor Downtime (new)'!A350</f>
        <v>0</v>
      </c>
      <c r="BH353">
        <f t="shared" si="45"/>
        <v>0</v>
      </c>
      <c r="BI353" s="351">
        <f t="shared" si="44"/>
        <v>0</v>
      </c>
    </row>
    <row r="354" spans="1:61" ht="14.25" hidden="1" customHeight="1">
      <c r="A354" s="165">
        <f>'Conveyor Downtime (new)'!A351</f>
        <v>0</v>
      </c>
      <c r="B354" s="346"/>
      <c r="C354" s="346"/>
      <c r="D354" s="346"/>
      <c r="E354" s="346"/>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s="346"/>
      <c r="AE354" s="346"/>
      <c r="AF354" s="346"/>
      <c r="AG354" s="346"/>
      <c r="AH354" s="346"/>
      <c r="AI354" s="346"/>
      <c r="AJ354" s="346"/>
      <c r="AK354" s="346"/>
      <c r="AL354" s="346"/>
      <c r="AM354" s="346"/>
      <c r="AN354" s="346"/>
      <c r="AO354" s="346"/>
      <c r="AP354" s="346"/>
      <c r="AQ354" s="346"/>
      <c r="AR354" s="346"/>
      <c r="AS354" s="346"/>
      <c r="AT354" s="346"/>
      <c r="AU354" s="346"/>
      <c r="AV354" s="346"/>
      <c r="AW354" s="346"/>
      <c r="AX354" s="346"/>
      <c r="AY354" s="346"/>
      <c r="AZ354" s="346"/>
      <c r="BA354" s="346"/>
      <c r="BB354" s="346"/>
      <c r="BC354" s="346"/>
      <c r="BD354" s="346"/>
      <c r="BE354" s="346"/>
      <c r="BF354" s="346"/>
      <c r="BG354" s="346"/>
      <c r="BH354">
        <f t="shared" si="45"/>
        <v>0</v>
      </c>
      <c r="BI354" s="351">
        <f t="shared" si="44"/>
        <v>0</v>
      </c>
    </row>
    <row r="355" spans="1:61" ht="14.25" hidden="1" customHeight="1">
      <c r="A355" s="165">
        <f>'Conveyor Downtime (new)'!A352</f>
        <v>0</v>
      </c>
      <c r="BH355">
        <f t="shared" si="45"/>
        <v>0</v>
      </c>
      <c r="BI355" s="351">
        <f t="shared" si="44"/>
        <v>0</v>
      </c>
    </row>
    <row r="356" spans="1:61" ht="14.25" hidden="1" customHeight="1">
      <c r="A356" s="165"/>
      <c r="B356" s="346"/>
      <c r="C356" s="346"/>
      <c r="D356" s="346"/>
      <c r="E356" s="346"/>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s="346"/>
      <c r="AE356" s="346"/>
      <c r="AF356" s="346"/>
      <c r="AG356" s="346"/>
      <c r="AH356" s="346"/>
      <c r="AI356" s="346"/>
      <c r="AJ356" s="346"/>
      <c r="AK356" s="346"/>
      <c r="AL356" s="346"/>
      <c r="AM356" s="346"/>
      <c r="AN356" s="346"/>
      <c r="AO356" s="346"/>
      <c r="AP356" s="346"/>
      <c r="AQ356" s="346"/>
      <c r="AR356" s="346"/>
      <c r="AS356" s="346"/>
      <c r="AT356" s="346"/>
      <c r="AU356" s="346"/>
      <c r="AV356" s="346"/>
      <c r="AW356" s="346"/>
      <c r="AX356" s="346"/>
      <c r="AY356" s="346"/>
      <c r="AZ356" s="346"/>
      <c r="BA356" s="346"/>
      <c r="BB356" s="346"/>
      <c r="BC356" s="346"/>
      <c r="BD356" s="346"/>
      <c r="BE356" s="346"/>
      <c r="BF356" s="346"/>
      <c r="BG356" s="346"/>
      <c r="BH356">
        <f t="shared" si="45"/>
        <v>0</v>
      </c>
      <c r="BI356" s="351">
        <f t="shared" si="44"/>
        <v>0</v>
      </c>
    </row>
    <row r="357" spans="1:61" ht="14.25" hidden="1" customHeight="1">
      <c r="A357" s="165"/>
      <c r="BH357">
        <f t="shared" si="45"/>
        <v>0</v>
      </c>
      <c r="BI357" s="351">
        <f t="shared" si="44"/>
        <v>0</v>
      </c>
    </row>
    <row r="358" spans="1:61" ht="14.25" hidden="1" customHeight="1">
      <c r="A358" s="165"/>
      <c r="B358" s="346"/>
      <c r="C358" s="346"/>
      <c r="D358" s="346"/>
      <c r="E358" s="346"/>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s="346"/>
      <c r="AE358" s="346"/>
      <c r="AF358" s="346"/>
      <c r="AG358" s="346"/>
      <c r="AH358" s="346"/>
      <c r="AI358" s="346"/>
      <c r="AJ358" s="346"/>
      <c r="AK358" s="346"/>
      <c r="AL358" s="346"/>
      <c r="AM358" s="346"/>
      <c r="AN358" s="346"/>
      <c r="AO358" s="346"/>
      <c r="AP358" s="346"/>
      <c r="AQ358" s="346"/>
      <c r="AR358" s="346"/>
      <c r="AS358" s="346"/>
      <c r="AT358" s="346"/>
      <c r="AU358" s="346"/>
      <c r="AV358" s="346"/>
      <c r="AW358" s="346"/>
      <c r="AX358" s="346"/>
      <c r="AY358" s="346"/>
      <c r="AZ358" s="346"/>
      <c r="BA358" s="346"/>
      <c r="BB358" s="346"/>
      <c r="BC358" s="346"/>
      <c r="BD358" s="346"/>
      <c r="BE358" s="346"/>
      <c r="BF358" s="346"/>
      <c r="BG358" s="346"/>
      <c r="BH358">
        <f t="shared" si="45"/>
        <v>0</v>
      </c>
      <c r="BI358" s="351">
        <f t="shared" si="44"/>
        <v>0</v>
      </c>
    </row>
    <row r="359" spans="1:61" ht="14.25" hidden="1" customHeight="1">
      <c r="A359" s="165"/>
      <c r="BH359">
        <f t="shared" si="45"/>
        <v>0</v>
      </c>
      <c r="BI359" s="351">
        <f t="shared" si="44"/>
        <v>0</v>
      </c>
    </row>
    <row r="360" spans="1:61" ht="14.25" hidden="1" customHeight="1">
      <c r="A360" s="165"/>
      <c r="B360" s="346"/>
      <c r="C360" s="346"/>
      <c r="D360" s="346"/>
      <c r="E360" s="346"/>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s="346"/>
      <c r="AE360" s="346"/>
      <c r="AF360" s="346"/>
      <c r="AG360" s="346"/>
      <c r="AH360" s="346"/>
      <c r="AI360" s="346"/>
      <c r="AJ360" s="346"/>
      <c r="AK360" s="346"/>
      <c r="AL360" s="346"/>
      <c r="AM360" s="346"/>
      <c r="AN360" s="346"/>
      <c r="AO360" s="346"/>
      <c r="AP360" s="346"/>
      <c r="AQ360" s="346"/>
      <c r="AR360" s="346"/>
      <c r="AS360" s="346"/>
      <c r="AT360" s="346"/>
      <c r="AU360" s="346"/>
      <c r="AV360" s="346"/>
      <c r="AW360" s="346"/>
      <c r="AX360" s="346"/>
      <c r="AY360" s="346"/>
      <c r="AZ360" s="346"/>
      <c r="BA360" s="346"/>
      <c r="BB360" s="346"/>
      <c r="BC360" s="346"/>
      <c r="BD360" s="346"/>
      <c r="BE360" s="346"/>
      <c r="BF360" s="346"/>
      <c r="BG360" s="346"/>
      <c r="BH360">
        <f t="shared" si="45"/>
        <v>0</v>
      </c>
      <c r="BI360" s="351">
        <f t="shared" si="44"/>
        <v>0</v>
      </c>
    </row>
    <row r="361" spans="1:61" ht="14.25" hidden="1" customHeight="1">
      <c r="A361" s="165"/>
      <c r="BH361">
        <f t="shared" si="45"/>
        <v>0</v>
      </c>
      <c r="BI361" s="351">
        <f t="shared" si="44"/>
        <v>0</v>
      </c>
    </row>
    <row r="362" spans="1:61" ht="14.25" hidden="1" customHeight="1">
      <c r="A362" s="165"/>
      <c r="B362" s="346"/>
      <c r="C362" s="346"/>
      <c r="D362" s="346"/>
      <c r="E362" s="346"/>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s="346"/>
      <c r="AE362" s="346"/>
      <c r="AF362" s="346"/>
      <c r="AG362" s="346"/>
      <c r="AH362" s="346"/>
      <c r="AI362" s="346"/>
      <c r="AJ362" s="346"/>
      <c r="AK362" s="346"/>
      <c r="AL362" s="346"/>
      <c r="AM362" s="346"/>
      <c r="AN362" s="346"/>
      <c r="AO362" s="346"/>
      <c r="AP362" s="346"/>
      <c r="AQ362" s="346"/>
      <c r="AR362" s="346"/>
      <c r="AS362" s="346"/>
      <c r="AT362" s="346"/>
      <c r="AU362" s="346"/>
      <c r="AV362" s="346"/>
      <c r="AW362" s="346"/>
      <c r="AX362" s="346"/>
      <c r="AY362" s="346"/>
      <c r="AZ362" s="346"/>
      <c r="BA362" s="346"/>
      <c r="BB362" s="346"/>
      <c r="BC362" s="346"/>
      <c r="BD362" s="346"/>
      <c r="BE362" s="346"/>
      <c r="BF362" s="346"/>
      <c r="BG362" s="346"/>
      <c r="BH362">
        <f t="shared" si="45"/>
        <v>0</v>
      </c>
      <c r="BI362" s="351">
        <f t="shared" si="44"/>
        <v>0</v>
      </c>
    </row>
    <row r="363" spans="1:61" ht="14.25" hidden="1" customHeight="1">
      <c r="A363" s="165"/>
      <c r="BH363">
        <f t="shared" si="45"/>
        <v>0</v>
      </c>
      <c r="BI363" s="351">
        <f t="shared" si="44"/>
        <v>0</v>
      </c>
    </row>
    <row r="364" spans="1:61" ht="14.25" hidden="1" customHeight="1">
      <c r="A364" s="165"/>
      <c r="B364" s="346"/>
      <c r="C364" s="346"/>
      <c r="D364" s="346"/>
      <c r="E364" s="346"/>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s="346"/>
      <c r="AE364" s="346"/>
      <c r="AF364" s="346"/>
      <c r="AG364" s="346"/>
      <c r="AH364" s="346"/>
      <c r="AI364" s="346"/>
      <c r="AJ364" s="346"/>
      <c r="AK364" s="346"/>
      <c r="AL364" s="346"/>
      <c r="AM364" s="346"/>
      <c r="AN364" s="346"/>
      <c r="AO364" s="346"/>
      <c r="AP364" s="346"/>
      <c r="AQ364" s="346"/>
      <c r="AR364" s="346"/>
      <c r="AS364" s="346"/>
      <c r="AT364" s="346"/>
      <c r="AU364" s="346"/>
      <c r="AV364" s="346"/>
      <c r="AW364" s="346"/>
      <c r="AX364" s="346"/>
      <c r="AY364" s="346"/>
      <c r="AZ364" s="346"/>
      <c r="BA364" s="346"/>
      <c r="BB364" s="346"/>
      <c r="BC364" s="346"/>
      <c r="BD364" s="346"/>
      <c r="BE364" s="346"/>
      <c r="BF364" s="346"/>
      <c r="BG364" s="346"/>
      <c r="BH364">
        <f t="shared" si="45"/>
        <v>0</v>
      </c>
      <c r="BI364" s="351">
        <f t="shared" si="44"/>
        <v>0</v>
      </c>
    </row>
    <row r="365" spans="1:61" ht="14.25" hidden="1" customHeight="1">
      <c r="A365" s="165"/>
      <c r="BH365">
        <f t="shared" si="45"/>
        <v>0</v>
      </c>
      <c r="BI365" s="351">
        <f t="shared" si="44"/>
        <v>0</v>
      </c>
    </row>
    <row r="366" spans="1:61" ht="14.25" hidden="1" customHeight="1">
      <c r="A366" s="165"/>
      <c r="B366" s="346"/>
      <c r="C366" s="346"/>
      <c r="D366" s="346"/>
      <c r="E366" s="346"/>
      <c r="F366" s="346"/>
      <c r="G366" s="346"/>
      <c r="H366" s="346"/>
      <c r="I366" s="346"/>
      <c r="J366" s="346"/>
      <c r="K366" s="346"/>
      <c r="L366" s="346"/>
      <c r="M366" s="346"/>
      <c r="N366" s="346"/>
      <c r="O366" s="346"/>
      <c r="P366" s="346"/>
      <c r="Q366" s="346"/>
      <c r="R366" s="346"/>
      <c r="S366" s="346"/>
      <c r="T366" s="346"/>
      <c r="U366" s="346"/>
      <c r="V366" s="346"/>
      <c r="W366" s="346"/>
      <c r="X366" s="346"/>
      <c r="Y366" s="346"/>
      <c r="Z366" s="346"/>
      <c r="AA366" s="346"/>
      <c r="AB366" s="346"/>
      <c r="AC366" s="346"/>
      <c r="AD366" s="346"/>
      <c r="AE366" s="346"/>
      <c r="AF366" s="346"/>
      <c r="AG366" s="346"/>
      <c r="AH366" s="346"/>
      <c r="AI366" s="346"/>
      <c r="AJ366" s="346"/>
      <c r="AK366" s="346"/>
      <c r="AL366" s="346"/>
      <c r="AM366" s="346"/>
      <c r="AN366" s="346"/>
      <c r="AO366" s="346"/>
      <c r="AP366" s="346"/>
      <c r="AQ366" s="346"/>
      <c r="AR366" s="346"/>
      <c r="AS366" s="346"/>
      <c r="AT366" s="346"/>
      <c r="AU366" s="346"/>
      <c r="AV366" s="346"/>
      <c r="AW366" s="346"/>
      <c r="AX366" s="346"/>
      <c r="AY366" s="346"/>
      <c r="AZ366" s="346"/>
      <c r="BA366" s="346"/>
      <c r="BB366" s="346"/>
      <c r="BC366" s="346"/>
      <c r="BD366" s="346"/>
      <c r="BE366" s="346"/>
      <c r="BF366" s="346"/>
      <c r="BG366" s="346"/>
      <c r="BH366">
        <f t="shared" si="45"/>
        <v>0</v>
      </c>
      <c r="BI366" s="351">
        <f t="shared" si="44"/>
        <v>0</v>
      </c>
    </row>
    <row r="367" spans="1:61" ht="14.25" hidden="1" customHeight="1">
      <c r="A367" s="165"/>
      <c r="BH367">
        <f t="shared" si="45"/>
        <v>0</v>
      </c>
      <c r="BI367" s="351">
        <f t="shared" si="44"/>
        <v>0</v>
      </c>
    </row>
    <row r="368" spans="1:61" ht="14.25" hidden="1" customHeight="1">
      <c r="A368" s="165"/>
      <c r="B368" s="346"/>
      <c r="C368" s="346"/>
      <c r="D368" s="346"/>
      <c r="E368" s="346"/>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s="346"/>
      <c r="AE368" s="346"/>
      <c r="AF368" s="346"/>
      <c r="AG368" s="346"/>
      <c r="AH368" s="346"/>
      <c r="AI368" s="346"/>
      <c r="AJ368" s="346"/>
      <c r="AK368" s="346"/>
      <c r="AL368" s="346"/>
      <c r="AM368" s="346"/>
      <c r="AN368" s="346"/>
      <c r="AO368" s="346"/>
      <c r="AP368" s="346"/>
      <c r="AQ368" s="346"/>
      <c r="AR368" s="346"/>
      <c r="AS368" s="346"/>
      <c r="AT368" s="346"/>
      <c r="AU368" s="346"/>
      <c r="AV368" s="346"/>
      <c r="AW368" s="346"/>
      <c r="AX368" s="346"/>
      <c r="AY368" s="346"/>
      <c r="AZ368" s="346"/>
      <c r="BA368" s="346"/>
      <c r="BB368" s="346"/>
      <c r="BC368" s="346"/>
      <c r="BD368" s="346"/>
      <c r="BE368" s="346"/>
      <c r="BF368" s="346"/>
      <c r="BG368" s="346"/>
      <c r="BH368">
        <f t="shared" si="45"/>
        <v>0</v>
      </c>
      <c r="BI368" s="351">
        <f t="shared" si="44"/>
        <v>0</v>
      </c>
    </row>
    <row r="369" spans="1:61" ht="14.25" hidden="1" customHeight="1">
      <c r="A369" s="165"/>
      <c r="BH369">
        <f t="shared" si="45"/>
        <v>0</v>
      </c>
      <c r="BI369" s="351">
        <f t="shared" si="44"/>
        <v>0</v>
      </c>
    </row>
    <row r="370" spans="1:61" ht="14.25" hidden="1" customHeight="1">
      <c r="A370" s="165"/>
      <c r="B370" s="346"/>
      <c r="C370" s="346"/>
      <c r="D370" s="346"/>
      <c r="E370" s="346"/>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s="346"/>
      <c r="AE370" s="346"/>
      <c r="AF370" s="346"/>
      <c r="AG370" s="346"/>
      <c r="AH370" s="346"/>
      <c r="AI370" s="346"/>
      <c r="AJ370" s="346"/>
      <c r="AK370" s="346"/>
      <c r="AL370" s="346"/>
      <c r="AM370" s="346"/>
      <c r="AN370" s="346"/>
      <c r="AO370" s="346"/>
      <c r="AP370" s="346"/>
      <c r="AQ370" s="346"/>
      <c r="AR370" s="346"/>
      <c r="AS370" s="346"/>
      <c r="AT370" s="346"/>
      <c r="AU370" s="346"/>
      <c r="AV370" s="346"/>
      <c r="AW370" s="346"/>
      <c r="AX370" s="346"/>
      <c r="AY370" s="346"/>
      <c r="AZ370" s="346"/>
      <c r="BA370" s="346"/>
      <c r="BB370" s="346"/>
      <c r="BC370" s="346"/>
      <c r="BD370" s="346"/>
      <c r="BE370" s="346"/>
      <c r="BF370" s="346"/>
      <c r="BG370" s="346"/>
      <c r="BH370">
        <f t="shared" si="45"/>
        <v>0</v>
      </c>
      <c r="BI370" s="351">
        <f t="shared" si="44"/>
        <v>0</v>
      </c>
    </row>
    <row r="371" spans="1:61" hidden="1">
      <c r="A371" s="165"/>
      <c r="BH371">
        <f t="shared" si="45"/>
        <v>0</v>
      </c>
      <c r="BI371" s="351">
        <f t="shared" si="44"/>
        <v>0</v>
      </c>
    </row>
    <row r="372" spans="1:61" ht="14.25" customHeight="1">
      <c r="A372" s="347" t="s">
        <v>173</v>
      </c>
      <c r="B372" s="347">
        <f t="shared" ref="B372:AG372" si="46">SUM(B312:B371)</f>
        <v>4</v>
      </c>
      <c r="C372" s="347">
        <f t="shared" si="46"/>
        <v>0</v>
      </c>
      <c r="D372" s="347">
        <f t="shared" si="46"/>
        <v>0</v>
      </c>
      <c r="E372" s="347">
        <f t="shared" si="46"/>
        <v>0</v>
      </c>
      <c r="F372" s="347">
        <f t="shared" si="46"/>
        <v>0</v>
      </c>
      <c r="G372" s="347">
        <f t="shared" si="46"/>
        <v>0</v>
      </c>
      <c r="H372" s="347">
        <f t="shared" si="46"/>
        <v>35</v>
      </c>
      <c r="I372" s="347">
        <f t="shared" si="46"/>
        <v>203</v>
      </c>
      <c r="J372" s="347">
        <f t="shared" si="46"/>
        <v>0</v>
      </c>
      <c r="K372" s="347">
        <f t="shared" si="46"/>
        <v>0</v>
      </c>
      <c r="L372" s="347">
        <f t="shared" si="46"/>
        <v>0</v>
      </c>
      <c r="M372" s="347">
        <f t="shared" si="46"/>
        <v>0</v>
      </c>
      <c r="N372" s="347">
        <f t="shared" si="46"/>
        <v>0</v>
      </c>
      <c r="O372" s="347">
        <f t="shared" si="46"/>
        <v>0</v>
      </c>
      <c r="P372" s="347">
        <f t="shared" si="46"/>
        <v>5</v>
      </c>
      <c r="Q372" s="347">
        <f t="shared" si="46"/>
        <v>0</v>
      </c>
      <c r="R372" s="347">
        <f t="shared" si="46"/>
        <v>0</v>
      </c>
      <c r="S372" s="347">
        <f t="shared" si="46"/>
        <v>0</v>
      </c>
      <c r="T372" s="347">
        <f t="shared" si="46"/>
        <v>0</v>
      </c>
      <c r="U372" s="347">
        <f t="shared" si="46"/>
        <v>0</v>
      </c>
      <c r="V372" s="347">
        <f t="shared" si="46"/>
        <v>0</v>
      </c>
      <c r="W372" s="347">
        <f t="shared" si="46"/>
        <v>0</v>
      </c>
      <c r="X372" s="347">
        <f t="shared" si="46"/>
        <v>0</v>
      </c>
      <c r="Y372" s="347">
        <f t="shared" si="46"/>
        <v>0</v>
      </c>
      <c r="Z372" s="347">
        <f t="shared" si="46"/>
        <v>0</v>
      </c>
      <c r="AA372" s="347">
        <f t="shared" si="46"/>
        <v>0</v>
      </c>
      <c r="AB372" s="347">
        <f t="shared" si="46"/>
        <v>0</v>
      </c>
      <c r="AC372" s="347">
        <f t="shared" si="46"/>
        <v>0</v>
      </c>
      <c r="AD372" s="347">
        <f t="shared" si="46"/>
        <v>0</v>
      </c>
      <c r="AE372" s="347">
        <f t="shared" si="46"/>
        <v>0</v>
      </c>
      <c r="AF372" s="347">
        <f t="shared" si="46"/>
        <v>0</v>
      </c>
      <c r="AG372" s="347">
        <f t="shared" si="46"/>
        <v>0</v>
      </c>
      <c r="AH372" s="347">
        <f t="shared" ref="AH372:BG372" si="47">SUM(AH312:AH371)</f>
        <v>0</v>
      </c>
      <c r="AI372" s="347">
        <f t="shared" si="47"/>
        <v>0</v>
      </c>
      <c r="AJ372" s="347">
        <f t="shared" si="47"/>
        <v>0</v>
      </c>
      <c r="AK372" s="347">
        <f t="shared" si="47"/>
        <v>0</v>
      </c>
      <c r="AL372" s="347">
        <f t="shared" si="47"/>
        <v>0</v>
      </c>
      <c r="AM372" s="347">
        <f t="shared" si="47"/>
        <v>0</v>
      </c>
      <c r="AN372" s="347">
        <f t="shared" si="47"/>
        <v>40</v>
      </c>
      <c r="AO372" s="347">
        <f t="shared" si="47"/>
        <v>0</v>
      </c>
      <c r="AP372" s="347">
        <f t="shared" si="47"/>
        <v>0</v>
      </c>
      <c r="AQ372" s="347">
        <f t="shared" si="47"/>
        <v>0</v>
      </c>
      <c r="AR372" s="347">
        <f t="shared" si="47"/>
        <v>0</v>
      </c>
      <c r="AS372" s="347">
        <f t="shared" si="47"/>
        <v>75</v>
      </c>
      <c r="AT372" s="347">
        <f t="shared" si="47"/>
        <v>0</v>
      </c>
      <c r="AU372" s="347">
        <f t="shared" si="47"/>
        <v>0</v>
      </c>
      <c r="AV372" s="347">
        <f t="shared" si="47"/>
        <v>0</v>
      </c>
      <c r="AW372" s="347">
        <f t="shared" si="47"/>
        <v>0</v>
      </c>
      <c r="AX372" s="347">
        <f t="shared" si="47"/>
        <v>0</v>
      </c>
      <c r="AY372" s="347">
        <f t="shared" si="47"/>
        <v>0</v>
      </c>
      <c r="AZ372" s="347">
        <f t="shared" si="47"/>
        <v>0</v>
      </c>
      <c r="BA372" s="347">
        <f t="shared" si="47"/>
        <v>0</v>
      </c>
      <c r="BB372" s="347">
        <f t="shared" si="47"/>
        <v>0</v>
      </c>
      <c r="BC372" s="347">
        <f t="shared" si="47"/>
        <v>0</v>
      </c>
      <c r="BD372" s="347">
        <f t="shared" si="47"/>
        <v>0</v>
      </c>
      <c r="BE372" s="347">
        <f t="shared" si="47"/>
        <v>0</v>
      </c>
      <c r="BF372" s="347">
        <f t="shared" si="47"/>
        <v>0</v>
      </c>
      <c r="BG372" s="347">
        <f t="shared" si="47"/>
        <v>37</v>
      </c>
      <c r="BH372" s="347">
        <f>SUM(BH312:BH371)</f>
        <v>399</v>
      </c>
      <c r="BI372" s="351"/>
    </row>
    <row r="373" spans="1:61" ht="14.25" customHeight="1" thickBot="1">
      <c r="A373" s="348" t="s">
        <v>174</v>
      </c>
      <c r="B373" s="348">
        <f>B372/$BH372</f>
        <v>1.0025062656641603E-2</v>
      </c>
      <c r="C373" s="348">
        <f t="shared" ref="C373:AZ373" si="48">C372/$BH372</f>
        <v>0</v>
      </c>
      <c r="D373" s="348">
        <f t="shared" si="48"/>
        <v>0</v>
      </c>
      <c r="E373" s="348">
        <f t="shared" si="48"/>
        <v>0</v>
      </c>
      <c r="F373" s="348">
        <f t="shared" si="48"/>
        <v>0</v>
      </c>
      <c r="G373" s="348">
        <f t="shared" si="48"/>
        <v>0</v>
      </c>
      <c r="H373" s="348">
        <f t="shared" si="48"/>
        <v>8.771929824561403E-2</v>
      </c>
      <c r="I373" s="348">
        <f t="shared" si="48"/>
        <v>0.50877192982456143</v>
      </c>
      <c r="J373" s="348">
        <f t="shared" si="48"/>
        <v>0</v>
      </c>
      <c r="K373" s="348">
        <f t="shared" si="48"/>
        <v>0</v>
      </c>
      <c r="L373" s="348">
        <f t="shared" si="48"/>
        <v>0</v>
      </c>
      <c r="M373" s="348">
        <f t="shared" si="48"/>
        <v>0</v>
      </c>
      <c r="N373" s="348">
        <f t="shared" si="48"/>
        <v>0</v>
      </c>
      <c r="O373" s="348">
        <f t="shared" si="48"/>
        <v>0</v>
      </c>
      <c r="P373" s="348">
        <f t="shared" si="48"/>
        <v>1.2531328320802004E-2</v>
      </c>
      <c r="Q373" s="348">
        <f t="shared" si="48"/>
        <v>0</v>
      </c>
      <c r="R373" s="348">
        <f t="shared" si="48"/>
        <v>0</v>
      </c>
      <c r="S373" s="348">
        <f t="shared" si="48"/>
        <v>0</v>
      </c>
      <c r="T373" s="348">
        <f t="shared" si="48"/>
        <v>0</v>
      </c>
      <c r="U373" s="348">
        <f t="shared" si="48"/>
        <v>0</v>
      </c>
      <c r="V373" s="348">
        <f t="shared" si="48"/>
        <v>0</v>
      </c>
      <c r="W373" s="348">
        <f t="shared" si="48"/>
        <v>0</v>
      </c>
      <c r="X373" s="348">
        <f t="shared" si="48"/>
        <v>0</v>
      </c>
      <c r="Y373" s="348">
        <f t="shared" si="48"/>
        <v>0</v>
      </c>
      <c r="Z373" s="348">
        <f t="shared" si="48"/>
        <v>0</v>
      </c>
      <c r="AA373" s="348">
        <f t="shared" si="48"/>
        <v>0</v>
      </c>
      <c r="AB373" s="348">
        <f t="shared" si="48"/>
        <v>0</v>
      </c>
      <c r="AC373" s="348">
        <f t="shared" si="48"/>
        <v>0</v>
      </c>
      <c r="AD373" s="348">
        <f t="shared" si="48"/>
        <v>0</v>
      </c>
      <c r="AE373" s="348">
        <f t="shared" si="48"/>
        <v>0</v>
      </c>
      <c r="AF373" s="348">
        <f t="shared" si="48"/>
        <v>0</v>
      </c>
      <c r="AG373" s="348">
        <f t="shared" si="48"/>
        <v>0</v>
      </c>
      <c r="AH373" s="348">
        <f t="shared" si="48"/>
        <v>0</v>
      </c>
      <c r="AI373" s="348">
        <f t="shared" si="48"/>
        <v>0</v>
      </c>
      <c r="AJ373" s="348">
        <f t="shared" si="48"/>
        <v>0</v>
      </c>
      <c r="AK373" s="348">
        <f t="shared" si="48"/>
        <v>0</v>
      </c>
      <c r="AL373" s="348">
        <f t="shared" si="48"/>
        <v>0</v>
      </c>
      <c r="AM373" s="348">
        <f t="shared" si="48"/>
        <v>0</v>
      </c>
      <c r="AN373" s="348">
        <f t="shared" si="48"/>
        <v>0.10025062656641603</v>
      </c>
      <c r="AO373" s="348">
        <f t="shared" si="48"/>
        <v>0</v>
      </c>
      <c r="AP373" s="348">
        <f t="shared" si="48"/>
        <v>0</v>
      </c>
      <c r="AQ373" s="348">
        <f t="shared" si="48"/>
        <v>0</v>
      </c>
      <c r="AR373" s="348">
        <f t="shared" si="48"/>
        <v>0</v>
      </c>
      <c r="AS373" s="348">
        <f t="shared" si="48"/>
        <v>0.18796992481203006</v>
      </c>
      <c r="AT373" s="348">
        <f t="shared" si="48"/>
        <v>0</v>
      </c>
      <c r="AU373" s="348">
        <f t="shared" si="48"/>
        <v>0</v>
      </c>
      <c r="AV373" s="348">
        <f t="shared" si="48"/>
        <v>0</v>
      </c>
      <c r="AW373" s="348">
        <f t="shared" si="48"/>
        <v>0</v>
      </c>
      <c r="AX373" s="348">
        <f t="shared" si="48"/>
        <v>0</v>
      </c>
      <c r="AY373" s="348">
        <f t="shared" si="48"/>
        <v>0</v>
      </c>
      <c r="AZ373" s="348">
        <f t="shared" si="48"/>
        <v>0</v>
      </c>
      <c r="BA373" s="348">
        <f t="shared" ref="BA373:BG373" si="49">BA372/$BH372</f>
        <v>0</v>
      </c>
      <c r="BB373" s="348">
        <f t="shared" si="49"/>
        <v>0</v>
      </c>
      <c r="BC373" s="348">
        <f t="shared" si="49"/>
        <v>0</v>
      </c>
      <c r="BD373" s="348">
        <f t="shared" si="49"/>
        <v>0</v>
      </c>
      <c r="BE373" s="348">
        <f t="shared" si="49"/>
        <v>0</v>
      </c>
      <c r="BF373" s="348">
        <f t="shared" si="49"/>
        <v>0</v>
      </c>
      <c r="BG373" s="348">
        <f t="shared" si="49"/>
        <v>9.2731829573934832E-2</v>
      </c>
      <c r="BH373" s="351"/>
    </row>
    <row r="374" spans="1:61" ht="14.25" customHeight="1"/>
    <row r="375" spans="1:61" ht="14.25" customHeight="1">
      <c r="A375" s="165">
        <f>'Conveyor Downtime (new)'!A372</f>
        <v>46204</v>
      </c>
      <c r="B375" s="346"/>
      <c r="C375" s="346"/>
      <c r="D375" s="346"/>
      <c r="E375" s="346"/>
      <c r="F375" s="346"/>
      <c r="G375" s="346"/>
      <c r="H375" s="346">
        <f>2+3+4</f>
        <v>9</v>
      </c>
      <c r="I375" s="346">
        <f>2+8+5</f>
        <v>15</v>
      </c>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346"/>
      <c r="AK375" s="346"/>
      <c r="AL375" s="346"/>
      <c r="AM375" s="346"/>
      <c r="AN375" s="346"/>
      <c r="AO375" s="346"/>
      <c r="AP375" s="346"/>
      <c r="AQ375" s="346"/>
      <c r="AR375" s="346"/>
      <c r="AS375" s="346"/>
      <c r="AT375" s="346"/>
      <c r="AU375" s="346"/>
      <c r="AV375" s="346"/>
      <c r="AW375" s="346"/>
      <c r="AX375" s="346"/>
      <c r="AY375" s="346"/>
      <c r="AZ375" s="346"/>
      <c r="BA375" s="346"/>
      <c r="BB375" s="346"/>
      <c r="BC375" s="346"/>
      <c r="BD375" s="346"/>
      <c r="BE375" s="346"/>
      <c r="BF375" s="346"/>
      <c r="BG375" s="346"/>
      <c r="BH375">
        <f t="shared" ref="BH375:BH433" si="50">SUM(B375:BG375)</f>
        <v>24</v>
      </c>
      <c r="BI375" s="351">
        <f>BH375/$BH$372</f>
        <v>6.0150375939849621E-2</v>
      </c>
    </row>
    <row r="376" spans="1:61" ht="14.25" customHeight="1">
      <c r="A376" s="165">
        <f>'Conveyor Downtime (new)'!A373</f>
        <v>46204</v>
      </c>
      <c r="BH376">
        <f t="shared" si="50"/>
        <v>0</v>
      </c>
      <c r="BI376" s="351">
        <f t="shared" ref="BI376:BI432" si="51">BH376/$BH$372</f>
        <v>0</v>
      </c>
    </row>
    <row r="377" spans="1:61" ht="14.25" customHeight="1">
      <c r="A377" s="165">
        <f>'Conveyor Downtime (new)'!A374</f>
        <v>46205</v>
      </c>
      <c r="B377" s="346"/>
      <c r="C377" s="346"/>
      <c r="D377" s="346"/>
      <c r="E377" s="346"/>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346"/>
      <c r="AK377" s="346"/>
      <c r="AL377" s="346"/>
      <c r="AM377" s="346"/>
      <c r="AN377" s="346"/>
      <c r="AO377" s="346"/>
      <c r="AP377" s="346"/>
      <c r="AQ377" s="346"/>
      <c r="AR377" s="346"/>
      <c r="AS377" s="346"/>
      <c r="AT377" s="346"/>
      <c r="AU377" s="346"/>
      <c r="AV377" s="346"/>
      <c r="AW377" s="346"/>
      <c r="AX377" s="346"/>
      <c r="AY377" s="346"/>
      <c r="AZ377" s="346"/>
      <c r="BA377" s="346"/>
      <c r="BB377" s="346"/>
      <c r="BC377" s="346"/>
      <c r="BD377" s="346"/>
      <c r="BE377" s="346"/>
      <c r="BF377" s="346"/>
      <c r="BG377" s="346"/>
      <c r="BH377">
        <f t="shared" si="50"/>
        <v>0</v>
      </c>
      <c r="BI377" s="351">
        <f t="shared" si="51"/>
        <v>0</v>
      </c>
    </row>
    <row r="378" spans="1:61" ht="14.25" customHeight="1">
      <c r="A378" s="165">
        <f>'Conveyor Downtime (new)'!A375</f>
        <v>46205</v>
      </c>
      <c r="I378">
        <f>3</f>
        <v>3</v>
      </c>
      <c r="BH378">
        <f t="shared" si="50"/>
        <v>3</v>
      </c>
      <c r="BI378" s="351">
        <f t="shared" si="51"/>
        <v>7.5187969924812026E-3</v>
      </c>
    </row>
    <row r="379" spans="1:61" ht="14.25" customHeight="1">
      <c r="A379" s="165">
        <f>'Conveyor Downtime (new)'!A376</f>
        <v>46205</v>
      </c>
      <c r="B379" s="346"/>
      <c r="C379" s="346"/>
      <c r="D379" s="346"/>
      <c r="E379" s="346"/>
      <c r="F379" s="346"/>
      <c r="G379" s="346"/>
      <c r="H379" s="346">
        <f>3</f>
        <v>3</v>
      </c>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s="346"/>
      <c r="AE379" s="346"/>
      <c r="AF379" s="346"/>
      <c r="AG379" s="346"/>
      <c r="AH379" s="346"/>
      <c r="AI379" s="346"/>
      <c r="AJ379" s="346"/>
      <c r="AK379" s="346"/>
      <c r="AL379" s="346"/>
      <c r="AM379" s="346"/>
      <c r="AN379" s="346"/>
      <c r="AO379" s="346"/>
      <c r="AP379" s="346"/>
      <c r="AQ379" s="346"/>
      <c r="AR379" s="346"/>
      <c r="AS379" s="346"/>
      <c r="AT379" s="346"/>
      <c r="AU379" s="346"/>
      <c r="AV379" s="346"/>
      <c r="AW379" s="346"/>
      <c r="AX379" s="346"/>
      <c r="AY379" s="346"/>
      <c r="AZ379" s="346"/>
      <c r="BA379" s="346"/>
      <c r="BB379" s="346"/>
      <c r="BC379" s="346"/>
      <c r="BD379" s="346"/>
      <c r="BE379" s="346"/>
      <c r="BF379" s="346"/>
      <c r="BG379" s="346"/>
      <c r="BH379">
        <f t="shared" si="50"/>
        <v>3</v>
      </c>
      <c r="BI379" s="351">
        <f t="shared" si="51"/>
        <v>7.5187969924812026E-3</v>
      </c>
    </row>
    <row r="380" spans="1:61" ht="14.25" customHeight="1">
      <c r="A380" s="165">
        <f>'Conveyor Downtime (new)'!A377</f>
        <v>46206</v>
      </c>
      <c r="H380">
        <f>2+1+2+3</f>
        <v>8</v>
      </c>
      <c r="I380">
        <v>2</v>
      </c>
      <c r="BH380">
        <f t="shared" si="50"/>
        <v>10</v>
      </c>
      <c r="BI380" s="351">
        <f t="shared" si="51"/>
        <v>2.5062656641604009E-2</v>
      </c>
    </row>
    <row r="381" spans="1:61" ht="14.25" customHeight="1">
      <c r="A381" s="165">
        <f>'Conveyor Downtime (new)'!A378</f>
        <v>46206</v>
      </c>
      <c r="H381">
        <f>7</f>
        <v>7</v>
      </c>
      <c r="I381">
        <f>1+3</f>
        <v>4</v>
      </c>
      <c r="BF381">
        <f>5</f>
        <v>5</v>
      </c>
      <c r="BH381">
        <f t="shared" si="50"/>
        <v>16</v>
      </c>
      <c r="BI381" s="351">
        <f t="shared" si="51"/>
        <v>4.0100250626566414E-2</v>
      </c>
    </row>
    <row r="382" spans="1:61" ht="14.25" customHeight="1">
      <c r="A382" s="165">
        <f>'Conveyor Downtime (new)'!A379</f>
        <v>46209</v>
      </c>
      <c r="B382" s="346"/>
      <c r="C382" s="346"/>
      <c r="D382" s="346"/>
      <c r="E382" s="346"/>
      <c r="F382" s="346"/>
      <c r="G382" s="346"/>
      <c r="H382" s="346">
        <f>8+3+4</f>
        <v>15</v>
      </c>
      <c r="I382" s="346">
        <v>6</v>
      </c>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346"/>
      <c r="AK382" s="346"/>
      <c r="AL382" s="346"/>
      <c r="AM382" s="346"/>
      <c r="AN382" s="346"/>
      <c r="AO382" s="346"/>
      <c r="AP382" s="346"/>
      <c r="AQ382" s="346"/>
      <c r="AR382" s="346"/>
      <c r="AS382" s="346"/>
      <c r="AT382" s="346"/>
      <c r="AU382" s="346"/>
      <c r="AV382" s="346"/>
      <c r="AW382" s="346"/>
      <c r="AX382" s="346"/>
      <c r="AY382" s="346"/>
      <c r="AZ382" s="346"/>
      <c r="BA382" s="346"/>
      <c r="BB382" s="346"/>
      <c r="BC382" s="346"/>
      <c r="BD382" s="346"/>
      <c r="BE382" s="346"/>
      <c r="BF382" s="346">
        <f>6</f>
        <v>6</v>
      </c>
      <c r="BG382" s="346"/>
      <c r="BH382">
        <f t="shared" si="50"/>
        <v>27</v>
      </c>
      <c r="BI382" s="351">
        <f t="shared" si="51"/>
        <v>6.7669172932330823E-2</v>
      </c>
    </row>
    <row r="383" spans="1:61" ht="14.25" customHeight="1">
      <c r="A383" s="165">
        <f>'Conveyor Downtime (new)'!A380</f>
        <v>46210</v>
      </c>
      <c r="I383">
        <f>8+5</f>
        <v>13</v>
      </c>
      <c r="BH383">
        <f t="shared" si="50"/>
        <v>13</v>
      </c>
      <c r="BI383" s="351">
        <f t="shared" si="51"/>
        <v>3.2581453634085211E-2</v>
      </c>
    </row>
    <row r="384" spans="1:61" ht="14.25" customHeight="1">
      <c r="A384" s="165">
        <f>'Conveyor Downtime (new)'!A381</f>
        <v>46210</v>
      </c>
      <c r="B384" s="346"/>
      <c r="C384" s="346"/>
      <c r="D384" s="346"/>
      <c r="E384" s="346"/>
      <c r="F384" s="346"/>
      <c r="G384" s="346"/>
      <c r="H384" s="346">
        <f>2+6+4</f>
        <v>12</v>
      </c>
      <c r="I384" s="346">
        <f>2</f>
        <v>2</v>
      </c>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346"/>
      <c r="AL384" s="346"/>
      <c r="AM384" s="346"/>
      <c r="AN384" s="346"/>
      <c r="AO384" s="346"/>
      <c r="AP384" s="346"/>
      <c r="AQ384" s="346"/>
      <c r="AR384" s="346"/>
      <c r="AS384" s="346"/>
      <c r="AT384" s="346"/>
      <c r="AU384" s="346"/>
      <c r="AV384" s="346"/>
      <c r="AW384" s="346"/>
      <c r="AX384" s="346"/>
      <c r="AY384" s="346"/>
      <c r="AZ384" s="346"/>
      <c r="BA384" s="346"/>
      <c r="BB384" s="346"/>
      <c r="BC384" s="346"/>
      <c r="BD384" s="346"/>
      <c r="BE384" s="346"/>
      <c r="BF384" s="346"/>
      <c r="BG384" s="346"/>
      <c r="BH384">
        <f t="shared" si="50"/>
        <v>14</v>
      </c>
      <c r="BI384" s="351">
        <f t="shared" si="51"/>
        <v>3.5087719298245612E-2</v>
      </c>
    </row>
    <row r="385" spans="1:61" ht="14.25" customHeight="1">
      <c r="A385" s="165">
        <f>'Conveyor Downtime (new)'!A382</f>
        <v>46211</v>
      </c>
      <c r="H385">
        <f>3</f>
        <v>3</v>
      </c>
      <c r="I385">
        <f>5+7+6+7+7</f>
        <v>32</v>
      </c>
      <c r="BH385">
        <f t="shared" si="50"/>
        <v>35</v>
      </c>
      <c r="BI385" s="351">
        <f t="shared" si="51"/>
        <v>8.771929824561403E-2</v>
      </c>
    </row>
    <row r="386" spans="1:61" ht="14.25" customHeight="1">
      <c r="A386" s="165">
        <f>'Conveyor Downtime (new)'!A383</f>
        <v>46211</v>
      </c>
      <c r="B386" s="346"/>
      <c r="C386" s="346"/>
      <c r="D386" s="346"/>
      <c r="E386" s="346"/>
      <c r="F386" s="346"/>
      <c r="G386" s="346"/>
      <c r="H386" s="346"/>
      <c r="I386" s="346">
        <f>4</f>
        <v>4</v>
      </c>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346"/>
      <c r="AK386" s="346"/>
      <c r="AL386" s="346"/>
      <c r="AM386" s="346"/>
      <c r="AN386" s="346"/>
      <c r="AO386" s="346"/>
      <c r="AP386" s="346"/>
      <c r="AQ386" s="346"/>
      <c r="AR386" s="346"/>
      <c r="AS386" s="346"/>
      <c r="AT386" s="346"/>
      <c r="AU386" s="346"/>
      <c r="AV386" s="346"/>
      <c r="AW386" s="346"/>
      <c r="AX386" s="346"/>
      <c r="AY386" s="346"/>
      <c r="AZ386" s="346"/>
      <c r="BA386" s="346"/>
      <c r="BB386" s="346"/>
      <c r="BC386" s="346"/>
      <c r="BD386" s="346"/>
      <c r="BE386" s="346"/>
      <c r="BF386" s="346"/>
      <c r="BG386" s="346"/>
      <c r="BH386">
        <f t="shared" si="50"/>
        <v>4</v>
      </c>
      <c r="BI386" s="351">
        <f t="shared" si="51"/>
        <v>1.0025062656641603E-2</v>
      </c>
    </row>
    <row r="387" spans="1:61" ht="14.25" customHeight="1">
      <c r="A387" s="165">
        <f>'Conveyor Downtime (new)'!A384</f>
        <v>46211</v>
      </c>
      <c r="BH387">
        <f t="shared" si="50"/>
        <v>0</v>
      </c>
      <c r="BI387" s="351">
        <f t="shared" si="51"/>
        <v>0</v>
      </c>
    </row>
    <row r="388" spans="1:61" ht="14.25" customHeight="1">
      <c r="A388" s="165">
        <f>'Conveyor Downtime (new)'!A385</f>
        <v>46211</v>
      </c>
      <c r="B388" s="346"/>
      <c r="C388" s="346"/>
      <c r="D388" s="346"/>
      <c r="E388" s="346"/>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s="346"/>
      <c r="AL388" s="346"/>
      <c r="AM388" s="346"/>
      <c r="AN388" s="346"/>
      <c r="AO388" s="346"/>
      <c r="AP388" s="346"/>
      <c r="AQ388" s="346"/>
      <c r="AR388" s="346"/>
      <c r="AS388" s="346"/>
      <c r="AT388" s="346"/>
      <c r="AU388" s="346"/>
      <c r="AV388" s="346"/>
      <c r="AW388" s="346"/>
      <c r="AX388" s="346"/>
      <c r="AY388" s="346"/>
      <c r="AZ388" s="346"/>
      <c r="BA388" s="346"/>
      <c r="BB388" s="346"/>
      <c r="BC388" s="346"/>
      <c r="BD388" s="346"/>
      <c r="BE388" s="346"/>
      <c r="BF388" s="346"/>
      <c r="BG388" s="346"/>
      <c r="BH388">
        <f t="shared" si="50"/>
        <v>0</v>
      </c>
      <c r="BI388" s="351">
        <f t="shared" si="51"/>
        <v>0</v>
      </c>
    </row>
    <row r="389" spans="1:61" ht="14.25" customHeight="1">
      <c r="A389" s="165">
        <f>'Conveyor Downtime (new)'!A386</f>
        <v>46211</v>
      </c>
      <c r="BH389">
        <f t="shared" si="50"/>
        <v>0</v>
      </c>
      <c r="BI389" s="351">
        <f t="shared" si="51"/>
        <v>0</v>
      </c>
    </row>
    <row r="390" spans="1:61" ht="14.25" customHeight="1">
      <c r="A390" s="165">
        <f>'Conveyor Downtime (new)'!A387</f>
        <v>46212</v>
      </c>
      <c r="H390">
        <f>5</f>
        <v>5</v>
      </c>
      <c r="BF390">
        <f>4+3+4+3</f>
        <v>14</v>
      </c>
      <c r="BH390">
        <f t="shared" ref="BH390" si="52">SUM(B390:BG390)</f>
        <v>19</v>
      </c>
      <c r="BI390" s="351">
        <f t="shared" ref="BI390" si="53">BH390/$BH$372</f>
        <v>4.7619047619047616E-2</v>
      </c>
    </row>
    <row r="391" spans="1:61" ht="13.5" customHeight="1">
      <c r="A391" s="165">
        <f>'Conveyor Downtime (new)'!A388</f>
        <v>46212</v>
      </c>
      <c r="H391">
        <f>4+7</f>
        <v>11</v>
      </c>
      <c r="BF391">
        <f>7+10+13+9+7</f>
        <v>46</v>
      </c>
      <c r="BH391">
        <f t="shared" si="50"/>
        <v>57</v>
      </c>
      <c r="BI391" s="351">
        <f t="shared" si="51"/>
        <v>0.14285714285714285</v>
      </c>
    </row>
    <row r="392" spans="1:61" ht="14.25" customHeight="1">
      <c r="A392" s="165">
        <f>'Conveyor Downtime (new)'!A389</f>
        <v>46212</v>
      </c>
      <c r="B392" s="346"/>
      <c r="C392" s="346"/>
      <c r="D392" s="346"/>
      <c r="E392" s="346"/>
      <c r="F392" s="346"/>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346"/>
      <c r="AK392" s="346"/>
      <c r="AL392" s="346"/>
      <c r="AM392" s="346"/>
      <c r="AN392" s="346"/>
      <c r="AO392" s="346"/>
      <c r="AP392" s="346"/>
      <c r="AQ392" s="346"/>
      <c r="AR392" s="346"/>
      <c r="AS392" s="346"/>
      <c r="AT392" s="346"/>
      <c r="AU392" s="346"/>
      <c r="AV392" s="346"/>
      <c r="AW392" s="346"/>
      <c r="AX392" s="346"/>
      <c r="AY392" s="346"/>
      <c r="AZ392" s="346"/>
      <c r="BA392" s="346"/>
      <c r="BB392" s="346"/>
      <c r="BC392" s="346"/>
      <c r="BD392" s="346"/>
      <c r="BE392" s="346"/>
      <c r="BF392" s="346"/>
      <c r="BG392" s="346"/>
      <c r="BH392">
        <f t="shared" si="50"/>
        <v>0</v>
      </c>
      <c r="BI392" s="351">
        <f t="shared" si="51"/>
        <v>0</v>
      </c>
    </row>
    <row r="393" spans="1:61" ht="14.25" customHeight="1">
      <c r="A393" s="165">
        <f>'Conveyor Downtime (new)'!A390</f>
        <v>46213</v>
      </c>
      <c r="I393">
        <f>5</f>
        <v>5</v>
      </c>
      <c r="BH393">
        <f t="shared" si="50"/>
        <v>5</v>
      </c>
      <c r="BI393" s="351">
        <f t="shared" si="51"/>
        <v>1.2531328320802004E-2</v>
      </c>
    </row>
    <row r="394" spans="1:61" ht="14.25" customHeight="1">
      <c r="A394" s="165">
        <f>'Conveyor Downtime (new)'!A391</f>
        <v>46213</v>
      </c>
      <c r="B394" s="346"/>
      <c r="C394" s="346"/>
      <c r="D394" s="346"/>
      <c r="E394" s="346"/>
      <c r="F394" s="346"/>
      <c r="G394" s="346"/>
      <c r="H394" s="346"/>
      <c r="I394" s="346">
        <f>5+4+8</f>
        <v>17</v>
      </c>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346"/>
      <c r="AK394" s="346"/>
      <c r="AL394" s="346"/>
      <c r="AM394" s="346"/>
      <c r="AN394" s="346"/>
      <c r="AO394" s="346"/>
      <c r="AP394" s="346"/>
      <c r="AQ394" s="346"/>
      <c r="AR394" s="346"/>
      <c r="AS394" s="346"/>
      <c r="AT394" s="346"/>
      <c r="AU394" s="346"/>
      <c r="AV394" s="346"/>
      <c r="AW394" s="346"/>
      <c r="AX394" s="346"/>
      <c r="AY394" s="346"/>
      <c r="AZ394" s="346"/>
      <c r="BA394" s="346"/>
      <c r="BB394" s="346"/>
      <c r="BC394" s="346"/>
      <c r="BD394" s="346"/>
      <c r="BE394" s="346"/>
      <c r="BF394" s="346"/>
      <c r="BG394" s="346"/>
      <c r="BH394">
        <f t="shared" si="50"/>
        <v>17</v>
      </c>
      <c r="BI394" s="351">
        <f t="shared" si="51"/>
        <v>4.2606516290726815E-2</v>
      </c>
    </row>
    <row r="395" spans="1:61" ht="14.25" customHeight="1">
      <c r="A395" s="165">
        <f>'Conveyor Downtime (new)'!A392</f>
        <v>46216</v>
      </c>
      <c r="H395">
        <f>3+2+1</f>
        <v>6</v>
      </c>
      <c r="I395">
        <f>3+4+5+4+6+6+4+2+3+3+3+2+2</f>
        <v>47</v>
      </c>
      <c r="BH395">
        <f t="shared" si="50"/>
        <v>53</v>
      </c>
      <c r="BI395" s="351">
        <f t="shared" si="51"/>
        <v>0.13283208020050125</v>
      </c>
    </row>
    <row r="396" spans="1:61" ht="14.25" customHeight="1">
      <c r="A396" s="165">
        <f>'Conveyor Downtime (new)'!A393</f>
        <v>46216</v>
      </c>
      <c r="B396" s="346"/>
      <c r="C396" s="346"/>
      <c r="D396" s="346"/>
      <c r="E396" s="346"/>
      <c r="F396" s="346"/>
      <c r="G396" s="346"/>
      <c r="H396" s="346">
        <f>1</f>
        <v>1</v>
      </c>
      <c r="I396" s="346">
        <f>2+2</f>
        <v>4</v>
      </c>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s="346"/>
      <c r="AL396" s="346"/>
      <c r="AM396" s="346"/>
      <c r="AN396" s="346"/>
      <c r="AO396" s="346"/>
      <c r="AP396" s="346"/>
      <c r="AQ396" s="346"/>
      <c r="AR396" s="346"/>
      <c r="AS396" s="346"/>
      <c r="AT396" s="346"/>
      <c r="AU396" s="346"/>
      <c r="AV396" s="346"/>
      <c r="AW396" s="346"/>
      <c r="AX396" s="346"/>
      <c r="AY396" s="346"/>
      <c r="AZ396" s="346"/>
      <c r="BA396" s="346"/>
      <c r="BB396" s="346"/>
      <c r="BC396" s="346"/>
      <c r="BD396" s="346"/>
      <c r="BE396" s="346"/>
      <c r="BF396" s="346"/>
      <c r="BG396" s="346"/>
      <c r="BH396">
        <f t="shared" si="50"/>
        <v>5</v>
      </c>
      <c r="BI396" s="351">
        <f t="shared" si="51"/>
        <v>1.2531328320802004E-2</v>
      </c>
    </row>
    <row r="397" spans="1:61" ht="14.25" customHeight="1">
      <c r="A397" s="165">
        <f>'Conveyor Downtime (new)'!A394</f>
        <v>46217</v>
      </c>
      <c r="B397" s="70"/>
      <c r="C397" s="70"/>
      <c r="D397" s="70"/>
      <c r="E397" s="70"/>
      <c r="F397" s="70"/>
      <c r="G397" s="70"/>
      <c r="H397" s="346">
        <f>5+2+3+3+5+2</f>
        <v>20</v>
      </c>
      <c r="I397" s="346">
        <f>3+4+5+7+3+3+2+4</f>
        <v>31</v>
      </c>
      <c r="J397" s="70"/>
      <c r="K397" s="70"/>
      <c r="L397" s="70"/>
      <c r="M397" s="70"/>
      <c r="N397" s="70"/>
      <c r="O397" s="70"/>
      <c r="P397" s="70"/>
      <c r="Q397" s="70"/>
      <c r="R397" s="70"/>
      <c r="S397" s="70"/>
      <c r="T397" s="70"/>
      <c r="U397" s="70"/>
      <c r="V397" s="70"/>
      <c r="W397" s="70"/>
      <c r="X397" s="70"/>
      <c r="Y397" s="70"/>
      <c r="Z397" s="70"/>
      <c r="AA397" s="70"/>
      <c r="AB397" s="70"/>
      <c r="AC397" s="70"/>
      <c r="AD397" s="70"/>
      <c r="AE397" s="70"/>
      <c r="AF397" s="70"/>
      <c r="AG397" s="70"/>
      <c r="AH397" s="70"/>
      <c r="AI397" s="70"/>
      <c r="AJ397" s="70"/>
      <c r="AK397" s="70"/>
      <c r="AL397" s="70"/>
      <c r="AM397" s="70"/>
      <c r="AN397" s="70"/>
      <c r="AO397" s="70"/>
      <c r="AP397" s="70"/>
      <c r="AQ397" s="70"/>
      <c r="AR397" s="70"/>
      <c r="AS397" s="70"/>
      <c r="AT397" s="70"/>
      <c r="AU397" s="70"/>
      <c r="AV397" s="70"/>
      <c r="AW397" s="70"/>
      <c r="AX397" s="70"/>
      <c r="AY397" s="70"/>
      <c r="AZ397" s="70"/>
      <c r="BA397" s="70"/>
      <c r="BB397" s="70"/>
      <c r="BC397" s="70"/>
      <c r="BD397" s="70"/>
      <c r="BE397" s="70"/>
      <c r="BF397" s="70"/>
      <c r="BG397" s="70"/>
      <c r="BH397">
        <f t="shared" si="50"/>
        <v>51</v>
      </c>
      <c r="BI397" s="351">
        <f t="shared" si="51"/>
        <v>0.12781954887218044</v>
      </c>
    </row>
    <row r="398" spans="1:61" ht="14.25" customHeight="1">
      <c r="A398" s="165">
        <f>'Conveyor Downtime (new)'!A395</f>
        <v>46218</v>
      </c>
      <c r="B398" s="353"/>
      <c r="C398" s="353"/>
      <c r="D398" s="353"/>
      <c r="E398" s="353"/>
      <c r="F398" s="353"/>
      <c r="G398" s="353"/>
      <c r="H398" s="353"/>
      <c r="I398" s="353"/>
      <c r="J398" s="353"/>
      <c r="K398" s="353"/>
      <c r="L398" s="353"/>
      <c r="M398" s="353"/>
      <c r="N398" s="353"/>
      <c r="O398" s="353"/>
      <c r="P398" s="353"/>
      <c r="Q398" s="353"/>
      <c r="R398" s="353"/>
      <c r="S398" s="353"/>
      <c r="T398" s="353"/>
      <c r="U398" s="353"/>
      <c r="V398" s="353"/>
      <c r="W398" s="353"/>
      <c r="X398" s="353"/>
      <c r="Y398" s="353"/>
      <c r="Z398" s="353"/>
      <c r="AA398" s="353"/>
      <c r="AB398" s="353"/>
      <c r="AC398" s="353"/>
      <c r="AD398" s="353"/>
      <c r="AE398" s="353"/>
      <c r="AF398" s="353"/>
      <c r="AG398" s="353"/>
      <c r="AH398" s="353"/>
      <c r="AI398" s="353"/>
      <c r="AJ398" s="353"/>
      <c r="AK398" s="353"/>
      <c r="AL398" s="353"/>
      <c r="AM398" s="353"/>
      <c r="AN398" s="353"/>
      <c r="AO398" s="353"/>
      <c r="AP398" s="353"/>
      <c r="AQ398" s="353"/>
      <c r="AR398" s="353"/>
      <c r="AS398" s="353"/>
      <c r="AT398" s="353"/>
      <c r="AU398" s="353"/>
      <c r="AV398" s="353"/>
      <c r="AW398" s="353"/>
      <c r="AX398" s="353"/>
      <c r="AY398" s="353"/>
      <c r="AZ398" s="353"/>
      <c r="BA398" s="353"/>
      <c r="BB398" s="353"/>
      <c r="BC398" s="353"/>
      <c r="BD398" s="353"/>
      <c r="BE398" s="353"/>
      <c r="BF398" s="353"/>
      <c r="BG398" s="353"/>
      <c r="BH398">
        <f t="shared" si="50"/>
        <v>0</v>
      </c>
      <c r="BI398" s="351">
        <f t="shared" si="51"/>
        <v>0</v>
      </c>
    </row>
    <row r="399" spans="1:61" ht="14.25" customHeight="1">
      <c r="A399" s="165">
        <f>'Conveyor Downtime (new)'!A396</f>
        <v>46218</v>
      </c>
      <c r="I399">
        <f>7+3+2+3+2+27</f>
        <v>44</v>
      </c>
      <c r="BH399">
        <f t="shared" si="50"/>
        <v>44</v>
      </c>
      <c r="BI399" s="351">
        <f t="shared" si="51"/>
        <v>0.11027568922305764</v>
      </c>
    </row>
    <row r="400" spans="1:61" ht="14.25" customHeight="1">
      <c r="A400" s="165">
        <f>'Conveyor Downtime (new)'!A397</f>
        <v>46219</v>
      </c>
      <c r="B400" s="346"/>
      <c r="C400" s="346"/>
      <c r="D400" s="346"/>
      <c r="E400" s="346"/>
      <c r="F400" s="346"/>
      <c r="G400" s="346"/>
      <c r="H400" s="346"/>
      <c r="I400" s="346"/>
      <c r="J400" s="346"/>
      <c r="K400" s="346"/>
      <c r="L400" s="346"/>
      <c r="M400" s="346"/>
      <c r="N400" s="346"/>
      <c r="O400" s="346"/>
      <c r="P400" s="346"/>
      <c r="Q400" s="346"/>
      <c r="R400" s="346"/>
      <c r="S400" s="346"/>
      <c r="T400" s="346"/>
      <c r="U400" s="346"/>
      <c r="V400" s="346"/>
      <c r="W400" s="346"/>
      <c r="X400" s="346"/>
      <c r="Y400" s="346"/>
      <c r="Z400" s="346"/>
      <c r="AA400" s="346"/>
      <c r="AB400" s="346"/>
      <c r="AC400" s="346"/>
      <c r="AD400" s="346"/>
      <c r="AE400" s="346"/>
      <c r="AF400" s="346"/>
      <c r="AG400" s="346"/>
      <c r="AH400" s="346"/>
      <c r="AI400" s="346"/>
      <c r="AJ400" s="346"/>
      <c r="AK400" s="346"/>
      <c r="AL400" s="346"/>
      <c r="AM400" s="346"/>
      <c r="AN400" s="346"/>
      <c r="AO400" s="346"/>
      <c r="AP400" s="346"/>
      <c r="AQ400" s="346"/>
      <c r="AR400" s="346"/>
      <c r="AS400" s="346"/>
      <c r="AT400" s="346"/>
      <c r="AU400" s="346"/>
      <c r="AV400" s="346"/>
      <c r="AW400" s="346"/>
      <c r="AX400" s="346"/>
      <c r="AY400" s="346"/>
      <c r="AZ400" s="346"/>
      <c r="BA400" s="346"/>
      <c r="BB400" s="346"/>
      <c r="BC400" s="346"/>
      <c r="BD400" s="346"/>
      <c r="BE400" s="346"/>
      <c r="BF400" s="346"/>
      <c r="BG400" s="346"/>
      <c r="BH400">
        <f t="shared" si="50"/>
        <v>0</v>
      </c>
      <c r="BI400" s="351">
        <f t="shared" si="51"/>
        <v>0</v>
      </c>
    </row>
    <row r="401" spans="1:61" ht="14.25" customHeight="1">
      <c r="A401" s="165">
        <f>'Conveyor Downtime (new)'!A398</f>
        <v>46219</v>
      </c>
      <c r="BH401">
        <f t="shared" si="50"/>
        <v>0</v>
      </c>
      <c r="BI401" s="351">
        <f t="shared" si="51"/>
        <v>0</v>
      </c>
    </row>
    <row r="402" spans="1:61" ht="15" customHeight="1">
      <c r="A402" s="165">
        <f>'Conveyor Downtime (new)'!A399</f>
        <v>46219</v>
      </c>
      <c r="B402" s="346"/>
      <c r="C402" s="346"/>
      <c r="D402" s="346"/>
      <c r="E402" s="346"/>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346"/>
      <c r="AK402" s="346"/>
      <c r="AL402" s="346"/>
      <c r="AM402" s="346"/>
      <c r="AN402" s="346"/>
      <c r="AO402" s="346"/>
      <c r="AP402" s="346"/>
      <c r="AQ402" s="346"/>
      <c r="AR402" s="346"/>
      <c r="AS402" s="346"/>
      <c r="AT402" s="346"/>
      <c r="AU402" s="346"/>
      <c r="AV402" s="346"/>
      <c r="AW402" s="346"/>
      <c r="AX402" s="346"/>
      <c r="AY402" s="346"/>
      <c r="AZ402" s="346"/>
      <c r="BA402" s="346"/>
      <c r="BB402" s="346"/>
      <c r="BC402" s="346"/>
      <c r="BD402" s="346"/>
      <c r="BE402" s="346"/>
      <c r="BF402" s="346"/>
      <c r="BG402" s="346"/>
      <c r="BH402">
        <f t="shared" si="50"/>
        <v>0</v>
      </c>
      <c r="BI402" s="351">
        <f t="shared" si="51"/>
        <v>0</v>
      </c>
    </row>
    <row r="403" spans="1:61" ht="14.25" customHeight="1">
      <c r="A403" s="165">
        <f>'Conveyor Downtime (new)'!A400</f>
        <v>46219</v>
      </c>
      <c r="BG403">
        <v>2</v>
      </c>
      <c r="BH403">
        <f t="shared" si="50"/>
        <v>2</v>
      </c>
      <c r="BI403" s="351">
        <f t="shared" si="51"/>
        <v>5.0125313283208017E-3</v>
      </c>
    </row>
    <row r="404" spans="1:61" ht="14.25" customHeight="1">
      <c r="A404" s="165">
        <f>'Conveyor Downtime (new)'!A401</f>
        <v>46220</v>
      </c>
      <c r="B404" s="346"/>
      <c r="C404" s="346"/>
      <c r="D404" s="346"/>
      <c r="E404" s="346"/>
      <c r="F404" s="346"/>
      <c r="G404" s="346"/>
      <c r="H404" s="346"/>
      <c r="I404" s="346">
        <f>3</f>
        <v>3</v>
      </c>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346"/>
      <c r="AK404" s="346"/>
      <c r="AL404" s="346"/>
      <c r="AM404" s="346"/>
      <c r="AN404" s="346"/>
      <c r="AO404" s="346"/>
      <c r="AP404" s="346"/>
      <c r="AQ404" s="346"/>
      <c r="AR404" s="346"/>
      <c r="AS404" s="346"/>
      <c r="AT404" s="346"/>
      <c r="AU404" s="346"/>
      <c r="AV404" s="346"/>
      <c r="AW404" s="346"/>
      <c r="AX404" s="346"/>
      <c r="AY404" s="346"/>
      <c r="AZ404" s="346"/>
      <c r="BA404" s="346"/>
      <c r="BB404" s="346"/>
      <c r="BC404" s="346"/>
      <c r="BD404" s="346"/>
      <c r="BE404" s="346"/>
      <c r="BF404" s="346"/>
      <c r="BG404" s="346"/>
      <c r="BH404">
        <f t="shared" si="50"/>
        <v>3</v>
      </c>
      <c r="BI404" s="351">
        <f t="shared" si="51"/>
        <v>7.5187969924812026E-3</v>
      </c>
    </row>
    <row r="405" spans="1:61" ht="14.25" customHeight="1">
      <c r="A405" s="165">
        <f>'Conveyor Downtime (new)'!A402</f>
        <v>46220</v>
      </c>
      <c r="BH405">
        <f t="shared" si="50"/>
        <v>0</v>
      </c>
      <c r="BI405" s="351">
        <f t="shared" si="51"/>
        <v>0</v>
      </c>
    </row>
    <row r="406" spans="1:61" ht="14.25" customHeight="1">
      <c r="A406" s="165">
        <f>'Conveyor Downtime (new)'!A403</f>
        <v>46223</v>
      </c>
      <c r="B406" s="346"/>
      <c r="C406" s="346"/>
      <c r="D406" s="346"/>
      <c r="E406" s="346"/>
      <c r="F406" s="346"/>
      <c r="G406" s="346"/>
      <c r="H406" s="346"/>
      <c r="I406" s="346">
        <f>4+3+9+12+6</f>
        <v>34</v>
      </c>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346"/>
      <c r="AK406" s="346"/>
      <c r="AL406" s="346"/>
      <c r="AM406" s="346"/>
      <c r="AN406" s="346"/>
      <c r="AO406" s="346"/>
      <c r="AP406" s="346"/>
      <c r="AQ406" s="346"/>
      <c r="AR406" s="346"/>
      <c r="AS406" s="346"/>
      <c r="AT406" s="346"/>
      <c r="AU406" s="346"/>
      <c r="AV406" s="346"/>
      <c r="AW406" s="346"/>
      <c r="AX406" s="346"/>
      <c r="AY406" s="346"/>
      <c r="AZ406" s="346"/>
      <c r="BA406" s="346"/>
      <c r="BB406" s="346"/>
      <c r="BC406" s="346"/>
      <c r="BD406" s="346"/>
      <c r="BE406" s="346"/>
      <c r="BF406" s="346"/>
      <c r="BG406" s="346"/>
      <c r="BH406">
        <f t="shared" si="50"/>
        <v>34</v>
      </c>
      <c r="BI406" s="351">
        <f t="shared" si="51"/>
        <v>8.5213032581453629E-2</v>
      </c>
    </row>
    <row r="407" spans="1:61" ht="14.25" customHeight="1">
      <c r="A407" s="165">
        <f>'Conveyor Downtime (new)'!A404</f>
        <v>46223</v>
      </c>
      <c r="BH407">
        <f t="shared" si="50"/>
        <v>0</v>
      </c>
      <c r="BI407" s="351">
        <f t="shared" si="51"/>
        <v>0</v>
      </c>
    </row>
    <row r="408" spans="1:61" ht="14.25" customHeight="1">
      <c r="A408" s="165">
        <f>'Conveyor Downtime (new)'!A405</f>
        <v>46224</v>
      </c>
      <c r="BH408">
        <f t="shared" si="50"/>
        <v>0</v>
      </c>
      <c r="BI408" s="351">
        <f t="shared" si="51"/>
        <v>0</v>
      </c>
    </row>
    <row r="409" spans="1:61" ht="14.25" customHeight="1">
      <c r="A409" s="165">
        <f>'Conveyor Downtime (new)'!A406</f>
        <v>46224</v>
      </c>
      <c r="B409" s="346"/>
      <c r="C409" s="346"/>
      <c r="D409" s="346"/>
      <c r="E409" s="346"/>
      <c r="F409" s="346"/>
      <c r="G409" s="346"/>
      <c r="H409" s="346"/>
      <c r="I409" s="346">
        <f>3+5+3+5+4+3+6</f>
        <v>29</v>
      </c>
      <c r="J409" s="346"/>
      <c r="K409" s="346"/>
      <c r="L409" s="346"/>
      <c r="M409" s="346"/>
      <c r="N409" s="346"/>
      <c r="O409" s="346"/>
      <c r="P409" s="346"/>
      <c r="Q409" s="346"/>
      <c r="R409" s="346"/>
      <c r="S409" s="346"/>
      <c r="T409" s="346"/>
      <c r="U409" s="346"/>
      <c r="V409" s="346"/>
      <c r="W409" s="346"/>
      <c r="X409" s="346"/>
      <c r="Y409" s="346"/>
      <c r="Z409" s="346"/>
      <c r="AA409" s="346"/>
      <c r="AB409" s="346"/>
      <c r="AC409" s="346"/>
      <c r="AD409" s="346"/>
      <c r="AE409" s="346"/>
      <c r="AF409" s="346"/>
      <c r="AG409" s="346"/>
      <c r="AH409" s="346"/>
      <c r="AI409" s="346"/>
      <c r="AJ409" s="346"/>
      <c r="AK409" s="346"/>
      <c r="AL409" s="346"/>
      <c r="AM409" s="346"/>
      <c r="AN409" s="346"/>
      <c r="AO409" s="346"/>
      <c r="AP409" s="346"/>
      <c r="AQ409" s="346"/>
      <c r="AR409" s="346"/>
      <c r="AS409" s="346"/>
      <c r="AT409" s="346"/>
      <c r="AU409" s="346"/>
      <c r="AV409" s="346"/>
      <c r="AW409" s="346"/>
      <c r="AX409" s="346"/>
      <c r="AY409" s="346"/>
      <c r="AZ409" s="346"/>
      <c r="BA409" s="346"/>
      <c r="BB409" s="346"/>
      <c r="BC409" s="346"/>
      <c r="BD409" s="346"/>
      <c r="BE409" s="346"/>
      <c r="BF409" s="346"/>
      <c r="BG409" s="346"/>
      <c r="BH409">
        <f t="shared" si="50"/>
        <v>29</v>
      </c>
      <c r="BI409" s="351">
        <f t="shared" si="51"/>
        <v>7.2681704260651625E-2</v>
      </c>
    </row>
    <row r="410" spans="1:61" ht="14.25" customHeight="1">
      <c r="A410" s="165">
        <f>'Conveyor Downtime (new)'!A407</f>
        <v>46224</v>
      </c>
      <c r="B410" s="165"/>
      <c r="C410" s="165"/>
      <c r="I410">
        <f>3</f>
        <v>3</v>
      </c>
      <c r="BH410">
        <f t="shared" si="50"/>
        <v>3</v>
      </c>
      <c r="BI410" s="351">
        <f t="shared" si="51"/>
        <v>7.5187969924812026E-3</v>
      </c>
    </row>
    <row r="411" spans="1:61" ht="14.25" customHeight="1">
      <c r="A411" s="165">
        <f>'Conveyor Downtime (new)'!A408</f>
        <v>46225</v>
      </c>
      <c r="B411" s="346"/>
      <c r="C411" s="346"/>
      <c r="D411" s="346"/>
      <c r="E411" s="346"/>
      <c r="F411" s="346"/>
      <c r="G411" s="346"/>
      <c r="H411" s="346"/>
      <c r="I411" s="346">
        <f>9+4+6+13</f>
        <v>32</v>
      </c>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s="346"/>
      <c r="AL411" s="346"/>
      <c r="AM411" s="346"/>
      <c r="AN411" s="346"/>
      <c r="AO411" s="346"/>
      <c r="AP411" s="346"/>
      <c r="AQ411" s="346"/>
      <c r="AR411" s="346"/>
      <c r="AS411" s="346"/>
      <c r="AT411" s="346"/>
      <c r="AU411" s="346"/>
      <c r="AV411" s="346"/>
      <c r="AW411" s="346"/>
      <c r="AX411" s="346"/>
      <c r="AY411" s="346"/>
      <c r="AZ411" s="346"/>
      <c r="BA411" s="346"/>
      <c r="BB411" s="346"/>
      <c r="BC411" s="346"/>
      <c r="BD411" s="346"/>
      <c r="BE411" s="346"/>
      <c r="BF411" s="346"/>
      <c r="BG411" s="346"/>
      <c r="BH411">
        <f t="shared" si="50"/>
        <v>32</v>
      </c>
      <c r="BI411" s="351">
        <f t="shared" si="51"/>
        <v>8.0200501253132828E-2</v>
      </c>
    </row>
    <row r="412" spans="1:61" ht="14.25" customHeight="1">
      <c r="A412" s="165">
        <f>'Conveyor Downtime (new)'!A409</f>
        <v>46225</v>
      </c>
      <c r="BH412">
        <f t="shared" si="50"/>
        <v>0</v>
      </c>
      <c r="BI412" s="351">
        <f t="shared" si="51"/>
        <v>0</v>
      </c>
    </row>
    <row r="413" spans="1:61" ht="15.75" customHeight="1">
      <c r="A413" s="165">
        <f>'Conveyor Downtime (new)'!A410</f>
        <v>46226</v>
      </c>
      <c r="B413" s="346"/>
      <c r="C413" s="346"/>
      <c r="D413" s="346"/>
      <c r="E413" s="346"/>
      <c r="F413" s="346"/>
      <c r="G413" s="346"/>
      <c r="H413" s="346"/>
      <c r="I413" s="346"/>
      <c r="J413" s="346"/>
      <c r="K413" s="346"/>
      <c r="L413" s="346"/>
      <c r="M413" s="346"/>
      <c r="N413" s="346"/>
      <c r="O413" s="346"/>
      <c r="P413" s="346">
        <f>3</f>
        <v>3</v>
      </c>
      <c r="Q413" s="346"/>
      <c r="R413" s="346"/>
      <c r="S413" s="346"/>
      <c r="T413" s="346"/>
      <c r="U413" s="346"/>
      <c r="V413" s="346"/>
      <c r="W413" s="346"/>
      <c r="X413" s="346"/>
      <c r="Y413" s="346"/>
      <c r="Z413" s="346"/>
      <c r="AA413" s="346"/>
      <c r="AB413" s="346"/>
      <c r="AC413" s="346"/>
      <c r="AD413" s="346"/>
      <c r="AE413" s="346"/>
      <c r="AF413" s="346"/>
      <c r="AG413" s="346"/>
      <c r="AH413" s="346"/>
      <c r="AI413" s="346"/>
      <c r="AJ413" s="346"/>
      <c r="AK413" s="346"/>
      <c r="AL413" s="346"/>
      <c r="AM413" s="346"/>
      <c r="AN413" s="346"/>
      <c r="AO413" s="346"/>
      <c r="AP413" s="346"/>
      <c r="AQ413" s="346"/>
      <c r="AR413" s="346"/>
      <c r="AS413" s="346"/>
      <c r="AT413" s="346"/>
      <c r="AU413" s="346"/>
      <c r="AV413" s="346"/>
      <c r="AW413" s="346"/>
      <c r="AX413" s="346"/>
      <c r="AY413" s="346"/>
      <c r="AZ413" s="346"/>
      <c r="BA413" s="346"/>
      <c r="BB413" s="346"/>
      <c r="BC413" s="346"/>
      <c r="BD413" s="346"/>
      <c r="BE413" s="346"/>
      <c r="BF413" s="346">
        <v>3</v>
      </c>
      <c r="BG413" s="346"/>
      <c r="BH413">
        <f t="shared" si="50"/>
        <v>6</v>
      </c>
      <c r="BI413" s="351">
        <f t="shared" si="51"/>
        <v>1.5037593984962405E-2</v>
      </c>
    </row>
    <row r="414" spans="1:61" ht="14.25" customHeight="1">
      <c r="A414" s="165">
        <f>'Conveyor Downtime (new)'!A411</f>
        <v>46226</v>
      </c>
      <c r="BH414">
        <f t="shared" si="50"/>
        <v>0</v>
      </c>
      <c r="BI414" s="351">
        <f t="shared" si="51"/>
        <v>0</v>
      </c>
    </row>
    <row r="415" spans="1:61" ht="14.25" customHeight="1">
      <c r="A415" s="165">
        <f>'Conveyor Downtime (new)'!A412</f>
        <v>46227</v>
      </c>
      <c r="B415" s="346"/>
      <c r="C415" s="346"/>
      <c r="D415" s="346"/>
      <c r="E415" s="346"/>
      <c r="F415" s="346"/>
      <c r="G415" s="346"/>
      <c r="H415" s="346"/>
      <c r="I415" s="346"/>
      <c r="J415" s="346"/>
      <c r="K415" s="346"/>
      <c r="L415" s="346"/>
      <c r="M415" s="346"/>
      <c r="N415" s="346"/>
      <c r="O415" s="77"/>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346"/>
      <c r="AK415" s="346"/>
      <c r="AL415" s="346"/>
      <c r="AM415" s="346"/>
      <c r="AN415" s="346"/>
      <c r="AO415" s="346"/>
      <c r="AP415" s="346"/>
      <c r="AQ415" s="346"/>
      <c r="AR415" s="346"/>
      <c r="AS415" s="346"/>
      <c r="AT415" s="346"/>
      <c r="AU415" s="346"/>
      <c r="AV415" s="346"/>
      <c r="AW415" s="346"/>
      <c r="AX415" s="346"/>
      <c r="AY415" s="346"/>
      <c r="AZ415" s="346"/>
      <c r="BA415" s="346"/>
      <c r="BB415" s="346"/>
      <c r="BC415" s="346"/>
      <c r="BD415" s="346"/>
      <c r="BE415" s="346"/>
      <c r="BF415" s="346"/>
      <c r="BG415" s="346"/>
      <c r="BH415">
        <f t="shared" si="50"/>
        <v>0</v>
      </c>
      <c r="BI415" s="351">
        <f>BH415/$BH$372</f>
        <v>0</v>
      </c>
    </row>
    <row r="416" spans="1:61" ht="14.25" customHeight="1">
      <c r="A416" s="165">
        <f>'Conveyor Downtime (new)'!A413</f>
        <v>46227</v>
      </c>
      <c r="BH416">
        <f t="shared" si="50"/>
        <v>0</v>
      </c>
      <c r="BI416" s="351">
        <f>BH416/$BH$372</f>
        <v>0</v>
      </c>
    </row>
    <row r="417" spans="1:61" ht="14.25" customHeight="1">
      <c r="A417" s="165">
        <f>'Conveyor Downtime (new)'!A414</f>
        <v>46230</v>
      </c>
      <c r="B417" s="346"/>
      <c r="C417" s="346"/>
      <c r="D417" s="346"/>
      <c r="E417" s="346"/>
      <c r="F417" s="346"/>
      <c r="G417" s="346"/>
      <c r="H417" s="346">
        <f>2+3</f>
        <v>5</v>
      </c>
      <c r="I417" s="346">
        <f>6+2+4+5+4+2+2+4</f>
        <v>29</v>
      </c>
      <c r="J417" s="346"/>
      <c r="K417" s="346"/>
      <c r="L417" s="346"/>
      <c r="M417" s="346"/>
      <c r="N417" s="346"/>
      <c r="O417" s="77"/>
      <c r="P417" s="346"/>
      <c r="Q417" s="346"/>
      <c r="R417" s="346">
        <f>13+60+60+60+35</f>
        <v>228</v>
      </c>
      <c r="S417" s="346"/>
      <c r="T417" s="346"/>
      <c r="U417" s="346"/>
      <c r="V417" s="346"/>
      <c r="W417" s="346"/>
      <c r="X417" s="346"/>
      <c r="Y417" s="346"/>
      <c r="Z417" s="346"/>
      <c r="AA417" s="346"/>
      <c r="AB417" s="346"/>
      <c r="AC417" s="346"/>
      <c r="AD417" s="346"/>
      <c r="AE417" s="346"/>
      <c r="AF417" s="346"/>
      <c r="AG417" s="346"/>
      <c r="AH417" s="346"/>
      <c r="AI417" s="346"/>
      <c r="AJ417" s="346"/>
      <c r="AK417" s="346"/>
      <c r="AL417" s="346"/>
      <c r="AM417" s="346"/>
      <c r="AN417" s="346"/>
      <c r="AO417" s="346"/>
      <c r="AP417" s="346"/>
      <c r="AQ417" s="346"/>
      <c r="AR417" s="346"/>
      <c r="AS417" s="346"/>
      <c r="AT417" s="346"/>
      <c r="AU417" s="346"/>
      <c r="AV417" s="346"/>
      <c r="AW417" s="346"/>
      <c r="AX417" s="346"/>
      <c r="AY417" s="346"/>
      <c r="AZ417" s="346"/>
      <c r="BA417" s="346"/>
      <c r="BB417" s="346"/>
      <c r="BC417" s="346"/>
      <c r="BD417" s="346"/>
      <c r="BE417" s="346"/>
      <c r="BF417" s="346"/>
      <c r="BG417" s="346"/>
      <c r="BH417">
        <f t="shared" si="50"/>
        <v>262</v>
      </c>
      <c r="BI417" s="351">
        <f>BH417/$BH$372</f>
        <v>0.65664160401002503</v>
      </c>
    </row>
    <row r="418" spans="1:61" ht="14.25" customHeight="1">
      <c r="A418" s="165">
        <f>'Conveyor Downtime (new)'!A415</f>
        <v>46231</v>
      </c>
      <c r="H418">
        <f>2</f>
        <v>2</v>
      </c>
      <c r="I418">
        <f>3+4+5+2+2+2+3</f>
        <v>21</v>
      </c>
      <c r="BF418">
        <f>4+4+3+3</f>
        <v>14</v>
      </c>
      <c r="BH418">
        <f t="shared" si="50"/>
        <v>37</v>
      </c>
      <c r="BI418" s="351">
        <f>BH418/$BH$372</f>
        <v>9.2731829573934832E-2</v>
      </c>
    </row>
    <row r="419" spans="1:61" ht="14.25" customHeight="1">
      <c r="A419" s="165">
        <f>'Conveyor Downtime (new)'!A416</f>
        <v>46231</v>
      </c>
      <c r="B419" s="346"/>
      <c r="C419" s="346"/>
      <c r="D419" s="346"/>
      <c r="E419" s="346"/>
      <c r="F419" s="346"/>
      <c r="G419" s="346"/>
      <c r="H419" s="346">
        <f>4</f>
        <v>4</v>
      </c>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346"/>
      <c r="AK419" s="346"/>
      <c r="AL419" s="346"/>
      <c r="AM419" s="346"/>
      <c r="AN419" s="346"/>
      <c r="AO419" s="346"/>
      <c r="AP419" s="346"/>
      <c r="AQ419" s="346"/>
      <c r="AR419" s="346"/>
      <c r="AS419" s="346"/>
      <c r="AT419" s="346"/>
      <c r="AU419" s="346"/>
      <c r="AV419" s="346"/>
      <c r="AW419" s="346"/>
      <c r="AX419" s="346"/>
      <c r="AY419" s="346"/>
      <c r="AZ419" s="346"/>
      <c r="BA419" s="346"/>
      <c r="BB419" s="346"/>
      <c r="BC419" s="346"/>
      <c r="BD419" s="346"/>
      <c r="BE419" s="346"/>
      <c r="BF419" s="346"/>
      <c r="BG419" s="346"/>
      <c r="BH419">
        <f t="shared" si="50"/>
        <v>4</v>
      </c>
      <c r="BI419" s="351">
        <f>BH419/$BH$372</f>
        <v>1.0025062656641603E-2</v>
      </c>
    </row>
    <row r="420" spans="1:61" ht="14.25" customHeight="1">
      <c r="A420" s="165">
        <f>'Conveyor Downtime (new)'!A417</f>
        <v>46232</v>
      </c>
      <c r="BH420">
        <f t="shared" si="50"/>
        <v>0</v>
      </c>
      <c r="BI420" s="351">
        <f t="shared" si="51"/>
        <v>0</v>
      </c>
    </row>
    <row r="421" spans="1:61" ht="14.25" customHeight="1">
      <c r="A421" s="165">
        <f>'Conveyor Downtime (new)'!A418</f>
        <v>46232</v>
      </c>
      <c r="B421" s="346"/>
      <c r="C421" s="346"/>
      <c r="D421" s="346"/>
      <c r="E421" s="346"/>
      <c r="F421" s="346"/>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346"/>
      <c r="AK421" s="346"/>
      <c r="AL421" s="346"/>
      <c r="AM421" s="346"/>
      <c r="AN421" s="346"/>
      <c r="AO421" s="346"/>
      <c r="AP421" s="346"/>
      <c r="AQ421" s="346"/>
      <c r="AR421" s="346"/>
      <c r="AS421" s="346"/>
      <c r="AT421" s="346"/>
      <c r="AU421" s="346"/>
      <c r="AV421" s="346"/>
      <c r="AW421" s="346"/>
      <c r="AX421" s="346"/>
      <c r="AY421" s="346"/>
      <c r="AZ421" s="346"/>
      <c r="BA421" s="346"/>
      <c r="BB421" s="346"/>
      <c r="BC421" s="346"/>
      <c r="BD421" s="346"/>
      <c r="BE421" s="346"/>
      <c r="BF421" s="346"/>
      <c r="BG421" s="346"/>
      <c r="BH421">
        <f t="shared" si="50"/>
        <v>0</v>
      </c>
      <c r="BI421" s="351">
        <f t="shared" si="51"/>
        <v>0</v>
      </c>
    </row>
    <row r="422" spans="1:61" ht="14.25" customHeight="1">
      <c r="A422" s="165">
        <f>'Conveyor Downtime (new)'!A419</f>
        <v>46232</v>
      </c>
      <c r="I422">
        <f>4+3+4</f>
        <v>11</v>
      </c>
      <c r="BH422">
        <f t="shared" si="50"/>
        <v>11</v>
      </c>
      <c r="BI422" s="351">
        <f t="shared" si="51"/>
        <v>2.7568922305764409E-2</v>
      </c>
    </row>
    <row r="423" spans="1:61" ht="14.25" customHeight="1">
      <c r="A423" s="165">
        <f>'Conveyor Downtime (new)'!A420</f>
        <v>46233</v>
      </c>
      <c r="B423" s="346"/>
      <c r="C423" s="346"/>
      <c r="D423" s="346"/>
      <c r="E423" s="346"/>
      <c r="F423" s="346"/>
      <c r="G423" s="346"/>
      <c r="H423" s="346">
        <f>5</f>
        <v>5</v>
      </c>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346"/>
      <c r="AK423" s="346"/>
      <c r="AL423" s="346"/>
      <c r="AM423" s="346"/>
      <c r="AN423" s="346"/>
      <c r="AO423" s="346"/>
      <c r="AP423" s="346"/>
      <c r="AQ423" s="346"/>
      <c r="AR423" s="346"/>
      <c r="AS423" s="346"/>
      <c r="AT423" s="346"/>
      <c r="AU423" s="346"/>
      <c r="AV423" s="346"/>
      <c r="AW423" s="346"/>
      <c r="AX423" s="346"/>
      <c r="AY423" s="346"/>
      <c r="AZ423" s="346"/>
      <c r="BA423" s="346"/>
      <c r="BB423" s="346"/>
      <c r="BC423" s="346"/>
      <c r="BD423" s="346"/>
      <c r="BE423" s="346"/>
      <c r="BF423" s="346"/>
      <c r="BG423" s="346"/>
      <c r="BH423">
        <f t="shared" si="50"/>
        <v>5</v>
      </c>
      <c r="BI423" s="351">
        <f t="shared" si="51"/>
        <v>1.2531328320802004E-2</v>
      </c>
    </row>
    <row r="424" spans="1:61" ht="14.25" customHeight="1">
      <c r="A424" s="165">
        <f>'Conveyor Downtime (new)'!A421</f>
        <v>46233</v>
      </c>
      <c r="P424">
        <f>4</f>
        <v>4</v>
      </c>
      <c r="BF424">
        <f>5+2+2+2+3</f>
        <v>14</v>
      </c>
      <c r="BG424">
        <v>4</v>
      </c>
      <c r="BH424">
        <f t="shared" si="50"/>
        <v>22</v>
      </c>
      <c r="BI424" s="351">
        <f t="shared" si="51"/>
        <v>5.5137844611528819E-2</v>
      </c>
    </row>
    <row r="425" spans="1:61" ht="14.25" customHeight="1">
      <c r="A425" s="165">
        <f>'Conveyor Downtime (new)'!A422</f>
        <v>46233</v>
      </c>
      <c r="B425" s="346"/>
      <c r="C425" s="346"/>
      <c r="D425" s="346"/>
      <c r="E425" s="346"/>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346"/>
      <c r="AK425" s="346"/>
      <c r="AL425" s="346"/>
      <c r="AM425" s="346"/>
      <c r="AN425" s="346"/>
      <c r="AO425" s="346"/>
      <c r="AP425" s="346"/>
      <c r="AQ425" s="346"/>
      <c r="AR425" s="346"/>
      <c r="AS425" s="346"/>
      <c r="AT425" s="346"/>
      <c r="AU425" s="346"/>
      <c r="AV425" s="346"/>
      <c r="AW425" s="346"/>
      <c r="AX425" s="346"/>
      <c r="AY425" s="346"/>
      <c r="AZ425" s="346"/>
      <c r="BA425" s="346"/>
      <c r="BB425" s="346"/>
      <c r="BC425" s="346"/>
      <c r="BD425" s="346"/>
      <c r="BE425" s="346"/>
      <c r="BF425" s="346"/>
      <c r="BG425" s="346"/>
      <c r="BH425">
        <f t="shared" si="50"/>
        <v>0</v>
      </c>
      <c r="BI425" s="351">
        <f t="shared" si="51"/>
        <v>0</v>
      </c>
    </row>
    <row r="426" spans="1:61" ht="14.25" customHeight="1">
      <c r="A426" s="165">
        <f>'Conveyor Downtime (new)'!A423</f>
        <v>46234</v>
      </c>
      <c r="H426">
        <f>6+2+2</f>
        <v>10</v>
      </c>
      <c r="I426">
        <v>4</v>
      </c>
      <c r="BH426">
        <f t="shared" si="50"/>
        <v>14</v>
      </c>
      <c r="BI426" s="351">
        <f t="shared" si="51"/>
        <v>3.5087719298245612E-2</v>
      </c>
    </row>
    <row r="427" spans="1:61" ht="14.25" customHeight="1">
      <c r="A427" s="165"/>
      <c r="B427" s="346"/>
      <c r="C427" s="346"/>
      <c r="D427" s="346"/>
      <c r="E427" s="346"/>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346"/>
      <c r="AK427" s="346"/>
      <c r="AL427" s="346"/>
      <c r="AM427" s="346"/>
      <c r="AN427" s="346"/>
      <c r="AO427" s="346"/>
      <c r="AP427" s="346"/>
      <c r="AQ427" s="346"/>
      <c r="AR427" s="346"/>
      <c r="AS427" s="346"/>
      <c r="AT427" s="346"/>
      <c r="AU427" s="346"/>
      <c r="AV427" s="346"/>
      <c r="AW427" s="346"/>
      <c r="AX427" s="346"/>
      <c r="AY427" s="346"/>
      <c r="AZ427" s="346"/>
      <c r="BA427" s="346"/>
      <c r="BB427" s="346"/>
      <c r="BC427" s="346"/>
      <c r="BD427" s="346"/>
      <c r="BE427" s="346"/>
      <c r="BF427" s="346"/>
      <c r="BG427" s="346"/>
      <c r="BH427">
        <f t="shared" si="50"/>
        <v>0</v>
      </c>
      <c r="BI427" s="351">
        <f t="shared" si="51"/>
        <v>0</v>
      </c>
    </row>
    <row r="428" spans="1:61" ht="14.25" customHeight="1">
      <c r="A428" s="165"/>
      <c r="BH428">
        <f t="shared" si="50"/>
        <v>0</v>
      </c>
      <c r="BI428" s="351">
        <f t="shared" si="51"/>
        <v>0</v>
      </c>
    </row>
    <row r="429" spans="1:61" ht="14.25" customHeight="1">
      <c r="A429" s="165"/>
      <c r="B429" s="346"/>
      <c r="C429" s="346"/>
      <c r="D429" s="346"/>
      <c r="E429" s="346"/>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s="346"/>
      <c r="AE429" s="346"/>
      <c r="AF429" s="346"/>
      <c r="AG429" s="346"/>
      <c r="AH429" s="346"/>
      <c r="AI429" s="346"/>
      <c r="AJ429" s="346"/>
      <c r="AK429" s="346"/>
      <c r="AL429" s="346"/>
      <c r="AM429" s="346"/>
      <c r="AN429" s="346"/>
      <c r="AO429" s="346"/>
      <c r="AP429" s="346"/>
      <c r="AQ429" s="346"/>
      <c r="AR429" s="346"/>
      <c r="AS429" s="346"/>
      <c r="AT429" s="346"/>
      <c r="AU429" s="346"/>
      <c r="AV429" s="346"/>
      <c r="AW429" s="346"/>
      <c r="AX429" s="346"/>
      <c r="AY429" s="346"/>
      <c r="AZ429" s="346"/>
      <c r="BA429" s="346"/>
      <c r="BB429" s="346"/>
      <c r="BC429" s="346"/>
      <c r="BD429" s="346"/>
      <c r="BE429" s="346"/>
      <c r="BF429" s="346"/>
      <c r="BG429" s="346"/>
      <c r="BH429">
        <f t="shared" si="50"/>
        <v>0</v>
      </c>
      <c r="BI429" s="351">
        <f t="shared" si="51"/>
        <v>0</v>
      </c>
    </row>
    <row r="430" spans="1:61" ht="14.25" customHeight="1">
      <c r="A430" s="165"/>
      <c r="BH430">
        <f t="shared" si="50"/>
        <v>0</v>
      </c>
      <c r="BI430" s="351">
        <f t="shared" si="51"/>
        <v>0</v>
      </c>
    </row>
    <row r="431" spans="1:61" ht="14.25" customHeight="1">
      <c r="A431" s="165"/>
      <c r="B431" s="346"/>
      <c r="C431" s="346"/>
      <c r="D431" s="346"/>
      <c r="E431" s="346"/>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s="346"/>
      <c r="AE431" s="346"/>
      <c r="AF431" s="346"/>
      <c r="AG431" s="346"/>
      <c r="AH431" s="346"/>
      <c r="AI431" s="346"/>
      <c r="AJ431" s="346"/>
      <c r="AK431" s="346"/>
      <c r="AL431" s="346"/>
      <c r="AM431" s="346"/>
      <c r="AN431" s="346"/>
      <c r="AO431" s="346"/>
      <c r="AP431" s="346"/>
      <c r="AQ431" s="346"/>
      <c r="AR431" s="346"/>
      <c r="AS431" s="346"/>
      <c r="AT431" s="346"/>
      <c r="AU431" s="346"/>
      <c r="AV431" s="346"/>
      <c r="AW431" s="346"/>
      <c r="AX431" s="346"/>
      <c r="AY431" s="346"/>
      <c r="AZ431" s="346"/>
      <c r="BA431" s="346"/>
      <c r="BB431" s="346"/>
      <c r="BC431" s="346"/>
      <c r="BD431" s="346"/>
      <c r="BE431" s="346"/>
      <c r="BF431" s="346"/>
      <c r="BG431" s="346"/>
      <c r="BH431">
        <f t="shared" si="50"/>
        <v>0</v>
      </c>
      <c r="BI431" s="351">
        <f t="shared" si="51"/>
        <v>0</v>
      </c>
    </row>
    <row r="432" spans="1:61" ht="14.25" customHeight="1">
      <c r="A432" s="165"/>
      <c r="BH432">
        <f t="shared" si="50"/>
        <v>0</v>
      </c>
      <c r="BI432" s="351">
        <f t="shared" si="51"/>
        <v>0</v>
      </c>
    </row>
    <row r="433" spans="1:61" ht="14.25" customHeight="1">
      <c r="A433" s="347" t="s">
        <v>173</v>
      </c>
      <c r="B433" s="347">
        <f t="shared" ref="B433:AO433" si="54">SUM(B375:B432)</f>
        <v>0</v>
      </c>
      <c r="C433" s="347">
        <f t="shared" si="54"/>
        <v>0</v>
      </c>
      <c r="D433" s="347">
        <f t="shared" si="54"/>
        <v>0</v>
      </c>
      <c r="E433" s="347">
        <f t="shared" si="54"/>
        <v>0</v>
      </c>
      <c r="F433" s="347">
        <f t="shared" si="54"/>
        <v>0</v>
      </c>
      <c r="G433" s="347">
        <f t="shared" si="54"/>
        <v>0</v>
      </c>
      <c r="H433" s="347">
        <f t="shared" si="54"/>
        <v>126</v>
      </c>
      <c r="I433" s="347">
        <f t="shared" si="54"/>
        <v>395</v>
      </c>
      <c r="J433" s="347">
        <f t="shared" si="54"/>
        <v>0</v>
      </c>
      <c r="K433" s="347">
        <f t="shared" si="54"/>
        <v>0</v>
      </c>
      <c r="L433" s="347">
        <f t="shared" si="54"/>
        <v>0</v>
      </c>
      <c r="M433" s="347">
        <f t="shared" si="54"/>
        <v>0</v>
      </c>
      <c r="N433" s="347">
        <f t="shared" si="54"/>
        <v>0</v>
      </c>
      <c r="O433" s="347">
        <f t="shared" si="54"/>
        <v>0</v>
      </c>
      <c r="P433" s="347">
        <f t="shared" si="54"/>
        <v>7</v>
      </c>
      <c r="Q433" s="347">
        <f t="shared" si="54"/>
        <v>0</v>
      </c>
      <c r="R433" s="347">
        <f t="shared" si="54"/>
        <v>228</v>
      </c>
      <c r="S433" s="347">
        <f t="shared" si="54"/>
        <v>0</v>
      </c>
      <c r="T433" s="347">
        <f t="shared" si="54"/>
        <v>0</v>
      </c>
      <c r="U433" s="347">
        <f t="shared" si="54"/>
        <v>0</v>
      </c>
      <c r="V433" s="347">
        <f t="shared" si="54"/>
        <v>0</v>
      </c>
      <c r="W433" s="347">
        <f t="shared" si="54"/>
        <v>0</v>
      </c>
      <c r="X433" s="347">
        <f t="shared" si="54"/>
        <v>0</v>
      </c>
      <c r="Y433" s="347">
        <f t="shared" si="54"/>
        <v>0</v>
      </c>
      <c r="Z433" s="347">
        <f t="shared" si="54"/>
        <v>0</v>
      </c>
      <c r="AA433" s="347">
        <f t="shared" si="54"/>
        <v>0</v>
      </c>
      <c r="AB433" s="347">
        <f t="shared" si="54"/>
        <v>0</v>
      </c>
      <c r="AC433" s="347">
        <f t="shared" si="54"/>
        <v>0</v>
      </c>
      <c r="AD433" s="347">
        <f t="shared" si="54"/>
        <v>0</v>
      </c>
      <c r="AE433" s="347">
        <f t="shared" si="54"/>
        <v>0</v>
      </c>
      <c r="AF433" s="347">
        <f t="shared" si="54"/>
        <v>0</v>
      </c>
      <c r="AG433" s="347">
        <f t="shared" si="54"/>
        <v>0</v>
      </c>
      <c r="AH433" s="347">
        <f t="shared" si="54"/>
        <v>0</v>
      </c>
      <c r="AI433" s="347">
        <f t="shared" si="54"/>
        <v>0</v>
      </c>
      <c r="AJ433" s="347">
        <f t="shared" si="54"/>
        <v>0</v>
      </c>
      <c r="AK433" s="347">
        <f t="shared" si="54"/>
        <v>0</v>
      </c>
      <c r="AL433" s="347">
        <f t="shared" si="54"/>
        <v>0</v>
      </c>
      <c r="AM433" s="347">
        <f t="shared" si="54"/>
        <v>0</v>
      </c>
      <c r="AN433" s="347">
        <f t="shared" si="54"/>
        <v>0</v>
      </c>
      <c r="AO433" s="347">
        <f t="shared" si="54"/>
        <v>0</v>
      </c>
      <c r="AP433" s="347">
        <f t="shared" ref="AP433:BG433" si="55">SUM(AP375:AP432)</f>
        <v>0</v>
      </c>
      <c r="AQ433" s="347">
        <f t="shared" si="55"/>
        <v>0</v>
      </c>
      <c r="AR433" s="347">
        <f t="shared" si="55"/>
        <v>0</v>
      </c>
      <c r="AS433" s="347">
        <f t="shared" si="55"/>
        <v>0</v>
      </c>
      <c r="AT433" s="347">
        <f t="shared" si="55"/>
        <v>0</v>
      </c>
      <c r="AU433" s="347">
        <f t="shared" si="55"/>
        <v>0</v>
      </c>
      <c r="AV433" s="347">
        <f t="shared" si="55"/>
        <v>0</v>
      </c>
      <c r="AW433" s="347">
        <f t="shared" si="55"/>
        <v>0</v>
      </c>
      <c r="AX433" s="347">
        <f t="shared" si="55"/>
        <v>0</v>
      </c>
      <c r="AY433" s="347">
        <f t="shared" si="55"/>
        <v>0</v>
      </c>
      <c r="AZ433" s="347">
        <f t="shared" si="55"/>
        <v>0</v>
      </c>
      <c r="BA433" s="347">
        <f t="shared" si="55"/>
        <v>0</v>
      </c>
      <c r="BB433" s="347">
        <f t="shared" si="55"/>
        <v>0</v>
      </c>
      <c r="BC433" s="347">
        <f t="shared" si="55"/>
        <v>0</v>
      </c>
      <c r="BD433" s="347">
        <f t="shared" si="55"/>
        <v>0</v>
      </c>
      <c r="BE433" s="347">
        <f t="shared" si="55"/>
        <v>0</v>
      </c>
      <c r="BF433" s="347">
        <f t="shared" si="55"/>
        <v>102</v>
      </c>
      <c r="BG433" s="347">
        <f t="shared" si="55"/>
        <v>6</v>
      </c>
      <c r="BH433">
        <f t="shared" si="50"/>
        <v>864</v>
      </c>
      <c r="BI433" s="351"/>
    </row>
    <row r="434" spans="1:61" ht="14.25" customHeight="1" thickBot="1">
      <c r="A434" s="348" t="s">
        <v>174</v>
      </c>
      <c r="B434" s="348">
        <f>B433/$BH433</f>
        <v>0</v>
      </c>
      <c r="C434" s="348">
        <f>C433/$BH433</f>
        <v>0</v>
      </c>
      <c r="D434" s="348">
        <f>D433/$BH433</f>
        <v>0</v>
      </c>
      <c r="E434" s="348">
        <f>E433/$BH433</f>
        <v>0</v>
      </c>
      <c r="F434" s="348">
        <f t="shared" ref="F434:Q434" si="56">F433/$BH433</f>
        <v>0</v>
      </c>
      <c r="G434" s="348">
        <f t="shared" si="56"/>
        <v>0</v>
      </c>
      <c r="H434" s="348">
        <f t="shared" si="56"/>
        <v>0.14583333333333334</v>
      </c>
      <c r="I434" s="348">
        <f t="shared" si="56"/>
        <v>0.45717592592592593</v>
      </c>
      <c r="J434" s="348">
        <f t="shared" si="56"/>
        <v>0</v>
      </c>
      <c r="K434" s="348">
        <f t="shared" si="56"/>
        <v>0</v>
      </c>
      <c r="L434" s="348">
        <f t="shared" si="56"/>
        <v>0</v>
      </c>
      <c r="M434" s="348">
        <f t="shared" si="56"/>
        <v>0</v>
      </c>
      <c r="N434" s="348">
        <f t="shared" si="56"/>
        <v>0</v>
      </c>
      <c r="O434" s="348">
        <f t="shared" si="56"/>
        <v>0</v>
      </c>
      <c r="P434" s="348">
        <f t="shared" si="56"/>
        <v>8.1018518518518514E-3</v>
      </c>
      <c r="Q434" s="348">
        <f t="shared" si="56"/>
        <v>0</v>
      </c>
      <c r="R434" s="348">
        <f t="shared" ref="R434:Z434" si="57">R433/$BH433</f>
        <v>0.2638888888888889</v>
      </c>
      <c r="S434" s="348">
        <f t="shared" si="57"/>
        <v>0</v>
      </c>
      <c r="T434" s="348">
        <f t="shared" si="57"/>
        <v>0</v>
      </c>
      <c r="U434" s="348">
        <f t="shared" si="57"/>
        <v>0</v>
      </c>
      <c r="V434" s="348">
        <f t="shared" si="57"/>
        <v>0</v>
      </c>
      <c r="W434" s="348">
        <f t="shared" si="57"/>
        <v>0</v>
      </c>
      <c r="X434" s="348">
        <f t="shared" si="57"/>
        <v>0</v>
      </c>
      <c r="Y434" s="348">
        <f t="shared" si="57"/>
        <v>0</v>
      </c>
      <c r="Z434" s="348">
        <f t="shared" si="57"/>
        <v>0</v>
      </c>
      <c r="AA434" s="348">
        <f t="shared" ref="AA434:AO434" si="58">AA433/$BH433</f>
        <v>0</v>
      </c>
      <c r="AB434" s="348">
        <f t="shared" si="58"/>
        <v>0</v>
      </c>
      <c r="AC434" s="348">
        <f t="shared" si="58"/>
        <v>0</v>
      </c>
      <c r="AD434" s="348">
        <f t="shared" si="58"/>
        <v>0</v>
      </c>
      <c r="AE434" s="348">
        <f t="shared" si="58"/>
        <v>0</v>
      </c>
      <c r="AF434" s="348">
        <f t="shared" si="58"/>
        <v>0</v>
      </c>
      <c r="AG434" s="348">
        <f t="shared" si="58"/>
        <v>0</v>
      </c>
      <c r="AH434" s="348">
        <f t="shared" si="58"/>
        <v>0</v>
      </c>
      <c r="AI434" s="348">
        <f t="shared" si="58"/>
        <v>0</v>
      </c>
      <c r="AJ434" s="348">
        <f t="shared" si="58"/>
        <v>0</v>
      </c>
      <c r="AK434" s="348">
        <f t="shared" si="58"/>
        <v>0</v>
      </c>
      <c r="AL434" s="348">
        <f t="shared" si="58"/>
        <v>0</v>
      </c>
      <c r="AM434" s="348">
        <f t="shared" si="58"/>
        <v>0</v>
      </c>
      <c r="AN434" s="348">
        <f t="shared" si="58"/>
        <v>0</v>
      </c>
      <c r="AO434" s="348">
        <f t="shared" si="58"/>
        <v>0</v>
      </c>
      <c r="AP434" s="348">
        <f t="shared" ref="AP434:BG434" si="59">AP433/$BH433</f>
        <v>0</v>
      </c>
      <c r="AQ434" s="348">
        <f t="shared" si="59"/>
        <v>0</v>
      </c>
      <c r="AR434" s="348">
        <f t="shared" si="59"/>
        <v>0</v>
      </c>
      <c r="AS434" s="348">
        <f t="shared" si="59"/>
        <v>0</v>
      </c>
      <c r="AT434" s="348">
        <f t="shared" si="59"/>
        <v>0</v>
      </c>
      <c r="AU434" s="348">
        <f t="shared" si="59"/>
        <v>0</v>
      </c>
      <c r="AV434" s="348">
        <f t="shared" si="59"/>
        <v>0</v>
      </c>
      <c r="AW434" s="348">
        <f t="shared" si="59"/>
        <v>0</v>
      </c>
      <c r="AX434" s="348">
        <f t="shared" si="59"/>
        <v>0</v>
      </c>
      <c r="AY434" s="348">
        <f t="shared" si="59"/>
        <v>0</v>
      </c>
      <c r="AZ434" s="348">
        <f t="shared" si="59"/>
        <v>0</v>
      </c>
      <c r="BA434" s="348">
        <f t="shared" si="59"/>
        <v>0</v>
      </c>
      <c r="BB434" s="348">
        <f t="shared" si="59"/>
        <v>0</v>
      </c>
      <c r="BC434" s="348">
        <f t="shared" si="59"/>
        <v>0</v>
      </c>
      <c r="BD434" s="348">
        <f t="shared" si="59"/>
        <v>0</v>
      </c>
      <c r="BE434" s="348">
        <f t="shared" si="59"/>
        <v>0</v>
      </c>
      <c r="BF434" s="348">
        <f t="shared" si="59"/>
        <v>0.11805555555555555</v>
      </c>
      <c r="BG434" s="348">
        <f t="shared" si="59"/>
        <v>6.9444444444444441E-3</v>
      </c>
      <c r="BH434" s="351"/>
    </row>
    <row r="435" spans="1:61" ht="14.25" customHeight="1"/>
    <row r="436" spans="1:61" ht="14.25" customHeight="1"/>
    <row r="437" spans="1:61" ht="14.25" customHeight="1"/>
    <row r="438" spans="1:61" ht="14.25" customHeight="1">
      <c r="A438" s="165">
        <f>'Conveyor Downtime (new)'!A433</f>
        <v>46237</v>
      </c>
      <c r="BH438">
        <f t="shared" ref="BH438:BH470" si="60">SUM(B438:BG438)</f>
        <v>0</v>
      </c>
      <c r="BI438" s="351">
        <f t="shared" ref="BI438:BI493" si="61">BH438/$BH$372</f>
        <v>0</v>
      </c>
    </row>
    <row r="439" spans="1:61" ht="14.25" customHeight="1">
      <c r="A439" s="165">
        <f>'Conveyor Downtime (new)'!A434</f>
        <v>46238</v>
      </c>
      <c r="B439" s="346"/>
      <c r="C439" s="346"/>
      <c r="D439" s="346"/>
      <c r="E439" s="346"/>
      <c r="F439" s="346"/>
      <c r="G439" s="346"/>
      <c r="H439" s="346">
        <f>2+1+5+2+2</f>
        <v>12</v>
      </c>
      <c r="I439" s="346">
        <f>3+5+4+2</f>
        <v>14</v>
      </c>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s="346"/>
      <c r="AJ439" s="346"/>
      <c r="AK439" s="346">
        <v>3</v>
      </c>
      <c r="AL439" s="346"/>
      <c r="AM439" s="346"/>
      <c r="AN439" s="346"/>
      <c r="AO439" s="346"/>
      <c r="AP439" s="346"/>
      <c r="AQ439" s="346"/>
      <c r="AR439" s="346"/>
      <c r="AS439" s="346"/>
      <c r="AT439" s="346"/>
      <c r="AU439" s="346"/>
      <c r="AV439" s="346"/>
      <c r="AW439" s="346"/>
      <c r="AX439" s="346"/>
      <c r="AY439" s="346"/>
      <c r="AZ439" s="346"/>
      <c r="BA439" s="346"/>
      <c r="BB439" s="346"/>
      <c r="BC439" s="346"/>
      <c r="BD439" s="346"/>
      <c r="BE439" s="346"/>
      <c r="BF439" s="346">
        <f>4+2+3</f>
        <v>9</v>
      </c>
      <c r="BG439" s="346"/>
      <c r="BH439">
        <f t="shared" si="60"/>
        <v>38</v>
      </c>
      <c r="BI439" s="351">
        <f t="shared" si="61"/>
        <v>9.5238095238095233E-2</v>
      </c>
    </row>
    <row r="440" spans="1:61" ht="14.25" customHeight="1">
      <c r="A440" s="165">
        <f>'Conveyor Downtime (new)'!A435</f>
        <v>46239</v>
      </c>
      <c r="AJ440">
        <f>4</f>
        <v>4</v>
      </c>
      <c r="AP440">
        <f>13</f>
        <v>13</v>
      </c>
      <c r="BH440">
        <f t="shared" si="60"/>
        <v>17</v>
      </c>
      <c r="BI440" s="351">
        <f t="shared" si="61"/>
        <v>4.2606516290726815E-2</v>
      </c>
    </row>
    <row r="441" spans="1:61" ht="14.25" customHeight="1">
      <c r="A441" s="165">
        <f>'Conveyor Downtime (new)'!A436</f>
        <v>46239</v>
      </c>
      <c r="B441" s="346"/>
      <c r="C441" s="346"/>
      <c r="D441" s="346"/>
      <c r="E441" s="346"/>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s="346"/>
      <c r="AE441" s="346"/>
      <c r="AF441" s="346"/>
      <c r="AG441" s="346"/>
      <c r="AH441" s="346"/>
      <c r="AI441" s="346"/>
      <c r="AJ441" s="346"/>
      <c r="AK441" s="346"/>
      <c r="AL441" s="346"/>
      <c r="AM441" s="346"/>
      <c r="AN441" s="346"/>
      <c r="AO441" s="346"/>
      <c r="AP441" s="346"/>
      <c r="AQ441" s="346"/>
      <c r="AR441" s="346"/>
      <c r="AS441" s="346"/>
      <c r="AT441" s="346"/>
      <c r="AU441" s="346"/>
      <c r="AV441" s="346"/>
      <c r="AW441" s="346"/>
      <c r="AX441" s="346"/>
      <c r="AY441" s="346"/>
      <c r="AZ441" s="346"/>
      <c r="BA441" s="346"/>
      <c r="BB441" s="346"/>
      <c r="BC441" s="346"/>
      <c r="BD441" s="346"/>
      <c r="BE441" s="346"/>
      <c r="BF441" s="346"/>
      <c r="BG441" s="346"/>
      <c r="BH441">
        <f t="shared" si="60"/>
        <v>0</v>
      </c>
      <c r="BI441" s="351">
        <f t="shared" si="61"/>
        <v>0</v>
      </c>
    </row>
    <row r="442" spans="1:61" ht="14.25" customHeight="1">
      <c r="A442" s="165">
        <f>'Conveyor Downtime (new)'!A437</f>
        <v>46239</v>
      </c>
      <c r="BH442">
        <f t="shared" si="60"/>
        <v>0</v>
      </c>
      <c r="BI442" s="351">
        <f t="shared" si="61"/>
        <v>0</v>
      </c>
    </row>
    <row r="443" spans="1:61" ht="14.25" customHeight="1">
      <c r="A443" s="165">
        <f>'Conveyor Downtime (new)'!A438</f>
        <v>46240</v>
      </c>
      <c r="B443" s="346"/>
      <c r="C443" s="346"/>
      <c r="D443" s="346"/>
      <c r="E443" s="346"/>
      <c r="F443" s="346"/>
      <c r="G443" s="346"/>
      <c r="H443" s="346">
        <f>1+1+3+3+3</f>
        <v>11</v>
      </c>
      <c r="I443" s="346">
        <f>4+5+4</f>
        <v>13</v>
      </c>
      <c r="J443" s="346"/>
      <c r="K443" s="346"/>
      <c r="L443" s="346"/>
      <c r="M443" s="346"/>
      <c r="N443" s="346"/>
      <c r="O443" s="346"/>
      <c r="P443" s="346"/>
      <c r="Q443" s="346"/>
      <c r="R443" s="346"/>
      <c r="S443" s="346"/>
      <c r="T443" s="346"/>
      <c r="U443" s="346"/>
      <c r="V443" s="346"/>
      <c r="W443" s="346"/>
      <c r="X443" s="346"/>
      <c r="Y443" s="346"/>
      <c r="Z443" s="346"/>
      <c r="AA443" s="346"/>
      <c r="AB443" s="346"/>
      <c r="AC443" s="346"/>
      <c r="AD443" s="346"/>
      <c r="AE443" s="346"/>
      <c r="AF443" s="346"/>
      <c r="AG443" s="346"/>
      <c r="AH443" s="346"/>
      <c r="AI443" s="346"/>
      <c r="AJ443" s="346"/>
      <c r="AK443" s="346"/>
      <c r="AL443" s="346"/>
      <c r="AM443" s="346"/>
      <c r="AN443" s="346"/>
      <c r="AO443" s="346"/>
      <c r="AP443" s="346"/>
      <c r="AQ443" s="346"/>
      <c r="AR443" s="346"/>
      <c r="AS443" s="346"/>
      <c r="AT443" s="346"/>
      <c r="AU443" s="346"/>
      <c r="AV443" s="346"/>
      <c r="AW443" s="346"/>
      <c r="AX443" s="346"/>
      <c r="AY443" s="346"/>
      <c r="AZ443" s="346"/>
      <c r="BA443" s="346"/>
      <c r="BB443" s="346"/>
      <c r="BC443" s="346"/>
      <c r="BD443" s="346"/>
      <c r="BE443" s="346"/>
      <c r="BF443" s="346">
        <f>3</f>
        <v>3</v>
      </c>
      <c r="BG443" s="346"/>
      <c r="BH443">
        <f t="shared" si="60"/>
        <v>27</v>
      </c>
      <c r="BI443" s="351">
        <f t="shared" si="61"/>
        <v>6.7669172932330823E-2</v>
      </c>
    </row>
    <row r="444" spans="1:61" ht="14.25" customHeight="1">
      <c r="A444" s="165">
        <f>'Conveyor Downtime (new)'!A439</f>
        <v>46241</v>
      </c>
      <c r="H444">
        <f>5</f>
        <v>5</v>
      </c>
      <c r="P444">
        <f>2</f>
        <v>2</v>
      </c>
      <c r="AO444">
        <f>40+4</f>
        <v>44</v>
      </c>
      <c r="BF444">
        <f>4</f>
        <v>4</v>
      </c>
      <c r="BH444">
        <f t="shared" si="60"/>
        <v>55</v>
      </c>
      <c r="BI444" s="351">
        <f t="shared" si="61"/>
        <v>0.13784461152882205</v>
      </c>
    </row>
    <row r="445" spans="1:61" ht="14.25" customHeight="1">
      <c r="A445" s="165">
        <f>'Conveyor Downtime (new)'!A440</f>
        <v>46241</v>
      </c>
      <c r="B445" s="346"/>
      <c r="C445" s="346"/>
      <c r="D445" s="346"/>
      <c r="E445" s="346"/>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s="346"/>
      <c r="AE445" s="346"/>
      <c r="AF445" s="346"/>
      <c r="AG445" s="346"/>
      <c r="AH445" s="346"/>
      <c r="AI445" s="346"/>
      <c r="AJ445" s="346"/>
      <c r="AK445" s="346"/>
      <c r="AL445" s="346"/>
      <c r="AM445" s="346"/>
      <c r="AN445" s="346"/>
      <c r="AO445" s="346"/>
      <c r="AP445" s="346"/>
      <c r="AQ445" s="346"/>
      <c r="AR445" s="346"/>
      <c r="AS445" s="346"/>
      <c r="AT445" s="346"/>
      <c r="AU445" s="346"/>
      <c r="AV445" s="346"/>
      <c r="AW445" s="346"/>
      <c r="AX445" s="346"/>
      <c r="AY445" s="346"/>
      <c r="AZ445" s="346"/>
      <c r="BA445" s="346"/>
      <c r="BB445" s="346"/>
      <c r="BC445" s="346"/>
      <c r="BD445" s="346"/>
      <c r="BE445" s="346"/>
      <c r="BF445" s="346"/>
      <c r="BG445" s="346"/>
      <c r="BH445">
        <f t="shared" si="60"/>
        <v>0</v>
      </c>
      <c r="BI445" s="351">
        <f t="shared" si="61"/>
        <v>0</v>
      </c>
    </row>
    <row r="446" spans="1:61" ht="14.25" customHeight="1">
      <c r="A446" s="165">
        <f>'Conveyor Downtime (new)'!A441</f>
        <v>46246</v>
      </c>
      <c r="H446">
        <f>6</f>
        <v>6</v>
      </c>
      <c r="BH446">
        <f t="shared" si="60"/>
        <v>6</v>
      </c>
      <c r="BI446" s="351">
        <f t="shared" si="61"/>
        <v>1.5037593984962405E-2</v>
      </c>
    </row>
    <row r="447" spans="1:61" ht="14.25" customHeight="1">
      <c r="A447" s="165">
        <f>'Conveyor Downtime (new)'!A442</f>
        <v>46247</v>
      </c>
      <c r="B447" s="346"/>
      <c r="C447" s="346"/>
      <c r="D447" s="346"/>
      <c r="E447" s="346"/>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s="346"/>
      <c r="AE447" s="346"/>
      <c r="AF447" s="346"/>
      <c r="AG447" s="346"/>
      <c r="AH447" s="346"/>
      <c r="AI447" s="346"/>
      <c r="AJ447" s="346"/>
      <c r="AK447" s="346"/>
      <c r="AL447" s="346"/>
      <c r="AM447" s="346"/>
      <c r="AN447" s="346"/>
      <c r="AO447" s="346"/>
      <c r="AP447" s="346"/>
      <c r="AQ447" s="346"/>
      <c r="AR447" s="346"/>
      <c r="AS447" s="346"/>
      <c r="AT447" s="346"/>
      <c r="AU447" s="346"/>
      <c r="AV447" s="346"/>
      <c r="AW447" s="346"/>
      <c r="AX447" s="346"/>
      <c r="AY447" s="346"/>
      <c r="AZ447" s="346"/>
      <c r="BA447" s="346"/>
      <c r="BB447" s="346"/>
      <c r="BC447" s="346"/>
      <c r="BD447" s="346"/>
      <c r="BE447" s="346"/>
      <c r="BF447" s="346">
        <f>4</f>
        <v>4</v>
      </c>
      <c r="BG447" s="346"/>
      <c r="BH447">
        <f t="shared" si="60"/>
        <v>4</v>
      </c>
      <c r="BI447" s="351">
        <f t="shared" si="61"/>
        <v>1.0025062656641603E-2</v>
      </c>
    </row>
    <row r="448" spans="1:61" ht="15.75" customHeight="1">
      <c r="A448" s="165">
        <f>'Conveyor Downtime (new)'!A443</f>
        <v>46247</v>
      </c>
      <c r="H448">
        <f>3</f>
        <v>3</v>
      </c>
      <c r="I448">
        <f>3</f>
        <v>3</v>
      </c>
      <c r="P448">
        <f>4</f>
        <v>4</v>
      </c>
      <c r="AS448">
        <f>21+42</f>
        <v>63</v>
      </c>
      <c r="BH448">
        <f t="shared" si="60"/>
        <v>73</v>
      </c>
      <c r="BI448" s="351">
        <f t="shared" si="61"/>
        <v>0.18295739348370926</v>
      </c>
    </row>
    <row r="449" spans="1:61" ht="14.25" customHeight="1">
      <c r="A449" s="165">
        <f>'Conveyor Downtime (new)'!A444</f>
        <v>46247</v>
      </c>
      <c r="B449" s="346"/>
      <c r="C449" s="346"/>
      <c r="D449" s="346"/>
      <c r="E449" s="346"/>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s="346"/>
      <c r="AE449" s="346"/>
      <c r="AF449" s="346"/>
      <c r="AG449" s="346"/>
      <c r="AH449" s="346"/>
      <c r="AI449" s="346"/>
      <c r="AJ449" s="346"/>
      <c r="AK449" s="346"/>
      <c r="AL449" s="346"/>
      <c r="AM449" s="346"/>
      <c r="AN449" s="346"/>
      <c r="AO449" s="346"/>
      <c r="AP449" s="346"/>
      <c r="AQ449" s="346"/>
      <c r="AR449" s="346"/>
      <c r="AS449" s="346"/>
      <c r="AT449" s="346"/>
      <c r="AU449" s="346"/>
      <c r="AV449" s="346"/>
      <c r="AW449" s="346"/>
      <c r="AX449" s="346"/>
      <c r="AY449" s="346"/>
      <c r="AZ449" s="346"/>
      <c r="BA449" s="346"/>
      <c r="BB449" s="346"/>
      <c r="BC449" s="346"/>
      <c r="BD449" s="346"/>
      <c r="BE449" s="346"/>
      <c r="BF449" s="346">
        <f>10+5+5+3+3+4+10+4+5</f>
        <v>49</v>
      </c>
      <c r="BG449" s="346"/>
      <c r="BH449">
        <f t="shared" si="60"/>
        <v>49</v>
      </c>
      <c r="BI449" s="351">
        <f t="shared" si="61"/>
        <v>0.12280701754385964</v>
      </c>
    </row>
    <row r="450" spans="1:61" ht="14.25" customHeight="1">
      <c r="A450" s="165">
        <f>'Conveyor Downtime (new)'!A445</f>
        <v>46248</v>
      </c>
      <c r="BF450">
        <f>4+8+5+3</f>
        <v>20</v>
      </c>
      <c r="BH450">
        <f t="shared" si="60"/>
        <v>20</v>
      </c>
      <c r="BI450" s="351">
        <f t="shared" si="61"/>
        <v>5.0125313283208017E-2</v>
      </c>
    </row>
    <row r="451" spans="1:61" ht="14.25" customHeight="1">
      <c r="A451" s="165">
        <f>'Conveyor Downtime (new)'!A446</f>
        <v>46248</v>
      </c>
      <c r="B451" s="346"/>
      <c r="C451" s="346"/>
      <c r="D451" s="346"/>
      <c r="E451" s="346"/>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s="346"/>
      <c r="AE451" s="346"/>
      <c r="AF451" s="346"/>
      <c r="AG451" s="346"/>
      <c r="AH451" s="346"/>
      <c r="AI451" s="346"/>
      <c r="AJ451" s="346"/>
      <c r="AK451" s="346"/>
      <c r="AL451" s="346"/>
      <c r="AM451" s="346"/>
      <c r="AN451" s="346"/>
      <c r="AO451" s="346"/>
      <c r="AP451" s="346"/>
      <c r="AQ451" s="346"/>
      <c r="AR451" s="346"/>
      <c r="AS451" s="346"/>
      <c r="AT451" s="346"/>
      <c r="AU451" s="346"/>
      <c r="AV451" s="346"/>
      <c r="AW451" s="346"/>
      <c r="AX451" s="346"/>
      <c r="AY451" s="346"/>
      <c r="AZ451" s="346"/>
      <c r="BA451" s="346"/>
      <c r="BB451" s="346"/>
      <c r="BC451" s="346"/>
      <c r="BD451" s="346"/>
      <c r="BE451" s="346"/>
      <c r="BF451" s="346">
        <f>5</f>
        <v>5</v>
      </c>
      <c r="BG451" s="346"/>
      <c r="BH451">
        <f t="shared" si="60"/>
        <v>5</v>
      </c>
      <c r="BI451" s="351">
        <f t="shared" si="61"/>
        <v>1.2531328320802004E-2</v>
      </c>
    </row>
    <row r="452" spans="1:61" ht="14.25" customHeight="1">
      <c r="A452" s="165">
        <f>'Conveyor Downtime (new)'!A447</f>
        <v>46251</v>
      </c>
      <c r="I452">
        <f>3</f>
        <v>3</v>
      </c>
      <c r="BH452">
        <f t="shared" si="60"/>
        <v>3</v>
      </c>
      <c r="BI452" s="351">
        <f t="shared" si="61"/>
        <v>7.5187969924812026E-3</v>
      </c>
    </row>
    <row r="453" spans="1:61" ht="14.25" customHeight="1">
      <c r="A453" s="165">
        <f>'Conveyor Downtime (new)'!A448</f>
        <v>46251</v>
      </c>
      <c r="B453" s="346"/>
      <c r="C453" s="346"/>
      <c r="D453" s="346"/>
      <c r="E453" s="346"/>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346"/>
      <c r="AK453" s="346"/>
      <c r="AL453" s="346"/>
      <c r="AM453" s="346"/>
      <c r="AN453" s="346"/>
      <c r="AO453" s="346"/>
      <c r="AP453" s="346"/>
      <c r="AQ453" s="346"/>
      <c r="AR453" s="346"/>
      <c r="AS453" s="346"/>
      <c r="AT453" s="346"/>
      <c r="AU453" s="346"/>
      <c r="AV453" s="346"/>
      <c r="AW453" s="346"/>
      <c r="AX453" s="346"/>
      <c r="AY453" s="346"/>
      <c r="AZ453" s="346"/>
      <c r="BA453" s="346"/>
      <c r="BB453" s="346"/>
      <c r="BC453" s="346"/>
      <c r="BD453" s="346"/>
      <c r="BE453" s="346"/>
      <c r="BF453" s="346"/>
      <c r="BG453" s="346"/>
      <c r="BH453">
        <f t="shared" si="60"/>
        <v>0</v>
      </c>
      <c r="BI453" s="351">
        <f t="shared" si="61"/>
        <v>0</v>
      </c>
    </row>
    <row r="454" spans="1:61" ht="14.25" customHeight="1">
      <c r="A454" s="165">
        <f>'Conveyor Downtime (new)'!A449</f>
        <v>46252</v>
      </c>
      <c r="BF454">
        <f>5+4+5+8+10+4+6+5</f>
        <v>47</v>
      </c>
      <c r="BH454">
        <f t="shared" si="60"/>
        <v>47</v>
      </c>
      <c r="BI454" s="351">
        <f t="shared" si="61"/>
        <v>0.11779448621553884</v>
      </c>
    </row>
    <row r="455" spans="1:61" ht="14.25" customHeight="1">
      <c r="A455" s="165">
        <f>'Conveyor Downtime (new)'!A450</f>
        <v>46252</v>
      </c>
      <c r="B455" s="346"/>
      <c r="C455" s="346"/>
      <c r="D455" s="346"/>
      <c r="E455" s="346"/>
      <c r="F455" s="346"/>
      <c r="G455" s="346"/>
      <c r="H455" s="346">
        <f>4+3+3</f>
        <v>10</v>
      </c>
      <c r="I455" s="346">
        <f>2+7+4</f>
        <v>13</v>
      </c>
      <c r="J455" s="346"/>
      <c r="K455" s="346"/>
      <c r="L455" s="346"/>
      <c r="M455" s="346"/>
      <c r="N455" s="346"/>
      <c r="O455" s="346"/>
      <c r="P455" s="346">
        <f>3</f>
        <v>3</v>
      </c>
      <c r="Q455" s="346"/>
      <c r="R455" s="346"/>
      <c r="S455" s="346"/>
      <c r="T455" s="346"/>
      <c r="U455" s="346"/>
      <c r="V455" s="346"/>
      <c r="W455" s="346"/>
      <c r="X455" s="346"/>
      <c r="Y455" s="346"/>
      <c r="Z455" s="346"/>
      <c r="AA455" s="346"/>
      <c r="AB455" s="346"/>
      <c r="AC455" s="346"/>
      <c r="AD455" s="346"/>
      <c r="AE455" s="346"/>
      <c r="AF455" s="346"/>
      <c r="AG455" s="346"/>
      <c r="AH455" s="346"/>
      <c r="AI455" s="346"/>
      <c r="AJ455" s="346"/>
      <c r="AK455" s="346"/>
      <c r="AL455" s="346"/>
      <c r="AM455" s="346"/>
      <c r="AN455" s="346"/>
      <c r="AO455" s="346"/>
      <c r="AP455" s="346"/>
      <c r="AQ455" s="346"/>
      <c r="AR455" s="346"/>
      <c r="AS455" s="346"/>
      <c r="AT455" s="346"/>
      <c r="AU455" s="346"/>
      <c r="AV455" s="346"/>
      <c r="AW455" s="346"/>
      <c r="AX455" s="346"/>
      <c r="AY455" s="346"/>
      <c r="AZ455" s="346"/>
      <c r="BA455" s="346"/>
      <c r="BB455" s="346"/>
      <c r="BC455" s="346"/>
      <c r="BD455" s="346"/>
      <c r="BE455" s="346"/>
      <c r="BF455" s="346">
        <f>3</f>
        <v>3</v>
      </c>
      <c r="BG455" s="346"/>
      <c r="BH455">
        <f t="shared" si="60"/>
        <v>29</v>
      </c>
      <c r="BI455" s="351">
        <f t="shared" si="61"/>
        <v>7.2681704260651625E-2</v>
      </c>
    </row>
    <row r="456" spans="1:61" ht="14.25" customHeight="1">
      <c r="A456" s="165">
        <f>'Conveyor Downtime (new)'!A451</f>
        <v>46253</v>
      </c>
      <c r="H456">
        <f>3</f>
        <v>3</v>
      </c>
      <c r="BH456">
        <f t="shared" si="60"/>
        <v>3</v>
      </c>
      <c r="BI456" s="351">
        <f t="shared" si="61"/>
        <v>7.5187969924812026E-3</v>
      </c>
    </row>
    <row r="457" spans="1:61" ht="14.25" customHeight="1">
      <c r="A457" s="165">
        <f>'Conveyor Downtime (new)'!A452</f>
        <v>46253</v>
      </c>
      <c r="B457" s="346"/>
      <c r="C457" s="346"/>
      <c r="D457" s="346"/>
      <c r="E457" s="346"/>
      <c r="F457" s="346"/>
      <c r="G457" s="346"/>
      <c r="H457" s="346"/>
      <c r="I457" s="346">
        <f>7</f>
        <v>7</v>
      </c>
      <c r="J457" s="346"/>
      <c r="K457" s="346"/>
      <c r="L457" s="346"/>
      <c r="M457" s="346"/>
      <c r="N457" s="346"/>
      <c r="O457" s="346"/>
      <c r="P457" s="346"/>
      <c r="Q457" s="346"/>
      <c r="R457" s="346"/>
      <c r="S457" s="346"/>
      <c r="T457" s="346"/>
      <c r="U457" s="346"/>
      <c r="V457" s="346"/>
      <c r="W457" s="346"/>
      <c r="X457" s="346"/>
      <c r="Y457" s="346"/>
      <c r="Z457" s="346"/>
      <c r="AA457" s="346"/>
      <c r="AB457" s="346"/>
      <c r="AC457" s="346"/>
      <c r="AD457" s="346"/>
      <c r="AE457" s="346"/>
      <c r="AF457" s="346"/>
      <c r="AG457" s="346"/>
      <c r="AH457" s="346"/>
      <c r="AI457" s="346"/>
      <c r="AJ457" s="346"/>
      <c r="AK457" s="346"/>
      <c r="AL457" s="346"/>
      <c r="AM457" s="346"/>
      <c r="AN457" s="346"/>
      <c r="AO457" s="346"/>
      <c r="AP457" s="346"/>
      <c r="AQ457" s="346"/>
      <c r="AR457" s="346"/>
      <c r="AS457" s="346"/>
      <c r="AT457" s="346"/>
      <c r="AU457" s="346"/>
      <c r="AV457" s="346"/>
      <c r="AW457" s="346"/>
      <c r="AX457" s="346"/>
      <c r="AY457" s="346"/>
      <c r="AZ457" s="346"/>
      <c r="BA457" s="346"/>
      <c r="BB457" s="346"/>
      <c r="BC457" s="346"/>
      <c r="BD457" s="346"/>
      <c r="BE457" s="346"/>
      <c r="BF457" s="346">
        <f>3</f>
        <v>3</v>
      </c>
      <c r="BG457" s="346"/>
      <c r="BH457">
        <f t="shared" si="60"/>
        <v>10</v>
      </c>
      <c r="BI457" s="351">
        <f t="shared" si="61"/>
        <v>2.5062656641604009E-2</v>
      </c>
    </row>
    <row r="458" spans="1:61" ht="14.25" customHeight="1">
      <c r="A458" s="165">
        <f>'Conveyor Downtime (new)'!A453</f>
        <v>46254</v>
      </c>
      <c r="BF458" s="358">
        <f>2+2+5+6+3+2</f>
        <v>20</v>
      </c>
      <c r="BH458">
        <f t="shared" si="60"/>
        <v>20</v>
      </c>
      <c r="BI458" s="351">
        <f t="shared" si="61"/>
        <v>5.0125313283208017E-2</v>
      </c>
    </row>
    <row r="459" spans="1:61" ht="14.25" customHeight="1">
      <c r="A459" s="165">
        <f>'Conveyor Downtime (new)'!A454</f>
        <v>46254</v>
      </c>
      <c r="B459" s="346"/>
      <c r="C459" s="346"/>
      <c r="D459" s="346"/>
      <c r="E459" s="346"/>
      <c r="F459" s="346"/>
      <c r="G459" s="346"/>
      <c r="H459" s="346">
        <f>3</f>
        <v>3</v>
      </c>
      <c r="I459" s="346"/>
      <c r="J459" s="346"/>
      <c r="K459" s="346"/>
      <c r="L459" s="346"/>
      <c r="M459" s="346"/>
      <c r="N459" s="346"/>
      <c r="O459" s="346"/>
      <c r="P459" s="346"/>
      <c r="Q459" s="346"/>
      <c r="R459" s="346"/>
      <c r="S459" s="346"/>
      <c r="T459" s="346"/>
      <c r="U459" s="346"/>
      <c r="V459" s="346"/>
      <c r="W459" s="346"/>
      <c r="X459" s="346"/>
      <c r="Y459" s="346"/>
      <c r="Z459" s="346"/>
      <c r="AA459" s="346"/>
      <c r="AB459" s="346"/>
      <c r="AC459" s="346"/>
      <c r="AD459" s="346"/>
      <c r="AE459" s="346"/>
      <c r="AF459" s="346"/>
      <c r="AG459" s="346"/>
      <c r="AH459" s="346"/>
      <c r="AI459" s="346"/>
      <c r="AJ459" s="346"/>
      <c r="AK459" s="346"/>
      <c r="AL459" s="346"/>
      <c r="AM459" s="346"/>
      <c r="AN459" s="346"/>
      <c r="AO459" s="346"/>
      <c r="AP459" s="346"/>
      <c r="AQ459" s="346"/>
      <c r="AR459" s="346"/>
      <c r="AS459" s="346"/>
      <c r="AT459" s="346"/>
      <c r="AU459" s="346"/>
      <c r="AV459" s="346"/>
      <c r="AW459" s="346"/>
      <c r="AX459" s="346"/>
      <c r="AY459" s="346"/>
      <c r="AZ459" s="346"/>
      <c r="BA459" s="346"/>
      <c r="BB459" s="346"/>
      <c r="BC459" s="346"/>
      <c r="BD459" s="346"/>
      <c r="BE459" s="346"/>
      <c r="BF459" s="346">
        <f>4+5+3</f>
        <v>12</v>
      </c>
      <c r="BG459" s="346"/>
      <c r="BH459">
        <f t="shared" si="60"/>
        <v>15</v>
      </c>
      <c r="BI459" s="351">
        <f t="shared" si="61"/>
        <v>3.7593984962406013E-2</v>
      </c>
    </row>
    <row r="460" spans="1:61" ht="14.25" customHeight="1">
      <c r="A460" s="165">
        <f>'Conveyor Downtime (new)'!A455</f>
        <v>46258</v>
      </c>
      <c r="I460">
        <f>10</f>
        <v>10</v>
      </c>
      <c r="P460">
        <f>7</f>
        <v>7</v>
      </c>
      <c r="AQ460">
        <f>45</f>
        <v>45</v>
      </c>
      <c r="BF460">
        <f>4+2+3+2+2+2+2+2+2</f>
        <v>21</v>
      </c>
      <c r="BH460">
        <f t="shared" si="60"/>
        <v>83</v>
      </c>
      <c r="BI460" s="351">
        <f t="shared" si="61"/>
        <v>0.20802005012531327</v>
      </c>
    </row>
    <row r="461" spans="1:61" ht="14.25" customHeight="1">
      <c r="A461" s="165">
        <f>'Conveyor Downtime (new)'!A456</f>
        <v>46258</v>
      </c>
      <c r="B461" s="346"/>
      <c r="C461" s="346"/>
      <c r="D461" s="346"/>
      <c r="E461" s="346"/>
      <c r="F461" s="346"/>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346"/>
      <c r="AK461" s="346"/>
      <c r="AL461" s="346"/>
      <c r="AM461" s="346"/>
      <c r="AN461" s="346"/>
      <c r="AO461" s="346"/>
      <c r="AP461" s="346"/>
      <c r="AQ461" s="346"/>
      <c r="AR461" s="346"/>
      <c r="AS461" s="346"/>
      <c r="AT461" s="346"/>
      <c r="AU461" s="346"/>
      <c r="AV461" s="346"/>
      <c r="AW461" s="346"/>
      <c r="AX461" s="346"/>
      <c r="AY461" s="346"/>
      <c r="AZ461" s="346"/>
      <c r="BA461" s="346"/>
      <c r="BB461" s="346"/>
      <c r="BC461" s="346"/>
      <c r="BD461" s="346"/>
      <c r="BE461" s="346"/>
      <c r="BF461" s="346"/>
      <c r="BG461" s="346"/>
      <c r="BH461">
        <f t="shared" si="60"/>
        <v>0</v>
      </c>
      <c r="BI461" s="351">
        <f t="shared" si="61"/>
        <v>0</v>
      </c>
    </row>
    <row r="462" spans="1:61" ht="14.25" customHeight="1">
      <c r="A462" s="165">
        <f>'Conveyor Downtime (new)'!A457</f>
        <v>46259</v>
      </c>
      <c r="H462">
        <f>2</f>
        <v>2</v>
      </c>
      <c r="BF462">
        <f>4+2+4</f>
        <v>10</v>
      </c>
      <c r="BH462">
        <f t="shared" si="60"/>
        <v>12</v>
      </c>
      <c r="BI462" s="351">
        <f t="shared" si="61"/>
        <v>3.007518796992481E-2</v>
      </c>
    </row>
    <row r="463" spans="1:61" ht="14.25" customHeight="1">
      <c r="A463" s="165">
        <f>'Conveyor Downtime (new)'!A458</f>
        <v>46259</v>
      </c>
      <c r="B463" s="346"/>
      <c r="C463" s="346"/>
      <c r="D463" s="346"/>
      <c r="E463" s="346"/>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s="346"/>
      <c r="AL463" s="346"/>
      <c r="AM463" s="346"/>
      <c r="AN463" s="346"/>
      <c r="AO463" s="346"/>
      <c r="AP463" s="346"/>
      <c r="AQ463" s="346"/>
      <c r="AR463" s="346"/>
      <c r="AS463" s="346"/>
      <c r="AT463" s="346"/>
      <c r="AU463" s="346"/>
      <c r="AV463" s="346"/>
      <c r="AW463" s="346"/>
      <c r="AX463" s="346"/>
      <c r="AY463" s="346"/>
      <c r="AZ463" s="346"/>
      <c r="BA463" s="346"/>
      <c r="BB463" s="346"/>
      <c r="BC463" s="346"/>
      <c r="BD463" s="346"/>
      <c r="BE463" s="346"/>
      <c r="BF463" s="346"/>
      <c r="BG463" s="346"/>
      <c r="BH463">
        <f t="shared" si="60"/>
        <v>0</v>
      </c>
      <c r="BI463" s="351">
        <f t="shared" si="61"/>
        <v>0</v>
      </c>
    </row>
    <row r="464" spans="1:61" ht="14.25" customHeight="1">
      <c r="A464" s="165">
        <f>'Conveyor Downtime (new)'!A459</f>
        <v>46260</v>
      </c>
      <c r="H464">
        <f>2</f>
        <v>2</v>
      </c>
      <c r="I464">
        <f>2+4</f>
        <v>6</v>
      </c>
      <c r="AO464">
        <f>5+29</f>
        <v>34</v>
      </c>
      <c r="BF464">
        <f>5+2+5+4+4+8+4+11</f>
        <v>43</v>
      </c>
      <c r="BH464">
        <f t="shared" si="60"/>
        <v>85</v>
      </c>
      <c r="BI464" s="351">
        <f t="shared" si="61"/>
        <v>0.21303258145363407</v>
      </c>
    </row>
    <row r="465" spans="1:61" ht="14.25" customHeight="1">
      <c r="A465" s="165">
        <f>'Conveyor Downtime (new)'!A460</f>
        <v>46260</v>
      </c>
      <c r="B465" s="346"/>
      <c r="C465" s="346"/>
      <c r="D465" s="346"/>
      <c r="E465" s="346"/>
      <c r="F465" s="346"/>
      <c r="G465" s="346"/>
      <c r="H465" s="346">
        <v>3</v>
      </c>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346"/>
      <c r="AK465" s="346"/>
      <c r="AL465" s="346"/>
      <c r="AM465" s="346"/>
      <c r="AN465" s="346"/>
      <c r="AO465" s="346"/>
      <c r="AP465" s="346"/>
      <c r="AQ465" s="346"/>
      <c r="AR465" s="346"/>
      <c r="AS465" s="346"/>
      <c r="AT465" s="346"/>
      <c r="AU465" s="346"/>
      <c r="AV465" s="346"/>
      <c r="AW465" s="346"/>
      <c r="AX465" s="346"/>
      <c r="AY465" s="346"/>
      <c r="AZ465" s="346"/>
      <c r="BA465" s="346"/>
      <c r="BB465" s="346"/>
      <c r="BC465" s="346"/>
      <c r="BD465" s="346"/>
      <c r="BE465" s="346"/>
      <c r="BF465" s="346"/>
      <c r="BG465" s="346"/>
      <c r="BH465">
        <f t="shared" si="60"/>
        <v>3</v>
      </c>
      <c r="BI465" s="351">
        <f t="shared" si="61"/>
        <v>7.5187969924812026E-3</v>
      </c>
    </row>
    <row r="466" spans="1:61" ht="14.25" customHeight="1">
      <c r="A466" s="165">
        <f>'Conveyor Downtime (new)'!A461</f>
        <v>46261</v>
      </c>
      <c r="H466">
        <f>3+2</f>
        <v>5</v>
      </c>
      <c r="I466">
        <f>2+3+2+5</f>
        <v>12</v>
      </c>
      <c r="BH466">
        <f t="shared" si="60"/>
        <v>17</v>
      </c>
      <c r="BI466" s="351">
        <f t="shared" si="61"/>
        <v>4.2606516290726815E-2</v>
      </c>
    </row>
    <row r="467" spans="1:61" ht="14.25" customHeight="1">
      <c r="A467" s="165">
        <f>'Conveyor Downtime (new)'!A462</f>
        <v>46261</v>
      </c>
      <c r="B467" s="346"/>
      <c r="C467" s="346"/>
      <c r="D467" s="346"/>
      <c r="E467" s="346"/>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346"/>
      <c r="AK467" s="346"/>
      <c r="AL467" s="346"/>
      <c r="AM467" s="346"/>
      <c r="AN467" s="346"/>
      <c r="AO467" s="346"/>
      <c r="AP467" s="346"/>
      <c r="AQ467" s="346"/>
      <c r="AR467" s="346"/>
      <c r="AS467" s="346"/>
      <c r="AT467" s="346"/>
      <c r="AU467" s="346">
        <f>4</f>
        <v>4</v>
      </c>
      <c r="AV467" s="346"/>
      <c r="AW467" s="346"/>
      <c r="AX467" s="346"/>
      <c r="AY467" s="346"/>
      <c r="AZ467" s="346"/>
      <c r="BA467" s="346"/>
      <c r="BB467" s="346"/>
      <c r="BC467" s="346"/>
      <c r="BD467" s="346"/>
      <c r="BE467" s="346"/>
      <c r="BF467" s="346"/>
      <c r="BG467" s="346"/>
      <c r="BH467">
        <f t="shared" si="60"/>
        <v>4</v>
      </c>
      <c r="BI467" s="351">
        <f t="shared" si="61"/>
        <v>1.0025062656641603E-2</v>
      </c>
    </row>
    <row r="468" spans="1:61" ht="14.25" customHeight="1">
      <c r="A468" s="165">
        <f>'Conveyor Downtime (new)'!A463</f>
        <v>46261</v>
      </c>
      <c r="BH468">
        <f t="shared" si="60"/>
        <v>0</v>
      </c>
      <c r="BI468" s="351">
        <f t="shared" si="61"/>
        <v>0</v>
      </c>
    </row>
    <row r="469" spans="1:61" ht="14.25" customHeight="1">
      <c r="A469" s="165">
        <f>'Conveyor Downtime (new)'!A464</f>
        <v>46262</v>
      </c>
      <c r="B469" s="346"/>
      <c r="C469" s="346"/>
      <c r="D469" s="346"/>
      <c r="E469" s="346"/>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346"/>
      <c r="AL469" s="346"/>
      <c r="AM469" s="346"/>
      <c r="AN469" s="346"/>
      <c r="AO469" s="346"/>
      <c r="AP469" s="346"/>
      <c r="AQ469" s="346"/>
      <c r="AR469" s="346"/>
      <c r="AS469" s="346"/>
      <c r="AT469" s="346"/>
      <c r="AU469" s="346"/>
      <c r="AV469" s="346"/>
      <c r="AW469" s="346"/>
      <c r="AX469" s="346"/>
      <c r="AY469" s="346"/>
      <c r="AZ469" s="346"/>
      <c r="BA469" s="346"/>
      <c r="BB469" s="346"/>
      <c r="BC469" s="346"/>
      <c r="BD469" s="346"/>
      <c r="BE469" s="346"/>
      <c r="BF469" s="346"/>
      <c r="BG469" s="346"/>
      <c r="BH469">
        <f t="shared" si="60"/>
        <v>0</v>
      </c>
      <c r="BI469" s="351">
        <f t="shared" si="61"/>
        <v>0</v>
      </c>
    </row>
    <row r="470" spans="1:61" ht="14.25" customHeight="1">
      <c r="A470" s="165">
        <f>'Conveyor Downtime (new)'!A465</f>
        <v>46262</v>
      </c>
      <c r="BH470">
        <f t="shared" si="60"/>
        <v>0</v>
      </c>
      <c r="BI470" s="351">
        <f t="shared" si="61"/>
        <v>0</v>
      </c>
    </row>
    <row r="471" spans="1:61" ht="14.25" customHeight="1">
      <c r="A471" s="165">
        <f>'Conveyor Downtime (new)'!A466</f>
        <v>46262</v>
      </c>
      <c r="B471" s="346"/>
      <c r="C471" s="346"/>
      <c r="D471" s="346"/>
      <c r="E471" s="346"/>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346"/>
      <c r="AL471" s="346"/>
      <c r="AM471" s="346"/>
      <c r="AN471" s="346"/>
      <c r="AO471" s="346"/>
      <c r="AP471" s="346"/>
      <c r="AQ471" s="346"/>
      <c r="AR471" s="346"/>
      <c r="AS471" s="346"/>
      <c r="AT471" s="346"/>
      <c r="AU471" s="346"/>
      <c r="AV471" s="346"/>
      <c r="AW471" s="346"/>
      <c r="AX471" s="346"/>
      <c r="AY471" s="346"/>
      <c r="AZ471" s="346"/>
      <c r="BA471" s="346"/>
      <c r="BB471" s="346"/>
      <c r="BC471" s="346"/>
      <c r="BD471" s="346"/>
      <c r="BE471" s="346"/>
      <c r="BF471" s="346"/>
      <c r="BG471" s="346"/>
      <c r="BH471">
        <f t="shared" ref="BH471:BH493" si="62">SUM(B471:BG471)</f>
        <v>0</v>
      </c>
      <c r="BI471" s="351">
        <f t="shared" si="61"/>
        <v>0</v>
      </c>
    </row>
    <row r="472" spans="1:61" ht="14.25" customHeight="1">
      <c r="A472" s="165">
        <f>'Conveyor Downtime (new)'!A467</f>
        <v>46262</v>
      </c>
      <c r="BH472">
        <f t="shared" si="62"/>
        <v>0</v>
      </c>
      <c r="BI472" s="351">
        <f t="shared" si="61"/>
        <v>0</v>
      </c>
    </row>
    <row r="473" spans="1:61" ht="14.25" customHeight="1">
      <c r="A473" s="165">
        <f>'Conveyor Downtime (new)'!A468</f>
        <v>46265</v>
      </c>
      <c r="B473" s="346"/>
      <c r="C473" s="346"/>
      <c r="D473" s="346"/>
      <c r="E473" s="346"/>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346"/>
      <c r="AL473" s="346"/>
      <c r="AM473">
        <f>7</f>
        <v>7</v>
      </c>
      <c r="AN473" s="346"/>
      <c r="AO473" s="346"/>
      <c r="AP473" s="346"/>
      <c r="AQ473" s="346"/>
      <c r="AR473" s="346"/>
      <c r="AS473" s="346"/>
      <c r="AT473" s="346"/>
      <c r="AU473" s="346"/>
      <c r="AV473" s="346"/>
      <c r="AW473" s="346"/>
      <c r="AX473" s="346"/>
      <c r="AY473" s="346"/>
      <c r="AZ473" s="346"/>
      <c r="BA473" s="346"/>
      <c r="BB473" s="346"/>
      <c r="BC473" s="346"/>
      <c r="BD473" s="346"/>
      <c r="BE473" s="346"/>
      <c r="BF473" s="346">
        <f>4+6+2</f>
        <v>12</v>
      </c>
      <c r="BG473" s="346"/>
      <c r="BH473">
        <f t="shared" si="62"/>
        <v>19</v>
      </c>
      <c r="BI473" s="351">
        <f t="shared" si="61"/>
        <v>4.7619047619047616E-2</v>
      </c>
    </row>
    <row r="474" spans="1:61" ht="14.25" customHeight="1">
      <c r="A474" s="165">
        <f>'Conveyor Downtime (new)'!A469</f>
        <v>0</v>
      </c>
      <c r="BH474">
        <f t="shared" si="62"/>
        <v>0</v>
      </c>
      <c r="BI474" s="351">
        <f t="shared" si="61"/>
        <v>0</v>
      </c>
    </row>
    <row r="475" spans="1:61" ht="14.25" customHeight="1">
      <c r="A475" s="165">
        <f>'Conveyor Downtime (new)'!A470</f>
        <v>0</v>
      </c>
      <c r="B475" s="346"/>
      <c r="C475" s="346"/>
      <c r="D475" s="346"/>
      <c r="E475" s="346"/>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s="346"/>
      <c r="AL475" s="346"/>
      <c r="AM475" s="346"/>
      <c r="AN475" s="346"/>
      <c r="AO475" s="346"/>
      <c r="AP475" s="346"/>
      <c r="AQ475" s="346"/>
      <c r="AR475" s="346"/>
      <c r="AS475" s="346"/>
      <c r="AT475" s="346"/>
      <c r="AU475" s="346"/>
      <c r="AV475" s="346"/>
      <c r="AW475" s="346"/>
      <c r="AX475" s="346"/>
      <c r="AY475" s="346"/>
      <c r="AZ475" s="346"/>
      <c r="BA475" s="346"/>
      <c r="BB475" s="346"/>
      <c r="BC475" s="346"/>
      <c r="BD475" s="346"/>
      <c r="BE475" s="346"/>
      <c r="BF475" s="346"/>
      <c r="BG475" s="346"/>
      <c r="BH475">
        <f t="shared" si="62"/>
        <v>0</v>
      </c>
      <c r="BI475" s="351">
        <f t="shared" si="61"/>
        <v>0</v>
      </c>
    </row>
    <row r="476" spans="1:61" ht="14.25" customHeight="1">
      <c r="A476" s="165">
        <f>'Conveyor Downtime (new)'!A471</f>
        <v>0</v>
      </c>
      <c r="BH476">
        <f t="shared" si="62"/>
        <v>0</v>
      </c>
      <c r="BI476" s="351">
        <f t="shared" si="61"/>
        <v>0</v>
      </c>
    </row>
    <row r="477" spans="1:61" ht="14.25" customHeight="1">
      <c r="A477" s="165"/>
      <c r="B477" s="346"/>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346"/>
      <c r="AL477" s="346"/>
      <c r="AM477" s="346"/>
      <c r="AN477" s="346"/>
      <c r="AO477" s="346"/>
      <c r="AP477" s="346"/>
      <c r="AQ477" s="346"/>
      <c r="AR477" s="346"/>
      <c r="AS477" s="346"/>
      <c r="AT477" s="346"/>
      <c r="AU477" s="346"/>
      <c r="AV477" s="346"/>
      <c r="AW477" s="346"/>
      <c r="AX477" s="346"/>
      <c r="AY477" s="346"/>
      <c r="AZ477" s="346"/>
      <c r="BA477" s="346"/>
      <c r="BB477" s="346"/>
      <c r="BC477" s="346"/>
      <c r="BD477" s="346"/>
      <c r="BE477" s="346"/>
      <c r="BF477" s="346"/>
      <c r="BG477" s="346"/>
      <c r="BH477">
        <f t="shared" si="62"/>
        <v>0</v>
      </c>
      <c r="BI477" s="351">
        <f t="shared" si="61"/>
        <v>0</v>
      </c>
    </row>
    <row r="478" spans="1:61" ht="14.25" customHeight="1">
      <c r="A478" s="165"/>
      <c r="BH478">
        <f t="shared" si="62"/>
        <v>0</v>
      </c>
      <c r="BI478" s="351">
        <f t="shared" si="61"/>
        <v>0</v>
      </c>
    </row>
    <row r="479" spans="1:61" ht="14.25" customHeight="1">
      <c r="A479" s="165"/>
      <c r="B479" s="346"/>
      <c r="C479" s="346"/>
      <c r="D479" s="346"/>
      <c r="E479" s="346"/>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s="346"/>
      <c r="AL479" s="346"/>
      <c r="AM479" s="346"/>
      <c r="AN479" s="346"/>
      <c r="AO479" s="346"/>
      <c r="AP479" s="346"/>
      <c r="AQ479" s="346"/>
      <c r="AR479" s="346"/>
      <c r="AS479" s="346"/>
      <c r="AT479" s="346"/>
      <c r="AU479" s="346"/>
      <c r="AV479" s="346"/>
      <c r="AW479" s="346"/>
      <c r="AX479" s="346"/>
      <c r="AY479" s="346"/>
      <c r="AZ479" s="346"/>
      <c r="BA479" s="346"/>
      <c r="BB479" s="346"/>
      <c r="BC479" s="346"/>
      <c r="BD479" s="346"/>
      <c r="BE479" s="346"/>
      <c r="BF479" s="346"/>
      <c r="BG479" s="346"/>
      <c r="BH479">
        <f t="shared" si="62"/>
        <v>0</v>
      </c>
      <c r="BI479" s="351">
        <f t="shared" si="61"/>
        <v>0</v>
      </c>
    </row>
    <row r="480" spans="1:61" ht="14.25" customHeight="1">
      <c r="A480" s="165"/>
      <c r="BH480">
        <f t="shared" si="62"/>
        <v>0</v>
      </c>
      <c r="BI480" s="351">
        <f t="shared" si="61"/>
        <v>0</v>
      </c>
    </row>
    <row r="481" spans="1:61" ht="14.25" customHeight="1">
      <c r="A481" s="165"/>
      <c r="B481" s="346"/>
      <c r="C481" s="346"/>
      <c r="D481" s="346"/>
      <c r="E481" s="346"/>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s="346"/>
      <c r="AL481" s="346"/>
      <c r="AM481" s="346"/>
      <c r="AN481" s="346"/>
      <c r="AO481" s="346"/>
      <c r="AP481" s="346"/>
      <c r="AQ481" s="346"/>
      <c r="AR481" s="346"/>
      <c r="AS481" s="346"/>
      <c r="AT481" s="346"/>
      <c r="AU481" s="346"/>
      <c r="AV481" s="346"/>
      <c r="AW481" s="346"/>
      <c r="AX481" s="346"/>
      <c r="AY481" s="346"/>
      <c r="AZ481" s="346"/>
      <c r="BA481" s="346"/>
      <c r="BB481" s="346"/>
      <c r="BC481" s="346"/>
      <c r="BD481" s="346"/>
      <c r="BE481" s="346"/>
      <c r="BF481" s="346"/>
      <c r="BG481" s="346"/>
      <c r="BH481">
        <f t="shared" si="62"/>
        <v>0</v>
      </c>
      <c r="BI481" s="351">
        <f t="shared" si="61"/>
        <v>0</v>
      </c>
    </row>
    <row r="482" spans="1:61" ht="14.25" customHeight="1">
      <c r="A482" s="165"/>
      <c r="BH482">
        <f t="shared" si="62"/>
        <v>0</v>
      </c>
      <c r="BI482" s="351">
        <f t="shared" si="61"/>
        <v>0</v>
      </c>
    </row>
    <row r="483" spans="1:61" ht="14.25" customHeight="1">
      <c r="A483" s="165"/>
      <c r="B483" s="346"/>
      <c r="C483" s="346"/>
      <c r="D483" s="346"/>
      <c r="E483" s="346"/>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s="346"/>
      <c r="AL483" s="346"/>
      <c r="AM483" s="346"/>
      <c r="AN483" s="346"/>
      <c r="AO483" s="346"/>
      <c r="AP483" s="346"/>
      <c r="AQ483" s="346"/>
      <c r="AR483" s="346"/>
      <c r="AS483" s="346"/>
      <c r="AT483" s="346"/>
      <c r="AU483" s="346"/>
      <c r="AV483" s="346"/>
      <c r="AW483" s="346"/>
      <c r="AX483" s="346"/>
      <c r="AY483" s="346"/>
      <c r="AZ483" s="346"/>
      <c r="BA483" s="346"/>
      <c r="BB483" s="346"/>
      <c r="BC483" s="346"/>
      <c r="BD483" s="346"/>
      <c r="BE483" s="346"/>
      <c r="BF483" s="346"/>
      <c r="BG483" s="346"/>
      <c r="BH483">
        <f t="shared" si="62"/>
        <v>0</v>
      </c>
      <c r="BI483" s="351">
        <f t="shared" si="61"/>
        <v>0</v>
      </c>
    </row>
    <row r="484" spans="1:61" ht="14.25" customHeight="1">
      <c r="A484" s="165"/>
      <c r="BH484">
        <f t="shared" si="62"/>
        <v>0</v>
      </c>
      <c r="BI484" s="351">
        <f t="shared" si="61"/>
        <v>0</v>
      </c>
    </row>
    <row r="485" spans="1:61" ht="14.25" customHeight="1">
      <c r="A485" s="165"/>
      <c r="B485" s="346"/>
      <c r="C485" s="346"/>
      <c r="D485" s="346"/>
      <c r="E485" s="346"/>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s="346"/>
      <c r="AL485" s="346"/>
      <c r="AM485" s="346"/>
      <c r="AN485" s="346"/>
      <c r="AO485" s="346"/>
      <c r="AP485" s="346"/>
      <c r="AQ485" s="346"/>
      <c r="AR485" s="346"/>
      <c r="AS485" s="346"/>
      <c r="AT485" s="346"/>
      <c r="AU485" s="346"/>
      <c r="AV485" s="346"/>
      <c r="AW485" s="346"/>
      <c r="AX485" s="346"/>
      <c r="AY485" s="346"/>
      <c r="AZ485" s="346"/>
      <c r="BA485" s="346"/>
      <c r="BB485" s="346"/>
      <c r="BC485" s="346"/>
      <c r="BD485" s="346"/>
      <c r="BE485" s="346"/>
      <c r="BF485" s="346"/>
      <c r="BG485" s="346"/>
      <c r="BH485">
        <f t="shared" si="62"/>
        <v>0</v>
      </c>
      <c r="BI485" s="351">
        <f t="shared" si="61"/>
        <v>0</v>
      </c>
    </row>
    <row r="486" spans="1:61" ht="14.25" customHeight="1">
      <c r="A486" s="165"/>
      <c r="BH486">
        <f t="shared" si="62"/>
        <v>0</v>
      </c>
      <c r="BI486" s="351">
        <f t="shared" si="61"/>
        <v>0</v>
      </c>
    </row>
    <row r="487" spans="1:61" ht="14.25" customHeight="1">
      <c r="A487" s="165"/>
      <c r="B487" s="346"/>
      <c r="C487" s="346"/>
      <c r="D487" s="346"/>
      <c r="E487" s="346"/>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s="346"/>
      <c r="AL487" s="346"/>
      <c r="AM487" s="346"/>
      <c r="AN487" s="346"/>
      <c r="AO487" s="346"/>
      <c r="AP487" s="346"/>
      <c r="AQ487" s="346"/>
      <c r="AR487" s="346"/>
      <c r="AS487" s="346"/>
      <c r="AT487" s="346"/>
      <c r="AU487" s="346"/>
      <c r="AV487" s="346"/>
      <c r="AW487" s="346"/>
      <c r="AX487" s="346"/>
      <c r="AY487" s="346"/>
      <c r="AZ487" s="346"/>
      <c r="BA487" s="346"/>
      <c r="BB487" s="346"/>
      <c r="BC487" s="346"/>
      <c r="BD487" s="346"/>
      <c r="BE487" s="346"/>
      <c r="BF487" s="346"/>
      <c r="BG487" s="346"/>
      <c r="BH487">
        <f t="shared" si="62"/>
        <v>0</v>
      </c>
      <c r="BI487" s="351">
        <f t="shared" si="61"/>
        <v>0</v>
      </c>
    </row>
    <row r="488" spans="1:61" ht="14.25" customHeight="1">
      <c r="A488" s="165"/>
      <c r="BH488">
        <f t="shared" si="62"/>
        <v>0</v>
      </c>
      <c r="BI488" s="351">
        <f t="shared" si="61"/>
        <v>0</v>
      </c>
    </row>
    <row r="489" spans="1:61" ht="14.25" customHeight="1">
      <c r="A489" s="165"/>
      <c r="B489" s="346"/>
      <c r="C489" s="346"/>
      <c r="D489" s="346"/>
      <c r="E489" s="346"/>
      <c r="F489" s="346"/>
      <c r="G489" s="346"/>
      <c r="H489" s="346"/>
      <c r="I489" s="346"/>
      <c r="J489" s="346"/>
      <c r="K489" s="346"/>
      <c r="L489" s="346"/>
      <c r="M489" s="346"/>
      <c r="N489" s="346"/>
      <c r="O489" s="346"/>
      <c r="P489" s="346"/>
      <c r="Q489" s="346"/>
      <c r="R489" s="346"/>
      <c r="S489" s="346"/>
      <c r="T489" s="346"/>
      <c r="U489" s="346"/>
      <c r="V489" s="346"/>
      <c r="W489" s="346"/>
      <c r="X489" s="346"/>
      <c r="Y489" s="346"/>
      <c r="Z489" s="346"/>
      <c r="AA489" s="346"/>
      <c r="AB489" s="346"/>
      <c r="AC489" s="346"/>
      <c r="AD489" s="346"/>
      <c r="AE489" s="346"/>
      <c r="AF489" s="346"/>
      <c r="AG489" s="346"/>
      <c r="AH489" s="346"/>
      <c r="AI489" s="346"/>
      <c r="AJ489" s="346"/>
      <c r="AK489" s="346"/>
      <c r="AL489" s="346"/>
      <c r="AM489" s="346"/>
      <c r="AN489" s="346"/>
      <c r="AO489" s="346"/>
      <c r="AP489" s="346"/>
      <c r="AQ489" s="346"/>
      <c r="AR489" s="346"/>
      <c r="AS489" s="346"/>
      <c r="AT489" s="346"/>
      <c r="AU489" s="346"/>
      <c r="AV489" s="346"/>
      <c r="AW489" s="346"/>
      <c r="AX489" s="346"/>
      <c r="AY489" s="346"/>
      <c r="AZ489" s="346"/>
      <c r="BA489" s="346"/>
      <c r="BB489" s="346"/>
      <c r="BC489" s="346"/>
      <c r="BD489" s="346"/>
      <c r="BE489" s="346"/>
      <c r="BF489" s="346"/>
      <c r="BG489" s="346"/>
      <c r="BH489">
        <f t="shared" si="62"/>
        <v>0</v>
      </c>
      <c r="BI489" s="351">
        <f t="shared" si="61"/>
        <v>0</v>
      </c>
    </row>
    <row r="490" spans="1:61" ht="14.25" customHeight="1">
      <c r="A490" s="165"/>
      <c r="BH490">
        <f t="shared" si="62"/>
        <v>0</v>
      </c>
      <c r="BI490" s="351">
        <f t="shared" si="61"/>
        <v>0</v>
      </c>
    </row>
    <row r="491" spans="1:61" ht="14.25" customHeight="1">
      <c r="A491" s="165"/>
      <c r="B491" s="346"/>
      <c r="C491" s="346"/>
      <c r="D491" s="346"/>
      <c r="E491" s="346"/>
      <c r="F491" s="346"/>
      <c r="G491" s="346"/>
      <c r="H491" s="346"/>
      <c r="I491" s="346"/>
      <c r="J491" s="346"/>
      <c r="K491" s="346"/>
      <c r="L491" s="346"/>
      <c r="M491" s="346"/>
      <c r="N491" s="346"/>
      <c r="O491" s="346"/>
      <c r="P491" s="346"/>
      <c r="Q491" s="346"/>
      <c r="R491" s="346"/>
      <c r="S491" s="346"/>
      <c r="T491" s="346"/>
      <c r="U491" s="346"/>
      <c r="V491" s="346"/>
      <c r="W491" s="346"/>
      <c r="X491" s="346"/>
      <c r="Y491" s="346"/>
      <c r="Z491" s="346"/>
      <c r="AA491" s="346"/>
      <c r="AB491" s="346"/>
      <c r="AC491" s="346"/>
      <c r="AD491" s="346"/>
      <c r="AE491" s="346"/>
      <c r="AF491" s="346"/>
      <c r="AG491" s="346"/>
      <c r="AH491" s="346"/>
      <c r="AI491" s="346"/>
      <c r="AJ491" s="346"/>
      <c r="AK491" s="346"/>
      <c r="AL491" s="346"/>
      <c r="AM491" s="346"/>
      <c r="AN491" s="346"/>
      <c r="AO491" s="346"/>
      <c r="AP491" s="346"/>
      <c r="AQ491" s="346"/>
      <c r="AR491" s="346"/>
      <c r="AS491" s="346"/>
      <c r="AT491" s="346"/>
      <c r="AU491" s="346"/>
      <c r="AV491" s="346"/>
      <c r="AW491" s="346"/>
      <c r="AX491" s="346"/>
      <c r="AY491" s="346"/>
      <c r="AZ491" s="346"/>
      <c r="BA491" s="346"/>
      <c r="BB491" s="346"/>
      <c r="BC491" s="346"/>
      <c r="BD491" s="346"/>
      <c r="BE491" s="346"/>
      <c r="BF491" s="346"/>
      <c r="BG491" s="346"/>
      <c r="BH491">
        <f t="shared" si="62"/>
        <v>0</v>
      </c>
      <c r="BI491" s="351">
        <f t="shared" si="61"/>
        <v>0</v>
      </c>
    </row>
    <row r="492" spans="1:61" ht="14.25" customHeight="1">
      <c r="A492" s="165"/>
      <c r="BH492">
        <f t="shared" si="62"/>
        <v>0</v>
      </c>
      <c r="BI492" s="351">
        <f t="shared" si="61"/>
        <v>0</v>
      </c>
    </row>
    <row r="493" spans="1:61" ht="14.25" customHeight="1">
      <c r="A493" s="165"/>
      <c r="B493" s="346"/>
      <c r="C493" s="346"/>
      <c r="D493" s="346"/>
      <c r="E493" s="346"/>
      <c r="F493" s="346"/>
      <c r="G493" s="346"/>
      <c r="H493" s="346"/>
      <c r="I493" s="346"/>
      <c r="J493" s="346"/>
      <c r="K493" s="346"/>
      <c r="L493" s="346"/>
      <c r="M493" s="346"/>
      <c r="N493" s="346"/>
      <c r="O493" s="346"/>
      <c r="P493" s="346"/>
      <c r="Q493" s="346"/>
      <c r="R493" s="346"/>
      <c r="S493" s="346"/>
      <c r="T493" s="346"/>
      <c r="U493" s="346"/>
      <c r="V493" s="346"/>
      <c r="W493" s="346"/>
      <c r="X493" s="346"/>
      <c r="Y493" s="346"/>
      <c r="Z493" s="346"/>
      <c r="AA493" s="346"/>
      <c r="AB493" s="346"/>
      <c r="AC493" s="346"/>
      <c r="AD493" s="346"/>
      <c r="AE493" s="346"/>
      <c r="AF493" s="346"/>
      <c r="AG493" s="346"/>
      <c r="AH493" s="346"/>
      <c r="AI493" s="346"/>
      <c r="AJ493" s="346"/>
      <c r="AK493" s="346"/>
      <c r="AL493" s="346"/>
      <c r="AM493" s="346"/>
      <c r="AN493" s="346"/>
      <c r="AO493" s="346"/>
      <c r="AP493" s="346"/>
      <c r="AQ493" s="346"/>
      <c r="AR493" s="346"/>
      <c r="AS493" s="346"/>
      <c r="AT493" s="346"/>
      <c r="AU493" s="346"/>
      <c r="AV493" s="346"/>
      <c r="AW493" s="346"/>
      <c r="AX493" s="346"/>
      <c r="AY493" s="346"/>
      <c r="AZ493" s="346"/>
      <c r="BA493" s="346"/>
      <c r="BB493" s="346"/>
      <c r="BC493" s="346"/>
      <c r="BD493" s="346"/>
      <c r="BE493" s="346"/>
      <c r="BF493" s="346"/>
      <c r="BG493" s="346"/>
      <c r="BH493">
        <f t="shared" si="62"/>
        <v>0</v>
      </c>
      <c r="BI493" s="351">
        <f t="shared" si="61"/>
        <v>0</v>
      </c>
    </row>
    <row r="494" spans="1:61" ht="14.25" customHeight="1">
      <c r="A494" s="347" t="s">
        <v>173</v>
      </c>
      <c r="B494" s="347">
        <f>SUM(B438:B493)</f>
        <v>0</v>
      </c>
      <c r="C494" s="347">
        <f>SUM(C438:C493)</f>
        <v>0</v>
      </c>
      <c r="D494" s="347">
        <f t="shared" ref="D494:AO494" si="63">SUM(D438:D493)</f>
        <v>0</v>
      </c>
      <c r="E494" s="347">
        <f t="shared" si="63"/>
        <v>0</v>
      </c>
      <c r="F494" s="347">
        <f t="shared" si="63"/>
        <v>0</v>
      </c>
      <c r="G494" s="347">
        <f t="shared" si="63"/>
        <v>0</v>
      </c>
      <c r="H494" s="347">
        <f t="shared" si="63"/>
        <v>65</v>
      </c>
      <c r="I494" s="347">
        <f t="shared" si="63"/>
        <v>81</v>
      </c>
      <c r="J494" s="347">
        <f t="shared" si="63"/>
        <v>0</v>
      </c>
      <c r="K494" s="347">
        <f t="shared" si="63"/>
        <v>0</v>
      </c>
      <c r="L494" s="347">
        <f t="shared" si="63"/>
        <v>0</v>
      </c>
      <c r="M494" s="347">
        <f t="shared" si="63"/>
        <v>0</v>
      </c>
      <c r="N494" s="347">
        <f t="shared" si="63"/>
        <v>0</v>
      </c>
      <c r="O494" s="347">
        <f t="shared" si="63"/>
        <v>0</v>
      </c>
      <c r="P494" s="347">
        <f t="shared" si="63"/>
        <v>16</v>
      </c>
      <c r="Q494" s="347">
        <f t="shared" si="63"/>
        <v>0</v>
      </c>
      <c r="R494" s="347">
        <f t="shared" si="63"/>
        <v>0</v>
      </c>
      <c r="S494" s="347">
        <f t="shared" si="63"/>
        <v>0</v>
      </c>
      <c r="T494" s="347">
        <f t="shared" si="63"/>
        <v>0</v>
      </c>
      <c r="U494" s="347">
        <f t="shared" si="63"/>
        <v>0</v>
      </c>
      <c r="V494" s="347">
        <f t="shared" si="63"/>
        <v>0</v>
      </c>
      <c r="W494" s="347">
        <f t="shared" si="63"/>
        <v>0</v>
      </c>
      <c r="X494" s="347">
        <f t="shared" si="63"/>
        <v>0</v>
      </c>
      <c r="Y494" s="347">
        <f t="shared" si="63"/>
        <v>0</v>
      </c>
      <c r="Z494" s="347">
        <f t="shared" si="63"/>
        <v>0</v>
      </c>
      <c r="AA494" s="347">
        <f t="shared" si="63"/>
        <v>0</v>
      </c>
      <c r="AB494" s="347">
        <f t="shared" si="63"/>
        <v>0</v>
      </c>
      <c r="AC494" s="347">
        <f t="shared" si="63"/>
        <v>0</v>
      </c>
      <c r="AD494" s="347">
        <f t="shared" si="63"/>
        <v>0</v>
      </c>
      <c r="AE494" s="347">
        <f t="shared" si="63"/>
        <v>0</v>
      </c>
      <c r="AF494" s="347">
        <f t="shared" si="63"/>
        <v>0</v>
      </c>
      <c r="AG494" s="347">
        <f t="shared" si="63"/>
        <v>0</v>
      </c>
      <c r="AH494" s="347">
        <f t="shared" si="63"/>
        <v>0</v>
      </c>
      <c r="AI494" s="347">
        <f t="shared" si="63"/>
        <v>0</v>
      </c>
      <c r="AJ494" s="347">
        <f t="shared" si="63"/>
        <v>4</v>
      </c>
      <c r="AK494" s="347">
        <f t="shared" si="63"/>
        <v>3</v>
      </c>
      <c r="AL494" s="347">
        <f t="shared" si="63"/>
        <v>0</v>
      </c>
      <c r="AM494" s="347">
        <f t="shared" si="63"/>
        <v>7</v>
      </c>
      <c r="AN494" s="347">
        <f t="shared" si="63"/>
        <v>0</v>
      </c>
      <c r="AO494" s="347">
        <f t="shared" si="63"/>
        <v>78</v>
      </c>
      <c r="AP494" s="347">
        <f t="shared" ref="AP494:BG494" si="64">SUM(AP438:AP493)</f>
        <v>13</v>
      </c>
      <c r="AQ494" s="347">
        <f t="shared" si="64"/>
        <v>45</v>
      </c>
      <c r="AR494" s="347">
        <f t="shared" si="64"/>
        <v>0</v>
      </c>
      <c r="AS494" s="347">
        <f t="shared" si="64"/>
        <v>63</v>
      </c>
      <c r="AT494" s="347">
        <f t="shared" si="64"/>
        <v>0</v>
      </c>
      <c r="AU494" s="347">
        <f t="shared" si="64"/>
        <v>4</v>
      </c>
      <c r="AV494" s="347">
        <f t="shared" si="64"/>
        <v>0</v>
      </c>
      <c r="AW494" s="347">
        <f t="shared" si="64"/>
        <v>0</v>
      </c>
      <c r="AX494" s="347">
        <f t="shared" si="64"/>
        <v>0</v>
      </c>
      <c r="AY494" s="347">
        <f t="shared" si="64"/>
        <v>0</v>
      </c>
      <c r="AZ494" s="347">
        <f t="shared" si="64"/>
        <v>0</v>
      </c>
      <c r="BA494" s="347">
        <f t="shared" si="64"/>
        <v>0</v>
      </c>
      <c r="BB494" s="347">
        <f t="shared" si="64"/>
        <v>0</v>
      </c>
      <c r="BC494" s="347">
        <f t="shared" si="64"/>
        <v>0</v>
      </c>
      <c r="BD494" s="347">
        <f t="shared" si="64"/>
        <v>0</v>
      </c>
      <c r="BE494" s="347">
        <f t="shared" si="64"/>
        <v>0</v>
      </c>
      <c r="BF494" s="347">
        <f t="shared" si="64"/>
        <v>265</v>
      </c>
      <c r="BG494" s="347">
        <f t="shared" si="64"/>
        <v>0</v>
      </c>
      <c r="BH494" s="347">
        <f>SUM(BH438:BH493)</f>
        <v>644</v>
      </c>
      <c r="BI494" s="351"/>
    </row>
    <row r="495" spans="1:61" ht="14.25" customHeight="1" thickBot="1">
      <c r="A495" s="348" t="s">
        <v>174</v>
      </c>
      <c r="B495" s="348">
        <f>B494/$BH494</f>
        <v>0</v>
      </c>
      <c r="C495" s="348">
        <f>C494/$BH494</f>
        <v>0</v>
      </c>
      <c r="D495" s="348">
        <f t="shared" ref="D495:AO495" si="65">D494/$BH494</f>
        <v>0</v>
      </c>
      <c r="E495" s="348">
        <f t="shared" si="65"/>
        <v>0</v>
      </c>
      <c r="F495" s="348">
        <f t="shared" si="65"/>
        <v>0</v>
      </c>
      <c r="G495" s="348">
        <f t="shared" si="65"/>
        <v>0</v>
      </c>
      <c r="H495" s="348">
        <f t="shared" si="65"/>
        <v>0.10093167701863354</v>
      </c>
      <c r="I495" s="348">
        <f t="shared" si="65"/>
        <v>0.12577639751552794</v>
      </c>
      <c r="J495" s="348">
        <f t="shared" si="65"/>
        <v>0</v>
      </c>
      <c r="K495" s="348">
        <f t="shared" si="65"/>
        <v>0</v>
      </c>
      <c r="L495" s="348">
        <f t="shared" si="65"/>
        <v>0</v>
      </c>
      <c r="M495" s="348">
        <f t="shared" si="65"/>
        <v>0</v>
      </c>
      <c r="N495" s="348">
        <f t="shared" si="65"/>
        <v>0</v>
      </c>
      <c r="O495" s="348">
        <f t="shared" si="65"/>
        <v>0</v>
      </c>
      <c r="P495" s="348">
        <f t="shared" si="65"/>
        <v>2.4844720496894408E-2</v>
      </c>
      <c r="Q495" s="348">
        <f t="shared" si="65"/>
        <v>0</v>
      </c>
      <c r="R495" s="348">
        <f t="shared" si="65"/>
        <v>0</v>
      </c>
      <c r="S495" s="348">
        <f t="shared" si="65"/>
        <v>0</v>
      </c>
      <c r="T495" s="348">
        <f t="shared" si="65"/>
        <v>0</v>
      </c>
      <c r="U495" s="348">
        <f t="shared" si="65"/>
        <v>0</v>
      </c>
      <c r="V495" s="348">
        <f t="shared" si="65"/>
        <v>0</v>
      </c>
      <c r="W495" s="348">
        <f t="shared" si="65"/>
        <v>0</v>
      </c>
      <c r="X495" s="348">
        <f t="shared" si="65"/>
        <v>0</v>
      </c>
      <c r="Y495" s="348">
        <f t="shared" si="65"/>
        <v>0</v>
      </c>
      <c r="Z495" s="348">
        <f t="shared" si="65"/>
        <v>0</v>
      </c>
      <c r="AA495" s="348">
        <f t="shared" si="65"/>
        <v>0</v>
      </c>
      <c r="AB495" s="348">
        <f t="shared" si="65"/>
        <v>0</v>
      </c>
      <c r="AC495" s="348">
        <f t="shared" si="65"/>
        <v>0</v>
      </c>
      <c r="AD495" s="348">
        <f t="shared" si="65"/>
        <v>0</v>
      </c>
      <c r="AE495" s="348">
        <f t="shared" si="65"/>
        <v>0</v>
      </c>
      <c r="AF495" s="348">
        <f t="shared" si="65"/>
        <v>0</v>
      </c>
      <c r="AG495" s="348">
        <f t="shared" si="65"/>
        <v>0</v>
      </c>
      <c r="AH495" s="348">
        <f t="shared" si="65"/>
        <v>0</v>
      </c>
      <c r="AI495" s="348">
        <f t="shared" si="65"/>
        <v>0</v>
      </c>
      <c r="AJ495" s="348">
        <f t="shared" si="65"/>
        <v>6.2111801242236021E-3</v>
      </c>
      <c r="AK495" s="348">
        <f t="shared" si="65"/>
        <v>4.658385093167702E-3</v>
      </c>
      <c r="AL495" s="348">
        <f t="shared" si="65"/>
        <v>0</v>
      </c>
      <c r="AM495" s="348">
        <f t="shared" si="65"/>
        <v>1.0869565217391304E-2</v>
      </c>
      <c r="AN495" s="348">
        <f t="shared" si="65"/>
        <v>0</v>
      </c>
      <c r="AO495" s="348">
        <f t="shared" si="65"/>
        <v>0.12111801242236025</v>
      </c>
      <c r="AP495" s="348">
        <f t="shared" ref="AP495:BG495" si="66">AP494/$BH494</f>
        <v>2.0186335403726708E-2</v>
      </c>
      <c r="AQ495" s="348">
        <f t="shared" si="66"/>
        <v>6.9875776397515521E-2</v>
      </c>
      <c r="AR495" s="348">
        <f t="shared" si="66"/>
        <v>0</v>
      </c>
      <c r="AS495" s="348">
        <f t="shared" si="66"/>
        <v>9.7826086956521743E-2</v>
      </c>
      <c r="AT495" s="348">
        <f t="shared" si="66"/>
        <v>0</v>
      </c>
      <c r="AU495" s="348">
        <f t="shared" si="66"/>
        <v>6.2111801242236021E-3</v>
      </c>
      <c r="AV495" s="348">
        <f t="shared" si="66"/>
        <v>0</v>
      </c>
      <c r="AW495" s="348">
        <f t="shared" si="66"/>
        <v>0</v>
      </c>
      <c r="AX495" s="348">
        <f t="shared" si="66"/>
        <v>0</v>
      </c>
      <c r="AY495" s="348">
        <f t="shared" si="66"/>
        <v>0</v>
      </c>
      <c r="AZ495" s="348">
        <f t="shared" si="66"/>
        <v>0</v>
      </c>
      <c r="BA495" s="348">
        <f t="shared" si="66"/>
        <v>0</v>
      </c>
      <c r="BB495" s="348">
        <f t="shared" si="66"/>
        <v>0</v>
      </c>
      <c r="BC495" s="348">
        <f t="shared" si="66"/>
        <v>0</v>
      </c>
      <c r="BD495" s="348">
        <f t="shared" si="66"/>
        <v>0</v>
      </c>
      <c r="BE495" s="348">
        <f t="shared" si="66"/>
        <v>0</v>
      </c>
      <c r="BF495" s="348">
        <f t="shared" si="66"/>
        <v>0.41149068322981369</v>
      </c>
      <c r="BG495" s="348">
        <f t="shared" si="66"/>
        <v>0</v>
      </c>
      <c r="BH495" s="351"/>
    </row>
    <row r="496" spans="1:61" ht="14.25" customHeight="1"/>
    <row r="497" spans="1:61" ht="14.25" customHeight="1"/>
    <row r="498" spans="1:61" ht="14.25" customHeight="1"/>
    <row r="499" spans="1:61" ht="14.25" customHeight="1">
      <c r="A499" s="165">
        <f>'Conveyor Downtime (new)'!A494</f>
        <v>46266</v>
      </c>
      <c r="H499">
        <f>3</f>
        <v>3</v>
      </c>
      <c r="I499">
        <f>4</f>
        <v>4</v>
      </c>
      <c r="BF499">
        <f>3+3+2+3+2+2+8+2</f>
        <v>25</v>
      </c>
      <c r="BH499">
        <f t="shared" ref="BH499:BH533" si="67">SUM(B499:BG499)</f>
        <v>32</v>
      </c>
      <c r="BI499" s="351">
        <f t="shared" ref="BI499:BI556" si="68">BH499/$BH$372</f>
        <v>8.0200501253132828E-2</v>
      </c>
    </row>
    <row r="500" spans="1:61" ht="14.25" customHeight="1">
      <c r="A500" s="165">
        <f>'Conveyor Downtime (new)'!A495</f>
        <v>46266</v>
      </c>
      <c r="B500" s="346"/>
      <c r="C500" s="346"/>
      <c r="D500" s="346"/>
      <c r="E500" s="346"/>
      <c r="F500" s="346"/>
      <c r="G500" s="346"/>
      <c r="H500" s="346"/>
      <c r="I500" s="346"/>
      <c r="J500" s="346"/>
      <c r="K500" s="346"/>
      <c r="L500" s="346"/>
      <c r="M500" s="346"/>
      <c r="N500" s="346"/>
      <c r="O500" s="346"/>
      <c r="P500" s="346"/>
      <c r="Q500" s="346"/>
      <c r="R500" s="346"/>
      <c r="S500" s="346"/>
      <c r="T500" s="346"/>
      <c r="U500" s="346"/>
      <c r="V500" s="346"/>
      <c r="W500" s="346"/>
      <c r="X500" s="346"/>
      <c r="Y500" s="346"/>
      <c r="Z500" s="346"/>
      <c r="AA500" s="346"/>
      <c r="AB500" s="346"/>
      <c r="AC500" s="346"/>
      <c r="AD500" s="346"/>
      <c r="AE500" s="346"/>
      <c r="AF500" s="346"/>
      <c r="AG500" s="346"/>
      <c r="AH500" s="346"/>
      <c r="AI500" s="346"/>
      <c r="AJ500" s="346"/>
      <c r="AK500" s="346"/>
      <c r="AL500" s="346"/>
      <c r="AM500" s="346"/>
      <c r="AN500" s="346"/>
      <c r="AO500" s="346"/>
      <c r="AP500" s="346"/>
      <c r="AQ500" s="346"/>
      <c r="AR500" s="346"/>
      <c r="AS500" s="346"/>
      <c r="AT500" s="346"/>
      <c r="AU500" s="346"/>
      <c r="AV500" s="346"/>
      <c r="AW500" s="346"/>
      <c r="AX500" s="346"/>
      <c r="AY500" s="346"/>
      <c r="AZ500" s="346"/>
      <c r="BA500" s="346"/>
      <c r="BB500" s="346"/>
      <c r="BC500" s="346"/>
      <c r="BD500" s="346"/>
      <c r="BE500" s="346"/>
      <c r="BF500" s="346"/>
      <c r="BG500" s="346"/>
      <c r="BH500">
        <f t="shared" si="67"/>
        <v>0</v>
      </c>
      <c r="BI500" s="351">
        <f t="shared" si="68"/>
        <v>0</v>
      </c>
    </row>
    <row r="501" spans="1:61" ht="14.25" customHeight="1">
      <c r="A501" s="165">
        <f>'Conveyor Downtime (new)'!A496</f>
        <v>46267</v>
      </c>
      <c r="BH501">
        <f t="shared" si="67"/>
        <v>0</v>
      </c>
      <c r="BI501" s="351">
        <f t="shared" si="68"/>
        <v>0</v>
      </c>
    </row>
    <row r="502" spans="1:61" ht="14.25" customHeight="1">
      <c r="A502" s="165">
        <f>'Conveyor Downtime (new)'!A497</f>
        <v>46267</v>
      </c>
      <c r="B502" s="346"/>
      <c r="C502" s="346"/>
      <c r="D502" s="346"/>
      <c r="E502" s="346"/>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346"/>
      <c r="AL502" s="346"/>
      <c r="AM502" s="346"/>
      <c r="AN502" s="346"/>
      <c r="AO502" s="346"/>
      <c r="AP502" s="346"/>
      <c r="AQ502" s="346"/>
      <c r="AR502" s="346"/>
      <c r="AS502" s="346"/>
      <c r="AT502" s="346"/>
      <c r="AU502" s="346"/>
      <c r="AV502" s="346"/>
      <c r="AW502" s="346"/>
      <c r="AX502" s="346"/>
      <c r="AY502" s="346"/>
      <c r="AZ502" s="346"/>
      <c r="BA502" s="346"/>
      <c r="BB502" s="346"/>
      <c r="BC502" s="346"/>
      <c r="BD502" s="346"/>
      <c r="BE502" s="346"/>
      <c r="BF502" s="346"/>
      <c r="BG502" s="346"/>
      <c r="BH502">
        <f t="shared" si="67"/>
        <v>0</v>
      </c>
      <c r="BI502" s="351">
        <f t="shared" si="68"/>
        <v>0</v>
      </c>
    </row>
    <row r="503" spans="1:61" ht="14.25" customHeight="1">
      <c r="A503" s="165">
        <f>'Conveyor Downtime (new)'!A498</f>
        <v>46267</v>
      </c>
      <c r="I503">
        <f>6</f>
        <v>6</v>
      </c>
      <c r="BC503" s="187"/>
      <c r="BF503">
        <f>6+3</f>
        <v>9</v>
      </c>
      <c r="BH503">
        <f t="shared" si="67"/>
        <v>15</v>
      </c>
      <c r="BI503" s="360">
        <f t="shared" si="68"/>
        <v>3.7593984962406013E-2</v>
      </c>
    </row>
    <row r="504" spans="1:61" ht="14.25" customHeight="1">
      <c r="A504" s="165">
        <f>'Conveyor Downtime (new)'!A499</f>
        <v>46268</v>
      </c>
      <c r="B504" s="346"/>
      <c r="C504" s="346"/>
      <c r="D504" s="346"/>
      <c r="E504" s="346"/>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346"/>
      <c r="AL504" s="346"/>
      <c r="AM504" s="346"/>
      <c r="AN504" s="346"/>
      <c r="AO504" s="346"/>
      <c r="AP504" s="346"/>
      <c r="AQ504" s="346"/>
      <c r="AR504" s="346"/>
      <c r="AS504" s="346"/>
      <c r="AT504" s="346"/>
      <c r="AU504" s="346"/>
      <c r="AV504" s="346"/>
      <c r="AW504" s="346"/>
      <c r="AX504" s="346"/>
      <c r="AY504" s="346"/>
      <c r="AZ504" s="346"/>
      <c r="BA504" s="346"/>
      <c r="BB504" s="346"/>
      <c r="BC504" s="346"/>
      <c r="BD504" s="346"/>
      <c r="BE504" s="346"/>
      <c r="BF504" s="346"/>
      <c r="BG504" s="346"/>
      <c r="BH504">
        <f t="shared" si="67"/>
        <v>0</v>
      </c>
      <c r="BI504" s="351">
        <f t="shared" si="68"/>
        <v>0</v>
      </c>
    </row>
    <row r="505" spans="1:61" ht="14.25" customHeight="1">
      <c r="A505" s="165">
        <f>'Conveyor Downtime (new)'!A500</f>
        <v>46268</v>
      </c>
      <c r="H505">
        <f>2</f>
        <v>2</v>
      </c>
      <c r="I505">
        <f>6+5</f>
        <v>11</v>
      </c>
      <c r="BF505">
        <f>2+2</f>
        <v>4</v>
      </c>
      <c r="BH505">
        <f t="shared" si="67"/>
        <v>17</v>
      </c>
      <c r="BI505" s="351">
        <f t="shared" si="68"/>
        <v>4.2606516290726815E-2</v>
      </c>
    </row>
    <row r="506" spans="1:61" ht="14.25" customHeight="1">
      <c r="A506" s="165">
        <f>'Conveyor Downtime (new)'!A501</f>
        <v>46268</v>
      </c>
      <c r="B506" s="346"/>
      <c r="C506" s="346"/>
      <c r="D506" s="346"/>
      <c r="E506" s="346"/>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s="346"/>
      <c r="AE506" s="346"/>
      <c r="AF506" s="346"/>
      <c r="AG506" s="346"/>
      <c r="AH506" s="346"/>
      <c r="AI506" s="346"/>
      <c r="AJ506" s="346"/>
      <c r="AK506" s="346"/>
      <c r="AL506" s="346"/>
      <c r="AM506" s="346"/>
      <c r="AN506" s="346"/>
      <c r="AO506" s="346"/>
      <c r="AP506" s="346"/>
      <c r="AQ506" s="346"/>
      <c r="AR506" s="346"/>
      <c r="AS506" s="346"/>
      <c r="AT506" s="346"/>
      <c r="AU506" s="346"/>
      <c r="AV506" s="346"/>
      <c r="AW506" s="346"/>
      <c r="AX506" s="346"/>
      <c r="AY506" s="346"/>
      <c r="AZ506" s="346"/>
      <c r="BA506" s="346"/>
      <c r="BB506" s="346"/>
      <c r="BC506" s="346"/>
      <c r="BD506" s="346"/>
      <c r="BE506" s="346"/>
      <c r="BF506" s="346"/>
      <c r="BG506" s="346"/>
      <c r="BH506">
        <f t="shared" si="67"/>
        <v>0</v>
      </c>
      <c r="BI506" s="351">
        <f t="shared" si="68"/>
        <v>0</v>
      </c>
    </row>
    <row r="507" spans="1:61" ht="14.25" customHeight="1">
      <c r="A507" s="165">
        <f>'Conveyor Downtime (new)'!A502</f>
        <v>46269</v>
      </c>
      <c r="BH507">
        <f t="shared" si="67"/>
        <v>0</v>
      </c>
      <c r="BI507" s="351">
        <f t="shared" si="68"/>
        <v>0</v>
      </c>
    </row>
    <row r="508" spans="1:61" ht="14.25" customHeight="1">
      <c r="A508" s="165">
        <f>'Conveyor Downtime (new)'!A503</f>
        <v>46273</v>
      </c>
      <c r="B508" s="346"/>
      <c r="C508" s="346"/>
      <c r="D508" s="346"/>
      <c r="E508" s="346"/>
      <c r="F508" s="346"/>
      <c r="G508" s="346"/>
      <c r="H508" s="346">
        <v>2</v>
      </c>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s="346"/>
      <c r="AE508" s="346"/>
      <c r="AF508" s="346"/>
      <c r="AG508" s="346"/>
      <c r="AH508" s="346"/>
      <c r="AI508" s="346"/>
      <c r="AJ508" s="346"/>
      <c r="AK508" s="346"/>
      <c r="AL508" s="346"/>
      <c r="AM508" s="346"/>
      <c r="AN508" s="346"/>
      <c r="AO508" s="346"/>
      <c r="AP508" s="346"/>
      <c r="AQ508" s="346"/>
      <c r="AR508" s="346"/>
      <c r="AS508" s="346"/>
      <c r="AT508" s="346"/>
      <c r="AU508" s="346"/>
      <c r="AV508" s="346"/>
      <c r="AW508" s="346"/>
      <c r="AX508" s="346"/>
      <c r="AY508" s="346"/>
      <c r="AZ508" s="346"/>
      <c r="BA508" s="346"/>
      <c r="BB508" s="346"/>
      <c r="BC508" s="346"/>
      <c r="BD508" s="346"/>
      <c r="BE508" s="346"/>
      <c r="BF508" s="346"/>
      <c r="BG508" s="346"/>
      <c r="BH508">
        <f t="shared" si="67"/>
        <v>2</v>
      </c>
      <c r="BI508" s="351">
        <f t="shared" si="68"/>
        <v>5.0125313283208017E-3</v>
      </c>
    </row>
    <row r="509" spans="1:61" ht="15" customHeight="1">
      <c r="A509" s="165">
        <f>'Conveyor Downtime (new)'!A504</f>
        <v>46274</v>
      </c>
      <c r="H509">
        <f>2</f>
        <v>2</v>
      </c>
      <c r="BF509">
        <f>3+2</f>
        <v>5</v>
      </c>
      <c r="BH509">
        <f t="shared" si="67"/>
        <v>7</v>
      </c>
      <c r="BI509" s="351">
        <f t="shared" si="68"/>
        <v>1.7543859649122806E-2</v>
      </c>
    </row>
    <row r="510" spans="1:61" ht="14.25" customHeight="1">
      <c r="A510" s="165">
        <f>'Conveyor Downtime (new)'!A505</f>
        <v>46275</v>
      </c>
      <c r="B510" s="346"/>
      <c r="C510" s="346"/>
      <c r="D510" s="346"/>
      <c r="E510" s="346"/>
      <c r="F510" s="346"/>
      <c r="G510" s="346"/>
      <c r="H510" s="346"/>
      <c r="I510" s="346"/>
      <c r="J510" s="346"/>
      <c r="K510" s="346"/>
      <c r="L510" s="346"/>
      <c r="M510" s="346"/>
      <c r="N510" s="346"/>
      <c r="O510" s="346"/>
      <c r="P510" s="346">
        <f>5</f>
        <v>5</v>
      </c>
      <c r="Q510" s="346"/>
      <c r="R510" s="346"/>
      <c r="S510" s="346"/>
      <c r="T510" s="346"/>
      <c r="U510" s="346"/>
      <c r="V510" s="346"/>
      <c r="W510" s="346"/>
      <c r="X510" s="346"/>
      <c r="Y510" s="346"/>
      <c r="Z510" s="346"/>
      <c r="AA510" s="346"/>
      <c r="AB510" s="77"/>
      <c r="AC510" s="346"/>
      <c r="AD510" s="346"/>
      <c r="AE510" s="346"/>
      <c r="AF510" s="346"/>
      <c r="AG510" s="346"/>
      <c r="AH510" s="346"/>
      <c r="AI510" s="346"/>
      <c r="AJ510" s="346"/>
      <c r="AK510" s="346"/>
      <c r="AL510" s="346"/>
      <c r="AM510" s="346"/>
      <c r="AN510" s="346"/>
      <c r="AO510" s="346"/>
      <c r="AP510" s="346"/>
      <c r="AQ510" s="346"/>
      <c r="AR510" s="346"/>
      <c r="AS510" s="346"/>
      <c r="AT510" s="346"/>
      <c r="AU510" s="346"/>
      <c r="AV510" s="346"/>
      <c r="AW510" s="346"/>
      <c r="AX510" s="346"/>
      <c r="AY510" s="346"/>
      <c r="AZ510" s="346"/>
      <c r="BA510" s="346"/>
      <c r="BB510" s="346"/>
      <c r="BC510" s="346"/>
      <c r="BD510" s="346"/>
      <c r="BE510" s="346"/>
      <c r="BF510" s="346"/>
      <c r="BG510" s="346"/>
      <c r="BH510">
        <f t="shared" si="67"/>
        <v>5</v>
      </c>
      <c r="BI510" s="351">
        <f t="shared" si="68"/>
        <v>1.2531328320802004E-2</v>
      </c>
    </row>
    <row r="511" spans="1:61" ht="14.25" customHeight="1">
      <c r="A511" s="165">
        <f>'Conveyor Downtime (new)'!A506</f>
        <v>46276</v>
      </c>
      <c r="BH511">
        <f t="shared" si="67"/>
        <v>0</v>
      </c>
      <c r="BI511" s="351">
        <f t="shared" si="68"/>
        <v>0</v>
      </c>
    </row>
    <row r="512" spans="1:61" ht="14.25" customHeight="1">
      <c r="A512" s="165">
        <f>'Conveyor Downtime (new)'!A507</f>
        <v>46276</v>
      </c>
      <c r="B512" s="346"/>
      <c r="C512" s="346"/>
      <c r="D512" s="346"/>
      <c r="E512" s="346"/>
      <c r="F512" s="346"/>
      <c r="G512" s="346"/>
      <c r="H512" s="346">
        <f>4</f>
        <v>4</v>
      </c>
      <c r="I512" s="346"/>
      <c r="J512" s="346"/>
      <c r="K512" s="346"/>
      <c r="L512" s="346"/>
      <c r="M512" s="346"/>
      <c r="N512" s="346"/>
      <c r="O512" s="346"/>
      <c r="P512" s="346"/>
      <c r="Q512" s="346"/>
      <c r="R512" s="346"/>
      <c r="S512" s="346"/>
      <c r="T512" s="346"/>
      <c r="U512" s="346"/>
      <c r="V512" s="346"/>
      <c r="W512" s="346"/>
      <c r="X512" s="346"/>
      <c r="Y512" s="346"/>
      <c r="Z512" s="346"/>
      <c r="AA512" s="346"/>
      <c r="AB512" s="346"/>
      <c r="AC512" s="346"/>
      <c r="AD512" s="346"/>
      <c r="AE512" s="346"/>
      <c r="AF512" s="346"/>
      <c r="AG512" s="346"/>
      <c r="AH512" s="346"/>
      <c r="AI512" s="346"/>
      <c r="AJ512" s="346"/>
      <c r="AK512" s="346"/>
      <c r="AL512" s="346"/>
      <c r="AM512" s="346"/>
      <c r="AN512" s="346"/>
      <c r="AO512" s="346"/>
      <c r="AP512" s="346"/>
      <c r="AQ512" s="346"/>
      <c r="AR512" s="346"/>
      <c r="AS512" s="346"/>
      <c r="AT512" s="346"/>
      <c r="AU512" s="346"/>
      <c r="AV512" s="346"/>
      <c r="AW512" s="346"/>
      <c r="AX512" s="346"/>
      <c r="AY512" s="346"/>
      <c r="AZ512" s="346"/>
      <c r="BA512" s="346"/>
      <c r="BB512" s="346"/>
      <c r="BC512" s="346"/>
      <c r="BD512" s="346"/>
      <c r="BE512" s="346"/>
      <c r="BF512" s="346"/>
      <c r="BG512" s="346"/>
      <c r="BH512">
        <f t="shared" ref="BH512:BH517" si="69">SUM(B512:BG512)</f>
        <v>4</v>
      </c>
      <c r="BI512" s="351">
        <f t="shared" ref="BI512:BI517" si="70">BH512/$BH$372</f>
        <v>1.0025062656641603E-2</v>
      </c>
    </row>
    <row r="513" spans="1:61" ht="14.25" customHeight="1">
      <c r="A513" s="165">
        <f>'Conveyor Downtime (new)'!A508</f>
        <v>46279</v>
      </c>
      <c r="I513">
        <f>4</f>
        <v>4</v>
      </c>
      <c r="BH513">
        <f t="shared" si="69"/>
        <v>4</v>
      </c>
      <c r="BI513" s="351">
        <f t="shared" si="70"/>
        <v>1.0025062656641603E-2</v>
      </c>
    </row>
    <row r="514" spans="1:61" ht="14.25" customHeight="1">
      <c r="A514" s="165">
        <f>'Conveyor Downtime (new)'!A509</f>
        <v>46279</v>
      </c>
      <c r="B514" s="346"/>
      <c r="C514" s="346"/>
      <c r="D514" s="346"/>
      <c r="E514" s="346"/>
      <c r="F514" s="346"/>
      <c r="G514" s="346"/>
      <c r="H514" s="346"/>
      <c r="I514" s="346"/>
      <c r="J514" s="346"/>
      <c r="K514" s="346"/>
      <c r="L514" s="346"/>
      <c r="M514" s="346"/>
      <c r="N514" s="346"/>
      <c r="O514" s="346"/>
      <c r="P514" s="346"/>
      <c r="Q514" s="346"/>
      <c r="R514" s="346"/>
      <c r="S514" s="346"/>
      <c r="T514" s="346"/>
      <c r="U514" s="346"/>
      <c r="V514" s="346"/>
      <c r="W514" s="346"/>
      <c r="X514" s="346"/>
      <c r="Y514" s="346"/>
      <c r="Z514" s="346"/>
      <c r="AA514" s="346"/>
      <c r="AB514" s="346"/>
      <c r="AC514" s="346"/>
      <c r="AD514" s="346"/>
      <c r="AE514" s="346"/>
      <c r="AF514" s="346"/>
      <c r="AG514" s="346"/>
      <c r="AH514" s="346"/>
      <c r="AI514" s="346"/>
      <c r="AJ514" s="346"/>
      <c r="AK514" s="346"/>
      <c r="AL514" s="346"/>
      <c r="AM514" s="346"/>
      <c r="AN514" s="346"/>
      <c r="AO514" s="346"/>
      <c r="AP514" s="346"/>
      <c r="AQ514" s="346"/>
      <c r="AR514" s="346"/>
      <c r="AS514" s="346"/>
      <c r="AT514" s="346"/>
      <c r="AU514" s="346"/>
      <c r="AV514" s="346"/>
      <c r="AW514" s="346"/>
      <c r="AX514" s="346"/>
      <c r="AY514" s="346"/>
      <c r="AZ514" s="346"/>
      <c r="BA514" s="346"/>
      <c r="BB514" s="346"/>
      <c r="BC514" s="346"/>
      <c r="BD514" s="346"/>
      <c r="BE514" s="346"/>
      <c r="BF514" s="346">
        <f>3+3+4+4+2</f>
        <v>16</v>
      </c>
      <c r="BG514" s="346"/>
      <c r="BH514">
        <f t="shared" si="69"/>
        <v>16</v>
      </c>
      <c r="BI514" s="351">
        <f t="shared" si="70"/>
        <v>4.0100250626566414E-2</v>
      </c>
    </row>
    <row r="515" spans="1:61" ht="14.25" customHeight="1">
      <c r="A515" s="165">
        <f>'Conveyor Downtime (new)'!A510</f>
        <v>46280</v>
      </c>
      <c r="H515">
        <f>5+5</f>
        <v>10</v>
      </c>
      <c r="I515">
        <f>6</f>
        <v>6</v>
      </c>
      <c r="BF515">
        <f>3</f>
        <v>3</v>
      </c>
      <c r="BH515">
        <f t="shared" si="69"/>
        <v>19</v>
      </c>
      <c r="BI515" s="351">
        <f t="shared" si="70"/>
        <v>4.7619047619047616E-2</v>
      </c>
    </row>
    <row r="516" spans="1:61" ht="14.25" customHeight="1">
      <c r="A516" s="165">
        <f>'Conveyor Downtime (new)'!A511</f>
        <v>46280</v>
      </c>
      <c r="B516" s="346"/>
      <c r="C516" s="346"/>
      <c r="D516" s="346"/>
      <c r="E516" s="346"/>
      <c r="F516" s="346"/>
      <c r="G516" s="346"/>
      <c r="H516" s="346">
        <f>4</f>
        <v>4</v>
      </c>
      <c r="I516" s="346">
        <f>7</f>
        <v>7</v>
      </c>
      <c r="J516" s="346"/>
      <c r="K516" s="346"/>
      <c r="L516" s="346"/>
      <c r="M516" s="346"/>
      <c r="N516" s="346"/>
      <c r="O516" s="346"/>
      <c r="P516" s="346">
        <f>6</f>
        <v>6</v>
      </c>
      <c r="Q516" s="346"/>
      <c r="R516" s="346"/>
      <c r="S516" s="346"/>
      <c r="T516" s="346"/>
      <c r="U516" s="346"/>
      <c r="V516" s="346"/>
      <c r="W516" s="346"/>
      <c r="X516" s="346"/>
      <c r="Y516" s="346"/>
      <c r="Z516" s="346"/>
      <c r="AA516" s="346"/>
      <c r="AB516" s="346"/>
      <c r="AC516" s="346"/>
      <c r="AD516" s="346"/>
      <c r="AE516" s="346"/>
      <c r="AF516" s="346"/>
      <c r="AG516" s="346"/>
      <c r="AH516" s="346"/>
      <c r="AI516" s="346"/>
      <c r="AJ516" s="346"/>
      <c r="AK516" s="346"/>
      <c r="AL516" s="346"/>
      <c r="AM516" s="346"/>
      <c r="AN516" s="346"/>
      <c r="AO516" s="346"/>
      <c r="AP516" s="346"/>
      <c r="AQ516" s="346"/>
      <c r="AR516" s="346"/>
      <c r="AS516" s="346"/>
      <c r="AT516" s="346"/>
      <c r="AU516" s="346"/>
      <c r="AV516" s="346"/>
      <c r="AW516" s="346"/>
      <c r="AX516" s="346"/>
      <c r="AY516" s="346"/>
      <c r="AZ516" s="346"/>
      <c r="BA516" s="346"/>
      <c r="BB516" s="346"/>
      <c r="BC516" s="346"/>
      <c r="BD516" s="346"/>
      <c r="BE516" s="346"/>
      <c r="BF516" s="346"/>
      <c r="BG516" s="346"/>
      <c r="BH516">
        <f t="shared" si="69"/>
        <v>17</v>
      </c>
      <c r="BI516" s="351">
        <f t="shared" si="70"/>
        <v>4.2606516290726815E-2</v>
      </c>
    </row>
    <row r="517" spans="1:61" ht="14.25" customHeight="1">
      <c r="A517" s="165">
        <f>'Conveyor Downtime (new)'!A512</f>
        <v>46281</v>
      </c>
      <c r="H517">
        <f>3</f>
        <v>3</v>
      </c>
      <c r="BH517">
        <f t="shared" si="69"/>
        <v>3</v>
      </c>
      <c r="BI517" s="351">
        <f t="shared" si="70"/>
        <v>7.5187969924812026E-3</v>
      </c>
    </row>
    <row r="518" spans="1:61" ht="14.25" customHeight="1">
      <c r="A518" s="165">
        <f>'Conveyor Downtime (new)'!A513</f>
        <v>46281</v>
      </c>
      <c r="B518" s="346"/>
      <c r="C518" s="346"/>
      <c r="D518" s="346"/>
      <c r="E518" s="346"/>
      <c r="F518" s="346"/>
      <c r="G518" s="346"/>
      <c r="H518" s="346"/>
      <c r="I518" s="346"/>
      <c r="J518" s="346"/>
      <c r="K518" s="346"/>
      <c r="L518" s="346"/>
      <c r="M518" s="346"/>
      <c r="N518" s="346"/>
      <c r="O518" s="346"/>
      <c r="P518" s="346"/>
      <c r="Q518" s="346"/>
      <c r="R518" s="346"/>
      <c r="S518" s="346"/>
      <c r="T518" s="346"/>
      <c r="U518" s="346"/>
      <c r="V518" s="346"/>
      <c r="W518" s="346"/>
      <c r="X518" s="346"/>
      <c r="Y518" s="346"/>
      <c r="Z518" s="346"/>
      <c r="AA518" s="346"/>
      <c r="AB518" s="346"/>
      <c r="AC518" s="346"/>
      <c r="AD518" s="346"/>
      <c r="AE518" s="346"/>
      <c r="AF518" s="346"/>
      <c r="AG518" s="346"/>
      <c r="AH518" s="346"/>
      <c r="AI518" s="346"/>
      <c r="AJ518" s="346"/>
      <c r="AK518" s="346"/>
      <c r="AL518" s="346"/>
      <c r="AM518" s="346"/>
      <c r="AN518" s="346"/>
      <c r="AO518" s="346"/>
      <c r="AP518" s="346"/>
      <c r="AQ518" s="346"/>
      <c r="AR518" s="346"/>
      <c r="AS518" s="346"/>
      <c r="AT518" s="346"/>
      <c r="AU518" s="346"/>
      <c r="AV518" s="346"/>
      <c r="AW518" s="346"/>
      <c r="AX518" s="346"/>
      <c r="AY518" s="346"/>
      <c r="AZ518" s="346"/>
      <c r="BA518" s="346"/>
      <c r="BB518" s="346"/>
      <c r="BC518" s="346"/>
      <c r="BD518" s="346"/>
      <c r="BE518" s="346"/>
      <c r="BF518" s="346"/>
      <c r="BG518" s="346"/>
      <c r="BH518">
        <f t="shared" si="67"/>
        <v>0</v>
      </c>
      <c r="BI518" s="351">
        <f t="shared" si="68"/>
        <v>0</v>
      </c>
    </row>
    <row r="519" spans="1:61" ht="14.25" customHeight="1">
      <c r="A519" s="165">
        <f>'Conveyor Downtime (new)'!A514</f>
        <v>46282</v>
      </c>
      <c r="BF519">
        <f>6+4</f>
        <v>10</v>
      </c>
      <c r="BH519">
        <f t="shared" si="67"/>
        <v>10</v>
      </c>
      <c r="BI519" s="351">
        <f t="shared" si="68"/>
        <v>2.5062656641604009E-2</v>
      </c>
    </row>
    <row r="520" spans="1:61" ht="14.25" customHeight="1">
      <c r="A520" s="165">
        <f>'Conveyor Downtime (new)'!A515</f>
        <v>46282</v>
      </c>
      <c r="B520" s="346"/>
      <c r="C520" s="346"/>
      <c r="D520" s="346"/>
      <c r="E520" s="346"/>
      <c r="F520" s="346"/>
      <c r="G520" s="346"/>
      <c r="H520" s="346"/>
      <c r="I520" s="346">
        <v>4</v>
      </c>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346"/>
      <c r="AK520" s="346"/>
      <c r="AL520" s="346"/>
      <c r="AM520" s="346"/>
      <c r="AN520" s="346"/>
      <c r="AO520" s="346"/>
      <c r="AP520" s="346"/>
      <c r="AQ520" s="346"/>
      <c r="AR520" s="346"/>
      <c r="AS520" s="346"/>
      <c r="AT520" s="346"/>
      <c r="AU520" s="346"/>
      <c r="AV520" s="346"/>
      <c r="AW520" s="346"/>
      <c r="AX520" s="346"/>
      <c r="AY520" s="346"/>
      <c r="AZ520" s="346"/>
      <c r="BA520" s="346"/>
      <c r="BB520" s="346"/>
      <c r="BC520" s="346"/>
      <c r="BD520" s="346"/>
      <c r="BE520" s="346"/>
      <c r="BF520" s="346">
        <f>2+8</f>
        <v>10</v>
      </c>
      <c r="BG520" s="346"/>
      <c r="BH520">
        <f t="shared" si="67"/>
        <v>14</v>
      </c>
      <c r="BI520" s="351">
        <f t="shared" si="68"/>
        <v>3.5087719298245612E-2</v>
      </c>
    </row>
    <row r="521" spans="1:61" ht="14.25" customHeight="1">
      <c r="A521" s="165">
        <f>'Conveyor Downtime (new)'!A516</f>
        <v>46282</v>
      </c>
      <c r="I521">
        <f>5</f>
        <v>5</v>
      </c>
      <c r="BH521">
        <f t="shared" si="67"/>
        <v>5</v>
      </c>
      <c r="BI521" s="351">
        <f t="shared" si="68"/>
        <v>1.2531328320802004E-2</v>
      </c>
    </row>
    <row r="522" spans="1:61" ht="14.25" customHeight="1">
      <c r="A522" s="165">
        <f>'Conveyor Downtime (new)'!A517</f>
        <v>46283</v>
      </c>
      <c r="B522" s="346"/>
      <c r="C522" s="346"/>
      <c r="D522" s="346"/>
      <c r="E522" s="346"/>
      <c r="F522" s="346"/>
      <c r="G522" s="346"/>
      <c r="H522" s="346">
        <f>3</f>
        <v>3</v>
      </c>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346"/>
      <c r="AK522" s="346"/>
      <c r="AL522" s="346"/>
      <c r="AM522" s="346"/>
      <c r="AN522" s="346"/>
      <c r="AO522" s="346"/>
      <c r="AP522" s="346"/>
      <c r="AQ522" s="346"/>
      <c r="AR522" s="346"/>
      <c r="AS522" s="346"/>
      <c r="AT522" s="346"/>
      <c r="AU522" s="346"/>
      <c r="AV522" s="346"/>
      <c r="AW522" s="346"/>
      <c r="AX522" s="346"/>
      <c r="AY522" s="346"/>
      <c r="AZ522" s="346"/>
      <c r="BA522" s="346"/>
      <c r="BB522" s="346"/>
      <c r="BC522" s="346"/>
      <c r="BD522" s="346"/>
      <c r="BE522" s="346"/>
      <c r="BF522" s="346">
        <f>3</f>
        <v>3</v>
      </c>
      <c r="BG522" s="346"/>
      <c r="BH522">
        <f t="shared" si="67"/>
        <v>6</v>
      </c>
      <c r="BI522" s="351">
        <f t="shared" si="68"/>
        <v>1.5037593984962405E-2</v>
      </c>
    </row>
    <row r="523" spans="1:61" ht="14.25" customHeight="1">
      <c r="A523" s="165">
        <f>'Conveyor Downtime (new)'!A518</f>
        <v>46283</v>
      </c>
      <c r="BH523">
        <f t="shared" si="67"/>
        <v>0</v>
      </c>
      <c r="BI523" s="351">
        <f t="shared" si="68"/>
        <v>0</v>
      </c>
    </row>
    <row r="524" spans="1:61" ht="14.25" customHeight="1">
      <c r="A524" s="165">
        <f>'Conveyor Downtime (new)'!A519</f>
        <v>46283</v>
      </c>
      <c r="B524" s="346"/>
      <c r="C524" s="346"/>
      <c r="D524" s="346"/>
      <c r="E524" s="346"/>
      <c r="F524" s="346"/>
      <c r="G524" s="77"/>
      <c r="H524" s="346"/>
      <c r="I524" s="346"/>
      <c r="J524" s="346"/>
      <c r="K524" s="346"/>
      <c r="L524" s="346"/>
      <c r="M524" s="346"/>
      <c r="N524" s="77"/>
      <c r="O524" s="346"/>
      <c r="P524" s="346"/>
      <c r="Q524" s="346"/>
      <c r="R524" s="346"/>
      <c r="S524" s="346"/>
      <c r="T524" s="346"/>
      <c r="U524" s="346"/>
      <c r="V524" s="346"/>
      <c r="W524" s="346"/>
      <c r="X524" s="346"/>
      <c r="Y524" s="346"/>
      <c r="Z524" s="346"/>
      <c r="AA524" s="346"/>
      <c r="AB524" s="346"/>
      <c r="AC524" s="346"/>
      <c r="AD524" s="346"/>
      <c r="AE524" s="346"/>
      <c r="AF524" s="346"/>
      <c r="AG524" s="346"/>
      <c r="AH524" s="346"/>
      <c r="AI524" s="346"/>
      <c r="AJ524" s="346"/>
      <c r="AK524" s="346"/>
      <c r="AL524" s="346"/>
      <c r="AM524" s="346"/>
      <c r="AN524" s="346"/>
      <c r="AO524" s="346"/>
      <c r="AP524" s="346"/>
      <c r="AQ524" s="346"/>
      <c r="AR524" s="346"/>
      <c r="AS524" s="346"/>
      <c r="AT524" s="346"/>
      <c r="AU524" s="346"/>
      <c r="AV524" s="346"/>
      <c r="AW524" s="346"/>
      <c r="AX524" s="346"/>
      <c r="AY524" s="346"/>
      <c r="AZ524" s="346"/>
      <c r="BA524" s="346"/>
      <c r="BB524" s="346"/>
      <c r="BC524" s="346"/>
      <c r="BD524" s="346"/>
      <c r="BE524" s="346"/>
      <c r="BF524" s="346"/>
      <c r="BG524" s="346"/>
      <c r="BH524">
        <f t="shared" si="67"/>
        <v>0</v>
      </c>
      <c r="BI524" s="351">
        <f t="shared" si="68"/>
        <v>0</v>
      </c>
    </row>
    <row r="525" spans="1:61" ht="14.25" customHeight="1">
      <c r="A525" s="165">
        <f>'Conveyor Downtime (new)'!A520</f>
        <v>46286</v>
      </c>
      <c r="AQ525">
        <f>10+50+10+60</f>
        <v>130</v>
      </c>
      <c r="BF525">
        <f>25</f>
        <v>25</v>
      </c>
      <c r="BH525">
        <f t="shared" si="67"/>
        <v>155</v>
      </c>
      <c r="BI525" s="351">
        <f t="shared" si="68"/>
        <v>0.38847117794486213</v>
      </c>
    </row>
    <row r="526" spans="1:61" ht="14.25" customHeight="1">
      <c r="A526" s="165">
        <f>'Conveyor Downtime (new)'!A521</f>
        <v>46286</v>
      </c>
      <c r="B526" s="346"/>
      <c r="C526" s="346"/>
      <c r="D526" s="346"/>
      <c r="E526" s="346"/>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346"/>
      <c r="AK526" s="346"/>
      <c r="AL526" s="346"/>
      <c r="AM526" s="346"/>
      <c r="AN526" s="346"/>
      <c r="AO526" s="346"/>
      <c r="AP526" s="346"/>
      <c r="AQ526" s="346"/>
      <c r="AR526" s="346"/>
      <c r="AS526" s="346"/>
      <c r="AT526" s="346"/>
      <c r="AU526" s="346"/>
      <c r="AV526" s="346"/>
      <c r="AW526" s="346"/>
      <c r="AX526" s="346"/>
      <c r="AY526" s="346"/>
      <c r="AZ526" s="346"/>
      <c r="BA526" s="346"/>
      <c r="BB526" s="346"/>
      <c r="BC526" s="346"/>
      <c r="BD526" s="346"/>
      <c r="BE526" s="346"/>
      <c r="BF526" s="346"/>
      <c r="BG526" s="346"/>
      <c r="BH526">
        <f t="shared" si="67"/>
        <v>0</v>
      </c>
      <c r="BI526" s="351">
        <f t="shared" si="68"/>
        <v>0</v>
      </c>
    </row>
    <row r="527" spans="1:61" ht="14.25" customHeight="1">
      <c r="A527" s="165">
        <f>'Conveyor Downtime (new)'!A522</f>
        <v>46287</v>
      </c>
      <c r="BF527">
        <f>4+5+5+4+4+2+4+2+2+4+2+3+2+2</f>
        <v>45</v>
      </c>
      <c r="BH527">
        <f t="shared" si="67"/>
        <v>45</v>
      </c>
      <c r="BI527" s="351">
        <f t="shared" si="68"/>
        <v>0.11278195488721804</v>
      </c>
    </row>
    <row r="528" spans="1:61" ht="14.25" customHeight="1">
      <c r="A528" s="165">
        <f>'Conveyor Downtime (new)'!A523</f>
        <v>46288</v>
      </c>
      <c r="B528" s="346"/>
      <c r="C528" s="346"/>
      <c r="D528" s="346"/>
      <c r="E528" s="346"/>
      <c r="F528" s="346"/>
      <c r="G528" s="346"/>
      <c r="H528" s="346">
        <f>3</f>
        <v>3</v>
      </c>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346"/>
      <c r="AK528" s="346"/>
      <c r="AL528" s="346"/>
      <c r="AM528" s="346"/>
      <c r="AN528" s="346"/>
      <c r="AO528" s="346"/>
      <c r="AP528" s="346"/>
      <c r="AQ528" s="346"/>
      <c r="AR528" s="346"/>
      <c r="AS528" s="346"/>
      <c r="AT528" s="346"/>
      <c r="AU528" s="346"/>
      <c r="AV528" s="346"/>
      <c r="AW528" s="346"/>
      <c r="AX528" s="346"/>
      <c r="AY528" s="346"/>
      <c r="AZ528" s="346"/>
      <c r="BA528" s="346"/>
      <c r="BB528" s="346"/>
      <c r="BC528" s="346"/>
      <c r="BD528" s="346"/>
      <c r="BE528" s="346"/>
      <c r="BF528" s="346">
        <f>3+3</f>
        <v>6</v>
      </c>
      <c r="BG528" s="346"/>
      <c r="BH528">
        <f t="shared" si="67"/>
        <v>9</v>
      </c>
      <c r="BI528" s="351">
        <f t="shared" si="68"/>
        <v>2.2556390977443608E-2</v>
      </c>
    </row>
    <row r="529" spans="1:61" ht="14.25" customHeight="1">
      <c r="A529" s="165">
        <f>'Conveyor Downtime (new)'!A524</f>
        <v>46288</v>
      </c>
      <c r="BH529">
        <f t="shared" si="67"/>
        <v>0</v>
      </c>
      <c r="BI529" s="351">
        <f t="shared" si="68"/>
        <v>0</v>
      </c>
    </row>
    <row r="530" spans="1:61" ht="14.25" customHeight="1">
      <c r="A530" s="165">
        <f>'Conveyor Downtime (new)'!A525</f>
        <v>46289</v>
      </c>
      <c r="B530" s="346"/>
      <c r="C530" s="346"/>
      <c r="D530" s="346"/>
      <c r="E530" s="346"/>
      <c r="F530" s="346"/>
      <c r="G530" s="346"/>
      <c r="H530" s="346">
        <f>3</f>
        <v>3</v>
      </c>
      <c r="I530" s="346">
        <v>4</v>
      </c>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346"/>
      <c r="AK530" s="346"/>
      <c r="AL530" s="346"/>
      <c r="AM530" s="346"/>
      <c r="AN530" s="346"/>
      <c r="AO530" s="346"/>
      <c r="AP530" s="346"/>
      <c r="AQ530" s="346"/>
      <c r="AR530" s="346"/>
      <c r="AS530" s="346"/>
      <c r="AT530" s="346"/>
      <c r="AU530" s="346"/>
      <c r="AV530" s="346"/>
      <c r="AW530" s="346"/>
      <c r="AX530" s="346"/>
      <c r="AY530" s="346"/>
      <c r="AZ530" s="346"/>
      <c r="BA530" s="346"/>
      <c r="BB530" s="346"/>
      <c r="BC530" s="346"/>
      <c r="BD530" s="346"/>
      <c r="BE530" s="346"/>
      <c r="BF530" s="346"/>
      <c r="BG530" s="346"/>
      <c r="BH530">
        <f t="shared" si="67"/>
        <v>7</v>
      </c>
      <c r="BI530" s="351">
        <f t="shared" si="68"/>
        <v>1.7543859649122806E-2</v>
      </c>
    </row>
    <row r="531" spans="1:61" ht="14.25" customHeight="1">
      <c r="A531" s="165">
        <f>'Conveyor Downtime (new)'!A526</f>
        <v>46290</v>
      </c>
      <c r="AJ531" s="77"/>
      <c r="BH531">
        <f t="shared" si="67"/>
        <v>0</v>
      </c>
      <c r="BI531" s="351">
        <f t="shared" si="68"/>
        <v>0</v>
      </c>
    </row>
    <row r="532" spans="1:61" ht="14.25" customHeight="1">
      <c r="A532" s="165">
        <f>'Conveyor Downtime (new)'!A527</f>
        <v>46290</v>
      </c>
      <c r="B532" s="346"/>
      <c r="C532" s="346"/>
      <c r="D532" s="346"/>
      <c r="E532" s="346"/>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346"/>
      <c r="AK532" s="346"/>
      <c r="AL532" s="346"/>
      <c r="AM532" s="346"/>
      <c r="AN532" s="346"/>
      <c r="AO532" s="346"/>
      <c r="AP532" s="346"/>
      <c r="AQ532" s="346"/>
      <c r="AR532" s="346"/>
      <c r="AS532" s="346"/>
      <c r="AT532" s="346"/>
      <c r="AU532" s="346"/>
      <c r="AV532" s="346"/>
      <c r="AW532" s="346"/>
      <c r="AX532" s="346"/>
      <c r="AY532" s="346"/>
      <c r="AZ532" s="346"/>
      <c r="BA532" s="346"/>
      <c r="BB532" s="346"/>
      <c r="BC532" s="346"/>
      <c r="BD532" s="346"/>
      <c r="BE532" s="346"/>
      <c r="BF532" s="346"/>
      <c r="BG532" s="346"/>
      <c r="BH532">
        <f t="shared" si="67"/>
        <v>0</v>
      </c>
      <c r="BI532" s="351">
        <f t="shared" si="68"/>
        <v>0</v>
      </c>
    </row>
    <row r="533" spans="1:61" ht="14.25" customHeight="1">
      <c r="A533" s="165">
        <f>'Conveyor Downtime (new)'!A528</f>
        <v>46293</v>
      </c>
      <c r="I533">
        <f>3</f>
        <v>3</v>
      </c>
      <c r="BF533">
        <v>3</v>
      </c>
      <c r="BH533">
        <f t="shared" si="67"/>
        <v>6</v>
      </c>
      <c r="BI533" s="351">
        <f t="shared" si="68"/>
        <v>1.5037593984962405E-2</v>
      </c>
    </row>
    <row r="534" spans="1:61" ht="14.25" customHeight="1">
      <c r="A534" s="165">
        <f>'Conveyor Downtime (new)'!A529</f>
        <v>46294</v>
      </c>
      <c r="B534" s="346"/>
      <c r="C534" s="346"/>
      <c r="D534" s="346"/>
      <c r="E534" s="346"/>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346"/>
      <c r="AK534" s="346"/>
      <c r="AL534" s="346"/>
      <c r="AM534" s="346"/>
      <c r="AN534" s="346"/>
      <c r="AO534" s="346"/>
      <c r="AP534" s="346"/>
      <c r="AQ534" s="346"/>
      <c r="AR534" s="346"/>
      <c r="AS534" s="346"/>
      <c r="AT534" s="346"/>
      <c r="AU534" s="346"/>
      <c r="AV534" s="346"/>
      <c r="AW534" s="346"/>
      <c r="AX534" s="346"/>
      <c r="AY534" s="346"/>
      <c r="AZ534" s="346"/>
      <c r="BA534" s="346"/>
      <c r="BB534" s="346"/>
      <c r="BC534" s="346"/>
      <c r="BD534" s="346"/>
      <c r="BE534" s="346"/>
      <c r="BF534" s="346"/>
      <c r="BG534" s="346"/>
      <c r="BH534">
        <f t="shared" ref="BH534:BH556" si="71">SUM(B534:BG534)</f>
        <v>0</v>
      </c>
      <c r="BI534" s="351">
        <f t="shared" si="68"/>
        <v>0</v>
      </c>
    </row>
    <row r="535" spans="1:61" ht="14.25" customHeight="1">
      <c r="A535" s="165">
        <f>'Conveyor Downtime (new)'!A530</f>
        <v>46294</v>
      </c>
      <c r="H535">
        <f>4</f>
        <v>4</v>
      </c>
      <c r="I535">
        <f>2</f>
        <v>2</v>
      </c>
      <c r="BF535">
        <f>3+2+3</f>
        <v>8</v>
      </c>
      <c r="BH535">
        <f t="shared" si="71"/>
        <v>14</v>
      </c>
      <c r="BI535" s="351">
        <f t="shared" si="68"/>
        <v>3.5087719298245612E-2</v>
      </c>
    </row>
    <row r="536" spans="1:61" ht="14.25" customHeight="1">
      <c r="A536" s="165">
        <f>'Conveyor Downtime (new)'!A531</f>
        <v>46295</v>
      </c>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346"/>
      <c r="AK536" s="346"/>
      <c r="AL536" s="346"/>
      <c r="AM536" s="346"/>
      <c r="AN536" s="346"/>
      <c r="AO536" s="346"/>
      <c r="AP536" s="346"/>
      <c r="AQ536" s="346"/>
      <c r="AR536" s="346"/>
      <c r="AS536" s="346"/>
      <c r="AT536" s="346"/>
      <c r="AU536" s="346"/>
      <c r="AV536" s="346"/>
      <c r="AW536" s="346"/>
      <c r="AX536" s="346"/>
      <c r="AY536" s="346"/>
      <c r="AZ536" s="346"/>
      <c r="BA536" s="346"/>
      <c r="BB536" s="346"/>
      <c r="BC536" s="346"/>
      <c r="BD536" s="346"/>
      <c r="BE536" s="346"/>
      <c r="BF536" s="346"/>
      <c r="BG536" s="346"/>
      <c r="BH536">
        <f t="shared" si="71"/>
        <v>0</v>
      </c>
      <c r="BI536" s="351">
        <f t="shared" si="68"/>
        <v>0</v>
      </c>
    </row>
    <row r="537" spans="1:61" ht="14.25" customHeight="1">
      <c r="A537" s="165">
        <f>'Conveyor Downtime (new)'!A532</f>
        <v>46295</v>
      </c>
      <c r="H537">
        <f>6+4</f>
        <v>10</v>
      </c>
      <c r="BH537">
        <f t="shared" si="71"/>
        <v>10</v>
      </c>
      <c r="BI537" s="351">
        <f t="shared" si="68"/>
        <v>2.5062656641604009E-2</v>
      </c>
    </row>
    <row r="538" spans="1:61" ht="14.25" customHeight="1">
      <c r="A538" s="165"/>
      <c r="B538" s="346"/>
      <c r="C538" s="346"/>
      <c r="D538" s="346"/>
      <c r="E538" s="346"/>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346"/>
      <c r="AK538" s="346"/>
      <c r="AL538" s="346"/>
      <c r="AM538" s="346"/>
      <c r="AN538" s="346"/>
      <c r="AO538" s="346"/>
      <c r="AP538" s="346"/>
      <c r="AQ538" s="346"/>
      <c r="AR538" s="346"/>
      <c r="AS538" s="346"/>
      <c r="AT538" s="346"/>
      <c r="AU538" s="346"/>
      <c r="AV538" s="346"/>
      <c r="AW538" s="346"/>
      <c r="AX538" s="346"/>
      <c r="AY538" s="346"/>
      <c r="AZ538" s="346"/>
      <c r="BA538" s="346"/>
      <c r="BB538" s="346"/>
      <c r="BC538" s="346"/>
      <c r="BD538" s="346"/>
      <c r="BE538" s="346"/>
      <c r="BF538" s="346"/>
      <c r="BG538" s="346"/>
      <c r="BH538">
        <f t="shared" si="71"/>
        <v>0</v>
      </c>
      <c r="BI538" s="351">
        <f t="shared" si="68"/>
        <v>0</v>
      </c>
    </row>
    <row r="539" spans="1:61" ht="14.25" customHeight="1">
      <c r="A539" s="165"/>
      <c r="BH539">
        <f t="shared" si="71"/>
        <v>0</v>
      </c>
      <c r="BI539" s="351">
        <f t="shared" si="68"/>
        <v>0</v>
      </c>
    </row>
    <row r="540" spans="1:61" ht="14.25" customHeight="1">
      <c r="A540" s="165"/>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s="346"/>
      <c r="AL540" s="346"/>
      <c r="AM540" s="346"/>
      <c r="AN540" s="346"/>
      <c r="AO540" s="346"/>
      <c r="AP540" s="346"/>
      <c r="AQ540" s="346"/>
      <c r="AR540" s="346"/>
      <c r="AS540" s="346"/>
      <c r="AT540" s="346"/>
      <c r="AU540" s="346"/>
      <c r="AV540" s="346"/>
      <c r="AW540" s="346"/>
      <c r="AX540" s="346"/>
      <c r="AY540" s="346"/>
      <c r="AZ540" s="346"/>
      <c r="BA540" s="346"/>
      <c r="BB540" s="346"/>
      <c r="BC540" s="346"/>
      <c r="BD540" s="346"/>
      <c r="BE540" s="346"/>
      <c r="BF540" s="346"/>
      <c r="BG540" s="346"/>
      <c r="BH540">
        <f t="shared" si="71"/>
        <v>0</v>
      </c>
      <c r="BI540" s="351">
        <f t="shared" si="68"/>
        <v>0</v>
      </c>
    </row>
    <row r="541" spans="1:61" ht="14.25" customHeight="1">
      <c r="A541" s="165"/>
      <c r="BH541">
        <f t="shared" si="71"/>
        <v>0</v>
      </c>
      <c r="BI541" s="351">
        <f t="shared" si="68"/>
        <v>0</v>
      </c>
    </row>
    <row r="542" spans="1:61" ht="14.25" customHeight="1">
      <c r="A542" s="165"/>
      <c r="B542" s="346"/>
      <c r="C542" s="346"/>
      <c r="D542" s="346"/>
      <c r="E542" s="346"/>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346"/>
      <c r="AK542" s="346"/>
      <c r="AL542" s="346"/>
      <c r="AM542" s="346"/>
      <c r="AN542" s="346"/>
      <c r="AO542" s="346"/>
      <c r="AP542" s="346"/>
      <c r="AQ542" s="346"/>
      <c r="AR542" s="346"/>
      <c r="AS542" s="346"/>
      <c r="AT542" s="346"/>
      <c r="AU542" s="346"/>
      <c r="AV542" s="346"/>
      <c r="AW542" s="346"/>
      <c r="AX542" s="346"/>
      <c r="AY542" s="346"/>
      <c r="AZ542" s="346"/>
      <c r="BA542" s="346"/>
      <c r="BB542" s="346"/>
      <c r="BC542" s="346"/>
      <c r="BD542" s="346"/>
      <c r="BE542" s="346"/>
      <c r="BF542" s="346"/>
      <c r="BG542" s="346"/>
      <c r="BH542">
        <f t="shared" si="71"/>
        <v>0</v>
      </c>
      <c r="BI542" s="351">
        <f t="shared" si="68"/>
        <v>0</v>
      </c>
    </row>
    <row r="543" spans="1:61" ht="14.25" customHeight="1">
      <c r="A543" s="165"/>
      <c r="BH543">
        <f t="shared" si="71"/>
        <v>0</v>
      </c>
      <c r="BI543" s="351">
        <f t="shared" si="68"/>
        <v>0</v>
      </c>
    </row>
    <row r="544" spans="1:61" ht="14.25" customHeight="1">
      <c r="A544" s="165"/>
      <c r="B544" s="346"/>
      <c r="C544" s="346"/>
      <c r="D544" s="346"/>
      <c r="E544" s="346"/>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346"/>
      <c r="AK544" s="346"/>
      <c r="AL544" s="346"/>
      <c r="AM544" s="346"/>
      <c r="AN544" s="346"/>
      <c r="AO544" s="346"/>
      <c r="AP544" s="346"/>
      <c r="AQ544" s="346"/>
      <c r="AR544" s="346"/>
      <c r="AS544" s="346"/>
      <c r="AT544" s="346"/>
      <c r="AU544" s="346"/>
      <c r="AV544" s="346"/>
      <c r="AW544" s="346"/>
      <c r="AX544" s="346"/>
      <c r="AY544" s="346"/>
      <c r="AZ544" s="346"/>
      <c r="BA544" s="346"/>
      <c r="BB544" s="346"/>
      <c r="BC544" s="346"/>
      <c r="BD544" s="346"/>
      <c r="BE544" s="346"/>
      <c r="BF544" s="346"/>
      <c r="BG544" s="346"/>
      <c r="BH544">
        <f t="shared" si="71"/>
        <v>0</v>
      </c>
      <c r="BI544" s="351">
        <f t="shared" si="68"/>
        <v>0</v>
      </c>
    </row>
    <row r="545" spans="1:61" ht="14.25" customHeight="1">
      <c r="A545" s="165"/>
      <c r="BH545">
        <f t="shared" si="71"/>
        <v>0</v>
      </c>
      <c r="BI545" s="351">
        <f t="shared" si="68"/>
        <v>0</v>
      </c>
    </row>
    <row r="546" spans="1:61" ht="14.25" customHeight="1">
      <c r="A546" s="165"/>
      <c r="B546" s="346"/>
      <c r="C546" s="346"/>
      <c r="D546" s="346"/>
      <c r="E546" s="346"/>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346"/>
      <c r="AK546" s="346"/>
      <c r="AL546" s="346"/>
      <c r="AM546" s="346"/>
      <c r="AN546" s="346"/>
      <c r="AO546" s="346"/>
      <c r="AP546" s="346"/>
      <c r="AQ546" s="346"/>
      <c r="AR546" s="346"/>
      <c r="AS546" s="346"/>
      <c r="AT546" s="346"/>
      <c r="AU546" s="346"/>
      <c r="AV546" s="346"/>
      <c r="AW546" s="346"/>
      <c r="AX546" s="346"/>
      <c r="AY546" s="346"/>
      <c r="AZ546" s="346"/>
      <c r="BA546" s="346"/>
      <c r="BB546" s="346"/>
      <c r="BC546" s="346"/>
      <c r="BD546" s="346"/>
      <c r="BE546" s="346"/>
      <c r="BF546" s="346"/>
      <c r="BG546" s="346"/>
      <c r="BH546">
        <f t="shared" si="71"/>
        <v>0</v>
      </c>
      <c r="BI546" s="351">
        <f t="shared" si="68"/>
        <v>0</v>
      </c>
    </row>
    <row r="547" spans="1:61" ht="14.25" customHeight="1">
      <c r="A547" s="165"/>
      <c r="BH547">
        <f t="shared" si="71"/>
        <v>0</v>
      </c>
      <c r="BI547" s="351">
        <f t="shared" si="68"/>
        <v>0</v>
      </c>
    </row>
    <row r="548" spans="1:61" ht="14.25" customHeight="1">
      <c r="A548" s="165"/>
      <c r="B548" s="346"/>
      <c r="C548" s="346"/>
      <c r="D548" s="346"/>
      <c r="E548" s="346"/>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346"/>
      <c r="AK548" s="346"/>
      <c r="AL548" s="346"/>
      <c r="AM548" s="346"/>
      <c r="AN548" s="346"/>
      <c r="AO548" s="346"/>
      <c r="AP548" s="346"/>
      <c r="AQ548" s="346"/>
      <c r="AR548" s="346"/>
      <c r="AS548" s="346"/>
      <c r="AT548" s="346"/>
      <c r="AU548" s="346"/>
      <c r="AV548" s="346"/>
      <c r="AW548" s="346"/>
      <c r="AX548" s="346"/>
      <c r="AY548" s="346"/>
      <c r="AZ548" s="346"/>
      <c r="BA548" s="346"/>
      <c r="BB548" s="346"/>
      <c r="BC548" s="346"/>
      <c r="BD548" s="346"/>
      <c r="BE548" s="346"/>
      <c r="BF548" s="346"/>
      <c r="BG548" s="346"/>
      <c r="BH548">
        <f t="shared" si="71"/>
        <v>0</v>
      </c>
      <c r="BI548" s="351">
        <f t="shared" si="68"/>
        <v>0</v>
      </c>
    </row>
    <row r="549" spans="1:61" ht="14.25" customHeight="1">
      <c r="A549" s="165"/>
      <c r="BH549">
        <f t="shared" si="71"/>
        <v>0</v>
      </c>
      <c r="BI549" s="351">
        <f t="shared" si="68"/>
        <v>0</v>
      </c>
    </row>
    <row r="550" spans="1:61" ht="14.25" customHeight="1">
      <c r="A550" s="165"/>
      <c r="B550" s="346"/>
      <c r="C550" s="346"/>
      <c r="D550" s="346"/>
      <c r="E550" s="346"/>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s="346"/>
      <c r="AJ550" s="346"/>
      <c r="AK550" s="346"/>
      <c r="AL550" s="346"/>
      <c r="AM550" s="346"/>
      <c r="AN550" s="346"/>
      <c r="AO550" s="346"/>
      <c r="AP550" s="346"/>
      <c r="AQ550" s="346"/>
      <c r="AR550" s="346"/>
      <c r="AS550" s="346"/>
      <c r="AT550" s="346"/>
      <c r="AU550" s="346"/>
      <c r="AV550" s="346"/>
      <c r="AW550" s="346"/>
      <c r="AX550" s="346"/>
      <c r="AY550" s="346"/>
      <c r="AZ550" s="346"/>
      <c r="BA550" s="346"/>
      <c r="BB550" s="346"/>
      <c r="BC550" s="346"/>
      <c r="BD550" s="346"/>
      <c r="BE550" s="346"/>
      <c r="BF550" s="346"/>
      <c r="BG550" s="346"/>
      <c r="BH550">
        <f t="shared" si="71"/>
        <v>0</v>
      </c>
      <c r="BI550" s="351">
        <f t="shared" si="68"/>
        <v>0</v>
      </c>
    </row>
    <row r="551" spans="1:61" ht="14.25" customHeight="1">
      <c r="A551" s="165"/>
      <c r="BH551">
        <f t="shared" si="71"/>
        <v>0</v>
      </c>
      <c r="BI551" s="351">
        <f t="shared" si="68"/>
        <v>0</v>
      </c>
    </row>
    <row r="552" spans="1:61" ht="14.25" customHeight="1">
      <c r="A552" s="165"/>
      <c r="B552" s="346"/>
      <c r="C552" s="346"/>
      <c r="D552" s="346"/>
      <c r="E552" s="346"/>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s="346"/>
      <c r="AJ552" s="346"/>
      <c r="AK552" s="346"/>
      <c r="AL552" s="346"/>
      <c r="AM552" s="346"/>
      <c r="AN552" s="346"/>
      <c r="AO552" s="346"/>
      <c r="AP552" s="346"/>
      <c r="AQ552" s="346"/>
      <c r="AR552" s="346"/>
      <c r="AS552" s="346"/>
      <c r="AT552" s="346"/>
      <c r="AU552" s="346"/>
      <c r="AV552" s="346"/>
      <c r="AW552" s="346"/>
      <c r="AX552" s="346"/>
      <c r="AY552" s="346"/>
      <c r="AZ552" s="346"/>
      <c r="BA552" s="346"/>
      <c r="BB552" s="346"/>
      <c r="BC552" s="346"/>
      <c r="BD552" s="346"/>
      <c r="BE552" s="346"/>
      <c r="BF552" s="346"/>
      <c r="BG552" s="346"/>
      <c r="BH552">
        <f t="shared" si="71"/>
        <v>0</v>
      </c>
      <c r="BI552" s="351">
        <f t="shared" si="68"/>
        <v>0</v>
      </c>
    </row>
    <row r="553" spans="1:61" ht="14.25" customHeight="1">
      <c r="A553" s="165"/>
      <c r="BH553">
        <f t="shared" si="71"/>
        <v>0</v>
      </c>
      <c r="BI553" s="351">
        <f t="shared" si="68"/>
        <v>0</v>
      </c>
    </row>
    <row r="554" spans="1:61" ht="14.25" customHeight="1">
      <c r="A554" s="165"/>
      <c r="B554" s="346"/>
      <c r="C554" s="346"/>
      <c r="D554" s="346"/>
      <c r="E554" s="346"/>
      <c r="F554" s="346"/>
      <c r="G554" s="346"/>
      <c r="H554" s="346"/>
      <c r="I554" s="346"/>
      <c r="J554" s="346"/>
      <c r="K554" s="346"/>
      <c r="L554" s="346"/>
      <c r="M554" s="346"/>
      <c r="N554" s="346"/>
      <c r="O554" s="346"/>
      <c r="P554" s="346"/>
      <c r="Q554" s="346"/>
      <c r="R554" s="346"/>
      <c r="S554" s="346"/>
      <c r="T554" s="346"/>
      <c r="U554" s="346"/>
      <c r="V554" s="346"/>
      <c r="W554" s="346"/>
      <c r="X554" s="346"/>
      <c r="Y554" s="346"/>
      <c r="Z554" s="346"/>
      <c r="AA554" s="346"/>
      <c r="AB554" s="346"/>
      <c r="AC554" s="346"/>
      <c r="AD554" s="346"/>
      <c r="AE554" s="346"/>
      <c r="AF554" s="346"/>
      <c r="AG554" s="346"/>
      <c r="AH554" s="346"/>
      <c r="AI554" s="346"/>
      <c r="AJ554" s="346"/>
      <c r="AK554" s="346"/>
      <c r="AL554" s="346"/>
      <c r="AM554" s="346"/>
      <c r="AN554" s="346"/>
      <c r="AO554" s="346"/>
      <c r="AP554" s="346"/>
      <c r="AQ554" s="346"/>
      <c r="AR554" s="346"/>
      <c r="AS554" s="346"/>
      <c r="AT554" s="346"/>
      <c r="AU554" s="346"/>
      <c r="AV554" s="346"/>
      <c r="AW554" s="346"/>
      <c r="AX554" s="346"/>
      <c r="AY554" s="346"/>
      <c r="AZ554" s="346"/>
      <c r="BA554" s="346"/>
      <c r="BB554" s="346"/>
      <c r="BC554" s="346"/>
      <c r="BD554" s="346"/>
      <c r="BE554" s="346"/>
      <c r="BF554" s="346"/>
      <c r="BG554" s="346"/>
      <c r="BH554">
        <f t="shared" si="71"/>
        <v>0</v>
      </c>
      <c r="BI554" s="351">
        <f t="shared" si="68"/>
        <v>0</v>
      </c>
    </row>
    <row r="555" spans="1:61" ht="14.25" customHeight="1">
      <c r="A555" s="165"/>
      <c r="BH555">
        <f t="shared" si="71"/>
        <v>0</v>
      </c>
      <c r="BI555" s="351">
        <f t="shared" si="68"/>
        <v>0</v>
      </c>
    </row>
    <row r="556" spans="1:61" ht="14.25" customHeight="1">
      <c r="A556" s="165"/>
      <c r="B556" s="346"/>
      <c r="C556" s="346"/>
      <c r="D556" s="346"/>
      <c r="E556" s="346"/>
      <c r="F556" s="346"/>
      <c r="G556" s="346"/>
      <c r="H556" s="346"/>
      <c r="I556" s="346"/>
      <c r="J556" s="346"/>
      <c r="K556" s="346"/>
      <c r="L556" s="346"/>
      <c r="M556" s="346"/>
      <c r="N556" s="346"/>
      <c r="O556" s="346"/>
      <c r="P556" s="346"/>
      <c r="Q556" s="346"/>
      <c r="R556" s="346"/>
      <c r="S556" s="346"/>
      <c r="T556" s="346"/>
      <c r="U556" s="346"/>
      <c r="V556" s="346"/>
      <c r="W556" s="346"/>
      <c r="X556" s="346"/>
      <c r="Y556" s="346"/>
      <c r="Z556" s="346"/>
      <c r="AA556" s="346"/>
      <c r="AB556" s="346"/>
      <c r="AC556" s="346"/>
      <c r="AD556" s="346"/>
      <c r="AE556" s="346"/>
      <c r="AF556" s="346"/>
      <c r="AG556" s="346"/>
      <c r="AH556" s="346"/>
      <c r="AI556" s="346"/>
      <c r="AJ556" s="346"/>
      <c r="AK556" s="346"/>
      <c r="AL556" s="346"/>
      <c r="AM556" s="346"/>
      <c r="AN556" s="346"/>
      <c r="AO556" s="346"/>
      <c r="AP556" s="346"/>
      <c r="AQ556" s="346"/>
      <c r="AR556" s="346"/>
      <c r="AS556" s="346"/>
      <c r="AT556" s="346"/>
      <c r="AU556" s="346"/>
      <c r="AV556" s="346"/>
      <c r="AW556" s="346"/>
      <c r="AX556" s="346"/>
      <c r="AY556" s="346"/>
      <c r="AZ556" s="346"/>
      <c r="BA556" s="346"/>
      <c r="BB556" s="346"/>
      <c r="BC556" s="346"/>
      <c r="BD556" s="346"/>
      <c r="BE556" s="346"/>
      <c r="BF556" s="346"/>
      <c r="BG556" s="346"/>
      <c r="BH556">
        <f t="shared" si="71"/>
        <v>0</v>
      </c>
      <c r="BI556" s="351">
        <f t="shared" si="68"/>
        <v>0</v>
      </c>
    </row>
    <row r="557" spans="1:61" ht="14.25" customHeight="1">
      <c r="A557" s="347" t="s">
        <v>173</v>
      </c>
      <c r="B557" s="347">
        <f>SUM(B499:B556)</f>
        <v>0</v>
      </c>
      <c r="C557" s="347">
        <f t="shared" ref="C557:BH557" si="72">SUM(C499:C556)</f>
        <v>0</v>
      </c>
      <c r="D557" s="347">
        <f t="shared" si="72"/>
        <v>0</v>
      </c>
      <c r="E557" s="347">
        <f t="shared" si="72"/>
        <v>0</v>
      </c>
      <c r="F557" s="347">
        <f t="shared" si="72"/>
        <v>0</v>
      </c>
      <c r="G557" s="347">
        <f t="shared" si="72"/>
        <v>0</v>
      </c>
      <c r="H557" s="347">
        <f t="shared" si="72"/>
        <v>53</v>
      </c>
      <c r="I557" s="347">
        <f t="shared" si="72"/>
        <v>56</v>
      </c>
      <c r="J557" s="347">
        <f t="shared" si="72"/>
        <v>0</v>
      </c>
      <c r="K557" s="347">
        <f t="shared" si="72"/>
        <v>0</v>
      </c>
      <c r="L557" s="347">
        <f t="shared" si="72"/>
        <v>0</v>
      </c>
      <c r="M557" s="347">
        <f t="shared" si="72"/>
        <v>0</v>
      </c>
      <c r="N557" s="347">
        <f t="shared" si="72"/>
        <v>0</v>
      </c>
      <c r="O557" s="347">
        <f t="shared" si="72"/>
        <v>0</v>
      </c>
      <c r="P557" s="347">
        <f t="shared" si="72"/>
        <v>11</v>
      </c>
      <c r="Q557" s="347">
        <f t="shared" si="72"/>
        <v>0</v>
      </c>
      <c r="R557" s="347">
        <f t="shared" si="72"/>
        <v>0</v>
      </c>
      <c r="S557" s="347">
        <f t="shared" si="72"/>
        <v>0</v>
      </c>
      <c r="T557" s="347">
        <f t="shared" si="72"/>
        <v>0</v>
      </c>
      <c r="U557" s="347">
        <f t="shared" si="72"/>
        <v>0</v>
      </c>
      <c r="V557" s="347">
        <f t="shared" si="72"/>
        <v>0</v>
      </c>
      <c r="W557" s="347">
        <f t="shared" si="72"/>
        <v>0</v>
      </c>
      <c r="X557" s="347">
        <f t="shared" si="72"/>
        <v>0</v>
      </c>
      <c r="Y557" s="347">
        <f t="shared" si="72"/>
        <v>0</v>
      </c>
      <c r="Z557" s="347">
        <f t="shared" si="72"/>
        <v>0</v>
      </c>
      <c r="AA557" s="347">
        <f t="shared" si="72"/>
        <v>0</v>
      </c>
      <c r="AB557" s="347">
        <f t="shared" si="72"/>
        <v>0</v>
      </c>
      <c r="AC557" s="347">
        <f t="shared" si="72"/>
        <v>0</v>
      </c>
      <c r="AD557" s="347">
        <f t="shared" si="72"/>
        <v>0</v>
      </c>
      <c r="AE557" s="347">
        <f t="shared" si="72"/>
        <v>0</v>
      </c>
      <c r="AF557" s="347">
        <f t="shared" si="72"/>
        <v>0</v>
      </c>
      <c r="AG557" s="347">
        <f t="shared" si="72"/>
        <v>0</v>
      </c>
      <c r="AH557" s="347">
        <f t="shared" si="72"/>
        <v>0</v>
      </c>
      <c r="AI557" s="347">
        <f t="shared" si="72"/>
        <v>0</v>
      </c>
      <c r="AJ557" s="347">
        <f t="shared" si="72"/>
        <v>0</v>
      </c>
      <c r="AK557" s="347">
        <f t="shared" si="72"/>
        <v>0</v>
      </c>
      <c r="AL557" s="347">
        <f t="shared" si="72"/>
        <v>0</v>
      </c>
      <c r="AM557" s="347">
        <f t="shared" si="72"/>
        <v>0</v>
      </c>
      <c r="AN557" s="347">
        <f t="shared" si="72"/>
        <v>0</v>
      </c>
      <c r="AO557" s="347">
        <f t="shared" si="72"/>
        <v>0</v>
      </c>
      <c r="AP557" s="347">
        <f t="shared" si="72"/>
        <v>0</v>
      </c>
      <c r="AQ557" s="347">
        <f t="shared" si="72"/>
        <v>130</v>
      </c>
      <c r="AR557" s="347">
        <f t="shared" si="72"/>
        <v>0</v>
      </c>
      <c r="AS557" s="347">
        <f t="shared" si="72"/>
        <v>0</v>
      </c>
      <c r="AT557" s="347">
        <f t="shared" si="72"/>
        <v>0</v>
      </c>
      <c r="AU557" s="347">
        <f t="shared" si="72"/>
        <v>0</v>
      </c>
      <c r="AV557" s="347">
        <f t="shared" si="72"/>
        <v>0</v>
      </c>
      <c r="AW557" s="347">
        <f t="shared" si="72"/>
        <v>0</v>
      </c>
      <c r="AX557" s="347">
        <f t="shared" si="72"/>
        <v>0</v>
      </c>
      <c r="AY557" s="347">
        <f t="shared" si="72"/>
        <v>0</v>
      </c>
      <c r="AZ557" s="347">
        <f t="shared" si="72"/>
        <v>0</v>
      </c>
      <c r="BA557" s="347">
        <f t="shared" si="72"/>
        <v>0</v>
      </c>
      <c r="BB557" s="347">
        <f t="shared" si="72"/>
        <v>0</v>
      </c>
      <c r="BC557" s="347">
        <f t="shared" si="72"/>
        <v>0</v>
      </c>
      <c r="BD557" s="347">
        <f t="shared" si="72"/>
        <v>0</v>
      </c>
      <c r="BE557" s="347">
        <f t="shared" si="72"/>
        <v>0</v>
      </c>
      <c r="BF557" s="347">
        <f t="shared" si="72"/>
        <v>172</v>
      </c>
      <c r="BG557" s="347">
        <f t="shared" si="72"/>
        <v>0</v>
      </c>
      <c r="BH557" s="347">
        <f t="shared" si="72"/>
        <v>422</v>
      </c>
      <c r="BI557" s="351"/>
    </row>
    <row r="558" spans="1:61" ht="14.25" customHeight="1" thickBot="1">
      <c r="A558" s="348" t="s">
        <v>174</v>
      </c>
      <c r="B558" s="348">
        <f>B557/$BH557</f>
        <v>0</v>
      </c>
      <c r="C558" s="348">
        <f t="shared" ref="C558:BG558" si="73">C557/$BH557</f>
        <v>0</v>
      </c>
      <c r="D558" s="348">
        <f t="shared" si="73"/>
        <v>0</v>
      </c>
      <c r="E558" s="348">
        <f t="shared" si="73"/>
        <v>0</v>
      </c>
      <c r="F558" s="348">
        <f t="shared" si="73"/>
        <v>0</v>
      </c>
      <c r="G558" s="348">
        <f t="shared" si="73"/>
        <v>0</v>
      </c>
      <c r="H558" s="348">
        <f t="shared" si="73"/>
        <v>0.12559241706161137</v>
      </c>
      <c r="I558" s="348">
        <f t="shared" si="73"/>
        <v>0.13270142180094788</v>
      </c>
      <c r="J558" s="348">
        <f t="shared" si="73"/>
        <v>0</v>
      </c>
      <c r="K558" s="348">
        <f t="shared" si="73"/>
        <v>0</v>
      </c>
      <c r="L558" s="348">
        <f t="shared" si="73"/>
        <v>0</v>
      </c>
      <c r="M558" s="348">
        <f t="shared" si="73"/>
        <v>0</v>
      </c>
      <c r="N558" s="348">
        <f t="shared" si="73"/>
        <v>0</v>
      </c>
      <c r="O558" s="348">
        <f t="shared" si="73"/>
        <v>0</v>
      </c>
      <c r="P558" s="348">
        <f t="shared" si="73"/>
        <v>2.6066350710900472E-2</v>
      </c>
      <c r="Q558" s="348">
        <f t="shared" si="73"/>
        <v>0</v>
      </c>
      <c r="R558" s="348">
        <f t="shared" si="73"/>
        <v>0</v>
      </c>
      <c r="S558" s="348">
        <f t="shared" si="73"/>
        <v>0</v>
      </c>
      <c r="T558" s="348">
        <f t="shared" si="73"/>
        <v>0</v>
      </c>
      <c r="U558" s="348">
        <f t="shared" si="73"/>
        <v>0</v>
      </c>
      <c r="V558" s="348">
        <f t="shared" si="73"/>
        <v>0</v>
      </c>
      <c r="W558" s="348">
        <f t="shared" si="73"/>
        <v>0</v>
      </c>
      <c r="X558" s="348">
        <f t="shared" si="73"/>
        <v>0</v>
      </c>
      <c r="Y558" s="348">
        <f t="shared" si="73"/>
        <v>0</v>
      </c>
      <c r="Z558" s="348">
        <f t="shared" si="73"/>
        <v>0</v>
      </c>
      <c r="AA558" s="348">
        <f t="shared" si="73"/>
        <v>0</v>
      </c>
      <c r="AB558" s="348">
        <f t="shared" si="73"/>
        <v>0</v>
      </c>
      <c r="AC558" s="348">
        <f t="shared" si="73"/>
        <v>0</v>
      </c>
      <c r="AD558" s="348">
        <f t="shared" si="73"/>
        <v>0</v>
      </c>
      <c r="AE558" s="348">
        <f t="shared" si="73"/>
        <v>0</v>
      </c>
      <c r="AF558" s="348">
        <f t="shared" si="73"/>
        <v>0</v>
      </c>
      <c r="AG558" s="348">
        <f t="shared" si="73"/>
        <v>0</v>
      </c>
      <c r="AH558" s="348">
        <f t="shared" si="73"/>
        <v>0</v>
      </c>
      <c r="AI558" s="348">
        <f t="shared" si="73"/>
        <v>0</v>
      </c>
      <c r="AJ558" s="348">
        <f t="shared" si="73"/>
        <v>0</v>
      </c>
      <c r="AK558" s="348">
        <f t="shared" si="73"/>
        <v>0</v>
      </c>
      <c r="AL558" s="348">
        <f t="shared" si="73"/>
        <v>0</v>
      </c>
      <c r="AM558" s="348">
        <f t="shared" si="73"/>
        <v>0</v>
      </c>
      <c r="AN558" s="348">
        <f t="shared" si="73"/>
        <v>0</v>
      </c>
      <c r="AO558" s="348">
        <f t="shared" si="73"/>
        <v>0</v>
      </c>
      <c r="AP558" s="348">
        <f t="shared" si="73"/>
        <v>0</v>
      </c>
      <c r="AQ558" s="348">
        <f t="shared" si="73"/>
        <v>0.30805687203791471</v>
      </c>
      <c r="AR558" s="348">
        <f t="shared" si="73"/>
        <v>0</v>
      </c>
      <c r="AS558" s="348">
        <f t="shared" si="73"/>
        <v>0</v>
      </c>
      <c r="AT558" s="348">
        <f t="shared" si="73"/>
        <v>0</v>
      </c>
      <c r="AU558" s="348">
        <f t="shared" si="73"/>
        <v>0</v>
      </c>
      <c r="AV558" s="348">
        <f t="shared" si="73"/>
        <v>0</v>
      </c>
      <c r="AW558" s="348">
        <f t="shared" si="73"/>
        <v>0</v>
      </c>
      <c r="AX558" s="348">
        <f t="shared" si="73"/>
        <v>0</v>
      </c>
      <c r="AY558" s="348">
        <f t="shared" si="73"/>
        <v>0</v>
      </c>
      <c r="AZ558" s="348">
        <f t="shared" si="73"/>
        <v>0</v>
      </c>
      <c r="BA558" s="348">
        <f t="shared" si="73"/>
        <v>0</v>
      </c>
      <c r="BB558" s="348">
        <f t="shared" si="73"/>
        <v>0</v>
      </c>
      <c r="BC558" s="348">
        <f t="shared" si="73"/>
        <v>0</v>
      </c>
      <c r="BD558" s="348">
        <f t="shared" si="73"/>
        <v>0</v>
      </c>
      <c r="BE558" s="348">
        <f t="shared" si="73"/>
        <v>0</v>
      </c>
      <c r="BF558" s="348">
        <f t="shared" si="73"/>
        <v>0.40758293838862558</v>
      </c>
      <c r="BG558" s="348">
        <f t="shared" si="73"/>
        <v>0</v>
      </c>
      <c r="BH558" s="351"/>
    </row>
    <row r="559" spans="1:61" ht="14.25" customHeight="1"/>
    <row r="560" spans="1:61" ht="14.25" customHeight="1"/>
    <row r="561" spans="1:61" ht="14.25" customHeight="1">
      <c r="A561" s="165">
        <f>'Conveyor Downtime (new)'!A556</f>
        <v>46296</v>
      </c>
      <c r="B561" s="346"/>
      <c r="C561" s="346"/>
      <c r="D561" s="346"/>
      <c r="E561" s="346"/>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s="346"/>
      <c r="AL561" s="346"/>
      <c r="AM561" s="346"/>
      <c r="AN561" s="346"/>
      <c r="AO561" s="346"/>
      <c r="AP561" s="346"/>
      <c r="AQ561" s="346"/>
      <c r="AR561" s="346"/>
      <c r="AS561" s="346"/>
      <c r="AT561" s="346"/>
      <c r="AU561" s="346"/>
      <c r="AV561" s="346"/>
      <c r="AW561" s="346"/>
      <c r="AX561" s="346"/>
      <c r="AY561" s="346"/>
      <c r="AZ561" s="346"/>
      <c r="BA561" s="346"/>
      <c r="BB561" s="346"/>
      <c r="BC561" s="346"/>
      <c r="BD561" s="346"/>
      <c r="BE561" s="346"/>
      <c r="BF561" s="346">
        <f>4</f>
        <v>4</v>
      </c>
      <c r="BG561" s="346"/>
      <c r="BH561">
        <f>SUM(B561:BG561)</f>
        <v>4</v>
      </c>
      <c r="BI561" s="351">
        <f>BH561/$BH$372</f>
        <v>1.0025062656641603E-2</v>
      </c>
    </row>
    <row r="562" spans="1:61" ht="14.25" customHeight="1">
      <c r="A562" s="165">
        <f>'Conveyor Downtime (new)'!A557</f>
        <v>0</v>
      </c>
      <c r="BH562">
        <f t="shared" ref="BH562:BH616" si="74">SUM(B562:BG562)</f>
        <v>0</v>
      </c>
      <c r="BI562" s="351">
        <f t="shared" ref="BI562:BI616" si="75">BH562/$BH$372</f>
        <v>0</v>
      </c>
    </row>
    <row r="563" spans="1:61" ht="14.25" customHeight="1">
      <c r="A563" s="165">
        <f>'Conveyor Downtime (new)'!A558</f>
        <v>0</v>
      </c>
      <c r="B563" s="346"/>
      <c r="C563" s="346"/>
      <c r="D563" s="346"/>
      <c r="E563" s="346"/>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s="346"/>
      <c r="AL563" s="346"/>
      <c r="AM563" s="346"/>
      <c r="AN563" s="346"/>
      <c r="AO563" s="346"/>
      <c r="AP563" s="346"/>
      <c r="AQ563" s="346"/>
      <c r="AR563" s="346"/>
      <c r="AS563" s="346"/>
      <c r="AT563" s="346"/>
      <c r="AU563" s="346"/>
      <c r="AV563" s="346"/>
      <c r="AW563" s="346"/>
      <c r="AX563" s="346"/>
      <c r="AY563" s="346"/>
      <c r="AZ563" s="346"/>
      <c r="BA563" s="346"/>
      <c r="BB563" s="346"/>
      <c r="BC563" s="346"/>
      <c r="BD563" s="346"/>
      <c r="BE563" s="346"/>
      <c r="BF563" s="346"/>
      <c r="BG563" s="346"/>
      <c r="BH563">
        <f t="shared" si="74"/>
        <v>0</v>
      </c>
      <c r="BI563" s="351">
        <f t="shared" si="75"/>
        <v>0</v>
      </c>
    </row>
    <row r="564" spans="1:61" ht="14.25" customHeight="1">
      <c r="A564" s="165">
        <f>'Conveyor Downtime (new)'!A559</f>
        <v>0</v>
      </c>
      <c r="BH564">
        <f>SUM(B564:BG564)</f>
        <v>0</v>
      </c>
      <c r="BI564" s="351">
        <f t="shared" si="75"/>
        <v>0</v>
      </c>
    </row>
    <row r="565" spans="1:61" ht="14.25" customHeight="1">
      <c r="A565" s="165">
        <f>'Conveyor Downtime (new)'!A560</f>
        <v>0</v>
      </c>
      <c r="B565" s="346"/>
      <c r="C565" s="346"/>
      <c r="D565" s="346"/>
      <c r="E565" s="346"/>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s="346"/>
      <c r="AL565" s="346"/>
      <c r="AM565" s="346"/>
      <c r="AN565" s="346"/>
      <c r="AO565" s="346"/>
      <c r="AP565" s="346"/>
      <c r="AQ565" s="346"/>
      <c r="AR565" s="346"/>
      <c r="AS565" s="346"/>
      <c r="AT565" s="346"/>
      <c r="AU565" s="346"/>
      <c r="AV565" s="346"/>
      <c r="AW565" s="346"/>
      <c r="AX565" s="346"/>
      <c r="AY565" s="346"/>
      <c r="AZ565" s="346"/>
      <c r="BA565" s="346"/>
      <c r="BB565" s="346"/>
      <c r="BC565" s="346"/>
      <c r="BD565" s="346"/>
      <c r="BE565" s="346"/>
      <c r="BF565" s="346"/>
      <c r="BG565" s="346"/>
      <c r="BH565">
        <f t="shared" si="74"/>
        <v>0</v>
      </c>
      <c r="BI565" s="351">
        <f t="shared" si="75"/>
        <v>0</v>
      </c>
    </row>
    <row r="566" spans="1:61" ht="14.25" customHeight="1">
      <c r="A566" s="165">
        <f>'Conveyor Downtime (new)'!A561</f>
        <v>0</v>
      </c>
      <c r="BH566">
        <f t="shared" si="74"/>
        <v>0</v>
      </c>
      <c r="BI566" s="351">
        <f t="shared" si="75"/>
        <v>0</v>
      </c>
    </row>
    <row r="567" spans="1:61" ht="14.25" customHeight="1">
      <c r="A567" s="165">
        <f>'Conveyor Downtime (new)'!A562</f>
        <v>0</v>
      </c>
      <c r="B567" s="346"/>
      <c r="C567" s="346"/>
      <c r="D567" s="346"/>
      <c r="E567" s="346"/>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s="346"/>
      <c r="AL567" s="346"/>
      <c r="AM567" s="346"/>
      <c r="AN567" s="346"/>
      <c r="AO567" s="346"/>
      <c r="AP567" s="346"/>
      <c r="AQ567" s="346"/>
      <c r="AR567" s="346"/>
      <c r="AS567" s="346"/>
      <c r="AT567" s="346"/>
      <c r="AU567" s="346"/>
      <c r="AV567" s="346"/>
      <c r="AW567" s="346"/>
      <c r="AX567" s="346"/>
      <c r="AY567" s="346"/>
      <c r="AZ567" s="346"/>
      <c r="BA567" s="346"/>
      <c r="BB567" s="346"/>
      <c r="BC567" s="346"/>
      <c r="BD567" s="346"/>
      <c r="BE567" s="346"/>
      <c r="BF567" s="346"/>
      <c r="BG567" s="346"/>
      <c r="BH567">
        <f t="shared" si="74"/>
        <v>0</v>
      </c>
      <c r="BI567" s="351">
        <f t="shared" si="75"/>
        <v>0</v>
      </c>
    </row>
    <row r="568" spans="1:61" ht="14.25" customHeight="1">
      <c r="A568" s="165">
        <f>'Conveyor Downtime (new)'!A563</f>
        <v>0</v>
      </c>
      <c r="BH568">
        <f t="shared" si="74"/>
        <v>0</v>
      </c>
      <c r="BI568" s="351">
        <f t="shared" si="75"/>
        <v>0</v>
      </c>
    </row>
    <row r="569" spans="1:61" ht="14.25" customHeight="1">
      <c r="A569" s="165">
        <f>'Conveyor Downtime (new)'!A564</f>
        <v>0</v>
      </c>
      <c r="B569" s="346"/>
      <c r="C569" s="346"/>
      <c r="D569" s="346"/>
      <c r="E569" s="346"/>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s="346"/>
      <c r="AL569" s="346"/>
      <c r="AM569" s="346"/>
      <c r="AN569" s="346"/>
      <c r="AO569" s="346"/>
      <c r="AP569" s="346"/>
      <c r="AQ569" s="346"/>
      <c r="AR569" s="346"/>
      <c r="AS569" s="346"/>
      <c r="AT569" s="346"/>
      <c r="AU569" s="346"/>
      <c r="AV569" s="346"/>
      <c r="AW569" s="346"/>
      <c r="AX569" s="346"/>
      <c r="AY569" s="346"/>
      <c r="AZ569" s="346"/>
      <c r="BA569" s="346"/>
      <c r="BB569" s="77"/>
      <c r="BC569" s="346"/>
      <c r="BD569" s="346"/>
      <c r="BE569" s="346"/>
      <c r="BF569" s="346"/>
      <c r="BG569" s="346"/>
      <c r="BH569">
        <f t="shared" si="74"/>
        <v>0</v>
      </c>
      <c r="BI569" s="351">
        <f t="shared" si="75"/>
        <v>0</v>
      </c>
    </row>
    <row r="570" spans="1:61" ht="14.25" customHeight="1">
      <c r="A570" s="165">
        <f>'Conveyor Downtime (new)'!A565</f>
        <v>0</v>
      </c>
      <c r="BH570">
        <f t="shared" si="74"/>
        <v>0</v>
      </c>
      <c r="BI570" s="351">
        <f t="shared" si="75"/>
        <v>0</v>
      </c>
    </row>
    <row r="571" spans="1:61" ht="14.25" customHeight="1">
      <c r="A571" s="165">
        <f>'Conveyor Downtime (new)'!A566</f>
        <v>0</v>
      </c>
      <c r="B571" s="346"/>
      <c r="C571" s="346"/>
      <c r="D571" s="346"/>
      <c r="E571" s="346"/>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346"/>
      <c r="AK571" s="346"/>
      <c r="AL571" s="346"/>
      <c r="AM571" s="346"/>
      <c r="AN571" s="346"/>
      <c r="AO571" s="346"/>
      <c r="AP571" s="346"/>
      <c r="AQ571" s="346"/>
      <c r="AR571" s="346"/>
      <c r="AS571" s="346"/>
      <c r="AT571" s="346"/>
      <c r="AU571" s="346"/>
      <c r="AV571" s="346"/>
      <c r="AW571" s="346"/>
      <c r="AX571" s="346"/>
      <c r="AY571" s="346"/>
      <c r="AZ571" s="346"/>
      <c r="BA571" s="346"/>
      <c r="BB571" s="346"/>
      <c r="BC571" s="346"/>
      <c r="BD571" s="346"/>
      <c r="BE571" s="346"/>
      <c r="BF571" s="346"/>
      <c r="BG571" s="346"/>
      <c r="BH571">
        <f t="shared" si="74"/>
        <v>0</v>
      </c>
      <c r="BI571" s="351">
        <f t="shared" si="75"/>
        <v>0</v>
      </c>
    </row>
    <row r="572" spans="1:61" ht="14.25" customHeight="1">
      <c r="A572" s="165">
        <f>'Conveyor Downtime (new)'!A567</f>
        <v>0</v>
      </c>
      <c r="BH572">
        <f t="shared" si="74"/>
        <v>0</v>
      </c>
      <c r="BI572" s="351">
        <f t="shared" si="75"/>
        <v>0</v>
      </c>
    </row>
    <row r="573" spans="1:61" ht="14.25" customHeight="1">
      <c r="A573" s="165">
        <f>'[3]Conveyor Downtime (new)'!A566</f>
        <v>45937</v>
      </c>
      <c r="B573" s="346"/>
      <c r="C573" s="346"/>
      <c r="D573" s="346"/>
      <c r="E573" s="346"/>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s="346"/>
      <c r="AL573" s="346"/>
      <c r="AM573" s="346"/>
      <c r="AN573" s="346"/>
      <c r="AO573" s="346"/>
      <c r="AP573" s="346"/>
      <c r="AQ573" s="346"/>
      <c r="AR573" s="346"/>
      <c r="AS573" s="346"/>
      <c r="AT573" s="346"/>
      <c r="AU573" s="346"/>
      <c r="AV573" s="346"/>
      <c r="AW573" s="346"/>
      <c r="AX573" s="346"/>
      <c r="AY573" s="346"/>
      <c r="AZ573" s="346"/>
      <c r="BA573" s="346"/>
      <c r="BB573" s="346"/>
      <c r="BC573" s="346"/>
      <c r="BD573" s="346"/>
      <c r="BE573" s="346"/>
      <c r="BF573" s="346"/>
      <c r="BG573" s="346"/>
      <c r="BH573">
        <f t="shared" si="74"/>
        <v>0</v>
      </c>
      <c r="BI573" s="351">
        <f t="shared" si="75"/>
        <v>0</v>
      </c>
    </row>
    <row r="574" spans="1:61" ht="14.25" customHeight="1">
      <c r="A574" s="165">
        <f>'Conveyor Downtime (new)'!A569</f>
        <v>0</v>
      </c>
      <c r="BH574">
        <f t="shared" si="74"/>
        <v>0</v>
      </c>
      <c r="BI574" s="351">
        <f t="shared" si="75"/>
        <v>0</v>
      </c>
    </row>
    <row r="575" spans="1:61" ht="14.25" customHeight="1">
      <c r="A575" s="165">
        <f>'Conveyor Downtime (new)'!A570</f>
        <v>0</v>
      </c>
      <c r="B575" s="346"/>
      <c r="C575" s="346"/>
      <c r="D575" s="346"/>
      <c r="E575" s="346"/>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s="346"/>
      <c r="AL575" s="346"/>
      <c r="AM575" s="346"/>
      <c r="AN575" s="346"/>
      <c r="AO575" s="346"/>
      <c r="AP575" s="346"/>
      <c r="AQ575" s="346"/>
      <c r="AR575" s="346"/>
      <c r="AS575" s="346"/>
      <c r="AT575" s="346"/>
      <c r="AU575" s="346"/>
      <c r="AV575" s="346"/>
      <c r="AW575" s="346"/>
      <c r="AX575" s="346"/>
      <c r="AY575" s="346"/>
      <c r="AZ575" s="346"/>
      <c r="BA575" s="346"/>
      <c r="BB575" s="346"/>
      <c r="BC575" s="346"/>
      <c r="BD575" s="346"/>
      <c r="BE575" s="346"/>
      <c r="BF575" s="346"/>
      <c r="BG575" s="346"/>
      <c r="BH575">
        <f t="shared" si="74"/>
        <v>0</v>
      </c>
      <c r="BI575" s="351">
        <f t="shared" si="75"/>
        <v>0</v>
      </c>
    </row>
    <row r="576" spans="1:61" ht="14.25" customHeight="1">
      <c r="A576" s="165">
        <f>'Conveyor Downtime (new)'!A571</f>
        <v>0</v>
      </c>
      <c r="BH576">
        <f t="shared" si="74"/>
        <v>0</v>
      </c>
      <c r="BI576" s="351">
        <f t="shared" si="75"/>
        <v>0</v>
      </c>
    </row>
    <row r="577" spans="1:61" ht="14.25" customHeight="1">
      <c r="A577" s="165">
        <f>'Conveyor Downtime (new)'!A572</f>
        <v>0</v>
      </c>
      <c r="B577" s="346"/>
      <c r="C577" s="346"/>
      <c r="D577" s="346"/>
      <c r="E577" s="346"/>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s="346"/>
      <c r="AL577" s="346"/>
      <c r="AM577" s="346"/>
      <c r="AN577" s="346"/>
      <c r="AO577" s="346"/>
      <c r="AP577" s="346"/>
      <c r="AQ577" s="346"/>
      <c r="AR577" s="346"/>
      <c r="AS577" s="346"/>
      <c r="AT577" s="346"/>
      <c r="AU577" s="346"/>
      <c r="AV577" s="346"/>
      <c r="AW577" s="346"/>
      <c r="AX577" s="346"/>
      <c r="AY577" s="346"/>
      <c r="AZ577" s="346"/>
      <c r="BA577" s="346"/>
      <c r="BB577" s="346"/>
      <c r="BC577" s="346"/>
      <c r="BD577" s="346"/>
      <c r="BE577" s="346"/>
      <c r="BF577" s="346"/>
      <c r="BG577" s="346"/>
      <c r="BH577">
        <f t="shared" si="74"/>
        <v>0</v>
      </c>
      <c r="BI577" s="351">
        <f t="shared" si="75"/>
        <v>0</v>
      </c>
    </row>
    <row r="578" spans="1:61" ht="14.25" customHeight="1">
      <c r="A578" s="165">
        <f>'Conveyor Downtime (new)'!A573</f>
        <v>0</v>
      </c>
      <c r="BH578">
        <f t="shared" si="74"/>
        <v>0</v>
      </c>
      <c r="BI578" s="351">
        <f t="shared" si="75"/>
        <v>0</v>
      </c>
    </row>
    <row r="579" spans="1:61" ht="14.25" customHeight="1">
      <c r="A579" s="165">
        <f>'Conveyor Downtime (new)'!A574</f>
        <v>0</v>
      </c>
      <c r="B579" s="346"/>
      <c r="C579" s="346"/>
      <c r="D579" s="346"/>
      <c r="E579" s="346"/>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346"/>
      <c r="AK579" s="346"/>
      <c r="AL579" s="346"/>
      <c r="AM579" s="346"/>
      <c r="AN579" s="346"/>
      <c r="AO579" s="346"/>
      <c r="AP579" s="346"/>
      <c r="AQ579" s="346"/>
      <c r="AR579" s="346"/>
      <c r="AS579" s="346"/>
      <c r="AT579" s="346"/>
      <c r="AU579" s="346"/>
      <c r="AV579" s="346"/>
      <c r="AW579" s="346"/>
      <c r="AX579" s="346"/>
      <c r="AY579" s="346"/>
      <c r="AZ579" s="346"/>
      <c r="BA579" s="346"/>
      <c r="BB579" s="346"/>
      <c r="BC579" s="346"/>
      <c r="BD579" s="346"/>
      <c r="BE579" s="346"/>
      <c r="BF579" s="346"/>
      <c r="BG579" s="346"/>
      <c r="BH579">
        <f t="shared" si="74"/>
        <v>0</v>
      </c>
      <c r="BI579" s="351">
        <f t="shared" si="75"/>
        <v>0</v>
      </c>
    </row>
    <row r="580" spans="1:61" ht="14.25" customHeight="1">
      <c r="A580" s="165">
        <f>'Conveyor Downtime (new)'!A575</f>
        <v>0</v>
      </c>
      <c r="BH580">
        <f t="shared" si="74"/>
        <v>0</v>
      </c>
      <c r="BI580" s="351">
        <f t="shared" si="75"/>
        <v>0</v>
      </c>
    </row>
    <row r="581" spans="1:61" ht="14.25" customHeight="1">
      <c r="A581" s="165">
        <f>'Conveyor Downtime (new)'!A576</f>
        <v>0</v>
      </c>
      <c r="B581" s="346"/>
      <c r="C581" s="346"/>
      <c r="D581" s="346"/>
      <c r="E581" s="346"/>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s="346"/>
      <c r="AL581" s="346"/>
      <c r="AM581" s="346"/>
      <c r="AN581" s="346"/>
      <c r="AO581" s="346"/>
      <c r="AP581" s="346"/>
      <c r="AQ581" s="346"/>
      <c r="AR581" s="346"/>
      <c r="AS581" s="346"/>
      <c r="AT581" s="346"/>
      <c r="AU581" s="346"/>
      <c r="AV581" s="346"/>
      <c r="AW581" s="346"/>
      <c r="AX581" s="346"/>
      <c r="AY581" s="346"/>
      <c r="AZ581" s="346"/>
      <c r="BA581" s="346"/>
      <c r="BB581" s="346"/>
      <c r="BC581" s="346"/>
      <c r="BD581" s="346"/>
      <c r="BE581" s="346"/>
      <c r="BF581" s="346"/>
      <c r="BG581" s="346"/>
      <c r="BH581">
        <f t="shared" si="74"/>
        <v>0</v>
      </c>
      <c r="BI581" s="351">
        <f t="shared" si="75"/>
        <v>0</v>
      </c>
    </row>
    <row r="582" spans="1:61" ht="14.25" customHeight="1">
      <c r="A582" s="165">
        <f>'Conveyor Downtime (new)'!A577</f>
        <v>0</v>
      </c>
      <c r="BH582">
        <f t="shared" si="74"/>
        <v>0</v>
      </c>
      <c r="BI582" s="351">
        <f t="shared" si="75"/>
        <v>0</v>
      </c>
    </row>
    <row r="583" spans="1:61" ht="14.25" customHeight="1">
      <c r="A583" s="165">
        <f>'Conveyor Downtime (new)'!A578</f>
        <v>0</v>
      </c>
      <c r="B583" s="346"/>
      <c r="C583" s="346"/>
      <c r="D583" s="346"/>
      <c r="E583" s="346"/>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346"/>
      <c r="AK583" s="346"/>
      <c r="AL583" s="346"/>
      <c r="AM583" s="346"/>
      <c r="AN583" s="346"/>
      <c r="AO583" s="346"/>
      <c r="AP583" s="346"/>
      <c r="AQ583" s="346"/>
      <c r="AR583" s="346"/>
      <c r="AS583" s="346"/>
      <c r="AT583" s="346"/>
      <c r="AU583" s="346"/>
      <c r="AV583" s="346"/>
      <c r="AW583" s="346"/>
      <c r="AX583" s="346"/>
      <c r="AY583" s="346"/>
      <c r="AZ583" s="346"/>
      <c r="BA583" s="346"/>
      <c r="BB583" s="346"/>
      <c r="BC583" s="346"/>
      <c r="BD583" s="346"/>
      <c r="BE583" s="346"/>
      <c r="BF583" s="346"/>
      <c r="BG583" s="346"/>
      <c r="BH583">
        <f t="shared" si="74"/>
        <v>0</v>
      </c>
      <c r="BI583" s="351">
        <f t="shared" si="75"/>
        <v>0</v>
      </c>
    </row>
    <row r="584" spans="1:61" ht="14.25" customHeight="1">
      <c r="A584" s="165">
        <f>'Conveyor Downtime (new)'!A579</f>
        <v>0</v>
      </c>
      <c r="B584" s="70"/>
      <c r="C584" s="70"/>
      <c r="D584" s="70"/>
      <c r="E584" s="70"/>
      <c r="F584" s="70"/>
      <c r="G584" s="70"/>
      <c r="H584" s="70"/>
      <c r="I584" s="70"/>
      <c r="J584" s="70"/>
      <c r="K584" s="70"/>
      <c r="L584" s="70"/>
      <c r="M584" s="70"/>
      <c r="N584" s="70"/>
      <c r="O584" s="70"/>
      <c r="P584" s="70"/>
      <c r="Q584" s="70"/>
      <c r="R584" s="70"/>
      <c r="S584" s="70"/>
      <c r="T584" s="70"/>
      <c r="U584" s="70"/>
      <c r="V584" s="70"/>
      <c r="W584" s="70"/>
      <c r="X584" s="70"/>
      <c r="Y584" s="70"/>
      <c r="Z584" s="70"/>
      <c r="AA584" s="70"/>
      <c r="AB584" s="70"/>
      <c r="AC584" s="70"/>
      <c r="AD584" s="70"/>
      <c r="AE584" s="70"/>
      <c r="AF584" s="70"/>
      <c r="AG584" s="70"/>
      <c r="AH584" s="70"/>
      <c r="AI584" s="70"/>
      <c r="AJ584" s="70"/>
      <c r="AK584" s="70"/>
      <c r="AL584" s="70"/>
      <c r="AM584" s="70"/>
      <c r="AN584" s="70"/>
      <c r="AO584" s="70"/>
      <c r="AP584" s="70"/>
      <c r="AQ584" s="70"/>
      <c r="AR584" s="70"/>
      <c r="AS584" s="70"/>
      <c r="AT584" s="70"/>
      <c r="AU584" s="70"/>
      <c r="AV584" s="70"/>
      <c r="AW584" s="70"/>
      <c r="AX584" s="70"/>
      <c r="AY584" s="70"/>
      <c r="AZ584" s="70"/>
      <c r="BA584" s="70"/>
      <c r="BB584" s="70"/>
      <c r="BC584" s="70"/>
      <c r="BD584" s="70"/>
      <c r="BE584" s="70"/>
      <c r="BF584" s="70"/>
      <c r="BG584" s="70"/>
      <c r="BH584">
        <f t="shared" si="74"/>
        <v>0</v>
      </c>
      <c r="BI584" s="351">
        <f t="shared" si="75"/>
        <v>0</v>
      </c>
    </row>
    <row r="585" spans="1:61" ht="14.25" customHeight="1">
      <c r="A585" s="165">
        <f>'Conveyor Downtime (new)'!A580</f>
        <v>0</v>
      </c>
      <c r="B585" s="353"/>
      <c r="C585" s="353"/>
      <c r="D585" s="353"/>
      <c r="E585" s="353"/>
      <c r="F585" s="353"/>
      <c r="G585" s="353"/>
      <c r="H585" s="353"/>
      <c r="I585" s="353"/>
      <c r="J585" s="353"/>
      <c r="K585" s="353"/>
      <c r="L585" s="353"/>
      <c r="M585" s="353"/>
      <c r="N585" s="353"/>
      <c r="O585" s="353"/>
      <c r="P585" s="353"/>
      <c r="Q585" s="353"/>
      <c r="R585" s="353"/>
      <c r="S585" s="353"/>
      <c r="T585" s="353"/>
      <c r="U585" s="353"/>
      <c r="V585" s="353"/>
      <c r="W585" s="353"/>
      <c r="X585" s="353"/>
      <c r="Y585" s="353"/>
      <c r="Z585" s="353"/>
      <c r="AA585" s="353"/>
      <c r="AB585" s="353"/>
      <c r="AC585" s="353"/>
      <c r="AD585" s="353"/>
      <c r="AE585" s="353"/>
      <c r="AF585" s="353"/>
      <c r="AG585" s="353"/>
      <c r="AH585" s="353"/>
      <c r="AI585" s="353"/>
      <c r="AJ585" s="353"/>
      <c r="AK585" s="353"/>
      <c r="AL585" s="353"/>
      <c r="AM585" s="353"/>
      <c r="AN585" s="353"/>
      <c r="AO585" s="353"/>
      <c r="AP585" s="353"/>
      <c r="AQ585" s="353"/>
      <c r="AR585" s="353"/>
      <c r="AS585" s="353"/>
      <c r="AT585" s="353"/>
      <c r="AU585" s="353"/>
      <c r="AV585" s="353"/>
      <c r="AW585" s="353"/>
      <c r="AX585" s="353"/>
      <c r="AY585" s="353"/>
      <c r="AZ585" s="353"/>
      <c r="BA585" s="353"/>
      <c r="BB585" s="353"/>
      <c r="BC585" s="353"/>
      <c r="BD585" s="353"/>
      <c r="BE585" s="353"/>
      <c r="BF585" s="353"/>
      <c r="BG585" s="353"/>
      <c r="BH585">
        <f t="shared" si="74"/>
        <v>0</v>
      </c>
      <c r="BI585" s="351">
        <f t="shared" si="75"/>
        <v>0</v>
      </c>
    </row>
    <row r="586" spans="1:61" ht="14.25" customHeight="1">
      <c r="A586" s="165">
        <f>'Conveyor Downtime (new)'!A581</f>
        <v>0</v>
      </c>
      <c r="BH586">
        <f t="shared" si="74"/>
        <v>0</v>
      </c>
      <c r="BI586" s="351">
        <f t="shared" si="75"/>
        <v>0</v>
      </c>
    </row>
    <row r="587" spans="1:61" ht="14.25" customHeight="1">
      <c r="A587" s="165">
        <f>'Conveyor Downtime (new)'!A582</f>
        <v>0</v>
      </c>
      <c r="B587" s="346"/>
      <c r="C587" s="346"/>
      <c r="D587" s="346"/>
      <c r="E587" s="346"/>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346"/>
      <c r="AK587" s="346"/>
      <c r="AL587" s="346"/>
      <c r="AM587" s="346"/>
      <c r="AN587" s="346"/>
      <c r="AO587" s="346"/>
      <c r="AP587" s="346"/>
      <c r="AQ587" s="346"/>
      <c r="AR587" s="346"/>
      <c r="AS587" s="346"/>
      <c r="AT587" s="346"/>
      <c r="AU587" s="346"/>
      <c r="AV587" s="346"/>
      <c r="AW587" s="346"/>
      <c r="AX587" s="346"/>
      <c r="AY587" s="346"/>
      <c r="AZ587" s="346"/>
      <c r="BA587" s="346"/>
      <c r="BB587" s="346"/>
      <c r="BC587" s="346"/>
      <c r="BD587" s="346"/>
      <c r="BE587" s="346"/>
      <c r="BF587" s="346"/>
      <c r="BG587" s="346"/>
      <c r="BH587">
        <f t="shared" si="74"/>
        <v>0</v>
      </c>
      <c r="BI587" s="351">
        <f t="shared" si="75"/>
        <v>0</v>
      </c>
    </row>
    <row r="588" spans="1:61" ht="14.25" customHeight="1">
      <c r="A588" s="165">
        <f>'Conveyor Downtime (new)'!A583</f>
        <v>0</v>
      </c>
      <c r="BH588">
        <f t="shared" si="74"/>
        <v>0</v>
      </c>
      <c r="BI588" s="351">
        <f t="shared" si="75"/>
        <v>0</v>
      </c>
    </row>
    <row r="589" spans="1:61" ht="14.25" customHeight="1">
      <c r="A589" s="165">
        <f>'Conveyor Downtime (new)'!A584</f>
        <v>0</v>
      </c>
      <c r="B589" s="346"/>
      <c r="C589" s="346"/>
      <c r="D589" s="346"/>
      <c r="E589" s="346"/>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346"/>
      <c r="AK589" s="346"/>
      <c r="AL589" s="346"/>
      <c r="AM589" s="346"/>
      <c r="AN589" s="346"/>
      <c r="AO589" s="346"/>
      <c r="AP589" s="346"/>
      <c r="AQ589" s="346"/>
      <c r="AR589" s="346"/>
      <c r="AS589" s="346"/>
      <c r="AT589" s="346"/>
      <c r="AU589" s="346"/>
      <c r="AV589" s="346"/>
      <c r="AW589" s="346"/>
      <c r="AX589" s="346"/>
      <c r="AY589" s="346"/>
      <c r="AZ589" s="346"/>
      <c r="BA589" s="346"/>
      <c r="BB589" s="346"/>
      <c r="BC589" s="346"/>
      <c r="BD589" s="346"/>
      <c r="BE589" s="346"/>
      <c r="BF589" s="346"/>
      <c r="BG589" s="346"/>
      <c r="BH589">
        <f t="shared" si="74"/>
        <v>0</v>
      </c>
      <c r="BI589" s="351">
        <f t="shared" si="75"/>
        <v>0</v>
      </c>
    </row>
    <row r="590" spans="1:61" ht="14.25" customHeight="1">
      <c r="A590" s="165">
        <f>'Conveyor Downtime (new)'!A585</f>
        <v>0</v>
      </c>
      <c r="BH590">
        <f t="shared" si="74"/>
        <v>0</v>
      </c>
      <c r="BI590" s="351">
        <f t="shared" si="75"/>
        <v>0</v>
      </c>
    </row>
    <row r="591" spans="1:61" ht="14.25" customHeight="1">
      <c r="A591" s="165">
        <f>'Conveyor Downtime (new)'!A586</f>
        <v>0</v>
      </c>
      <c r="B591" s="346"/>
      <c r="C591" s="346"/>
      <c r="D591" s="346"/>
      <c r="E591" s="346"/>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346"/>
      <c r="AK591" s="346"/>
      <c r="AL591" s="346"/>
      <c r="AM591" s="346"/>
      <c r="AN591" s="346"/>
      <c r="AO591" s="346"/>
      <c r="AP591" s="346"/>
      <c r="AQ591" s="346"/>
      <c r="AR591" s="346"/>
      <c r="AS591" s="346"/>
      <c r="AT591" s="346"/>
      <c r="AU591" s="346"/>
      <c r="AV591" s="346"/>
      <c r="AW591" s="346"/>
      <c r="AX591" s="346"/>
      <c r="AY591" s="346"/>
      <c r="AZ591" s="346"/>
      <c r="BA591" s="346"/>
      <c r="BB591" s="346"/>
      <c r="BC591" s="346"/>
      <c r="BD591" s="346"/>
      <c r="BE591" s="346"/>
      <c r="BF591" s="346"/>
      <c r="BG591" s="346"/>
      <c r="BH591">
        <f t="shared" si="74"/>
        <v>0</v>
      </c>
      <c r="BI591" s="351">
        <f t="shared" si="75"/>
        <v>0</v>
      </c>
    </row>
    <row r="592" spans="1:61" ht="14.25" customHeight="1">
      <c r="A592" s="165">
        <f>'Conveyor Downtime (new)'!A587</f>
        <v>0</v>
      </c>
      <c r="BH592">
        <f t="shared" si="74"/>
        <v>0</v>
      </c>
      <c r="BI592" s="351">
        <f t="shared" si="75"/>
        <v>0</v>
      </c>
    </row>
    <row r="593" spans="1:61" ht="14.25" customHeight="1">
      <c r="A593" s="165">
        <f>'Conveyor Downtime (new)'!A588</f>
        <v>0</v>
      </c>
      <c r="B593" s="346"/>
      <c r="C593" s="346"/>
      <c r="D593" s="346"/>
      <c r="E593" s="346"/>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346"/>
      <c r="AK593" s="346"/>
      <c r="AL593" s="346"/>
      <c r="AM593" s="346"/>
      <c r="AN593" s="346"/>
      <c r="AO593" s="346"/>
      <c r="AP593" s="346"/>
      <c r="AQ593" s="346"/>
      <c r="AR593" s="346"/>
      <c r="AS593" s="346"/>
      <c r="AT593" s="346"/>
      <c r="AU593" s="346"/>
      <c r="AV593" s="346"/>
      <c r="AW593" s="346"/>
      <c r="AX593" s="346"/>
      <c r="AY593" s="346"/>
      <c r="AZ593" s="346"/>
      <c r="BA593" s="346"/>
      <c r="BB593" s="346"/>
      <c r="BC593" s="346"/>
      <c r="BD593" s="346"/>
      <c r="BE593" s="346"/>
      <c r="BF593" s="346"/>
      <c r="BG593" s="346"/>
      <c r="BH593">
        <f t="shared" si="74"/>
        <v>0</v>
      </c>
      <c r="BI593" s="351">
        <f t="shared" si="75"/>
        <v>0</v>
      </c>
    </row>
    <row r="594" spans="1:61" ht="14.25" customHeight="1">
      <c r="A594" s="165">
        <f>'Conveyor Downtime (new)'!A589</f>
        <v>0</v>
      </c>
      <c r="BH594">
        <f t="shared" si="74"/>
        <v>0</v>
      </c>
      <c r="BI594" s="351">
        <f t="shared" si="75"/>
        <v>0</v>
      </c>
    </row>
    <row r="595" spans="1:61" ht="14.25" customHeight="1">
      <c r="A595" s="165">
        <f>'Conveyor Downtime (new)'!A590</f>
        <v>0</v>
      </c>
      <c r="B595" s="346"/>
      <c r="C595" s="346"/>
      <c r="D595" s="346"/>
      <c r="E595" s="346"/>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346"/>
      <c r="AK595" s="346"/>
      <c r="AL595" s="346"/>
      <c r="AM595" s="346"/>
      <c r="AN595" s="346"/>
      <c r="AO595" s="346"/>
      <c r="AP595" s="346"/>
      <c r="AQ595" s="346"/>
      <c r="AR595" s="346"/>
      <c r="AS595" s="346"/>
      <c r="AT595" s="346"/>
      <c r="AU595" s="346"/>
      <c r="AV595" s="346"/>
      <c r="AW595" s="346"/>
      <c r="AX595" s="346"/>
      <c r="AY595" s="346"/>
      <c r="AZ595" s="346"/>
      <c r="BA595" s="346"/>
      <c r="BB595" s="346"/>
      <c r="BC595" s="346"/>
      <c r="BD595" s="346"/>
      <c r="BE595" s="346"/>
      <c r="BF595" s="346"/>
      <c r="BG595" s="346"/>
      <c r="BH595">
        <f t="shared" si="74"/>
        <v>0</v>
      </c>
      <c r="BI595" s="351">
        <f t="shared" si="75"/>
        <v>0</v>
      </c>
    </row>
    <row r="596" spans="1:61" ht="14.25" customHeight="1">
      <c r="A596" s="165">
        <f>'Conveyor Downtime (new)'!A591</f>
        <v>0</v>
      </c>
      <c r="B596" s="165"/>
      <c r="C596" s="165"/>
      <c r="D596" s="165"/>
      <c r="E596" s="165"/>
      <c r="F596" s="165"/>
      <c r="G596" s="165"/>
      <c r="H596" s="165"/>
      <c r="I596" s="363"/>
      <c r="J596" s="165"/>
      <c r="K596" s="165"/>
      <c r="L596" s="165"/>
      <c r="M596" s="165"/>
      <c r="N596" s="165"/>
      <c r="O596" s="165"/>
      <c r="Q596" s="165"/>
      <c r="S596" s="165"/>
      <c r="T596" s="165"/>
      <c r="U596" s="165"/>
      <c r="V596" s="165"/>
      <c r="W596" s="165"/>
      <c r="Y596" s="165"/>
      <c r="Z596" s="165"/>
      <c r="AA596" s="165"/>
      <c r="AB596" s="165"/>
      <c r="AC596" s="165"/>
      <c r="AD596" s="165"/>
      <c r="AE596" s="165"/>
      <c r="AF596" s="165"/>
      <c r="AG596" s="165"/>
      <c r="AH596" s="165"/>
      <c r="AI596" s="165"/>
      <c r="AK596" s="165"/>
      <c r="AL596" s="165"/>
      <c r="AM596" s="165"/>
      <c r="AN596" s="165"/>
      <c r="AO596" s="165"/>
      <c r="AP596" s="165"/>
      <c r="AQ596" s="165"/>
      <c r="AR596" s="165"/>
      <c r="AS596" s="165"/>
      <c r="AT596" s="165"/>
      <c r="AU596" s="165"/>
      <c r="AV596" s="165"/>
      <c r="AW596" s="165"/>
      <c r="AX596" s="165"/>
      <c r="AY596" s="165"/>
      <c r="AZ596" s="165"/>
      <c r="BA596" s="165"/>
      <c r="BB596" s="165"/>
      <c r="BC596" s="165"/>
      <c r="BD596" s="165"/>
      <c r="BE596" s="165"/>
      <c r="BF596" s="165"/>
      <c r="BG596" s="165"/>
      <c r="BH596">
        <f t="shared" si="74"/>
        <v>0</v>
      </c>
      <c r="BI596" s="351">
        <f t="shared" si="75"/>
        <v>0</v>
      </c>
    </row>
    <row r="597" spans="1:61" ht="14.25" customHeight="1">
      <c r="A597" s="165">
        <f>'Conveyor Downtime (new)'!A592</f>
        <v>0</v>
      </c>
      <c r="B597" s="346"/>
      <c r="C597" s="346"/>
      <c r="D597" s="346"/>
      <c r="E597" s="346"/>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346"/>
      <c r="AK597" s="346"/>
      <c r="AL597" s="346"/>
      <c r="AM597" s="346"/>
      <c r="AN597" s="346"/>
      <c r="AO597" s="346"/>
      <c r="AP597" s="346"/>
      <c r="AQ597" s="346"/>
      <c r="AR597" s="346"/>
      <c r="AS597" s="346"/>
      <c r="AT597" s="346"/>
      <c r="AU597" s="346"/>
      <c r="AV597" s="346"/>
      <c r="AW597" s="346"/>
      <c r="AX597" s="346"/>
      <c r="AY597" s="346"/>
      <c r="AZ597" s="346"/>
      <c r="BA597" s="346"/>
      <c r="BB597" s="346"/>
      <c r="BC597" s="346"/>
      <c r="BD597" s="346"/>
      <c r="BE597" s="346"/>
      <c r="BF597" s="346"/>
      <c r="BG597" s="346"/>
      <c r="BH597">
        <f t="shared" si="74"/>
        <v>0</v>
      </c>
      <c r="BI597" s="351">
        <f t="shared" si="75"/>
        <v>0</v>
      </c>
    </row>
    <row r="598" spans="1:61" ht="14.25" customHeight="1">
      <c r="A598" s="165">
        <f>'Conveyor Downtime (new)'!A593</f>
        <v>0</v>
      </c>
      <c r="BH598">
        <f t="shared" si="74"/>
        <v>0</v>
      </c>
      <c r="BI598" s="351">
        <f t="shared" si="75"/>
        <v>0</v>
      </c>
    </row>
    <row r="599" spans="1:61" ht="14.25" customHeight="1">
      <c r="A599" s="165">
        <f>'Conveyor Downtime (new)'!A594</f>
        <v>0</v>
      </c>
      <c r="B599" s="346"/>
      <c r="C599" s="346"/>
      <c r="D599" s="346"/>
      <c r="E599" s="346"/>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346"/>
      <c r="AK599" s="346"/>
      <c r="AL599" s="346"/>
      <c r="AM599" s="346"/>
      <c r="AN599" s="346"/>
      <c r="AO599" s="346"/>
      <c r="AP599" s="346"/>
      <c r="AQ599" s="346"/>
      <c r="AR599" s="346"/>
      <c r="AS599" s="346"/>
      <c r="AT599" s="346"/>
      <c r="AU599" s="346"/>
      <c r="AV599" s="346"/>
      <c r="AW599" s="346"/>
      <c r="AX599" s="346"/>
      <c r="AY599" s="346"/>
      <c r="AZ599" s="346"/>
      <c r="BA599" s="346"/>
      <c r="BB599" s="346"/>
      <c r="BC599" s="346"/>
      <c r="BD599" s="346"/>
      <c r="BE599" s="346"/>
      <c r="BF599" s="346"/>
      <c r="BG599" s="346"/>
      <c r="BH599">
        <f t="shared" si="74"/>
        <v>0</v>
      </c>
      <c r="BI599" s="351">
        <f t="shared" si="75"/>
        <v>0</v>
      </c>
    </row>
    <row r="600" spans="1:61" ht="14.25" customHeight="1">
      <c r="A600" s="165">
        <f>'Conveyor Downtime (new)'!A595</f>
        <v>0</v>
      </c>
      <c r="BH600">
        <f t="shared" si="74"/>
        <v>0</v>
      </c>
      <c r="BI600" s="351">
        <f t="shared" si="75"/>
        <v>0</v>
      </c>
    </row>
    <row r="601" spans="1:61" ht="14.25" customHeight="1">
      <c r="A601" s="165">
        <f>'Conveyor Downtime (new)'!A596</f>
        <v>0</v>
      </c>
      <c r="B601" s="346"/>
      <c r="C601" s="346"/>
      <c r="D601" s="346"/>
      <c r="E601" s="346"/>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346"/>
      <c r="AK601" s="346"/>
      <c r="AL601" s="346"/>
      <c r="AM601" s="346"/>
      <c r="AN601" s="346"/>
      <c r="AO601" s="346"/>
      <c r="AP601" s="346"/>
      <c r="AQ601" s="346"/>
      <c r="AR601" s="346"/>
      <c r="AS601" s="346"/>
      <c r="AT601" s="346"/>
      <c r="AU601" s="346"/>
      <c r="AV601" s="346"/>
      <c r="AW601" s="346"/>
      <c r="AX601" s="346"/>
      <c r="AY601" s="346"/>
      <c r="AZ601" s="346"/>
      <c r="BA601" s="346"/>
      <c r="BB601" s="346"/>
      <c r="BC601" s="346"/>
      <c r="BD601" s="346"/>
      <c r="BE601" s="346"/>
      <c r="BF601" s="346"/>
      <c r="BG601" s="346"/>
      <c r="BH601">
        <f t="shared" si="74"/>
        <v>0</v>
      </c>
      <c r="BI601" s="351">
        <f t="shared" si="75"/>
        <v>0</v>
      </c>
    </row>
    <row r="602" spans="1:61" ht="14.25" customHeight="1">
      <c r="A602" s="165">
        <f>'Conveyor Downtime (new)'!A597</f>
        <v>0</v>
      </c>
      <c r="BH602">
        <f t="shared" si="74"/>
        <v>0</v>
      </c>
      <c r="BI602" s="351">
        <f t="shared" si="75"/>
        <v>0</v>
      </c>
    </row>
    <row r="603" spans="1:61" ht="14.25" customHeight="1">
      <c r="A603" s="165">
        <f>'Conveyor Downtime (new)'!A598</f>
        <v>0</v>
      </c>
      <c r="B603" s="346"/>
      <c r="C603" s="346"/>
      <c r="D603" s="346"/>
      <c r="E603" s="346"/>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346"/>
      <c r="AK603" s="346"/>
      <c r="AL603" s="346"/>
      <c r="AM603" s="346"/>
      <c r="AN603" s="346"/>
      <c r="AO603" s="346"/>
      <c r="AP603" s="346"/>
      <c r="AQ603" s="346"/>
      <c r="AR603" s="346"/>
      <c r="AS603" s="346"/>
      <c r="AT603" s="346"/>
      <c r="AU603" s="346"/>
      <c r="AV603" s="346"/>
      <c r="AW603" s="346"/>
      <c r="AX603" s="346"/>
      <c r="AY603" s="346"/>
      <c r="AZ603" s="346"/>
      <c r="BA603" s="346"/>
      <c r="BB603" s="346"/>
      <c r="BC603" s="346"/>
      <c r="BD603" s="346"/>
      <c r="BE603" s="346"/>
      <c r="BF603" s="346"/>
      <c r="BG603" s="346"/>
      <c r="BH603">
        <f t="shared" si="74"/>
        <v>0</v>
      </c>
      <c r="BI603" s="351">
        <f t="shared" si="75"/>
        <v>0</v>
      </c>
    </row>
    <row r="604" spans="1:61" ht="14.25" customHeight="1">
      <c r="A604" s="165">
        <f>'Conveyor Downtime (new)'!A599</f>
        <v>0</v>
      </c>
      <c r="BH604">
        <f t="shared" si="74"/>
        <v>0</v>
      </c>
      <c r="BI604" s="351">
        <f t="shared" si="75"/>
        <v>0</v>
      </c>
    </row>
    <row r="605" spans="1:61" ht="14.25" customHeight="1">
      <c r="A605" s="165">
        <f>'Conveyor Downtime (new)'!A600</f>
        <v>0</v>
      </c>
      <c r="B605" s="346"/>
      <c r="C605" s="346"/>
      <c r="D605" s="346"/>
      <c r="E605" s="346"/>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346"/>
      <c r="AK605" s="346"/>
      <c r="AL605" s="346"/>
      <c r="AM605" s="346"/>
      <c r="AN605" s="346"/>
      <c r="AO605" s="346"/>
      <c r="AP605" s="346"/>
      <c r="AQ605" s="346"/>
      <c r="AR605" s="346"/>
      <c r="AS605" s="346"/>
      <c r="AT605" s="346"/>
      <c r="AU605" s="346"/>
      <c r="AV605" s="346"/>
      <c r="AW605" s="346"/>
      <c r="AX605" s="346"/>
      <c r="AY605" s="346"/>
      <c r="AZ605" s="346"/>
      <c r="BA605" s="346"/>
      <c r="BB605" s="346"/>
      <c r="BC605" s="346"/>
      <c r="BD605" s="346"/>
      <c r="BE605" s="346"/>
      <c r="BF605" s="346"/>
      <c r="BG605" s="346"/>
      <c r="BH605">
        <f t="shared" si="74"/>
        <v>0</v>
      </c>
      <c r="BI605" s="351">
        <f t="shared" si="75"/>
        <v>0</v>
      </c>
    </row>
    <row r="606" spans="1:61" ht="14.25" customHeight="1">
      <c r="A606" s="165">
        <f>'Conveyor Downtime (new)'!A601</f>
        <v>0</v>
      </c>
      <c r="BH606">
        <f t="shared" si="74"/>
        <v>0</v>
      </c>
      <c r="BI606" s="351">
        <f t="shared" si="75"/>
        <v>0</v>
      </c>
    </row>
    <row r="607" spans="1:61" ht="14.25" customHeight="1">
      <c r="A607" s="165">
        <f>'Conveyor Downtime (new)'!A602</f>
        <v>0</v>
      </c>
      <c r="B607" s="346"/>
      <c r="C607" s="346"/>
      <c r="D607" s="346"/>
      <c r="E607" s="346"/>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s="346"/>
      <c r="AE607" s="346"/>
      <c r="AF607" s="346"/>
      <c r="AG607" s="346"/>
      <c r="AH607" s="346"/>
      <c r="AI607" s="346"/>
      <c r="AJ607" s="346"/>
      <c r="AK607" s="346"/>
      <c r="AL607" s="346"/>
      <c r="AM607" s="346"/>
      <c r="AN607" s="346"/>
      <c r="AO607" s="346"/>
      <c r="AP607" s="346"/>
      <c r="AQ607" s="346"/>
      <c r="AR607" s="346"/>
      <c r="AS607" s="346"/>
      <c r="AT607" s="346"/>
      <c r="AU607" s="346"/>
      <c r="AV607" s="346"/>
      <c r="AW607" s="346"/>
      <c r="AX607" s="346"/>
      <c r="AY607" s="346"/>
      <c r="AZ607" s="346"/>
      <c r="BA607" s="346"/>
      <c r="BB607" s="346"/>
      <c r="BC607" s="346"/>
      <c r="BD607" s="346"/>
      <c r="BE607" s="346"/>
      <c r="BF607" s="346"/>
      <c r="BG607" s="346"/>
      <c r="BH607">
        <f t="shared" si="74"/>
        <v>0</v>
      </c>
      <c r="BI607" s="351">
        <f t="shared" si="75"/>
        <v>0</v>
      </c>
    </row>
    <row r="608" spans="1:61" ht="14.25" customHeight="1">
      <c r="A608" s="165">
        <f>'Conveyor Downtime (new)'!A603</f>
        <v>0</v>
      </c>
      <c r="BH608">
        <f t="shared" si="74"/>
        <v>0</v>
      </c>
      <c r="BI608" s="351">
        <f t="shared" si="75"/>
        <v>0</v>
      </c>
    </row>
    <row r="609" spans="1:61" ht="14.25" customHeight="1">
      <c r="A609" s="165">
        <f>'Conveyor Downtime (new)'!A604</f>
        <v>0</v>
      </c>
      <c r="B609" s="346"/>
      <c r="C609" s="346"/>
      <c r="D609" s="346"/>
      <c r="E609" s="346"/>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s="346"/>
      <c r="AE609" s="346"/>
      <c r="AF609" s="346"/>
      <c r="AG609" s="346"/>
      <c r="AH609" s="346"/>
      <c r="AI609" s="346"/>
      <c r="AJ609" s="346"/>
      <c r="AK609" s="346"/>
      <c r="AL609" s="346"/>
      <c r="AM609" s="346"/>
      <c r="AN609" s="346"/>
      <c r="AO609" s="346"/>
      <c r="AP609" s="346"/>
      <c r="AQ609" s="346"/>
      <c r="AR609" s="346"/>
      <c r="AS609" s="346"/>
      <c r="AT609" s="346"/>
      <c r="AU609" s="346"/>
      <c r="AV609" s="346"/>
      <c r="AW609" s="346"/>
      <c r="AX609" s="346"/>
      <c r="AY609" s="346"/>
      <c r="AZ609" s="346"/>
      <c r="BA609" s="346"/>
      <c r="BB609" s="346"/>
      <c r="BC609" s="346"/>
      <c r="BD609" s="346"/>
      <c r="BE609" s="346"/>
      <c r="BF609" s="346"/>
      <c r="BG609" s="346"/>
      <c r="BH609">
        <f t="shared" si="74"/>
        <v>0</v>
      </c>
      <c r="BI609" s="351">
        <f t="shared" si="75"/>
        <v>0</v>
      </c>
    </row>
    <row r="610" spans="1:61" ht="14.25" customHeight="1">
      <c r="A610" s="165">
        <f>'Conveyor Downtime (new)'!A605</f>
        <v>0</v>
      </c>
      <c r="BH610">
        <f t="shared" si="74"/>
        <v>0</v>
      </c>
      <c r="BI610" s="351">
        <f t="shared" si="75"/>
        <v>0</v>
      </c>
    </row>
    <row r="611" spans="1:61" ht="14.25" customHeight="1">
      <c r="A611" s="165">
        <f>'Conveyor Downtime (new)'!A606</f>
        <v>0</v>
      </c>
      <c r="B611" s="346"/>
      <c r="C611" s="346"/>
      <c r="D611" s="346"/>
      <c r="E611" s="346"/>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346"/>
      <c r="AK611" s="346"/>
      <c r="AL611" s="346"/>
      <c r="AM611" s="346"/>
      <c r="AN611" s="346"/>
      <c r="AO611" s="346"/>
      <c r="AP611" s="346"/>
      <c r="AQ611" s="346"/>
      <c r="AR611" s="346"/>
      <c r="AS611" s="346"/>
      <c r="AT611" s="346"/>
      <c r="AU611" s="346"/>
      <c r="AV611" s="346"/>
      <c r="AW611" s="346"/>
      <c r="AX611" s="346"/>
      <c r="AY611" s="346"/>
      <c r="AZ611" s="346"/>
      <c r="BA611" s="346"/>
      <c r="BB611" s="346"/>
      <c r="BC611" s="346"/>
      <c r="BD611" s="346"/>
      <c r="BE611" s="346"/>
      <c r="BF611" s="346"/>
      <c r="BG611" s="346"/>
      <c r="BH611">
        <f t="shared" si="74"/>
        <v>0</v>
      </c>
      <c r="BI611" s="351">
        <f t="shared" si="75"/>
        <v>0</v>
      </c>
    </row>
    <row r="612" spans="1:61" ht="14.25" customHeight="1">
      <c r="A612" s="165">
        <f>'Conveyor Downtime (new)'!A607</f>
        <v>0</v>
      </c>
      <c r="BH612">
        <f t="shared" si="74"/>
        <v>0</v>
      </c>
      <c r="BI612" s="351">
        <f t="shared" si="75"/>
        <v>0</v>
      </c>
    </row>
    <row r="613" spans="1:61" ht="14.25" customHeight="1">
      <c r="A613" s="165">
        <f>'Conveyor Downtime (new)'!A608</f>
        <v>0</v>
      </c>
      <c r="B613" s="346"/>
      <c r="C613" s="346"/>
      <c r="D613" s="346"/>
      <c r="E613" s="346"/>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346"/>
      <c r="AK613" s="346"/>
      <c r="AL613" s="346"/>
      <c r="AM613" s="346"/>
      <c r="AN613" s="346"/>
      <c r="AO613" s="346"/>
      <c r="AP613" s="346"/>
      <c r="AQ613" s="346"/>
      <c r="AR613" s="346"/>
      <c r="AS613" s="346"/>
      <c r="AT613" s="346"/>
      <c r="AU613" s="346"/>
      <c r="AV613" s="346"/>
      <c r="AW613" s="346"/>
      <c r="AX613" s="346"/>
      <c r="AY613" s="346"/>
      <c r="AZ613" s="346"/>
      <c r="BA613" s="346"/>
      <c r="BB613" s="346"/>
      <c r="BC613" s="346"/>
      <c r="BD613" s="346"/>
      <c r="BE613" s="346"/>
      <c r="BF613" s="346"/>
      <c r="BG613" s="346"/>
      <c r="BH613">
        <f t="shared" si="74"/>
        <v>0</v>
      </c>
      <c r="BI613" s="351">
        <f t="shared" si="75"/>
        <v>0</v>
      </c>
    </row>
    <row r="614" spans="1:61" ht="14.25" customHeight="1">
      <c r="A614" s="165">
        <f>'Conveyor Downtime (new)'!A609</f>
        <v>0</v>
      </c>
      <c r="BH614">
        <f t="shared" si="74"/>
        <v>0</v>
      </c>
      <c r="BI614" s="351">
        <f t="shared" si="75"/>
        <v>0</v>
      </c>
    </row>
    <row r="615" spans="1:61" ht="14.25" customHeight="1">
      <c r="A615" s="165">
        <f>'Conveyor Downtime (new)'!A610</f>
        <v>0</v>
      </c>
      <c r="B615" s="346"/>
      <c r="C615" s="346"/>
      <c r="D615" s="346"/>
      <c r="E615" s="346"/>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346"/>
      <c r="AK615" s="346"/>
      <c r="AL615" s="346"/>
      <c r="AM615" s="346"/>
      <c r="AN615" s="346"/>
      <c r="AO615" s="346"/>
      <c r="AP615" s="346"/>
      <c r="AQ615" s="346"/>
      <c r="AR615" s="346"/>
      <c r="AS615" s="346"/>
      <c r="AT615" s="346"/>
      <c r="AU615" s="346"/>
      <c r="AV615" s="346"/>
      <c r="AW615" s="346"/>
      <c r="AX615" s="346"/>
      <c r="AY615" s="346"/>
      <c r="AZ615" s="346"/>
      <c r="BA615" s="346"/>
      <c r="BB615" s="346"/>
      <c r="BC615" s="346"/>
      <c r="BD615" s="346"/>
      <c r="BE615" s="346"/>
      <c r="BF615" s="346"/>
      <c r="BG615" s="346"/>
      <c r="BH615">
        <f t="shared" si="74"/>
        <v>0</v>
      </c>
      <c r="BI615" s="351">
        <f t="shared" si="75"/>
        <v>0</v>
      </c>
    </row>
    <row r="616" spans="1:61" ht="14.25" customHeight="1">
      <c r="A616" s="165"/>
      <c r="BH616">
        <f t="shared" si="74"/>
        <v>0</v>
      </c>
      <c r="BI616" s="351">
        <f t="shared" si="75"/>
        <v>0</v>
      </c>
    </row>
    <row r="617" spans="1:61" ht="14.25" customHeight="1">
      <c r="A617" s="347" t="s">
        <v>173</v>
      </c>
      <c r="B617" s="347">
        <f>SUM(B562:B616)</f>
        <v>0</v>
      </c>
      <c r="C617" s="347">
        <f>SUM(C562:C616)</f>
        <v>0</v>
      </c>
      <c r="D617" s="347">
        <f t="shared" ref="D617:AL617" si="76">SUM(D562:D616)</f>
        <v>0</v>
      </c>
      <c r="E617" s="347">
        <f t="shared" si="76"/>
        <v>0</v>
      </c>
      <c r="F617" s="347">
        <f t="shared" si="76"/>
        <v>0</v>
      </c>
      <c r="G617" s="347">
        <f t="shared" si="76"/>
        <v>0</v>
      </c>
      <c r="H617" s="347">
        <f t="shared" si="76"/>
        <v>0</v>
      </c>
      <c r="I617" s="347">
        <f t="shared" si="76"/>
        <v>0</v>
      </c>
      <c r="J617" s="347">
        <f t="shared" si="76"/>
        <v>0</v>
      </c>
      <c r="K617" s="347">
        <f t="shared" si="76"/>
        <v>0</v>
      </c>
      <c r="L617" s="347">
        <f t="shared" si="76"/>
        <v>0</v>
      </c>
      <c r="M617" s="347">
        <f t="shared" si="76"/>
        <v>0</v>
      </c>
      <c r="N617" s="347">
        <f t="shared" si="76"/>
        <v>0</v>
      </c>
      <c r="O617" s="347">
        <f t="shared" si="76"/>
        <v>0</v>
      </c>
      <c r="P617" s="347">
        <f t="shared" si="76"/>
        <v>0</v>
      </c>
      <c r="Q617" s="347">
        <f t="shared" si="76"/>
        <v>0</v>
      </c>
      <c r="R617" s="347">
        <f t="shared" si="76"/>
        <v>0</v>
      </c>
      <c r="S617" s="347">
        <f t="shared" si="76"/>
        <v>0</v>
      </c>
      <c r="T617" s="347">
        <f t="shared" si="76"/>
        <v>0</v>
      </c>
      <c r="U617" s="347">
        <f t="shared" si="76"/>
        <v>0</v>
      </c>
      <c r="V617" s="347">
        <f t="shared" si="76"/>
        <v>0</v>
      </c>
      <c r="W617" s="347">
        <f t="shared" si="76"/>
        <v>0</v>
      </c>
      <c r="X617" s="347">
        <f t="shared" si="76"/>
        <v>0</v>
      </c>
      <c r="Y617" s="347">
        <f t="shared" si="76"/>
        <v>0</v>
      </c>
      <c r="Z617" s="347">
        <f t="shared" si="76"/>
        <v>0</v>
      </c>
      <c r="AA617" s="347">
        <f t="shared" si="76"/>
        <v>0</v>
      </c>
      <c r="AB617" s="347">
        <f t="shared" si="76"/>
        <v>0</v>
      </c>
      <c r="AC617" s="347">
        <f t="shared" si="76"/>
        <v>0</v>
      </c>
      <c r="AD617" s="347">
        <f t="shared" si="76"/>
        <v>0</v>
      </c>
      <c r="AE617" s="347">
        <f t="shared" si="76"/>
        <v>0</v>
      </c>
      <c r="AF617" s="347">
        <f t="shared" si="76"/>
        <v>0</v>
      </c>
      <c r="AG617" s="347">
        <f t="shared" si="76"/>
        <v>0</v>
      </c>
      <c r="AH617" s="347">
        <f t="shared" si="76"/>
        <v>0</v>
      </c>
      <c r="AI617" s="347">
        <f t="shared" si="76"/>
        <v>0</v>
      </c>
      <c r="AJ617" s="347">
        <f t="shared" si="76"/>
        <v>0</v>
      </c>
      <c r="AK617" s="347">
        <f t="shared" si="76"/>
        <v>0</v>
      </c>
      <c r="AL617" s="347">
        <f t="shared" si="76"/>
        <v>0</v>
      </c>
      <c r="AM617" s="347">
        <f t="shared" ref="AM617:AT617" si="77">SUM(AM562:AM616)</f>
        <v>0</v>
      </c>
      <c r="AN617" s="347">
        <f t="shared" si="77"/>
        <v>0</v>
      </c>
      <c r="AO617" s="347">
        <f t="shared" si="77"/>
        <v>0</v>
      </c>
      <c r="AP617" s="347">
        <f t="shared" si="77"/>
        <v>0</v>
      </c>
      <c r="AQ617" s="347">
        <f t="shared" si="77"/>
        <v>0</v>
      </c>
      <c r="AR617" s="347">
        <f t="shared" si="77"/>
        <v>0</v>
      </c>
      <c r="AS617" s="347">
        <f t="shared" si="77"/>
        <v>0</v>
      </c>
      <c r="AT617" s="347">
        <f t="shared" si="77"/>
        <v>0</v>
      </c>
      <c r="AU617" s="347">
        <f t="shared" ref="AU617:BH617" si="78">SUM(AU562:AU616)</f>
        <v>0</v>
      </c>
      <c r="AV617" s="347">
        <f t="shared" si="78"/>
        <v>0</v>
      </c>
      <c r="AW617" s="347">
        <f t="shared" si="78"/>
        <v>0</v>
      </c>
      <c r="AX617" s="347">
        <f t="shared" si="78"/>
        <v>0</v>
      </c>
      <c r="AY617" s="347">
        <f t="shared" si="78"/>
        <v>0</v>
      </c>
      <c r="AZ617" s="347">
        <f t="shared" si="78"/>
        <v>0</v>
      </c>
      <c r="BA617" s="347">
        <f t="shared" si="78"/>
        <v>0</v>
      </c>
      <c r="BB617" s="347">
        <f t="shared" si="78"/>
        <v>0</v>
      </c>
      <c r="BC617" s="347">
        <f t="shared" si="78"/>
        <v>0</v>
      </c>
      <c r="BD617" s="347">
        <f t="shared" si="78"/>
        <v>0</v>
      </c>
      <c r="BE617" s="347">
        <f t="shared" si="78"/>
        <v>0</v>
      </c>
      <c r="BF617" s="347">
        <f t="shared" si="78"/>
        <v>0</v>
      </c>
      <c r="BG617" s="347">
        <f t="shared" si="78"/>
        <v>0</v>
      </c>
      <c r="BH617" s="347">
        <f t="shared" si="78"/>
        <v>0</v>
      </c>
      <c r="BI617" s="351"/>
    </row>
    <row r="618" spans="1:61" ht="14.25" customHeight="1" thickBot="1">
      <c r="A618" s="348" t="s">
        <v>174</v>
      </c>
      <c r="B618" s="348" t="e">
        <f>B617/$BH617</f>
        <v>#DIV/0!</v>
      </c>
      <c r="C618" s="348" t="e">
        <f>C617/$BH617</f>
        <v>#DIV/0!</v>
      </c>
      <c r="D618" s="348" t="e">
        <f t="shared" ref="D618:AL618" si="79">D617/$BH617</f>
        <v>#DIV/0!</v>
      </c>
      <c r="E618" s="348" t="e">
        <f t="shared" si="79"/>
        <v>#DIV/0!</v>
      </c>
      <c r="F618" s="348" t="e">
        <f t="shared" si="79"/>
        <v>#DIV/0!</v>
      </c>
      <c r="G618" s="348" t="e">
        <f t="shared" si="79"/>
        <v>#DIV/0!</v>
      </c>
      <c r="H618" s="348" t="e">
        <f t="shared" si="79"/>
        <v>#DIV/0!</v>
      </c>
      <c r="I618" s="348" t="e">
        <f t="shared" si="79"/>
        <v>#DIV/0!</v>
      </c>
      <c r="J618" s="348" t="e">
        <f t="shared" si="79"/>
        <v>#DIV/0!</v>
      </c>
      <c r="K618" s="348" t="e">
        <f t="shared" si="79"/>
        <v>#DIV/0!</v>
      </c>
      <c r="L618" s="348" t="e">
        <f t="shared" si="79"/>
        <v>#DIV/0!</v>
      </c>
      <c r="M618" s="348" t="e">
        <f t="shared" si="79"/>
        <v>#DIV/0!</v>
      </c>
      <c r="N618" s="348" t="e">
        <f t="shared" si="79"/>
        <v>#DIV/0!</v>
      </c>
      <c r="O618" s="348" t="e">
        <f t="shared" si="79"/>
        <v>#DIV/0!</v>
      </c>
      <c r="P618" s="348" t="e">
        <f t="shared" si="79"/>
        <v>#DIV/0!</v>
      </c>
      <c r="Q618" s="348" t="e">
        <f t="shared" si="79"/>
        <v>#DIV/0!</v>
      </c>
      <c r="R618" s="348" t="e">
        <f t="shared" si="79"/>
        <v>#DIV/0!</v>
      </c>
      <c r="S618" s="348" t="e">
        <f t="shared" si="79"/>
        <v>#DIV/0!</v>
      </c>
      <c r="T618" s="348" t="e">
        <f t="shared" si="79"/>
        <v>#DIV/0!</v>
      </c>
      <c r="U618" s="348" t="e">
        <f t="shared" si="79"/>
        <v>#DIV/0!</v>
      </c>
      <c r="V618" s="348" t="e">
        <f t="shared" si="79"/>
        <v>#DIV/0!</v>
      </c>
      <c r="W618" s="348" t="e">
        <f t="shared" si="79"/>
        <v>#DIV/0!</v>
      </c>
      <c r="X618" s="348" t="e">
        <f t="shared" si="79"/>
        <v>#DIV/0!</v>
      </c>
      <c r="Y618" s="348" t="e">
        <f t="shared" si="79"/>
        <v>#DIV/0!</v>
      </c>
      <c r="Z618" s="348" t="e">
        <f t="shared" si="79"/>
        <v>#DIV/0!</v>
      </c>
      <c r="AA618" s="348" t="e">
        <f t="shared" si="79"/>
        <v>#DIV/0!</v>
      </c>
      <c r="AB618" s="348" t="e">
        <f t="shared" si="79"/>
        <v>#DIV/0!</v>
      </c>
      <c r="AC618" s="348" t="e">
        <f t="shared" si="79"/>
        <v>#DIV/0!</v>
      </c>
      <c r="AD618" s="348" t="e">
        <f t="shared" si="79"/>
        <v>#DIV/0!</v>
      </c>
      <c r="AE618" s="348" t="e">
        <f t="shared" si="79"/>
        <v>#DIV/0!</v>
      </c>
      <c r="AF618" s="348" t="e">
        <f t="shared" si="79"/>
        <v>#DIV/0!</v>
      </c>
      <c r="AG618" s="348" t="e">
        <f t="shared" si="79"/>
        <v>#DIV/0!</v>
      </c>
      <c r="AH618" s="348" t="e">
        <f t="shared" si="79"/>
        <v>#DIV/0!</v>
      </c>
      <c r="AI618" s="348" t="e">
        <f t="shared" si="79"/>
        <v>#DIV/0!</v>
      </c>
      <c r="AJ618" s="348" t="e">
        <f t="shared" si="79"/>
        <v>#DIV/0!</v>
      </c>
      <c r="AK618" s="348" t="e">
        <f t="shared" si="79"/>
        <v>#DIV/0!</v>
      </c>
      <c r="AL618" s="348" t="e">
        <f t="shared" si="79"/>
        <v>#DIV/0!</v>
      </c>
      <c r="AM618" s="348" t="e">
        <f t="shared" ref="AM618:AT618" si="80">AM617/$BH617</f>
        <v>#DIV/0!</v>
      </c>
      <c r="AN618" s="348" t="e">
        <f t="shared" si="80"/>
        <v>#DIV/0!</v>
      </c>
      <c r="AO618" s="348" t="e">
        <f t="shared" si="80"/>
        <v>#DIV/0!</v>
      </c>
      <c r="AP618" s="348" t="e">
        <f t="shared" si="80"/>
        <v>#DIV/0!</v>
      </c>
      <c r="AQ618" s="348" t="e">
        <f t="shared" si="80"/>
        <v>#DIV/0!</v>
      </c>
      <c r="AR618" s="348" t="e">
        <f t="shared" si="80"/>
        <v>#DIV/0!</v>
      </c>
      <c r="AS618" s="348" t="e">
        <f t="shared" si="80"/>
        <v>#DIV/0!</v>
      </c>
      <c r="AT618" s="348" t="e">
        <f t="shared" si="80"/>
        <v>#DIV/0!</v>
      </c>
      <c r="AU618" s="348" t="e">
        <f t="shared" ref="AU618:BG618" si="81">AU617/$BH617</f>
        <v>#DIV/0!</v>
      </c>
      <c r="AV618" s="348" t="e">
        <f t="shared" si="81"/>
        <v>#DIV/0!</v>
      </c>
      <c r="AW618" s="348" t="e">
        <f t="shared" si="81"/>
        <v>#DIV/0!</v>
      </c>
      <c r="AX618" s="348" t="e">
        <f t="shared" si="81"/>
        <v>#DIV/0!</v>
      </c>
      <c r="AY618" s="348" t="e">
        <f t="shared" si="81"/>
        <v>#DIV/0!</v>
      </c>
      <c r="AZ618" s="348" t="e">
        <f t="shared" si="81"/>
        <v>#DIV/0!</v>
      </c>
      <c r="BA618" s="348" t="e">
        <f t="shared" si="81"/>
        <v>#DIV/0!</v>
      </c>
      <c r="BB618" s="348" t="e">
        <f t="shared" si="81"/>
        <v>#DIV/0!</v>
      </c>
      <c r="BC618" s="348" t="e">
        <f t="shared" si="81"/>
        <v>#DIV/0!</v>
      </c>
      <c r="BD618" s="348" t="e">
        <f t="shared" si="81"/>
        <v>#DIV/0!</v>
      </c>
      <c r="BE618" s="348" t="e">
        <f t="shared" si="81"/>
        <v>#DIV/0!</v>
      </c>
      <c r="BF618" s="348" t="e">
        <f t="shared" si="81"/>
        <v>#DIV/0!</v>
      </c>
      <c r="BG618" s="348" t="e">
        <f t="shared" si="81"/>
        <v>#DIV/0!</v>
      </c>
      <c r="BH618" s="351"/>
    </row>
    <row r="619" spans="1:61" ht="14.25" customHeight="1"/>
    <row r="620" spans="1:61" ht="14.25" customHeight="1"/>
    <row r="621" spans="1:61" ht="14.25" customHeight="1">
      <c r="A621" s="165">
        <f>'Conveyor Downtime (new)'!A617</f>
        <v>0</v>
      </c>
      <c r="BH621">
        <f t="shared" ref="BH621:BH652" si="82">SUM(B621:BG621)</f>
        <v>0</v>
      </c>
      <c r="BI621" s="351">
        <f t="shared" ref="BI621:BI631" si="83">BH621/$BH$372</f>
        <v>0</v>
      </c>
    </row>
    <row r="622" spans="1:61" ht="14.25" customHeight="1">
      <c r="A622" s="165">
        <f>'Conveyor Downtime (new)'!A618</f>
        <v>0</v>
      </c>
      <c r="B622" s="346"/>
      <c r="C622" s="346"/>
      <c r="D622" s="346"/>
      <c r="E622" s="346"/>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s="346"/>
      <c r="AJ622" s="346"/>
      <c r="AK622" s="346"/>
      <c r="AL622" s="346"/>
      <c r="AM622" s="346"/>
      <c r="AN622" s="346"/>
      <c r="AO622" s="346"/>
      <c r="AP622" s="346"/>
      <c r="AQ622" s="346"/>
      <c r="AR622" s="346"/>
      <c r="AS622" s="346"/>
      <c r="AT622" s="346"/>
      <c r="AU622" s="346"/>
      <c r="AV622" s="346"/>
      <c r="AW622" s="346"/>
      <c r="AX622" s="346"/>
      <c r="AY622" s="346"/>
      <c r="AZ622" s="346"/>
      <c r="BA622" s="346"/>
      <c r="BB622" s="346"/>
      <c r="BC622" s="346"/>
      <c r="BD622" s="346"/>
      <c r="BE622" s="346"/>
      <c r="BF622" s="346"/>
      <c r="BG622" s="346"/>
      <c r="BH622">
        <f t="shared" si="82"/>
        <v>0</v>
      </c>
      <c r="BI622" s="351">
        <f t="shared" si="83"/>
        <v>0</v>
      </c>
    </row>
    <row r="623" spans="1:61" ht="14.25" customHeight="1">
      <c r="A623" s="165">
        <f>'Conveyor Downtime (new)'!A619</f>
        <v>0</v>
      </c>
      <c r="AZ623" s="77"/>
      <c r="BH623">
        <f t="shared" si="82"/>
        <v>0</v>
      </c>
      <c r="BI623" s="351">
        <f t="shared" si="83"/>
        <v>0</v>
      </c>
    </row>
    <row r="624" spans="1:61" ht="14.25" customHeight="1">
      <c r="A624" s="165">
        <f>'Conveyor Downtime (new)'!A620</f>
        <v>0</v>
      </c>
      <c r="B624" s="346"/>
      <c r="C624" s="346"/>
      <c r="D624" s="346"/>
      <c r="E624" s="346"/>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346"/>
      <c r="AK624" s="346"/>
      <c r="AL624" s="346"/>
      <c r="AM624" s="346"/>
      <c r="AN624" s="346"/>
      <c r="AO624" s="346"/>
      <c r="AP624" s="346"/>
      <c r="AQ624" s="346"/>
      <c r="AR624" s="346"/>
      <c r="AS624" s="346"/>
      <c r="AT624" s="346"/>
      <c r="AU624" s="346"/>
      <c r="AV624" s="346"/>
      <c r="AW624" s="346"/>
      <c r="AX624" s="346"/>
      <c r="AY624" s="346"/>
      <c r="AZ624" s="346"/>
      <c r="BA624" s="346"/>
      <c r="BB624" s="346"/>
      <c r="BC624" s="346"/>
      <c r="BD624" s="346"/>
      <c r="BE624" s="346"/>
      <c r="BF624" s="346"/>
      <c r="BG624" s="346"/>
      <c r="BH624">
        <f t="shared" si="82"/>
        <v>0</v>
      </c>
      <c r="BI624" s="351">
        <f t="shared" si="83"/>
        <v>0</v>
      </c>
    </row>
    <row r="625" spans="1:61" ht="14.25" customHeight="1">
      <c r="A625" s="165">
        <f>'Conveyor Downtime (new)'!A621</f>
        <v>0</v>
      </c>
      <c r="BH625">
        <f t="shared" si="82"/>
        <v>0</v>
      </c>
      <c r="BI625" s="351">
        <f t="shared" si="83"/>
        <v>0</v>
      </c>
    </row>
    <row r="626" spans="1:61" ht="14.25" customHeight="1">
      <c r="A626" s="165">
        <f>'Conveyor Downtime (new)'!A622</f>
        <v>0</v>
      </c>
      <c r="B626" s="346"/>
      <c r="C626" s="346"/>
      <c r="D626" s="346"/>
      <c r="E626" s="346"/>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346"/>
      <c r="AL626" s="346"/>
      <c r="AM626" s="346"/>
      <c r="AN626" s="346"/>
      <c r="AO626" s="346"/>
      <c r="AP626" s="346"/>
      <c r="AQ626" s="346"/>
      <c r="AR626" s="346"/>
      <c r="AS626" s="346"/>
      <c r="AT626" s="346"/>
      <c r="AU626" s="346"/>
      <c r="AV626" s="346"/>
      <c r="AW626" s="346"/>
      <c r="AX626" s="346"/>
      <c r="AY626" s="346"/>
      <c r="AZ626" s="346"/>
      <c r="BA626" s="346"/>
      <c r="BB626" s="346"/>
      <c r="BC626" s="346"/>
      <c r="BD626" s="346"/>
      <c r="BE626" s="346"/>
      <c r="BF626" s="346"/>
      <c r="BG626" s="346"/>
      <c r="BH626">
        <f t="shared" si="82"/>
        <v>0</v>
      </c>
      <c r="BI626" s="351">
        <f t="shared" si="83"/>
        <v>0</v>
      </c>
    </row>
    <row r="627" spans="1:61" ht="14.25" customHeight="1">
      <c r="A627" s="165">
        <f>'Conveyor Downtime (new)'!A623</f>
        <v>0</v>
      </c>
      <c r="BH627">
        <f t="shared" si="82"/>
        <v>0</v>
      </c>
      <c r="BI627" s="351">
        <f t="shared" si="83"/>
        <v>0</v>
      </c>
    </row>
    <row r="628" spans="1:61" ht="14.25" customHeight="1">
      <c r="A628" s="165">
        <f>'Conveyor Downtime (new)'!A624</f>
        <v>0</v>
      </c>
      <c r="B628" s="346"/>
      <c r="C628" s="346"/>
      <c r="D628" s="346"/>
      <c r="E628" s="346"/>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346"/>
      <c r="AK628" s="346"/>
      <c r="AL628" s="346"/>
      <c r="AM628" s="346"/>
      <c r="AN628" s="346"/>
      <c r="AO628" s="346"/>
      <c r="AP628" s="346"/>
      <c r="AQ628" s="346"/>
      <c r="AR628" s="346"/>
      <c r="AS628" s="346"/>
      <c r="AT628" s="346"/>
      <c r="AU628" s="346"/>
      <c r="AV628" s="346"/>
      <c r="AW628" s="346"/>
      <c r="AX628" s="346"/>
      <c r="AY628" s="346"/>
      <c r="AZ628" s="346"/>
      <c r="BA628" s="346"/>
      <c r="BB628" s="346"/>
      <c r="BC628" s="346"/>
      <c r="BD628" s="346"/>
      <c r="BE628" s="346"/>
      <c r="BF628" s="346"/>
      <c r="BG628" s="346"/>
      <c r="BH628">
        <f t="shared" si="82"/>
        <v>0</v>
      </c>
      <c r="BI628" s="351">
        <f t="shared" si="83"/>
        <v>0</v>
      </c>
    </row>
    <row r="629" spans="1:61" ht="14.25" customHeight="1">
      <c r="A629" s="165">
        <f>'Conveyor Downtime (new)'!A625</f>
        <v>0</v>
      </c>
      <c r="BH629">
        <f t="shared" si="82"/>
        <v>0</v>
      </c>
      <c r="BI629" s="351">
        <f t="shared" si="83"/>
        <v>0</v>
      </c>
    </row>
    <row r="630" spans="1:61" ht="14.25" customHeight="1">
      <c r="A630" s="165">
        <f>'Conveyor Downtime (new)'!A626</f>
        <v>0</v>
      </c>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s="346"/>
      <c r="AL630" s="346"/>
      <c r="AM630" s="346"/>
      <c r="AN630" s="346"/>
      <c r="AO630" s="346"/>
      <c r="AP630" s="346"/>
      <c r="AQ630" s="346"/>
      <c r="AR630" s="346"/>
      <c r="AS630" s="346"/>
      <c r="AT630" s="346"/>
      <c r="AU630" s="346"/>
      <c r="AV630" s="346"/>
      <c r="AW630" s="346"/>
      <c r="AX630" s="346"/>
      <c r="AY630" s="346"/>
      <c r="AZ630" s="346"/>
      <c r="BA630" s="346"/>
      <c r="BB630" s="346"/>
      <c r="BC630" s="346"/>
      <c r="BD630" s="346"/>
      <c r="BE630" s="346"/>
      <c r="BF630" s="346"/>
      <c r="BG630" s="346"/>
      <c r="BH630">
        <f t="shared" si="82"/>
        <v>0</v>
      </c>
      <c r="BI630" s="351">
        <f t="shared" si="83"/>
        <v>0</v>
      </c>
    </row>
    <row r="631" spans="1:61" ht="14.25" customHeight="1">
      <c r="A631" s="165">
        <f>'Conveyor Downtime (new)'!A627</f>
        <v>0</v>
      </c>
      <c r="BH631">
        <f t="shared" si="82"/>
        <v>0</v>
      </c>
      <c r="BI631" s="351">
        <f t="shared" si="83"/>
        <v>0</v>
      </c>
    </row>
    <row r="632" spans="1:61" ht="14.25" customHeight="1">
      <c r="A632" s="165">
        <f>'Conveyor Downtime (new)'!A628</f>
        <v>0</v>
      </c>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s="346"/>
      <c r="AL632" s="346"/>
      <c r="AM632" s="346"/>
      <c r="AN632" s="346"/>
      <c r="AO632" s="346"/>
      <c r="AP632" s="346"/>
      <c r="AQ632" s="346"/>
      <c r="AR632" s="346"/>
      <c r="AS632" s="346"/>
      <c r="AT632" s="346"/>
      <c r="AU632" s="346"/>
      <c r="AV632" s="346"/>
      <c r="AW632" s="346"/>
      <c r="AX632" s="346"/>
      <c r="AY632" s="346"/>
      <c r="AZ632" s="346"/>
      <c r="BA632" s="346"/>
      <c r="BB632" s="346"/>
      <c r="BC632" s="346"/>
      <c r="BD632" s="346"/>
      <c r="BE632" s="346"/>
      <c r="BF632" s="346"/>
      <c r="BG632" s="346"/>
      <c r="BH632">
        <f t="shared" si="82"/>
        <v>0</v>
      </c>
      <c r="BI632" s="351">
        <f t="shared" ref="BI632:BI678" si="84">BH632/$BH$372</f>
        <v>0</v>
      </c>
    </row>
    <row r="633" spans="1:61" ht="14.25" customHeight="1">
      <c r="A633" s="165">
        <f>'Conveyor Downtime (new)'!A629</f>
        <v>0</v>
      </c>
      <c r="BH633">
        <f t="shared" si="82"/>
        <v>0</v>
      </c>
      <c r="BI633" s="351">
        <f t="shared" si="84"/>
        <v>0</v>
      </c>
    </row>
    <row r="634" spans="1:61" ht="14.25" customHeight="1">
      <c r="A634" s="165">
        <f>'Conveyor Downtime (new)'!A630</f>
        <v>0</v>
      </c>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s="346"/>
      <c r="AL634" s="346"/>
      <c r="AM634" s="346"/>
      <c r="AN634" s="346"/>
      <c r="AO634" s="346"/>
      <c r="AP634" s="346"/>
      <c r="AQ634" s="346"/>
      <c r="AR634" s="346"/>
      <c r="AS634" s="346"/>
      <c r="AT634" s="346"/>
      <c r="AU634" s="346"/>
      <c r="AV634" s="346"/>
      <c r="AW634" s="346"/>
      <c r="AX634" s="346"/>
      <c r="AY634" s="346"/>
      <c r="AZ634" s="346"/>
      <c r="BA634" s="346"/>
      <c r="BB634" s="346"/>
      <c r="BC634" s="346"/>
      <c r="BD634" s="346"/>
      <c r="BE634" s="346"/>
      <c r="BF634" s="346"/>
      <c r="BG634" s="346"/>
      <c r="BH634">
        <f t="shared" si="82"/>
        <v>0</v>
      </c>
      <c r="BI634" s="351">
        <f t="shared" si="84"/>
        <v>0</v>
      </c>
    </row>
    <row r="635" spans="1:61" ht="14.25" customHeight="1">
      <c r="A635" s="165">
        <f>'Conveyor Downtime (new)'!A631</f>
        <v>0</v>
      </c>
      <c r="BH635">
        <f t="shared" si="82"/>
        <v>0</v>
      </c>
      <c r="BI635" s="351">
        <f t="shared" si="84"/>
        <v>0</v>
      </c>
    </row>
    <row r="636" spans="1:61" ht="14.25" customHeight="1">
      <c r="A636" s="165">
        <f>'Conveyor Downtime (new)'!A632</f>
        <v>0</v>
      </c>
      <c r="B636" s="346"/>
      <c r="C636" s="346"/>
      <c r="D636" s="346"/>
      <c r="E636" s="346"/>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s="346"/>
      <c r="AJ636" s="346"/>
      <c r="AK636" s="346"/>
      <c r="AL636" s="346"/>
      <c r="AM636" s="346"/>
      <c r="AN636" s="346"/>
      <c r="AO636" s="346"/>
      <c r="AP636" s="346"/>
      <c r="AQ636" s="346"/>
      <c r="AR636" s="346"/>
      <c r="AS636" s="346"/>
      <c r="AT636" s="346"/>
      <c r="AU636" s="346"/>
      <c r="AV636" s="346"/>
      <c r="AW636" s="346"/>
      <c r="AX636" s="346"/>
      <c r="AY636" s="346"/>
      <c r="AZ636" s="346"/>
      <c r="BA636" s="346"/>
      <c r="BB636" s="346"/>
      <c r="BC636" s="346"/>
      <c r="BD636" s="346"/>
      <c r="BE636" s="346"/>
      <c r="BF636" s="346"/>
      <c r="BG636" s="346"/>
      <c r="BH636">
        <f t="shared" si="82"/>
        <v>0</v>
      </c>
      <c r="BI636" s="351">
        <f t="shared" si="84"/>
        <v>0</v>
      </c>
    </row>
    <row r="637" spans="1:61" ht="14.25" customHeight="1">
      <c r="A637" s="165">
        <f>'Conveyor Downtime (new)'!A633</f>
        <v>0</v>
      </c>
      <c r="BH637">
        <f t="shared" si="82"/>
        <v>0</v>
      </c>
      <c r="BI637" s="351">
        <f t="shared" si="84"/>
        <v>0</v>
      </c>
    </row>
    <row r="638" spans="1:61" ht="14.25" customHeight="1">
      <c r="A638" s="165">
        <f>'Conveyor Downtime (new)'!A634</f>
        <v>0</v>
      </c>
      <c r="B638" s="346"/>
      <c r="C638" s="346"/>
      <c r="D638" s="346"/>
      <c r="E638" s="346"/>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s="346"/>
      <c r="AL638" s="346"/>
      <c r="AM638" s="346"/>
      <c r="AN638" s="346"/>
      <c r="AO638" s="346"/>
      <c r="AP638" s="346"/>
      <c r="AQ638" s="346"/>
      <c r="AR638" s="346"/>
      <c r="AS638" s="346"/>
      <c r="AT638" s="346"/>
      <c r="AU638" s="346"/>
      <c r="AV638" s="346"/>
      <c r="AW638" s="346"/>
      <c r="AX638" s="346"/>
      <c r="AY638" s="346"/>
      <c r="AZ638" s="346"/>
      <c r="BA638" s="346"/>
      <c r="BB638" s="346"/>
      <c r="BC638" s="346"/>
      <c r="BD638" s="346"/>
      <c r="BE638" s="346"/>
      <c r="BF638" s="346"/>
      <c r="BG638" s="346"/>
      <c r="BH638">
        <f t="shared" si="82"/>
        <v>0</v>
      </c>
      <c r="BI638" s="351">
        <f t="shared" si="84"/>
        <v>0</v>
      </c>
    </row>
    <row r="639" spans="1:61" ht="14.25" customHeight="1">
      <c r="A639" s="165">
        <f>'Conveyor Downtime (new)'!A635</f>
        <v>0</v>
      </c>
      <c r="BH639">
        <f t="shared" si="82"/>
        <v>0</v>
      </c>
      <c r="BI639" s="351">
        <f t="shared" si="84"/>
        <v>0</v>
      </c>
    </row>
    <row r="640" spans="1:61" ht="14.25" customHeight="1">
      <c r="A640" s="165">
        <f>'Conveyor Downtime (new)'!A636</f>
        <v>0</v>
      </c>
      <c r="BH640">
        <f t="shared" si="82"/>
        <v>0</v>
      </c>
      <c r="BI640" s="351">
        <f t="shared" si="84"/>
        <v>0</v>
      </c>
    </row>
    <row r="641" spans="1:61" ht="14.25" customHeight="1">
      <c r="A641" s="165">
        <f>'Conveyor Downtime (new)'!A637</f>
        <v>0</v>
      </c>
      <c r="B641" s="346"/>
      <c r="C641" s="346"/>
      <c r="D641" s="346"/>
      <c r="E641" s="346"/>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s="346"/>
      <c r="AJ641" s="346"/>
      <c r="AK641" s="346"/>
      <c r="AL641" s="346"/>
      <c r="AM641" s="346"/>
      <c r="AN641" s="346"/>
      <c r="AO641" s="346"/>
      <c r="AP641" s="346"/>
      <c r="AQ641" s="346"/>
      <c r="AR641" s="346"/>
      <c r="AS641" s="346"/>
      <c r="AT641" s="346"/>
      <c r="AU641" s="346"/>
      <c r="AV641" s="346"/>
      <c r="AW641" s="346"/>
      <c r="AX641" s="346"/>
      <c r="AY641" s="346"/>
      <c r="AZ641" s="346"/>
      <c r="BA641" s="346"/>
      <c r="BB641" s="346"/>
      <c r="BC641" s="346"/>
      <c r="BD641" s="346"/>
      <c r="BE641" s="346"/>
      <c r="BF641" s="346"/>
      <c r="BG641" s="346"/>
      <c r="BH641">
        <f t="shared" si="82"/>
        <v>0</v>
      </c>
      <c r="BI641" s="351">
        <f t="shared" si="84"/>
        <v>0</v>
      </c>
    </row>
    <row r="642" spans="1:61" ht="14.25" customHeight="1">
      <c r="A642" s="165">
        <f>'Conveyor Downtime (new)'!A638</f>
        <v>0</v>
      </c>
      <c r="BH642">
        <f t="shared" si="82"/>
        <v>0</v>
      </c>
      <c r="BI642" s="351">
        <f t="shared" si="84"/>
        <v>0</v>
      </c>
    </row>
    <row r="643" spans="1:61" ht="14.25" customHeight="1">
      <c r="A643" s="165">
        <f>'Conveyor Downtime (new)'!A639</f>
        <v>0</v>
      </c>
      <c r="B643" s="346"/>
      <c r="C643" s="346"/>
      <c r="D643" s="346"/>
      <c r="E643" s="346"/>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s="346"/>
      <c r="AJ643" s="346"/>
      <c r="AK643" s="346"/>
      <c r="AL643" s="346"/>
      <c r="AM643" s="346"/>
      <c r="AN643" s="346"/>
      <c r="AO643" s="346"/>
      <c r="AP643" s="346"/>
      <c r="AQ643" s="346"/>
      <c r="AR643" s="346"/>
      <c r="AS643" s="346"/>
      <c r="AT643" s="346"/>
      <c r="AU643" s="346"/>
      <c r="AV643" s="346"/>
      <c r="AW643" s="346"/>
      <c r="AX643" s="346"/>
      <c r="AY643" s="346"/>
      <c r="AZ643" s="346"/>
      <c r="BA643" s="346"/>
      <c r="BB643" s="346"/>
      <c r="BC643" s="346"/>
      <c r="BD643" s="346"/>
      <c r="BE643" s="346"/>
      <c r="BF643" s="346"/>
      <c r="BG643" s="346"/>
      <c r="BH643">
        <f t="shared" si="82"/>
        <v>0</v>
      </c>
      <c r="BI643" s="351">
        <f t="shared" si="84"/>
        <v>0</v>
      </c>
    </row>
    <row r="644" spans="1:61" ht="14.25" customHeight="1">
      <c r="A644" s="165">
        <f>'Conveyor Downtime (new)'!A640</f>
        <v>0</v>
      </c>
      <c r="BH644">
        <f t="shared" si="82"/>
        <v>0</v>
      </c>
      <c r="BI644" s="351">
        <f t="shared" si="84"/>
        <v>0</v>
      </c>
    </row>
    <row r="645" spans="1:61" ht="14.25" customHeight="1">
      <c r="A645" s="165">
        <f>'Conveyor Downtime (new)'!A641</f>
        <v>0</v>
      </c>
      <c r="B645" s="346"/>
      <c r="C645" s="346"/>
      <c r="D645" s="346"/>
      <c r="E645" s="346"/>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s="346"/>
      <c r="AJ645" s="346"/>
      <c r="AK645" s="346"/>
      <c r="AL645" s="346"/>
      <c r="AM645" s="346"/>
      <c r="AN645" s="346"/>
      <c r="AO645" s="346"/>
      <c r="AP645" s="346"/>
      <c r="AQ645" s="346"/>
      <c r="AR645" s="346"/>
      <c r="AS645" s="346"/>
      <c r="AT645" s="346"/>
      <c r="AU645" s="346"/>
      <c r="AV645" s="346"/>
      <c r="AW645" s="346"/>
      <c r="AX645" s="346"/>
      <c r="AY645" s="346"/>
      <c r="AZ645" s="346"/>
      <c r="BA645" s="346"/>
      <c r="BB645" s="346"/>
      <c r="BC645" s="346"/>
      <c r="BD645" s="346"/>
      <c r="BE645" s="346"/>
      <c r="BF645" s="346"/>
      <c r="BG645" s="346"/>
      <c r="BH645">
        <f t="shared" si="82"/>
        <v>0</v>
      </c>
      <c r="BI645" s="351">
        <f t="shared" si="84"/>
        <v>0</v>
      </c>
    </row>
    <row r="646" spans="1:61" ht="14.25" customHeight="1">
      <c r="A646" s="165">
        <f>'Conveyor Downtime (new)'!A642</f>
        <v>0</v>
      </c>
      <c r="B646" s="70"/>
      <c r="C646" s="70"/>
      <c r="D646" s="70"/>
      <c r="E646" s="70"/>
      <c r="F646" s="70"/>
      <c r="G646" s="70"/>
      <c r="H646" s="70"/>
      <c r="I646" s="70"/>
      <c r="J646" s="70"/>
      <c r="K646" s="70"/>
      <c r="L646" s="70"/>
      <c r="M646" s="70"/>
      <c r="N646" s="70"/>
      <c r="O646" s="70"/>
      <c r="P646" s="70"/>
      <c r="Q646" s="70"/>
      <c r="R646" s="70"/>
      <c r="S646" s="70"/>
      <c r="T646" s="70"/>
      <c r="U646" s="70"/>
      <c r="V646" s="70"/>
      <c r="W646" s="70"/>
      <c r="X646" s="70"/>
      <c r="Y646" s="70"/>
      <c r="Z646" s="70"/>
      <c r="AA646" s="70"/>
      <c r="AB646" s="70"/>
      <c r="AC646" s="70"/>
      <c r="AD646" s="70"/>
      <c r="AE646" s="70"/>
      <c r="AF646" s="70"/>
      <c r="AG646" s="70"/>
      <c r="AH646" s="70"/>
      <c r="AI646" s="70"/>
      <c r="AJ646" s="70"/>
      <c r="AK646" s="70"/>
      <c r="AL646" s="70"/>
      <c r="AM646" s="70"/>
      <c r="AN646" s="70"/>
      <c r="AO646" s="70"/>
      <c r="AP646" s="70"/>
      <c r="AQ646" s="70"/>
      <c r="AR646" s="70"/>
      <c r="AS646" s="70"/>
      <c r="AT646" s="70"/>
      <c r="AU646" s="70"/>
      <c r="AV646" s="70"/>
      <c r="AW646" s="70"/>
      <c r="AX646" s="70"/>
      <c r="AY646" s="70"/>
      <c r="AZ646" s="70"/>
      <c r="BA646" s="70"/>
      <c r="BB646" s="70"/>
      <c r="BC646" s="70"/>
      <c r="BD646" s="70"/>
      <c r="BE646" s="70"/>
      <c r="BF646" s="70"/>
      <c r="BG646" s="70"/>
      <c r="BH646">
        <f t="shared" si="82"/>
        <v>0</v>
      </c>
      <c r="BI646" s="351">
        <f t="shared" si="84"/>
        <v>0</v>
      </c>
    </row>
    <row r="647" spans="1:61" ht="14.25" customHeight="1">
      <c r="A647" s="165">
        <f>'Conveyor Downtime (new)'!A643</f>
        <v>0</v>
      </c>
      <c r="B647" s="353"/>
      <c r="C647" s="353"/>
      <c r="D647" s="353"/>
      <c r="E647" s="353"/>
      <c r="F647" s="353"/>
      <c r="G647" s="353"/>
      <c r="H647" s="353"/>
      <c r="I647" s="353"/>
      <c r="J647" s="353"/>
      <c r="K647" s="353"/>
      <c r="L647" s="353"/>
      <c r="M647" s="353"/>
      <c r="N647" s="353"/>
      <c r="O647" s="353"/>
      <c r="P647" s="353"/>
      <c r="Q647" s="353"/>
      <c r="R647" s="353"/>
      <c r="S647" s="353"/>
      <c r="T647" s="353"/>
      <c r="U647" s="353"/>
      <c r="V647" s="353"/>
      <c r="W647" s="353"/>
      <c r="X647" s="353"/>
      <c r="Y647" s="353"/>
      <c r="Z647" s="353"/>
      <c r="AA647" s="353"/>
      <c r="AB647" s="353"/>
      <c r="AC647" s="353"/>
      <c r="AD647" s="353"/>
      <c r="AE647" s="353"/>
      <c r="AF647" s="353"/>
      <c r="AG647" s="353"/>
      <c r="AH647" s="353"/>
      <c r="AI647" s="353"/>
      <c r="AJ647" s="353"/>
      <c r="AK647" s="353"/>
      <c r="AL647" s="353"/>
      <c r="AM647" s="353"/>
      <c r="AN647" s="353"/>
      <c r="AO647" s="353"/>
      <c r="AP647" s="353"/>
      <c r="AQ647" s="353"/>
      <c r="AR647" s="353"/>
      <c r="AS647" s="353"/>
      <c r="AT647" s="353"/>
      <c r="AU647" s="353"/>
      <c r="AV647" s="353"/>
      <c r="AW647" s="353"/>
      <c r="AX647" s="353"/>
      <c r="AY647" s="353"/>
      <c r="AZ647" s="353"/>
      <c r="BA647" s="353"/>
      <c r="BB647" s="353"/>
      <c r="BC647" s="353"/>
      <c r="BD647" s="353"/>
      <c r="BE647" s="353"/>
      <c r="BF647" s="353"/>
      <c r="BG647" s="353"/>
      <c r="BH647">
        <f t="shared" si="82"/>
        <v>0</v>
      </c>
      <c r="BI647" s="351">
        <f t="shared" si="84"/>
        <v>0</v>
      </c>
    </row>
    <row r="648" spans="1:61" ht="14.25" customHeight="1">
      <c r="A648" s="165">
        <f>'Conveyor Downtime (new)'!A644</f>
        <v>0</v>
      </c>
      <c r="BH648">
        <f t="shared" si="82"/>
        <v>0</v>
      </c>
      <c r="BI648" s="351">
        <f t="shared" si="84"/>
        <v>0</v>
      </c>
    </row>
    <row r="649" spans="1:61" ht="14.25" customHeight="1">
      <c r="A649" s="165">
        <f>'Conveyor Downtime (new)'!A645</f>
        <v>0</v>
      </c>
      <c r="B649" s="346"/>
      <c r="C649" s="346"/>
      <c r="D649" s="346"/>
      <c r="E649" s="346"/>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s="346"/>
      <c r="AJ649" s="346"/>
      <c r="AK649" s="346"/>
      <c r="AL649" s="346"/>
      <c r="AM649" s="346"/>
      <c r="AN649" s="346"/>
      <c r="AO649" s="346"/>
      <c r="AP649" s="346"/>
      <c r="AQ649" s="346"/>
      <c r="AR649" s="346"/>
      <c r="AS649" s="346"/>
      <c r="AT649" s="346"/>
      <c r="AU649" s="346"/>
      <c r="AV649" s="346"/>
      <c r="AW649" s="346"/>
      <c r="AX649" s="346"/>
      <c r="AY649" s="346"/>
      <c r="AZ649" s="346"/>
      <c r="BA649" s="346"/>
      <c r="BB649" s="346"/>
      <c r="BC649" s="346"/>
      <c r="BD649" s="346"/>
      <c r="BE649" s="346"/>
      <c r="BF649" s="346"/>
      <c r="BG649" s="346"/>
      <c r="BH649">
        <f t="shared" si="82"/>
        <v>0</v>
      </c>
      <c r="BI649" s="351">
        <f t="shared" si="84"/>
        <v>0</v>
      </c>
    </row>
    <row r="650" spans="1:61" ht="14.25" customHeight="1">
      <c r="A650" s="165">
        <f>'Conveyor Downtime (new)'!A646</f>
        <v>0</v>
      </c>
      <c r="BH650">
        <f t="shared" si="82"/>
        <v>0</v>
      </c>
      <c r="BI650" s="351">
        <f t="shared" si="84"/>
        <v>0</v>
      </c>
    </row>
    <row r="651" spans="1:61" ht="14.25" customHeight="1">
      <c r="A651" s="165">
        <f>'Conveyor Downtime (new)'!A647</f>
        <v>0</v>
      </c>
      <c r="B651" s="346"/>
      <c r="C651" s="346"/>
      <c r="D651" s="346"/>
      <c r="E651" s="346"/>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s="346"/>
      <c r="AJ651" s="346"/>
      <c r="AK651" s="346"/>
      <c r="AL651" s="346"/>
      <c r="AM651" s="346"/>
      <c r="AN651" s="346"/>
      <c r="AO651" s="346"/>
      <c r="AP651" s="346"/>
      <c r="AQ651" s="346"/>
      <c r="AR651" s="346"/>
      <c r="AS651" s="346"/>
      <c r="AT651" s="346"/>
      <c r="AU651" s="346"/>
      <c r="AV651" s="346"/>
      <c r="AW651" s="346"/>
      <c r="AX651" s="346"/>
      <c r="AY651" s="346"/>
      <c r="AZ651" s="346"/>
      <c r="BA651" s="346"/>
      <c r="BB651" s="346"/>
      <c r="BC651" s="346"/>
      <c r="BD651" s="346"/>
      <c r="BE651" s="346"/>
      <c r="BF651" s="346"/>
      <c r="BG651" s="346"/>
      <c r="BH651">
        <f t="shared" si="82"/>
        <v>0</v>
      </c>
      <c r="BI651" s="351">
        <f t="shared" si="84"/>
        <v>0</v>
      </c>
    </row>
    <row r="652" spans="1:61" ht="14.25" customHeight="1">
      <c r="A652" s="165">
        <f>'Conveyor Downtime (new)'!A648</f>
        <v>0</v>
      </c>
      <c r="BH652">
        <f t="shared" si="82"/>
        <v>0</v>
      </c>
      <c r="BI652" s="351">
        <f t="shared" si="84"/>
        <v>0</v>
      </c>
    </row>
    <row r="653" spans="1:61" ht="14.25" customHeight="1">
      <c r="A653" s="165">
        <f>'Conveyor Downtime (new)'!A649</f>
        <v>0</v>
      </c>
      <c r="B653" s="346"/>
      <c r="C653" s="346"/>
      <c r="D653" s="346"/>
      <c r="E653" s="346"/>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s="346"/>
      <c r="AJ653" s="346"/>
      <c r="AK653" s="346"/>
      <c r="AL653" s="346"/>
      <c r="AM653" s="346"/>
      <c r="AN653" s="346"/>
      <c r="AO653" s="346"/>
      <c r="AP653" s="346"/>
      <c r="AQ653" s="346"/>
      <c r="AR653" s="346"/>
      <c r="AS653" s="346"/>
      <c r="AT653" s="346"/>
      <c r="AU653" s="346"/>
      <c r="AV653" s="346"/>
      <c r="AW653" s="346"/>
      <c r="AX653" s="346"/>
      <c r="AY653" s="346"/>
      <c r="AZ653" s="346"/>
      <c r="BA653" s="346"/>
      <c r="BB653" s="346"/>
      <c r="BC653" s="346"/>
      <c r="BD653" s="346"/>
      <c r="BE653" s="346"/>
      <c r="BF653" s="346"/>
      <c r="BG653" s="346"/>
      <c r="BH653">
        <f t="shared" ref="BH653:BH678" si="85">SUM(B653:BG653)</f>
        <v>0</v>
      </c>
      <c r="BI653" s="351">
        <f t="shared" si="84"/>
        <v>0</v>
      </c>
    </row>
    <row r="654" spans="1:61" ht="14.25" customHeight="1">
      <c r="A654" s="165">
        <f>'Conveyor Downtime (new)'!A650</f>
        <v>0</v>
      </c>
      <c r="BH654">
        <f t="shared" si="85"/>
        <v>0</v>
      </c>
      <c r="BI654" s="351">
        <f t="shared" si="84"/>
        <v>0</v>
      </c>
    </row>
    <row r="655" spans="1:61" ht="14.25" customHeight="1">
      <c r="A655" s="165">
        <f>'Conveyor Downtime (new)'!A651</f>
        <v>0</v>
      </c>
      <c r="B655" s="346"/>
      <c r="C655" s="346"/>
      <c r="D655" s="346"/>
      <c r="E655" s="346"/>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s="346"/>
      <c r="AJ655" s="346"/>
      <c r="AK655" s="346"/>
      <c r="AL655" s="346"/>
      <c r="AM655" s="346"/>
      <c r="AN655" s="346"/>
      <c r="AO655" s="346"/>
      <c r="AP655" s="346"/>
      <c r="AQ655" s="346"/>
      <c r="AR655" s="346"/>
      <c r="AS655" s="346"/>
      <c r="AT655" s="346"/>
      <c r="AU655" s="346"/>
      <c r="AV655" s="346"/>
      <c r="AW655" s="346"/>
      <c r="AX655" s="346"/>
      <c r="AY655" s="346"/>
      <c r="AZ655" s="346"/>
      <c r="BA655" s="346"/>
      <c r="BB655" s="346"/>
      <c r="BC655" s="346"/>
      <c r="BD655" s="346"/>
      <c r="BE655" s="346"/>
      <c r="BF655" s="346"/>
      <c r="BG655" s="346"/>
      <c r="BH655">
        <f t="shared" si="85"/>
        <v>0</v>
      </c>
      <c r="BI655" s="351">
        <f t="shared" si="84"/>
        <v>0</v>
      </c>
    </row>
    <row r="656" spans="1:61" ht="14.25" customHeight="1">
      <c r="A656" s="165">
        <f>'Conveyor Downtime (new)'!A652</f>
        <v>0</v>
      </c>
      <c r="BH656">
        <f t="shared" si="85"/>
        <v>0</v>
      </c>
      <c r="BI656" s="351">
        <f t="shared" si="84"/>
        <v>0</v>
      </c>
    </row>
    <row r="657" spans="1:61" ht="14.25" customHeight="1">
      <c r="A657" s="165">
        <f>'Conveyor Downtime (new)'!A653</f>
        <v>0</v>
      </c>
      <c r="B657" s="346"/>
      <c r="C657" s="346"/>
      <c r="D657" s="346"/>
      <c r="E657" s="346"/>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s="346"/>
      <c r="AJ657" s="346"/>
      <c r="AK657" s="346"/>
      <c r="AL657" s="346"/>
      <c r="AM657" s="346"/>
      <c r="AN657" s="346"/>
      <c r="AO657" s="346"/>
      <c r="AP657" s="346"/>
      <c r="AQ657" s="346"/>
      <c r="AR657" s="346"/>
      <c r="AS657" s="346"/>
      <c r="AT657" s="346"/>
      <c r="AU657" s="346"/>
      <c r="AV657" s="346"/>
      <c r="AW657" s="346"/>
      <c r="AX657" s="346"/>
      <c r="AY657" s="346"/>
      <c r="AZ657" s="346"/>
      <c r="BA657" s="346"/>
      <c r="BB657" s="346"/>
      <c r="BC657" s="346"/>
      <c r="BD657" s="346"/>
      <c r="BE657" s="346"/>
      <c r="BF657" s="346"/>
      <c r="BG657" s="346"/>
      <c r="BH657">
        <f t="shared" si="85"/>
        <v>0</v>
      </c>
      <c r="BI657" s="351">
        <f t="shared" si="84"/>
        <v>0</v>
      </c>
    </row>
    <row r="658" spans="1:61" ht="14.25" customHeight="1">
      <c r="A658" s="165">
        <f>'Conveyor Downtime (new)'!A654</f>
        <v>0</v>
      </c>
      <c r="B658" s="165"/>
      <c r="C658" s="165"/>
      <c r="D658" s="165"/>
      <c r="E658" s="165"/>
      <c r="F658" s="165"/>
      <c r="G658" s="407"/>
      <c r="BH658">
        <f t="shared" si="85"/>
        <v>0</v>
      </c>
      <c r="BI658" s="351">
        <f t="shared" si="84"/>
        <v>0</v>
      </c>
    </row>
    <row r="659" spans="1:61" ht="14.25" customHeight="1">
      <c r="A659" s="165">
        <f>'Conveyor Downtime (new)'!A655</f>
        <v>0</v>
      </c>
      <c r="B659" s="346"/>
      <c r="C659" s="346"/>
      <c r="D659" s="346"/>
      <c r="E659" s="346"/>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s="346"/>
      <c r="AJ659" s="346"/>
      <c r="AK659" s="346"/>
      <c r="AL659" s="346"/>
      <c r="AM659" s="346"/>
      <c r="AN659" s="346"/>
      <c r="AO659" s="346"/>
      <c r="AP659" s="346"/>
      <c r="AQ659" s="346"/>
      <c r="AR659" s="346"/>
      <c r="AS659" s="346"/>
      <c r="AT659" s="346"/>
      <c r="AU659" s="346"/>
      <c r="AV659" s="346"/>
      <c r="AW659" s="346"/>
      <c r="AX659" s="346"/>
      <c r="AY659" s="346"/>
      <c r="AZ659" s="346"/>
      <c r="BA659" s="346"/>
      <c r="BB659" s="346"/>
      <c r="BC659" s="346"/>
      <c r="BD659" s="346"/>
      <c r="BE659" s="346"/>
      <c r="BF659" s="346"/>
      <c r="BG659" s="346"/>
      <c r="BH659">
        <f t="shared" si="85"/>
        <v>0</v>
      </c>
      <c r="BI659" s="351">
        <f t="shared" si="84"/>
        <v>0</v>
      </c>
    </row>
    <row r="660" spans="1:61" ht="14.25" customHeight="1">
      <c r="A660" s="165">
        <f>'Conveyor Downtime (new)'!A656</f>
        <v>0</v>
      </c>
      <c r="BH660">
        <f t="shared" si="85"/>
        <v>0</v>
      </c>
      <c r="BI660" s="351">
        <f t="shared" si="84"/>
        <v>0</v>
      </c>
    </row>
    <row r="661" spans="1:61" ht="14.25" customHeight="1">
      <c r="A661" s="165">
        <f>'Conveyor Downtime (new)'!A657</f>
        <v>0</v>
      </c>
      <c r="B661" s="346"/>
      <c r="C661" s="346"/>
      <c r="D661" s="346"/>
      <c r="E661" s="346"/>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s="346"/>
      <c r="AJ661" s="346"/>
      <c r="AK661" s="346"/>
      <c r="AL661" s="346"/>
      <c r="AM661" s="346"/>
      <c r="AN661" s="346"/>
      <c r="AO661" s="346"/>
      <c r="AP661" s="346"/>
      <c r="AQ661" s="346"/>
      <c r="AR661" s="346"/>
      <c r="AS661" s="346"/>
      <c r="AT661" s="346"/>
      <c r="AU661" s="346"/>
      <c r="AV661" s="346"/>
      <c r="AW661" s="346"/>
      <c r="AX661" s="346"/>
      <c r="AY661" s="346"/>
      <c r="AZ661" s="346"/>
      <c r="BA661" s="346"/>
      <c r="BB661" s="346"/>
      <c r="BC661" s="346"/>
      <c r="BD661" s="346"/>
      <c r="BE661" s="346"/>
      <c r="BF661" s="346"/>
      <c r="BG661" s="346"/>
      <c r="BH661">
        <f t="shared" si="85"/>
        <v>0</v>
      </c>
      <c r="BI661" s="351">
        <f t="shared" si="84"/>
        <v>0</v>
      </c>
    </row>
    <row r="662" spans="1:61" ht="14.25" customHeight="1">
      <c r="A662" s="165">
        <f>'Conveyor Downtime (new)'!A658</f>
        <v>0</v>
      </c>
      <c r="BH662">
        <f t="shared" si="85"/>
        <v>0</v>
      </c>
      <c r="BI662" s="351">
        <f t="shared" si="84"/>
        <v>0</v>
      </c>
    </row>
    <row r="663" spans="1:61" ht="14.25" customHeight="1">
      <c r="A663" s="165">
        <f>'Conveyor Downtime (new)'!A659</f>
        <v>0</v>
      </c>
      <c r="B663" s="346"/>
      <c r="C663" s="346"/>
      <c r="D663" s="346"/>
      <c r="E663" s="346"/>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s="346"/>
      <c r="AJ663" s="346"/>
      <c r="AK663" s="346"/>
      <c r="AL663" s="346"/>
      <c r="AM663" s="346"/>
      <c r="AN663" s="346"/>
      <c r="AO663" s="346"/>
      <c r="AP663" s="346"/>
      <c r="AQ663" s="346"/>
      <c r="AR663" s="346"/>
      <c r="AS663" s="346"/>
      <c r="AT663" s="346"/>
      <c r="AU663" s="346"/>
      <c r="AV663" s="346"/>
      <c r="AW663" s="346"/>
      <c r="AX663" s="346"/>
      <c r="AY663" s="346"/>
      <c r="AZ663" s="346"/>
      <c r="BA663" s="346"/>
      <c r="BB663" s="346"/>
      <c r="BC663" s="346"/>
      <c r="BD663" s="346"/>
      <c r="BE663" s="346"/>
      <c r="BF663" s="346"/>
      <c r="BG663" s="346"/>
      <c r="BH663">
        <f t="shared" si="85"/>
        <v>0</v>
      </c>
      <c r="BI663" s="351">
        <f t="shared" si="84"/>
        <v>0</v>
      </c>
    </row>
    <row r="664" spans="1:61" ht="14.25" customHeight="1">
      <c r="A664" s="165">
        <f>'Conveyor Downtime (new)'!A660</f>
        <v>0</v>
      </c>
      <c r="BH664">
        <f t="shared" si="85"/>
        <v>0</v>
      </c>
      <c r="BI664" s="351">
        <f t="shared" si="84"/>
        <v>0</v>
      </c>
    </row>
    <row r="665" spans="1:61" ht="14.25" customHeight="1">
      <c r="A665" s="165">
        <f>'Conveyor Downtime (new)'!A661</f>
        <v>0</v>
      </c>
      <c r="B665" s="346"/>
      <c r="C665" s="346"/>
      <c r="D665" s="346"/>
      <c r="E665" s="346"/>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s="346"/>
      <c r="AJ665" s="346"/>
      <c r="AK665" s="346"/>
      <c r="AL665" s="346"/>
      <c r="AM665" s="346"/>
      <c r="AN665" s="346"/>
      <c r="AO665" s="346"/>
      <c r="AP665" s="346"/>
      <c r="AQ665" s="346"/>
      <c r="AR665" s="346"/>
      <c r="AS665" s="346"/>
      <c r="AT665" s="346"/>
      <c r="AU665" s="346"/>
      <c r="AV665" s="346"/>
      <c r="AW665" s="346"/>
      <c r="AX665" s="346"/>
      <c r="AY665" s="346"/>
      <c r="AZ665" s="346"/>
      <c r="BA665" s="346"/>
      <c r="BB665" s="346"/>
      <c r="BC665" s="346"/>
      <c r="BD665" s="346"/>
      <c r="BE665" s="346"/>
      <c r="BF665" s="346"/>
      <c r="BG665" s="346"/>
      <c r="BH665">
        <f t="shared" si="85"/>
        <v>0</v>
      </c>
      <c r="BI665" s="351">
        <f t="shared" si="84"/>
        <v>0</v>
      </c>
    </row>
    <row r="666" spans="1:61" ht="14.25" customHeight="1">
      <c r="A666" s="165">
        <f>'Conveyor Downtime (new)'!A662</f>
        <v>0</v>
      </c>
      <c r="BH666">
        <f t="shared" si="85"/>
        <v>0</v>
      </c>
      <c r="BI666" s="351">
        <f t="shared" si="84"/>
        <v>0</v>
      </c>
    </row>
    <row r="667" spans="1:61" ht="14.25" customHeight="1">
      <c r="A667" s="165">
        <f>'Conveyor Downtime (new)'!A663</f>
        <v>0</v>
      </c>
      <c r="B667" s="346"/>
      <c r="C667" s="346"/>
      <c r="D667" s="346"/>
      <c r="E667" s="346"/>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s="346"/>
      <c r="AJ667" s="346"/>
      <c r="AK667" s="346"/>
      <c r="AL667" s="346"/>
      <c r="AM667" s="346"/>
      <c r="AN667" s="346"/>
      <c r="AO667" s="346"/>
      <c r="AP667" s="346"/>
      <c r="AQ667" s="346"/>
      <c r="AR667" s="346"/>
      <c r="AS667" s="346"/>
      <c r="AT667" s="346"/>
      <c r="AU667" s="346"/>
      <c r="AV667" s="346"/>
      <c r="AW667" s="346"/>
      <c r="AX667" s="346"/>
      <c r="AY667" s="346"/>
      <c r="AZ667" s="346"/>
      <c r="BA667" s="346"/>
      <c r="BB667" s="346"/>
      <c r="BC667" s="346"/>
      <c r="BD667" s="346"/>
      <c r="BE667" s="346"/>
      <c r="BF667" s="346"/>
      <c r="BG667" s="346"/>
      <c r="BH667">
        <f t="shared" si="85"/>
        <v>0</v>
      </c>
      <c r="BI667" s="351">
        <f t="shared" si="84"/>
        <v>0</v>
      </c>
    </row>
    <row r="668" spans="1:61" ht="14.25" customHeight="1">
      <c r="A668" s="165">
        <f>'Conveyor Downtime (new)'!A664</f>
        <v>0</v>
      </c>
      <c r="BH668">
        <f t="shared" si="85"/>
        <v>0</v>
      </c>
      <c r="BI668" s="351">
        <f t="shared" si="84"/>
        <v>0</v>
      </c>
    </row>
    <row r="669" spans="1:61" ht="14.25" customHeight="1">
      <c r="A669" s="165">
        <f>'Conveyor Downtime (new)'!A665</f>
        <v>0</v>
      </c>
      <c r="B669" s="346"/>
      <c r="C669" s="346"/>
      <c r="D669" s="346"/>
      <c r="E669" s="346"/>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s="346"/>
      <c r="AJ669" s="346"/>
      <c r="AK669" s="346"/>
      <c r="AL669" s="346"/>
      <c r="AM669" s="346"/>
      <c r="AN669" s="346"/>
      <c r="AO669" s="346"/>
      <c r="AP669" s="346"/>
      <c r="AQ669" s="346"/>
      <c r="AR669" s="346"/>
      <c r="AS669" s="346"/>
      <c r="AT669" s="346"/>
      <c r="AU669" s="346"/>
      <c r="AV669" s="346"/>
      <c r="AW669" s="346"/>
      <c r="AX669" s="346"/>
      <c r="AY669" s="346"/>
      <c r="AZ669" s="346"/>
      <c r="BA669" s="346"/>
      <c r="BB669" s="346"/>
      <c r="BC669" s="346"/>
      <c r="BD669" s="346"/>
      <c r="BE669" s="346"/>
      <c r="BF669" s="346"/>
      <c r="BG669" s="346"/>
      <c r="BH669">
        <f t="shared" si="85"/>
        <v>0</v>
      </c>
      <c r="BI669" s="351">
        <f t="shared" si="84"/>
        <v>0</v>
      </c>
    </row>
    <row r="670" spans="1:61" ht="14.25" customHeight="1">
      <c r="A670" s="165">
        <f>'Conveyor Downtime (new)'!A666</f>
        <v>0</v>
      </c>
      <c r="BH670">
        <f t="shared" si="85"/>
        <v>0</v>
      </c>
      <c r="BI670" s="351">
        <f t="shared" si="84"/>
        <v>0</v>
      </c>
    </row>
    <row r="671" spans="1:61" ht="14.25" customHeight="1">
      <c r="A671" s="165">
        <f>'Conveyor Downtime (new)'!A667</f>
        <v>0</v>
      </c>
      <c r="B671" s="346"/>
      <c r="C671" s="346"/>
      <c r="D671" s="346"/>
      <c r="E671" s="346"/>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s="346"/>
      <c r="AJ671" s="346"/>
      <c r="AK671" s="346"/>
      <c r="AL671" s="346"/>
      <c r="AM671" s="346"/>
      <c r="AN671" s="346"/>
      <c r="AO671" s="346"/>
      <c r="AP671" s="346"/>
      <c r="AQ671" s="346"/>
      <c r="AR671" s="346"/>
      <c r="AS671" s="346"/>
      <c r="AT671" s="346"/>
      <c r="AU671" s="346"/>
      <c r="AV671" s="346"/>
      <c r="AW671" s="346"/>
      <c r="AX671" s="346"/>
      <c r="AY671" s="346"/>
      <c r="AZ671" s="346"/>
      <c r="BA671" s="346"/>
      <c r="BB671" s="346"/>
      <c r="BC671" s="346"/>
      <c r="BD671" s="346"/>
      <c r="BE671" s="346"/>
      <c r="BF671" s="346"/>
      <c r="BG671" s="346"/>
      <c r="BH671">
        <f t="shared" si="85"/>
        <v>0</v>
      </c>
      <c r="BI671" s="351">
        <f t="shared" si="84"/>
        <v>0</v>
      </c>
    </row>
    <row r="672" spans="1:61" ht="14.25" customHeight="1">
      <c r="A672" s="165">
        <f>'Conveyor Downtime (new)'!A668</f>
        <v>0</v>
      </c>
      <c r="BH672">
        <f t="shared" si="85"/>
        <v>0</v>
      </c>
      <c r="BI672" s="351">
        <f t="shared" si="84"/>
        <v>0</v>
      </c>
    </row>
    <row r="673" spans="1:61" ht="14.25" customHeight="1">
      <c r="A673" s="165">
        <f>'Conveyor Downtime (new)'!A669</f>
        <v>0</v>
      </c>
      <c r="B673" s="346"/>
      <c r="C673" s="346"/>
      <c r="D673" s="346"/>
      <c r="E673" s="346"/>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s="346"/>
      <c r="AJ673" s="346"/>
      <c r="AK673" s="346"/>
      <c r="AL673" s="346"/>
      <c r="AM673" s="346"/>
      <c r="AN673" s="346"/>
      <c r="AO673" s="346"/>
      <c r="AP673" s="346"/>
      <c r="AQ673" s="346"/>
      <c r="AR673" s="346"/>
      <c r="AS673" s="346"/>
      <c r="AT673" s="346"/>
      <c r="AU673" s="346"/>
      <c r="AV673" s="346"/>
      <c r="AW673" s="346"/>
      <c r="AX673" s="346"/>
      <c r="AY673" s="346"/>
      <c r="AZ673" s="346"/>
      <c r="BA673" s="346"/>
      <c r="BB673" s="346"/>
      <c r="BC673" s="346"/>
      <c r="BD673" s="346"/>
      <c r="BE673" s="346"/>
      <c r="BF673" s="346"/>
      <c r="BG673" s="346"/>
      <c r="BH673">
        <f t="shared" si="85"/>
        <v>0</v>
      </c>
      <c r="BI673" s="351">
        <f t="shared" si="84"/>
        <v>0</v>
      </c>
    </row>
    <row r="674" spans="1:61" ht="14.25" customHeight="1">
      <c r="A674" s="165">
        <f>'Conveyor Downtime (new)'!A670</f>
        <v>0</v>
      </c>
      <c r="BH674">
        <f t="shared" si="85"/>
        <v>0</v>
      </c>
      <c r="BI674" s="351">
        <f t="shared" si="84"/>
        <v>0</v>
      </c>
    </row>
    <row r="675" spans="1:61" ht="14.25" customHeight="1">
      <c r="A675" s="165">
        <f>'Conveyor Downtime (new)'!A671</f>
        <v>0</v>
      </c>
      <c r="B675" s="346"/>
      <c r="C675" s="346"/>
      <c r="D675" s="346"/>
      <c r="E675" s="346"/>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s="346"/>
      <c r="AE675" s="346"/>
      <c r="AF675" s="346"/>
      <c r="AG675" s="346"/>
      <c r="AH675" s="346"/>
      <c r="AI675" s="346"/>
      <c r="AJ675" s="346"/>
      <c r="AK675" s="346"/>
      <c r="AL675" s="346"/>
      <c r="AM675" s="346"/>
      <c r="AN675" s="346"/>
      <c r="AO675" s="346"/>
      <c r="AP675" s="346"/>
      <c r="AQ675" s="346"/>
      <c r="AR675" s="346"/>
      <c r="AS675" s="346"/>
      <c r="AT675" s="346"/>
      <c r="AU675" s="346"/>
      <c r="AV675" s="346"/>
      <c r="AW675" s="346"/>
      <c r="AX675" s="346"/>
      <c r="AY675" s="346"/>
      <c r="AZ675" s="346"/>
      <c r="BA675" s="346"/>
      <c r="BB675" s="346"/>
      <c r="BC675" s="346"/>
      <c r="BD675" s="346"/>
      <c r="BE675" s="346"/>
      <c r="BF675" s="346"/>
      <c r="BG675" s="346"/>
      <c r="BH675">
        <f t="shared" si="85"/>
        <v>0</v>
      </c>
      <c r="BI675" s="351">
        <f t="shared" si="84"/>
        <v>0</v>
      </c>
    </row>
    <row r="676" spans="1:61" ht="14.25" customHeight="1">
      <c r="A676" s="165"/>
      <c r="BH676">
        <f t="shared" si="85"/>
        <v>0</v>
      </c>
      <c r="BI676" s="351">
        <f t="shared" si="84"/>
        <v>0</v>
      </c>
    </row>
    <row r="677" spans="1:61" ht="14.25" customHeight="1">
      <c r="A677" s="165"/>
      <c r="B677" s="346"/>
      <c r="C677" s="346"/>
      <c r="D677" s="346"/>
      <c r="E677" s="346"/>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s="346"/>
      <c r="AE677" s="346"/>
      <c r="AF677" s="346"/>
      <c r="AG677" s="346"/>
      <c r="AH677" s="346"/>
      <c r="AI677" s="346"/>
      <c r="AJ677" s="346"/>
      <c r="AK677" s="346"/>
      <c r="AL677" s="346"/>
      <c r="AM677" s="346"/>
      <c r="AN677" s="346"/>
      <c r="AO677" s="346"/>
      <c r="AP677" s="346"/>
      <c r="AQ677" s="346"/>
      <c r="AR677" s="346"/>
      <c r="AS677" s="346"/>
      <c r="AT677" s="346"/>
      <c r="AU677" s="346"/>
      <c r="AV677" s="346"/>
      <c r="AW677" s="346"/>
      <c r="AX677" s="346"/>
      <c r="AY677" s="346"/>
      <c r="AZ677" s="346"/>
      <c r="BA677" s="346"/>
      <c r="BB677" s="346"/>
      <c r="BC677" s="346"/>
      <c r="BD677" s="346"/>
      <c r="BE677" s="346"/>
      <c r="BF677" s="346"/>
      <c r="BG677" s="346"/>
      <c r="BH677">
        <f t="shared" si="85"/>
        <v>0</v>
      </c>
      <c r="BI677" s="351">
        <f t="shared" si="84"/>
        <v>0</v>
      </c>
    </row>
    <row r="678" spans="1:61" ht="14.25" customHeight="1">
      <c r="A678" s="165"/>
      <c r="BH678">
        <f t="shared" si="85"/>
        <v>0</v>
      </c>
      <c r="BI678" s="351">
        <f t="shared" si="84"/>
        <v>0</v>
      </c>
    </row>
    <row r="679" spans="1:61" ht="14.25" customHeight="1">
      <c r="A679" s="347" t="s">
        <v>173</v>
      </c>
      <c r="B679" s="347">
        <f>SUM(B621:B678)</f>
        <v>0</v>
      </c>
      <c r="C679" s="347">
        <f>SUM(C621:C678)</f>
        <v>0</v>
      </c>
      <c r="D679" s="347">
        <f>SUM(D621:D678)</f>
        <v>0</v>
      </c>
      <c r="E679" s="347">
        <f>SUM(E621:E678)</f>
        <v>0</v>
      </c>
      <c r="F679" s="347">
        <f t="shared" ref="F679:N679" si="86">SUM(F621:F678)</f>
        <v>0</v>
      </c>
      <c r="G679" s="347">
        <f t="shared" si="86"/>
        <v>0</v>
      </c>
      <c r="H679" s="347">
        <f t="shared" si="86"/>
        <v>0</v>
      </c>
      <c r="I679" s="347">
        <f t="shared" si="86"/>
        <v>0</v>
      </c>
      <c r="J679" s="347">
        <f t="shared" si="86"/>
        <v>0</v>
      </c>
      <c r="K679" s="347">
        <f t="shared" si="86"/>
        <v>0</v>
      </c>
      <c r="L679" s="347">
        <f t="shared" si="86"/>
        <v>0</v>
      </c>
      <c r="M679" s="347">
        <f t="shared" si="86"/>
        <v>0</v>
      </c>
      <c r="N679" s="347">
        <f t="shared" si="86"/>
        <v>0</v>
      </c>
      <c r="O679" s="347">
        <f t="shared" ref="O679:AH679" si="87">SUM(O621:O678)</f>
        <v>0</v>
      </c>
      <c r="P679" s="347">
        <f t="shared" si="87"/>
        <v>0</v>
      </c>
      <c r="Q679" s="347">
        <f t="shared" si="87"/>
        <v>0</v>
      </c>
      <c r="R679" s="347">
        <f t="shared" si="87"/>
        <v>0</v>
      </c>
      <c r="S679" s="347">
        <f t="shared" si="87"/>
        <v>0</v>
      </c>
      <c r="T679" s="347">
        <f t="shared" ref="T679:Z679" si="88">SUM(T621:T678)</f>
        <v>0</v>
      </c>
      <c r="U679" s="347">
        <f t="shared" si="88"/>
        <v>0</v>
      </c>
      <c r="V679" s="347">
        <f t="shared" si="88"/>
        <v>0</v>
      </c>
      <c r="W679" s="347">
        <f t="shared" si="88"/>
        <v>0</v>
      </c>
      <c r="X679" s="347">
        <f t="shared" si="88"/>
        <v>0</v>
      </c>
      <c r="Y679" s="347">
        <f t="shared" si="88"/>
        <v>0</v>
      </c>
      <c r="Z679" s="347">
        <f t="shared" si="88"/>
        <v>0</v>
      </c>
      <c r="AA679" s="347">
        <f t="shared" si="87"/>
        <v>0</v>
      </c>
      <c r="AB679" s="347">
        <f t="shared" si="87"/>
        <v>0</v>
      </c>
      <c r="AC679" s="347">
        <f t="shared" si="87"/>
        <v>0</v>
      </c>
      <c r="AD679" s="347">
        <f t="shared" si="87"/>
        <v>0</v>
      </c>
      <c r="AE679" s="347">
        <f t="shared" si="87"/>
        <v>0</v>
      </c>
      <c r="AF679" s="347">
        <f t="shared" si="87"/>
        <v>0</v>
      </c>
      <c r="AG679" s="347">
        <f t="shared" si="87"/>
        <v>0</v>
      </c>
      <c r="AH679" s="347">
        <f t="shared" si="87"/>
        <v>0</v>
      </c>
      <c r="AI679" s="347">
        <f t="shared" ref="AI679:AV679" si="89">SUM(AI621:AI678)</f>
        <v>0</v>
      </c>
      <c r="AJ679" s="347">
        <f t="shared" si="89"/>
        <v>0</v>
      </c>
      <c r="AK679" s="347">
        <f t="shared" si="89"/>
        <v>0</v>
      </c>
      <c r="AL679" s="347">
        <f t="shared" si="89"/>
        <v>0</v>
      </c>
      <c r="AM679" s="347">
        <f t="shared" si="89"/>
        <v>0</v>
      </c>
      <c r="AN679" s="347">
        <f t="shared" si="89"/>
        <v>0</v>
      </c>
      <c r="AO679" s="347">
        <f t="shared" si="89"/>
        <v>0</v>
      </c>
      <c r="AP679" s="347">
        <f t="shared" si="89"/>
        <v>0</v>
      </c>
      <c r="AQ679" s="347">
        <f t="shared" si="89"/>
        <v>0</v>
      </c>
      <c r="AR679" s="347">
        <f t="shared" si="89"/>
        <v>0</v>
      </c>
      <c r="AS679" s="347">
        <f t="shared" si="89"/>
        <v>0</v>
      </c>
      <c r="AT679" s="347">
        <f t="shared" si="89"/>
        <v>0</v>
      </c>
      <c r="AU679" s="347">
        <f t="shared" si="89"/>
        <v>0</v>
      </c>
      <c r="AV679" s="347">
        <f t="shared" si="89"/>
        <v>0</v>
      </c>
      <c r="AW679" s="347">
        <f t="shared" ref="AW679:BH679" si="90">SUM(AW621:AW678)</f>
        <v>0</v>
      </c>
      <c r="AX679" s="347">
        <f t="shared" si="90"/>
        <v>0</v>
      </c>
      <c r="AY679" s="347">
        <f t="shared" si="90"/>
        <v>0</v>
      </c>
      <c r="AZ679" s="347">
        <f t="shared" si="90"/>
        <v>0</v>
      </c>
      <c r="BA679" s="347">
        <f t="shared" si="90"/>
        <v>0</v>
      </c>
      <c r="BB679" s="347">
        <f t="shared" si="90"/>
        <v>0</v>
      </c>
      <c r="BC679" s="347">
        <f t="shared" si="90"/>
        <v>0</v>
      </c>
      <c r="BD679" s="347">
        <f t="shared" si="90"/>
        <v>0</v>
      </c>
      <c r="BE679" s="347">
        <f t="shared" si="90"/>
        <v>0</v>
      </c>
      <c r="BF679" s="347">
        <f t="shared" si="90"/>
        <v>0</v>
      </c>
      <c r="BG679" s="347">
        <f t="shared" si="90"/>
        <v>0</v>
      </c>
      <c r="BH679" s="347">
        <f t="shared" si="90"/>
        <v>0</v>
      </c>
      <c r="BI679" s="351"/>
    </row>
    <row r="680" spans="1:61" ht="14.25" customHeight="1" thickBot="1">
      <c r="A680" s="348" t="s">
        <v>174</v>
      </c>
      <c r="B680" s="348" t="e">
        <f>B679/$BH679</f>
        <v>#DIV/0!</v>
      </c>
      <c r="C680" s="348" t="e">
        <f>C679/$BH679</f>
        <v>#DIV/0!</v>
      </c>
      <c r="D680" s="348" t="e">
        <f>D679/$BH679</f>
        <v>#DIV/0!</v>
      </c>
      <c r="E680" s="348" t="e">
        <f>E679/$BH679</f>
        <v>#DIV/0!</v>
      </c>
      <c r="F680" s="348" t="e">
        <f t="shared" ref="F680:N680" si="91">F679/$BH679</f>
        <v>#DIV/0!</v>
      </c>
      <c r="G680" s="348" t="e">
        <f t="shared" si="91"/>
        <v>#DIV/0!</v>
      </c>
      <c r="H680" s="348" t="e">
        <f t="shared" si="91"/>
        <v>#DIV/0!</v>
      </c>
      <c r="I680" s="348" t="e">
        <f t="shared" si="91"/>
        <v>#DIV/0!</v>
      </c>
      <c r="J680" s="348" t="e">
        <f t="shared" si="91"/>
        <v>#DIV/0!</v>
      </c>
      <c r="K680" s="348" t="e">
        <f t="shared" si="91"/>
        <v>#DIV/0!</v>
      </c>
      <c r="L680" s="348" t="e">
        <f t="shared" si="91"/>
        <v>#DIV/0!</v>
      </c>
      <c r="M680" s="348" t="e">
        <f t="shared" si="91"/>
        <v>#DIV/0!</v>
      </c>
      <c r="N680" s="348" t="e">
        <f t="shared" si="91"/>
        <v>#DIV/0!</v>
      </c>
      <c r="O680" s="348" t="e">
        <f t="shared" ref="O680:Y680" si="92">O679/$BH679</f>
        <v>#DIV/0!</v>
      </c>
      <c r="P680" s="348" t="e">
        <f t="shared" si="92"/>
        <v>#DIV/0!</v>
      </c>
      <c r="Q680" s="348" t="e">
        <f t="shared" si="92"/>
        <v>#DIV/0!</v>
      </c>
      <c r="R680" s="348" t="e">
        <f t="shared" si="92"/>
        <v>#DIV/0!</v>
      </c>
      <c r="S680" s="348" t="e">
        <f t="shared" si="92"/>
        <v>#DIV/0!</v>
      </c>
      <c r="T680" s="348" t="e">
        <f t="shared" si="92"/>
        <v>#DIV/0!</v>
      </c>
      <c r="U680" s="348" t="e">
        <f t="shared" si="92"/>
        <v>#DIV/0!</v>
      </c>
      <c r="V680" s="348" t="e">
        <f t="shared" si="92"/>
        <v>#DIV/0!</v>
      </c>
      <c r="W680" s="348" t="e">
        <f t="shared" si="92"/>
        <v>#DIV/0!</v>
      </c>
      <c r="X680" s="348" t="e">
        <f t="shared" si="92"/>
        <v>#DIV/0!</v>
      </c>
      <c r="Y680" s="348" t="e">
        <f t="shared" si="92"/>
        <v>#DIV/0!</v>
      </c>
      <c r="Z680" s="348" t="e">
        <f t="shared" ref="Z680:AV680" si="93">Z679/$BH679</f>
        <v>#DIV/0!</v>
      </c>
      <c r="AA680" s="348" t="e">
        <f t="shared" si="93"/>
        <v>#DIV/0!</v>
      </c>
      <c r="AB680" s="348" t="e">
        <f t="shared" si="93"/>
        <v>#DIV/0!</v>
      </c>
      <c r="AC680" s="348" t="e">
        <f t="shared" si="93"/>
        <v>#DIV/0!</v>
      </c>
      <c r="AD680" s="348" t="e">
        <f t="shared" si="93"/>
        <v>#DIV/0!</v>
      </c>
      <c r="AE680" s="348" t="e">
        <f t="shared" si="93"/>
        <v>#DIV/0!</v>
      </c>
      <c r="AF680" s="348" t="e">
        <f t="shared" si="93"/>
        <v>#DIV/0!</v>
      </c>
      <c r="AG680" s="348" t="e">
        <f t="shared" si="93"/>
        <v>#DIV/0!</v>
      </c>
      <c r="AH680" s="348" t="e">
        <f t="shared" si="93"/>
        <v>#DIV/0!</v>
      </c>
      <c r="AI680" s="348" t="e">
        <f t="shared" si="93"/>
        <v>#DIV/0!</v>
      </c>
      <c r="AJ680" s="348" t="e">
        <f t="shared" si="93"/>
        <v>#DIV/0!</v>
      </c>
      <c r="AK680" s="348" t="e">
        <f t="shared" si="93"/>
        <v>#DIV/0!</v>
      </c>
      <c r="AL680" s="348" t="e">
        <f t="shared" si="93"/>
        <v>#DIV/0!</v>
      </c>
      <c r="AM680" s="348" t="e">
        <f t="shared" si="93"/>
        <v>#DIV/0!</v>
      </c>
      <c r="AN680" s="348" t="e">
        <f t="shared" si="93"/>
        <v>#DIV/0!</v>
      </c>
      <c r="AO680" s="348" t="e">
        <f t="shared" si="93"/>
        <v>#DIV/0!</v>
      </c>
      <c r="AP680" s="348" t="e">
        <f t="shared" si="93"/>
        <v>#DIV/0!</v>
      </c>
      <c r="AQ680" s="348" t="e">
        <f t="shared" si="93"/>
        <v>#DIV/0!</v>
      </c>
      <c r="AR680" s="348" t="e">
        <f t="shared" si="93"/>
        <v>#DIV/0!</v>
      </c>
      <c r="AS680" s="348" t="e">
        <f t="shared" si="93"/>
        <v>#DIV/0!</v>
      </c>
      <c r="AT680" s="348" t="e">
        <f t="shared" si="93"/>
        <v>#DIV/0!</v>
      </c>
      <c r="AU680" s="348" t="e">
        <f t="shared" si="93"/>
        <v>#DIV/0!</v>
      </c>
      <c r="AV680" s="348" t="e">
        <f t="shared" si="93"/>
        <v>#DIV/0!</v>
      </c>
      <c r="AW680" s="348" t="e">
        <f t="shared" ref="AW680:BG680" si="94">AW679/$BH679</f>
        <v>#DIV/0!</v>
      </c>
      <c r="AX680" s="348" t="e">
        <f t="shared" si="94"/>
        <v>#DIV/0!</v>
      </c>
      <c r="AY680" s="348" t="e">
        <f t="shared" si="94"/>
        <v>#DIV/0!</v>
      </c>
      <c r="AZ680" s="348" t="e">
        <f t="shared" si="94"/>
        <v>#DIV/0!</v>
      </c>
      <c r="BA680" s="348" t="e">
        <f t="shared" si="94"/>
        <v>#DIV/0!</v>
      </c>
      <c r="BB680" s="348" t="e">
        <f t="shared" si="94"/>
        <v>#DIV/0!</v>
      </c>
      <c r="BC680" s="348" t="e">
        <f t="shared" si="94"/>
        <v>#DIV/0!</v>
      </c>
      <c r="BD680" s="348" t="e">
        <f t="shared" si="94"/>
        <v>#DIV/0!</v>
      </c>
      <c r="BE680" s="348" t="e">
        <f t="shared" si="94"/>
        <v>#DIV/0!</v>
      </c>
      <c r="BF680" s="348" t="e">
        <f t="shared" si="94"/>
        <v>#DIV/0!</v>
      </c>
      <c r="BG680" s="348" t="e">
        <f t="shared" si="94"/>
        <v>#DIV/0!</v>
      </c>
      <c r="BH680" s="351"/>
    </row>
    <row r="681" spans="1:61" ht="14.25" customHeight="1"/>
    <row r="682" spans="1:61" ht="14.25" customHeight="1"/>
    <row r="683" spans="1:61" ht="14.25" customHeight="1"/>
    <row r="684" spans="1:61" ht="14.25" customHeight="1">
      <c r="A684" s="165">
        <f>'Conveyor Downtime (new)'!A678</f>
        <v>0</v>
      </c>
      <c r="BH684">
        <f t="shared" ref="BH684:BH715" si="95">SUM(B684:BG684)</f>
        <v>0</v>
      </c>
      <c r="BI684" s="351">
        <f t="shared" ref="BI684:BI740" si="96">BH684/$BH$372</f>
        <v>0</v>
      </c>
    </row>
    <row r="685" spans="1:61" ht="14.25" customHeight="1">
      <c r="A685" s="165">
        <f>'Conveyor Downtime (new)'!A679</f>
        <v>0</v>
      </c>
      <c r="B685" s="346"/>
      <c r="C685" s="346"/>
      <c r="D685" s="346"/>
      <c r="E685" s="346"/>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s="346"/>
      <c r="AJ685" s="346"/>
      <c r="AK685" s="346"/>
      <c r="AL685" s="346"/>
      <c r="AM685" s="346"/>
      <c r="AN685" s="346"/>
      <c r="AO685" s="346"/>
      <c r="AP685" s="346"/>
      <c r="AQ685" s="346"/>
      <c r="AR685" s="346"/>
      <c r="AS685" s="346"/>
      <c r="AT685" s="346"/>
      <c r="AU685" s="346"/>
      <c r="AV685" s="346"/>
      <c r="AW685" s="346"/>
      <c r="AX685" s="346"/>
      <c r="AY685" s="346"/>
      <c r="AZ685" s="346"/>
      <c r="BA685" s="346"/>
      <c r="BB685" s="346"/>
      <c r="BC685" s="346"/>
      <c r="BD685" s="346"/>
      <c r="BE685" s="346"/>
      <c r="BF685" s="346"/>
      <c r="BG685" s="346"/>
      <c r="BH685">
        <f t="shared" si="95"/>
        <v>0</v>
      </c>
      <c r="BI685" s="351">
        <f t="shared" si="96"/>
        <v>0</v>
      </c>
    </row>
    <row r="686" spans="1:61" ht="14.25" customHeight="1">
      <c r="A686" s="165">
        <f>'Conveyor Downtime (new)'!A680</f>
        <v>0</v>
      </c>
      <c r="BH686">
        <f t="shared" si="95"/>
        <v>0</v>
      </c>
      <c r="BI686" s="351">
        <f t="shared" si="96"/>
        <v>0</v>
      </c>
    </row>
    <row r="687" spans="1:61" ht="14.25" customHeight="1">
      <c r="A687" s="165">
        <f>'Conveyor Downtime (new)'!A681</f>
        <v>0</v>
      </c>
      <c r="B687" s="346"/>
      <c r="C687" s="346"/>
      <c r="D687" s="346"/>
      <c r="E687" s="346"/>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s="346"/>
      <c r="AJ687" s="346"/>
      <c r="AK687" s="346"/>
      <c r="AL687" s="346"/>
      <c r="AM687" s="346"/>
      <c r="AN687" s="346"/>
      <c r="AO687" s="346"/>
      <c r="AP687" s="346"/>
      <c r="AQ687" s="346"/>
      <c r="AR687" s="346"/>
      <c r="AS687" s="346"/>
      <c r="AT687" s="346"/>
      <c r="AU687" s="346"/>
      <c r="AV687" s="346"/>
      <c r="AW687" s="346"/>
      <c r="AX687" s="346"/>
      <c r="AY687" s="346"/>
      <c r="AZ687" s="346"/>
      <c r="BA687" s="346"/>
      <c r="BB687" s="346"/>
      <c r="BC687" s="346"/>
      <c r="BD687" s="346"/>
      <c r="BE687" s="346"/>
      <c r="BF687" s="346"/>
      <c r="BG687" s="346"/>
      <c r="BH687">
        <f t="shared" si="95"/>
        <v>0</v>
      </c>
      <c r="BI687" s="351">
        <f t="shared" si="96"/>
        <v>0</v>
      </c>
    </row>
    <row r="688" spans="1:61" ht="14.25" customHeight="1">
      <c r="A688" s="165">
        <f>'Conveyor Downtime (new)'!A682</f>
        <v>0</v>
      </c>
      <c r="BH688">
        <f t="shared" si="95"/>
        <v>0</v>
      </c>
      <c r="BI688" s="351">
        <f t="shared" si="96"/>
        <v>0</v>
      </c>
    </row>
    <row r="689" spans="1:61" ht="14.25" customHeight="1">
      <c r="A689" s="165">
        <f>'Conveyor Downtime (new)'!A683</f>
        <v>0</v>
      </c>
      <c r="B689" s="346"/>
      <c r="C689" s="346"/>
      <c r="D689" s="346"/>
      <c r="E689" s="346"/>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s="346"/>
      <c r="AJ689" s="346"/>
      <c r="AK689" s="346"/>
      <c r="AL689" s="346"/>
      <c r="AM689" s="346"/>
      <c r="AN689" s="346"/>
      <c r="AO689" s="346"/>
      <c r="AP689" s="346"/>
      <c r="AQ689" s="346"/>
      <c r="AR689" s="346"/>
      <c r="AS689" s="346"/>
      <c r="AT689" s="346"/>
      <c r="AU689" s="346"/>
      <c r="AV689" s="346"/>
      <c r="AW689" s="346"/>
      <c r="AX689" s="346"/>
      <c r="AY689" s="346"/>
      <c r="AZ689" s="346"/>
      <c r="BA689" s="346"/>
      <c r="BB689" s="346"/>
      <c r="BC689" s="346"/>
      <c r="BD689" s="346"/>
      <c r="BE689" s="346"/>
      <c r="BF689" s="346"/>
      <c r="BG689" s="346"/>
      <c r="BH689">
        <f t="shared" si="95"/>
        <v>0</v>
      </c>
      <c r="BI689" s="351">
        <f t="shared" si="96"/>
        <v>0</v>
      </c>
    </row>
    <row r="690" spans="1:61" ht="14.25" customHeight="1">
      <c r="A690" s="165">
        <f>'Conveyor Downtime (new)'!A684</f>
        <v>0</v>
      </c>
      <c r="BH690">
        <f t="shared" si="95"/>
        <v>0</v>
      </c>
      <c r="BI690" s="351">
        <f t="shared" si="96"/>
        <v>0</v>
      </c>
    </row>
    <row r="691" spans="1:61" ht="14.25" customHeight="1">
      <c r="A691" s="165">
        <f>'Conveyor Downtime (new)'!A685</f>
        <v>0</v>
      </c>
      <c r="B691" s="346"/>
      <c r="C691" s="346"/>
      <c r="D691" s="346"/>
      <c r="E691" s="346"/>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s="346"/>
      <c r="AJ691" s="346"/>
      <c r="AK691" s="346"/>
      <c r="AL691" s="346"/>
      <c r="AM691" s="346"/>
      <c r="AN691" s="346"/>
      <c r="AO691" s="346"/>
      <c r="AP691" s="346"/>
      <c r="AQ691" s="346"/>
      <c r="AR691" s="346"/>
      <c r="AS691" s="346"/>
      <c r="AT691" s="346"/>
      <c r="AU691" s="346"/>
      <c r="AV691" s="346"/>
      <c r="AW691" s="346"/>
      <c r="AX691" s="346"/>
      <c r="AY691" s="346"/>
      <c r="AZ691" s="346"/>
      <c r="BA691" s="346"/>
      <c r="BB691" s="346"/>
      <c r="BC691" s="346"/>
      <c r="BD691" s="346"/>
      <c r="BE691" s="346"/>
      <c r="BF691" s="346"/>
      <c r="BG691" s="346"/>
      <c r="BH691">
        <f t="shared" si="95"/>
        <v>0</v>
      </c>
      <c r="BI691" s="351">
        <f t="shared" si="96"/>
        <v>0</v>
      </c>
    </row>
    <row r="692" spans="1:61" ht="14.25" customHeight="1">
      <c r="A692" s="165">
        <f>'Conveyor Downtime (new)'!A686</f>
        <v>0</v>
      </c>
      <c r="BH692">
        <f t="shared" si="95"/>
        <v>0</v>
      </c>
      <c r="BI692" s="351">
        <f t="shared" si="96"/>
        <v>0</v>
      </c>
    </row>
    <row r="693" spans="1:61" ht="14.25" customHeight="1">
      <c r="A693" s="165">
        <f>'Conveyor Downtime (new)'!A687</f>
        <v>0</v>
      </c>
      <c r="B693" s="346"/>
      <c r="C693" s="346"/>
      <c r="D693" s="346"/>
      <c r="E693" s="346"/>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s="346"/>
      <c r="AJ693" s="346"/>
      <c r="AK693" s="346"/>
      <c r="AL693" s="346"/>
      <c r="AM693" s="346"/>
      <c r="AN693" s="346"/>
      <c r="AO693" s="346"/>
      <c r="AP693" s="346"/>
      <c r="AQ693" s="346"/>
      <c r="AR693" s="346"/>
      <c r="AS693" s="346"/>
      <c r="AT693" s="346"/>
      <c r="AU693" s="346"/>
      <c r="AV693" s="346"/>
      <c r="AW693" s="346"/>
      <c r="AX693" s="346"/>
      <c r="AY693" s="346"/>
      <c r="AZ693" s="346"/>
      <c r="BA693" s="346"/>
      <c r="BB693" s="346"/>
      <c r="BC693" s="346"/>
      <c r="BD693" s="346"/>
      <c r="BE693" s="346"/>
      <c r="BF693" s="346"/>
      <c r="BG693" s="346"/>
      <c r="BH693">
        <f t="shared" si="95"/>
        <v>0</v>
      </c>
      <c r="BI693" s="351">
        <f t="shared" si="96"/>
        <v>0</v>
      </c>
    </row>
    <row r="694" spans="1:61" ht="14.25" customHeight="1">
      <c r="A694" s="165">
        <f>'Conveyor Downtime (new)'!A688</f>
        <v>0</v>
      </c>
      <c r="BH694">
        <f t="shared" si="95"/>
        <v>0</v>
      </c>
      <c r="BI694" s="351">
        <f t="shared" si="96"/>
        <v>0</v>
      </c>
    </row>
    <row r="695" spans="1:61" ht="14.25" customHeight="1">
      <c r="A695" s="165">
        <f>'Conveyor Downtime (new)'!A689</f>
        <v>0</v>
      </c>
      <c r="B695" s="346"/>
      <c r="C695" s="346"/>
      <c r="D695" s="346"/>
      <c r="E695" s="346"/>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s="346"/>
      <c r="AJ695" s="346"/>
      <c r="AK695" s="346"/>
      <c r="AL695" s="346"/>
      <c r="AM695" s="346"/>
      <c r="AN695" s="346"/>
      <c r="AO695" s="346"/>
      <c r="AP695" s="346"/>
      <c r="AQ695" s="346"/>
      <c r="AR695" s="346"/>
      <c r="AS695" s="346"/>
      <c r="AT695" s="346"/>
      <c r="AU695" s="346"/>
      <c r="AV695" s="346"/>
      <c r="AW695" s="346"/>
      <c r="AX695" s="346"/>
      <c r="AY695" s="346"/>
      <c r="AZ695" s="346"/>
      <c r="BA695" s="346"/>
      <c r="BB695" s="346"/>
      <c r="BC695" s="346"/>
      <c r="BD695" s="346"/>
      <c r="BE695" s="346"/>
      <c r="BF695" s="346"/>
      <c r="BG695" s="346"/>
      <c r="BH695">
        <f>SUM(B695:BG695)</f>
        <v>0</v>
      </c>
      <c r="BI695" s="351">
        <f t="shared" si="96"/>
        <v>0</v>
      </c>
    </row>
    <row r="696" spans="1:61" ht="14.25" customHeight="1">
      <c r="A696" s="165">
        <f>'Conveyor Downtime (new)'!A690</f>
        <v>0</v>
      </c>
      <c r="BH696">
        <f t="shared" si="95"/>
        <v>0</v>
      </c>
      <c r="BI696" s="351">
        <f t="shared" si="96"/>
        <v>0</v>
      </c>
    </row>
    <row r="697" spans="1:61" ht="14.25" customHeight="1">
      <c r="A697" s="165">
        <f>'Conveyor Downtime (new)'!A691</f>
        <v>0</v>
      </c>
      <c r="B697" s="346"/>
      <c r="C697" s="346"/>
      <c r="D697" s="346"/>
      <c r="E697" s="346"/>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s="346"/>
      <c r="AJ697" s="346"/>
      <c r="AK697" s="346"/>
      <c r="AL697" s="346"/>
      <c r="AM697" s="346"/>
      <c r="AN697" s="346"/>
      <c r="AO697" s="346"/>
      <c r="AP697" s="346"/>
      <c r="AQ697" s="346"/>
      <c r="AR697" s="346"/>
      <c r="AS697" s="346"/>
      <c r="AT697" s="346"/>
      <c r="AU697" s="346"/>
      <c r="AV697" s="346"/>
      <c r="AW697" s="346"/>
      <c r="AX697" s="346"/>
      <c r="AY697" s="346"/>
      <c r="AZ697" s="77"/>
      <c r="BA697" s="346"/>
      <c r="BB697" s="346"/>
      <c r="BC697" s="346"/>
      <c r="BD697" s="346"/>
      <c r="BE697" s="346"/>
      <c r="BF697" s="346"/>
      <c r="BG697" s="346"/>
      <c r="BH697">
        <f t="shared" si="95"/>
        <v>0</v>
      </c>
      <c r="BI697" s="351">
        <f t="shared" si="96"/>
        <v>0</v>
      </c>
    </row>
    <row r="698" spans="1:61" ht="14.25" customHeight="1">
      <c r="A698" s="165">
        <f>'Conveyor Downtime (new)'!A692</f>
        <v>0</v>
      </c>
      <c r="BH698">
        <f t="shared" si="95"/>
        <v>0</v>
      </c>
      <c r="BI698" s="351">
        <f t="shared" si="96"/>
        <v>0</v>
      </c>
    </row>
    <row r="699" spans="1:61" ht="14.25" customHeight="1">
      <c r="A699" s="165">
        <f>'Conveyor Downtime (new)'!A693</f>
        <v>0</v>
      </c>
      <c r="B699" s="346"/>
      <c r="C699" s="346"/>
      <c r="D699" s="346"/>
      <c r="E699" s="346"/>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s="346"/>
      <c r="AJ699" s="346"/>
      <c r="AK699" s="346"/>
      <c r="AL699" s="346"/>
      <c r="AM699" s="346"/>
      <c r="AN699" s="346"/>
      <c r="AO699" s="346"/>
      <c r="AP699" s="346"/>
      <c r="AQ699" s="346"/>
      <c r="AR699" s="346"/>
      <c r="AS699" s="346"/>
      <c r="AT699" s="346"/>
      <c r="AU699" s="346"/>
      <c r="AV699" s="346"/>
      <c r="AW699" s="346"/>
      <c r="AX699" s="346"/>
      <c r="AY699" s="346"/>
      <c r="AZ699" s="346"/>
      <c r="BA699" s="346"/>
      <c r="BB699" s="346"/>
      <c r="BC699" s="346"/>
      <c r="BD699" s="346"/>
      <c r="BE699" s="346"/>
      <c r="BF699" s="346"/>
      <c r="BG699" s="346"/>
      <c r="BH699">
        <f t="shared" si="95"/>
        <v>0</v>
      </c>
      <c r="BI699" s="351">
        <f t="shared" si="96"/>
        <v>0</v>
      </c>
    </row>
    <row r="700" spans="1:61" ht="14.25" customHeight="1">
      <c r="A700" s="165">
        <f>'Conveyor Downtime (new)'!A694</f>
        <v>0</v>
      </c>
      <c r="BH700">
        <f t="shared" si="95"/>
        <v>0</v>
      </c>
      <c r="BI700" s="351">
        <f t="shared" si="96"/>
        <v>0</v>
      </c>
    </row>
    <row r="701" spans="1:61" ht="14.25" customHeight="1">
      <c r="A701" s="165">
        <f>'Conveyor Downtime (new)'!A695</f>
        <v>0</v>
      </c>
      <c r="B701" s="346"/>
      <c r="C701" s="346"/>
      <c r="D701" s="346"/>
      <c r="E701" s="346"/>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s="346"/>
      <c r="AJ701" s="346"/>
      <c r="AK701" s="346"/>
      <c r="AL701" s="346"/>
      <c r="AM701" s="346"/>
      <c r="AN701" s="346"/>
      <c r="AO701" s="346"/>
      <c r="AP701" s="346"/>
      <c r="AQ701" s="346"/>
      <c r="AR701" s="346"/>
      <c r="AS701" s="346"/>
      <c r="AT701" s="346"/>
      <c r="AU701" s="346"/>
      <c r="AV701" s="346"/>
      <c r="AW701" s="346"/>
      <c r="AX701" s="346"/>
      <c r="AY701" s="346"/>
      <c r="AZ701" s="346"/>
      <c r="BA701" s="346"/>
      <c r="BB701" s="346"/>
      <c r="BC701" s="346"/>
      <c r="BD701" s="346"/>
      <c r="BE701" s="346"/>
      <c r="BF701" s="346"/>
      <c r="BG701" s="346"/>
      <c r="BH701">
        <f t="shared" si="95"/>
        <v>0</v>
      </c>
      <c r="BI701" s="351">
        <f t="shared" si="96"/>
        <v>0</v>
      </c>
    </row>
    <row r="702" spans="1:61" ht="14.25" customHeight="1">
      <c r="A702" s="165">
        <f>'Conveyor Downtime (new)'!A696</f>
        <v>0</v>
      </c>
      <c r="BH702">
        <f t="shared" si="95"/>
        <v>0</v>
      </c>
      <c r="BI702" s="351">
        <f t="shared" si="96"/>
        <v>0</v>
      </c>
    </row>
    <row r="703" spans="1:61" ht="14.25" customHeight="1">
      <c r="A703" s="165">
        <f>'Conveyor Downtime (new)'!A697</f>
        <v>0</v>
      </c>
      <c r="B703" s="346"/>
      <c r="C703" s="346"/>
      <c r="D703" s="346"/>
      <c r="E703" s="346"/>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s="346"/>
      <c r="AJ703" s="346"/>
      <c r="AK703" s="346"/>
      <c r="AL703" s="346"/>
      <c r="AM703" s="346"/>
      <c r="AN703" s="346"/>
      <c r="AO703" s="346"/>
      <c r="AP703" s="346"/>
      <c r="AQ703" s="346"/>
      <c r="AR703" s="346"/>
      <c r="AS703" s="346"/>
      <c r="AT703" s="346"/>
      <c r="AU703" s="346"/>
      <c r="AV703" s="346"/>
      <c r="AW703" s="346"/>
      <c r="AX703" s="346"/>
      <c r="AY703" s="346"/>
      <c r="AZ703" s="346"/>
      <c r="BA703" s="346"/>
      <c r="BB703" s="346"/>
      <c r="BC703" s="346"/>
      <c r="BD703" s="346"/>
      <c r="BE703" s="346"/>
      <c r="BF703" s="346"/>
      <c r="BG703" s="346"/>
      <c r="BH703">
        <f t="shared" si="95"/>
        <v>0</v>
      </c>
      <c r="BI703" s="351">
        <f t="shared" si="96"/>
        <v>0</v>
      </c>
    </row>
    <row r="704" spans="1:61" ht="14.25" customHeight="1">
      <c r="A704" s="165">
        <f>'Conveyor Downtime (new)'!A698</f>
        <v>0</v>
      </c>
      <c r="BH704">
        <f t="shared" si="95"/>
        <v>0</v>
      </c>
      <c r="BI704" s="351">
        <f t="shared" si="96"/>
        <v>0</v>
      </c>
    </row>
    <row r="705" spans="1:61" ht="14.25" customHeight="1">
      <c r="A705" s="165">
        <f>'Conveyor Downtime (new)'!A699</f>
        <v>0</v>
      </c>
      <c r="B705" s="346"/>
      <c r="C705" s="346"/>
      <c r="D705" s="346"/>
      <c r="E705" s="346"/>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s="346"/>
      <c r="AJ705" s="346"/>
      <c r="AK705" s="346"/>
      <c r="AL705" s="346"/>
      <c r="AM705" s="346"/>
      <c r="AN705" s="346"/>
      <c r="AO705" s="346"/>
      <c r="AP705" s="346"/>
      <c r="AQ705" s="346"/>
      <c r="AR705" s="346"/>
      <c r="AS705" s="346"/>
      <c r="AT705" s="346"/>
      <c r="AU705" s="346"/>
      <c r="AV705" s="346"/>
      <c r="AW705" s="346"/>
      <c r="AX705" s="346"/>
      <c r="AY705" s="346"/>
      <c r="AZ705" s="346"/>
      <c r="BA705" s="346"/>
      <c r="BB705" s="346"/>
      <c r="BC705" s="346"/>
      <c r="BD705" s="346"/>
      <c r="BE705" s="346"/>
      <c r="BF705" s="346"/>
      <c r="BG705" s="346"/>
      <c r="BH705">
        <f t="shared" si="95"/>
        <v>0</v>
      </c>
      <c r="BI705" s="351">
        <f t="shared" si="96"/>
        <v>0</v>
      </c>
    </row>
    <row r="706" spans="1:61" ht="14.25" customHeight="1">
      <c r="A706" s="165">
        <f>'Conveyor Downtime (new)'!A700</f>
        <v>0</v>
      </c>
      <c r="BH706">
        <f t="shared" si="95"/>
        <v>0</v>
      </c>
      <c r="BI706" s="351">
        <f t="shared" si="96"/>
        <v>0</v>
      </c>
    </row>
    <row r="707" spans="1:61" ht="14.25" customHeight="1">
      <c r="A707" s="165">
        <f>'Conveyor Downtime (new)'!A701</f>
        <v>0</v>
      </c>
      <c r="B707" s="346"/>
      <c r="C707" s="346"/>
      <c r="D707" s="346"/>
      <c r="E707" s="346"/>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s="346"/>
      <c r="AJ707" s="346"/>
      <c r="AK707" s="346"/>
      <c r="AL707" s="346"/>
      <c r="AM707" s="346"/>
      <c r="AN707" s="346"/>
      <c r="AO707" s="346"/>
      <c r="AP707" s="346"/>
      <c r="AQ707" s="346"/>
      <c r="AR707" s="346"/>
      <c r="AS707" s="346"/>
      <c r="AT707" s="346"/>
      <c r="AU707" s="346"/>
      <c r="AV707" s="346"/>
      <c r="AW707" s="346"/>
      <c r="AX707" s="346"/>
      <c r="AY707" s="346"/>
      <c r="AZ707" s="346"/>
      <c r="BA707" s="346"/>
      <c r="BB707" s="346"/>
      <c r="BC707" s="346"/>
      <c r="BD707" s="346"/>
      <c r="BE707" s="346"/>
      <c r="BF707" s="346"/>
      <c r="BG707" s="346"/>
      <c r="BH707">
        <f t="shared" si="95"/>
        <v>0</v>
      </c>
      <c r="BI707" s="351">
        <f t="shared" si="96"/>
        <v>0</v>
      </c>
    </row>
    <row r="708" spans="1:61" ht="14.25" customHeight="1">
      <c r="A708" s="165">
        <f>'Conveyor Downtime (new)'!A702</f>
        <v>0</v>
      </c>
      <c r="BH708">
        <f t="shared" si="95"/>
        <v>0</v>
      </c>
      <c r="BI708" s="351">
        <f t="shared" si="96"/>
        <v>0</v>
      </c>
    </row>
    <row r="709" spans="1:61" ht="14.25" customHeight="1">
      <c r="A709" s="165">
        <f>'Conveyor Downtime (new)'!A703</f>
        <v>0</v>
      </c>
      <c r="B709" s="346"/>
      <c r="C709" s="346"/>
      <c r="D709" s="346"/>
      <c r="E709" s="346"/>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s="346"/>
      <c r="AJ709" s="346"/>
      <c r="AK709" s="346"/>
      <c r="AL709" s="346"/>
      <c r="AM709" s="346"/>
      <c r="AN709" s="346"/>
      <c r="AO709" s="346"/>
      <c r="AP709" s="346"/>
      <c r="AQ709" s="346"/>
      <c r="AR709" s="346"/>
      <c r="AS709" s="346"/>
      <c r="AT709" s="346"/>
      <c r="AU709" s="346"/>
      <c r="AV709" s="346"/>
      <c r="AW709" s="346"/>
      <c r="AX709" s="346"/>
      <c r="AY709" s="346"/>
      <c r="AZ709" s="346"/>
      <c r="BA709" s="346"/>
      <c r="BB709" s="346"/>
      <c r="BC709" s="346"/>
      <c r="BD709" s="346"/>
      <c r="BE709" s="346"/>
      <c r="BF709" s="346"/>
      <c r="BG709" s="346"/>
      <c r="BH709">
        <f t="shared" si="95"/>
        <v>0</v>
      </c>
      <c r="BI709" s="351">
        <f t="shared" si="96"/>
        <v>0</v>
      </c>
    </row>
    <row r="710" spans="1:61" ht="14.25" customHeight="1">
      <c r="A710" s="165">
        <f>'Conveyor Downtime (new)'!A704</f>
        <v>0</v>
      </c>
      <c r="BH710">
        <f t="shared" si="95"/>
        <v>0</v>
      </c>
      <c r="BI710" s="351">
        <f t="shared" si="96"/>
        <v>0</v>
      </c>
    </row>
    <row r="711" spans="1:61" ht="14.25" customHeight="1">
      <c r="A711" s="165">
        <f>'Conveyor Downtime (new)'!A705</f>
        <v>0</v>
      </c>
      <c r="B711" s="346"/>
      <c r="C711" s="346"/>
      <c r="D711" s="346"/>
      <c r="E711" s="346"/>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s="346"/>
      <c r="AJ711" s="346"/>
      <c r="AK711" s="346"/>
      <c r="AL711" s="346"/>
      <c r="AM711" s="346"/>
      <c r="AN711" s="346"/>
      <c r="AO711" s="346"/>
      <c r="AP711" s="346"/>
      <c r="AQ711" s="346"/>
      <c r="AR711" s="346"/>
      <c r="AS711" s="346"/>
      <c r="AT711" s="346"/>
      <c r="AU711" s="346"/>
      <c r="AV711" s="346"/>
      <c r="AW711" s="346"/>
      <c r="AX711" s="346"/>
      <c r="AY711" s="346"/>
      <c r="AZ711" s="346"/>
      <c r="BA711" s="346"/>
      <c r="BB711" s="346"/>
      <c r="BC711" s="346"/>
      <c r="BD711" s="346"/>
      <c r="BE711" s="346"/>
      <c r="BF711" s="346"/>
      <c r="BG711" s="346"/>
      <c r="BH711">
        <f t="shared" si="95"/>
        <v>0</v>
      </c>
      <c r="BI711" s="351">
        <f t="shared" si="96"/>
        <v>0</v>
      </c>
    </row>
    <row r="712" spans="1:61" ht="14.25" customHeight="1">
      <c r="A712" s="165">
        <f>'Conveyor Downtime (new)'!A706</f>
        <v>0</v>
      </c>
      <c r="BH712">
        <f t="shared" si="95"/>
        <v>0</v>
      </c>
      <c r="BI712" s="351">
        <f t="shared" si="96"/>
        <v>0</v>
      </c>
    </row>
    <row r="713" spans="1:61" ht="14.25" customHeight="1">
      <c r="A713" s="165">
        <f>'Conveyor Downtime (new)'!A707</f>
        <v>0</v>
      </c>
      <c r="B713" s="346"/>
      <c r="C713" s="346"/>
      <c r="D713" s="346"/>
      <c r="E713" s="346"/>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s="346"/>
      <c r="AJ713" s="346"/>
      <c r="AK713" s="346"/>
      <c r="AL713" s="346"/>
      <c r="AM713" s="346"/>
      <c r="AN713" s="346"/>
      <c r="AO713" s="346"/>
      <c r="AP713" s="346"/>
      <c r="AQ713" s="346"/>
      <c r="AR713" s="346"/>
      <c r="AS713" s="346"/>
      <c r="AT713" s="346"/>
      <c r="AU713" s="346"/>
      <c r="AV713" s="346"/>
      <c r="AW713" s="346"/>
      <c r="AX713" s="346"/>
      <c r="AY713" s="346"/>
      <c r="AZ713" s="346"/>
      <c r="BA713" s="346"/>
      <c r="BB713" s="346"/>
      <c r="BC713" s="346"/>
      <c r="BD713" s="346"/>
      <c r="BE713" s="346"/>
      <c r="BF713" s="346"/>
      <c r="BG713" s="346"/>
      <c r="BH713">
        <f t="shared" si="95"/>
        <v>0</v>
      </c>
      <c r="BI713" s="351">
        <f t="shared" si="96"/>
        <v>0</v>
      </c>
    </row>
    <row r="714" spans="1:61" ht="14.25" customHeight="1">
      <c r="A714" s="165">
        <f>'Conveyor Downtime (new)'!A708</f>
        <v>0</v>
      </c>
      <c r="BH714">
        <f t="shared" si="95"/>
        <v>0</v>
      </c>
      <c r="BI714" s="351">
        <f t="shared" si="96"/>
        <v>0</v>
      </c>
    </row>
    <row r="715" spans="1:61" ht="14.25" customHeight="1">
      <c r="A715" s="165">
        <f>'Conveyor Downtime (new)'!A709</f>
        <v>0</v>
      </c>
      <c r="B715" s="346"/>
      <c r="C715" s="346"/>
      <c r="D715" s="346"/>
      <c r="E715" s="346"/>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s="346"/>
      <c r="AJ715" s="346"/>
      <c r="AK715" s="346"/>
      <c r="AL715" s="346"/>
      <c r="AM715" s="346"/>
      <c r="AN715" s="346"/>
      <c r="AO715" s="346"/>
      <c r="AP715" s="346"/>
      <c r="AQ715" s="346"/>
      <c r="AR715" s="346"/>
      <c r="AS715" s="346"/>
      <c r="AT715" s="346"/>
      <c r="AU715" s="346"/>
      <c r="AV715" s="346"/>
      <c r="AW715" s="346"/>
      <c r="AX715" s="346"/>
      <c r="AY715" s="346"/>
      <c r="AZ715" s="346"/>
      <c r="BA715" s="346"/>
      <c r="BB715" s="346"/>
      <c r="BC715" s="346"/>
      <c r="BD715" s="346"/>
      <c r="BE715" s="346"/>
      <c r="BF715" s="346"/>
      <c r="BG715" s="346"/>
      <c r="BH715">
        <f t="shared" si="95"/>
        <v>0</v>
      </c>
      <c r="BI715" s="351">
        <f t="shared" si="96"/>
        <v>0</v>
      </c>
    </row>
    <row r="716" spans="1:61" ht="14.25" customHeight="1">
      <c r="A716" s="165">
        <f>'Conveyor Downtime (new)'!A710</f>
        <v>0</v>
      </c>
      <c r="BH716">
        <f t="shared" ref="BH716:BH740" si="97">SUM(B716:BG716)</f>
        <v>0</v>
      </c>
      <c r="BI716" s="351">
        <f t="shared" si="96"/>
        <v>0</v>
      </c>
    </row>
    <row r="717" spans="1:61" ht="14.25" customHeight="1">
      <c r="A717" s="165">
        <f>'Conveyor Downtime (new)'!A711</f>
        <v>0</v>
      </c>
      <c r="B717" s="346"/>
      <c r="C717" s="346"/>
      <c r="D717" s="346"/>
      <c r="E717" s="346"/>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s="346"/>
      <c r="AJ717" s="346"/>
      <c r="AK717" s="346"/>
      <c r="AL717" s="346"/>
      <c r="AM717" s="346"/>
      <c r="AN717" s="346"/>
      <c r="AO717" s="346"/>
      <c r="AP717" s="346"/>
      <c r="AQ717" s="346"/>
      <c r="AR717" s="346"/>
      <c r="AS717" s="346"/>
      <c r="AT717" s="346"/>
      <c r="AU717" s="346"/>
      <c r="AV717" s="346"/>
      <c r="AW717" s="346"/>
      <c r="AX717" s="346"/>
      <c r="AY717" s="346"/>
      <c r="AZ717" s="346"/>
      <c r="BA717" s="346"/>
      <c r="BB717" s="346"/>
      <c r="BC717" s="346"/>
      <c r="BD717" s="346"/>
      <c r="BE717" s="346"/>
      <c r="BF717" s="346"/>
      <c r="BG717" s="346"/>
      <c r="BH717">
        <f t="shared" si="97"/>
        <v>0</v>
      </c>
      <c r="BI717" s="351">
        <f t="shared" si="96"/>
        <v>0</v>
      </c>
    </row>
    <row r="718" spans="1:61" ht="14.25" customHeight="1">
      <c r="A718" s="165">
        <f>'Conveyor Downtime (new)'!A712</f>
        <v>0</v>
      </c>
      <c r="BH718">
        <f t="shared" si="97"/>
        <v>0</v>
      </c>
      <c r="BI718" s="351">
        <f t="shared" si="96"/>
        <v>0</v>
      </c>
    </row>
    <row r="719" spans="1:61" ht="14.25" customHeight="1">
      <c r="A719" s="165">
        <f>'Conveyor Downtime (new)'!A713</f>
        <v>0</v>
      </c>
      <c r="B719" s="346"/>
      <c r="C719" s="346"/>
      <c r="D719" s="346"/>
      <c r="E719" s="346"/>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s="346"/>
      <c r="AJ719" s="346"/>
      <c r="AK719" s="346"/>
      <c r="AL719" s="346"/>
      <c r="AM719" s="346"/>
      <c r="AN719" s="346"/>
      <c r="AO719" s="346"/>
      <c r="AP719" s="346"/>
      <c r="AQ719" s="346"/>
      <c r="AR719" s="346"/>
      <c r="AS719" s="346"/>
      <c r="AT719" s="346"/>
      <c r="AU719" s="346"/>
      <c r="AV719" s="346"/>
      <c r="AW719" s="346"/>
      <c r="AX719" s="346"/>
      <c r="AY719" s="346"/>
      <c r="AZ719" s="346"/>
      <c r="BA719" s="346"/>
      <c r="BB719" s="346"/>
      <c r="BC719" s="346"/>
      <c r="BD719" s="346"/>
      <c r="BE719" s="346"/>
      <c r="BF719" s="346"/>
      <c r="BG719" s="346"/>
      <c r="BH719">
        <f t="shared" si="97"/>
        <v>0</v>
      </c>
      <c r="BI719" s="351">
        <f t="shared" si="96"/>
        <v>0</v>
      </c>
    </row>
    <row r="720" spans="1:61" ht="14.25" customHeight="1">
      <c r="A720" s="165">
        <f>'Conveyor Downtime (new)'!A714</f>
        <v>0</v>
      </c>
      <c r="BH720">
        <f t="shared" si="97"/>
        <v>0</v>
      </c>
      <c r="BI720" s="351">
        <f t="shared" si="96"/>
        <v>0</v>
      </c>
    </row>
    <row r="721" spans="1:61" ht="14.25" customHeight="1">
      <c r="A721" s="165">
        <f>'Conveyor Downtime (new)'!A715</f>
        <v>0</v>
      </c>
      <c r="B721" s="346"/>
      <c r="C721" s="346"/>
      <c r="D721" s="346"/>
      <c r="E721" s="346"/>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s="346"/>
      <c r="AJ721" s="346"/>
      <c r="AK721" s="346"/>
      <c r="AL721" s="346"/>
      <c r="AM721" s="346"/>
      <c r="AN721" s="346"/>
      <c r="AO721" s="346"/>
      <c r="AP721" s="346"/>
      <c r="AQ721" s="346"/>
      <c r="AR721" s="346"/>
      <c r="AS721" s="346"/>
      <c r="AT721" s="346"/>
      <c r="AU721" s="346"/>
      <c r="AV721" s="346"/>
      <c r="AW721" s="346"/>
      <c r="AX721" s="346"/>
      <c r="AY721" s="346"/>
      <c r="AZ721" s="346"/>
      <c r="BA721" s="346"/>
      <c r="BB721" s="346"/>
      <c r="BC721" s="346"/>
      <c r="BD721" s="346"/>
      <c r="BE721" s="346"/>
      <c r="BF721" s="346"/>
      <c r="BG721" s="77"/>
      <c r="BH721">
        <f t="shared" si="97"/>
        <v>0</v>
      </c>
      <c r="BI721" s="351">
        <f t="shared" si="96"/>
        <v>0</v>
      </c>
    </row>
    <row r="722" spans="1:61" ht="14.25" customHeight="1">
      <c r="A722" s="165">
        <f>'Conveyor Downtime (new)'!A716</f>
        <v>0</v>
      </c>
      <c r="BH722">
        <f t="shared" si="97"/>
        <v>0</v>
      </c>
      <c r="BI722" s="351">
        <f t="shared" si="96"/>
        <v>0</v>
      </c>
    </row>
    <row r="723" spans="1:61" ht="14.25" customHeight="1">
      <c r="A723" s="165">
        <f>'Conveyor Downtime (new)'!A717</f>
        <v>0</v>
      </c>
      <c r="B723" s="346"/>
      <c r="C723" s="346"/>
      <c r="D723" s="346"/>
      <c r="E723" s="346"/>
      <c r="F723" s="346"/>
      <c r="G723" s="346"/>
      <c r="H723" s="501"/>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s="346"/>
      <c r="AJ723" s="346"/>
      <c r="AK723" s="346"/>
      <c r="AL723" s="346"/>
      <c r="AM723" s="346"/>
      <c r="AN723" s="346"/>
      <c r="AO723" s="346"/>
      <c r="AP723" s="346"/>
      <c r="AQ723" s="346"/>
      <c r="AR723" s="346"/>
      <c r="AS723" s="346"/>
      <c r="AT723" s="346"/>
      <c r="AU723" s="346"/>
      <c r="AV723" s="346"/>
      <c r="AW723" s="346"/>
      <c r="AX723" s="346"/>
      <c r="AY723" s="346"/>
      <c r="AZ723" s="346"/>
      <c r="BA723" s="346"/>
      <c r="BB723" s="346"/>
      <c r="BC723" s="346"/>
      <c r="BD723" s="346"/>
      <c r="BE723" s="346"/>
      <c r="BF723" s="346"/>
      <c r="BG723" s="346"/>
      <c r="BH723">
        <f t="shared" si="97"/>
        <v>0</v>
      </c>
      <c r="BI723" s="351">
        <f t="shared" si="96"/>
        <v>0</v>
      </c>
    </row>
    <row r="724" spans="1:61" ht="14.25" customHeight="1">
      <c r="A724" s="165">
        <f>'Conveyor Downtime (new)'!A718</f>
        <v>0</v>
      </c>
      <c r="BH724">
        <f t="shared" si="97"/>
        <v>0</v>
      </c>
      <c r="BI724" s="351">
        <f t="shared" si="96"/>
        <v>0</v>
      </c>
    </row>
    <row r="725" spans="1:61" ht="14.25" customHeight="1">
      <c r="A725" s="165">
        <f>'Conveyor Downtime (new)'!A719</f>
        <v>0</v>
      </c>
      <c r="B725" s="346"/>
      <c r="C725" s="346"/>
      <c r="D725" s="346"/>
      <c r="E725" s="346"/>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s="346"/>
      <c r="AJ725" s="346"/>
      <c r="AK725" s="346"/>
      <c r="AL725" s="346"/>
      <c r="AM725" s="346"/>
      <c r="AN725" s="346"/>
      <c r="AO725" s="346"/>
      <c r="AP725" s="346"/>
      <c r="AQ725" s="346"/>
      <c r="AR725" s="346"/>
      <c r="AS725" s="346"/>
      <c r="AT725" s="346"/>
      <c r="AU725" s="346"/>
      <c r="AV725" s="346"/>
      <c r="AW725" s="346"/>
      <c r="AX725" s="346"/>
      <c r="AY725" s="346"/>
      <c r="AZ725" s="346"/>
      <c r="BA725" s="346"/>
      <c r="BB725" s="346"/>
      <c r="BC725" s="346"/>
      <c r="BD725" s="346"/>
      <c r="BE725" s="346"/>
      <c r="BF725" s="346"/>
      <c r="BG725" s="346"/>
      <c r="BH725">
        <f t="shared" si="97"/>
        <v>0</v>
      </c>
      <c r="BI725" s="351">
        <f t="shared" si="96"/>
        <v>0</v>
      </c>
    </row>
    <row r="726" spans="1:61" ht="14.25" customHeight="1">
      <c r="A726" s="165">
        <f>'Conveyor Downtime (new)'!A720</f>
        <v>0</v>
      </c>
      <c r="BH726">
        <f t="shared" si="97"/>
        <v>0</v>
      </c>
      <c r="BI726" s="351">
        <f t="shared" si="96"/>
        <v>0</v>
      </c>
    </row>
    <row r="727" spans="1:61" ht="14.25" customHeight="1">
      <c r="A727" s="165">
        <f>'Conveyor Downtime (new)'!A721</f>
        <v>0</v>
      </c>
      <c r="B727" s="346"/>
      <c r="C727" s="346"/>
      <c r="D727" s="346"/>
      <c r="E727" s="346"/>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s="346"/>
      <c r="AJ727" s="346"/>
      <c r="AK727" s="346"/>
      <c r="AL727" s="346"/>
      <c r="AM727" s="346"/>
      <c r="AN727" s="346"/>
      <c r="AO727" s="346"/>
      <c r="AP727" s="346"/>
      <c r="AQ727" s="346"/>
      <c r="AR727" s="346"/>
      <c r="AS727" s="346"/>
      <c r="AT727" s="346"/>
      <c r="AU727" s="346"/>
      <c r="AV727" s="346"/>
      <c r="AW727" s="346"/>
      <c r="AX727" s="346"/>
      <c r="AY727" s="346"/>
      <c r="AZ727" s="346"/>
      <c r="BA727" s="346"/>
      <c r="BB727" s="346"/>
      <c r="BC727" s="346"/>
      <c r="BD727" s="346"/>
      <c r="BE727" s="346"/>
      <c r="BF727" s="346"/>
      <c r="BG727" s="346"/>
      <c r="BH727">
        <f t="shared" si="97"/>
        <v>0</v>
      </c>
      <c r="BI727" s="351">
        <f t="shared" si="96"/>
        <v>0</v>
      </c>
    </row>
    <row r="728" spans="1:61" ht="14.25" customHeight="1">
      <c r="A728" s="165">
        <f>'Conveyor Downtime (new)'!A722</f>
        <v>0</v>
      </c>
      <c r="BH728">
        <f t="shared" si="97"/>
        <v>0</v>
      </c>
      <c r="BI728" s="351">
        <f t="shared" si="96"/>
        <v>0</v>
      </c>
    </row>
    <row r="729" spans="1:61" ht="14.25" customHeight="1">
      <c r="A729" s="165">
        <f>'Conveyor Downtime (new)'!A723</f>
        <v>0</v>
      </c>
      <c r="B729" s="346"/>
      <c r="C729" s="346"/>
      <c r="D729" s="346"/>
      <c r="E729" s="346"/>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s="346"/>
      <c r="AJ729" s="346"/>
      <c r="AK729" s="346"/>
      <c r="AL729" s="346"/>
      <c r="AM729" s="346"/>
      <c r="AN729" s="346"/>
      <c r="AO729" s="346"/>
      <c r="AP729" s="346"/>
      <c r="AQ729" s="346"/>
      <c r="AR729" s="346"/>
      <c r="AS729" s="346"/>
      <c r="AT729" s="346"/>
      <c r="AU729" s="346"/>
      <c r="AV729" s="346"/>
      <c r="AW729" s="346"/>
      <c r="AX729" s="346"/>
      <c r="AY729" s="346"/>
      <c r="AZ729" s="346"/>
      <c r="BA729" s="346"/>
      <c r="BB729" s="346"/>
      <c r="BC729" s="346"/>
      <c r="BD729" s="346"/>
      <c r="BE729" s="346"/>
      <c r="BF729" s="346"/>
      <c r="BG729" s="346"/>
      <c r="BH729">
        <f t="shared" si="97"/>
        <v>0</v>
      </c>
      <c r="BI729" s="351">
        <f t="shared" si="96"/>
        <v>0</v>
      </c>
    </row>
    <row r="730" spans="1:61" ht="14.25" customHeight="1">
      <c r="A730" s="165">
        <f>'Conveyor Downtime (new)'!A724</f>
        <v>0</v>
      </c>
      <c r="BH730">
        <f t="shared" si="97"/>
        <v>0</v>
      </c>
      <c r="BI730" s="351">
        <f t="shared" si="96"/>
        <v>0</v>
      </c>
    </row>
    <row r="731" spans="1:61" ht="14.25" customHeight="1">
      <c r="A731" s="165">
        <f>'Conveyor Downtime (new)'!A725</f>
        <v>0</v>
      </c>
      <c r="B731" s="346"/>
      <c r="C731" s="346"/>
      <c r="D731" s="346"/>
      <c r="E731" s="346"/>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s="346"/>
      <c r="AJ731" s="346"/>
      <c r="AK731" s="346"/>
      <c r="AL731" s="346"/>
      <c r="AM731" s="346"/>
      <c r="AN731" s="346"/>
      <c r="AO731" s="346"/>
      <c r="AP731" s="346"/>
      <c r="AQ731" s="346"/>
      <c r="AR731" s="346"/>
      <c r="AS731" s="346"/>
      <c r="AT731" s="346"/>
      <c r="AU731" s="346"/>
      <c r="AV731" s="346"/>
      <c r="AW731" s="346"/>
      <c r="AX731" s="346"/>
      <c r="AY731" s="346"/>
      <c r="AZ731" s="346"/>
      <c r="BA731" s="346"/>
      <c r="BB731" s="346"/>
      <c r="BC731" s="346"/>
      <c r="BD731" s="346"/>
      <c r="BE731" s="346"/>
      <c r="BF731" s="346"/>
      <c r="BG731" s="346"/>
      <c r="BH731">
        <f t="shared" si="97"/>
        <v>0</v>
      </c>
      <c r="BI731" s="351">
        <f t="shared" si="96"/>
        <v>0</v>
      </c>
    </row>
    <row r="732" spans="1:61" ht="14.25" customHeight="1">
      <c r="A732" s="165">
        <f>'Conveyor Downtime (new)'!A726</f>
        <v>0</v>
      </c>
      <c r="BH732">
        <f t="shared" si="97"/>
        <v>0</v>
      </c>
      <c r="BI732" s="351">
        <f t="shared" si="96"/>
        <v>0</v>
      </c>
    </row>
    <row r="733" spans="1:61" ht="14.25" customHeight="1">
      <c r="A733" s="165">
        <f>'Conveyor Downtime (new)'!A727</f>
        <v>0</v>
      </c>
      <c r="B733" s="346"/>
      <c r="C733" s="346"/>
      <c r="D733" s="346"/>
      <c r="E733" s="346"/>
      <c r="F733" s="346"/>
      <c r="G733" s="346"/>
      <c r="H733" s="346"/>
      <c r="I733" s="346"/>
      <c r="J733" s="346"/>
      <c r="K733" s="346"/>
      <c r="L733" s="346"/>
      <c r="M733" s="346"/>
      <c r="N733" s="346"/>
      <c r="O733" s="346"/>
      <c r="P733" s="346"/>
      <c r="Q733" s="346"/>
      <c r="R733" s="346"/>
      <c r="S733" s="346"/>
      <c r="T733" s="346"/>
      <c r="U733" s="346"/>
      <c r="V733" s="346"/>
      <c r="W733" s="346"/>
      <c r="X733" s="346"/>
      <c r="Y733" s="346"/>
      <c r="Z733" s="346"/>
      <c r="AA733" s="346"/>
      <c r="AB733" s="346"/>
      <c r="AC733" s="346"/>
      <c r="AD733" s="346"/>
      <c r="AE733" s="346"/>
      <c r="AF733" s="346"/>
      <c r="AG733" s="346"/>
      <c r="AH733" s="346"/>
      <c r="AI733" s="346"/>
      <c r="AJ733" s="346"/>
      <c r="AK733" s="346"/>
      <c r="AL733" s="346"/>
      <c r="AM733" s="346"/>
      <c r="AN733" s="346"/>
      <c r="AO733" s="346"/>
      <c r="AP733" s="346"/>
      <c r="AQ733" s="346"/>
      <c r="AR733" s="346"/>
      <c r="AS733" s="346"/>
      <c r="AT733" s="346"/>
      <c r="AU733" s="346"/>
      <c r="AV733" s="346"/>
      <c r="AW733" s="346"/>
      <c r="AX733" s="346"/>
      <c r="AY733" s="346"/>
      <c r="AZ733" s="346"/>
      <c r="BA733" s="346"/>
      <c r="BB733" s="346"/>
      <c r="BC733" s="346"/>
      <c r="BD733" s="346"/>
      <c r="BE733" s="346"/>
      <c r="BF733" s="346"/>
      <c r="BG733" s="346"/>
      <c r="BH733">
        <f t="shared" si="97"/>
        <v>0</v>
      </c>
      <c r="BI733" s="351">
        <f t="shared" si="96"/>
        <v>0</v>
      </c>
    </row>
    <row r="734" spans="1:61" ht="14.25" customHeight="1">
      <c r="A734" s="165">
        <f>'Conveyor Downtime (new)'!A728</f>
        <v>0</v>
      </c>
      <c r="BH734">
        <f t="shared" si="97"/>
        <v>0</v>
      </c>
      <c r="BI734" s="351">
        <f t="shared" si="96"/>
        <v>0</v>
      </c>
    </row>
    <row r="735" spans="1:61" ht="14.25" customHeight="1">
      <c r="A735" s="165"/>
      <c r="B735" s="346"/>
      <c r="C735" s="346"/>
      <c r="D735" s="346"/>
      <c r="E735" s="346"/>
      <c r="F735" s="346"/>
      <c r="G735" s="346"/>
      <c r="H735" s="346"/>
      <c r="I735" s="346"/>
      <c r="J735" s="346"/>
      <c r="K735" s="346"/>
      <c r="L735" s="346"/>
      <c r="M735" s="346"/>
      <c r="N735" s="346"/>
      <c r="O735" s="346"/>
      <c r="P735" s="346"/>
      <c r="Q735" s="346"/>
      <c r="R735" s="346"/>
      <c r="S735" s="346"/>
      <c r="T735" s="346"/>
      <c r="U735" s="346"/>
      <c r="V735" s="346"/>
      <c r="W735" s="346"/>
      <c r="X735" s="346"/>
      <c r="Y735" s="346"/>
      <c r="Z735" s="346"/>
      <c r="AA735" s="346"/>
      <c r="AB735" s="346"/>
      <c r="AC735" s="346"/>
      <c r="AD735" s="346"/>
      <c r="AE735" s="346"/>
      <c r="AF735" s="346"/>
      <c r="AG735" s="346"/>
      <c r="AH735" s="346"/>
      <c r="AI735" s="346"/>
      <c r="AJ735" s="346"/>
      <c r="AK735" s="346"/>
      <c r="AL735" s="346"/>
      <c r="AM735" s="346"/>
      <c r="AN735" s="346"/>
      <c r="AO735" s="346"/>
      <c r="AP735" s="346"/>
      <c r="AQ735" s="346"/>
      <c r="AR735" s="346"/>
      <c r="AS735" s="346"/>
      <c r="AT735" s="346"/>
      <c r="AU735" s="346"/>
      <c r="AV735" s="346"/>
      <c r="AW735" s="346"/>
      <c r="AX735" s="346"/>
      <c r="AY735" s="346"/>
      <c r="AZ735" s="346"/>
      <c r="BA735" s="346"/>
      <c r="BB735" s="346"/>
      <c r="BC735" s="346"/>
      <c r="BD735" s="346"/>
      <c r="BE735" s="346"/>
      <c r="BF735" s="346"/>
      <c r="BG735" s="346"/>
      <c r="BH735">
        <f t="shared" si="97"/>
        <v>0</v>
      </c>
      <c r="BI735" s="351">
        <f t="shared" si="96"/>
        <v>0</v>
      </c>
    </row>
    <row r="736" spans="1:61" ht="14.25" customHeight="1">
      <c r="A736" s="165"/>
      <c r="BH736">
        <f t="shared" si="97"/>
        <v>0</v>
      </c>
      <c r="BI736" s="351">
        <f t="shared" si="96"/>
        <v>0</v>
      </c>
    </row>
    <row r="737" spans="1:61" ht="14.25" customHeight="1">
      <c r="A737" s="165"/>
      <c r="B737" s="346"/>
      <c r="C737" s="346"/>
      <c r="D737" s="346"/>
      <c r="E737" s="346"/>
      <c r="F737" s="346"/>
      <c r="G737" s="346"/>
      <c r="H737" s="346"/>
      <c r="I737" s="346"/>
      <c r="J737" s="346"/>
      <c r="K737" s="346"/>
      <c r="L737" s="346"/>
      <c r="M737" s="346"/>
      <c r="N737" s="346"/>
      <c r="O737" s="346"/>
      <c r="P737" s="346"/>
      <c r="Q737" s="346"/>
      <c r="R737" s="346"/>
      <c r="S737" s="346"/>
      <c r="T737" s="346"/>
      <c r="U737" s="346"/>
      <c r="V737" s="346"/>
      <c r="W737" s="346"/>
      <c r="X737" s="346"/>
      <c r="Y737" s="346"/>
      <c r="Z737" s="346"/>
      <c r="AA737" s="346"/>
      <c r="AB737" s="346"/>
      <c r="AC737" s="346"/>
      <c r="AD737" s="346"/>
      <c r="AE737" s="346"/>
      <c r="AF737" s="346"/>
      <c r="AG737" s="346"/>
      <c r="AH737" s="346"/>
      <c r="AI737" s="346"/>
      <c r="AJ737" s="346"/>
      <c r="AK737" s="346"/>
      <c r="AL737" s="346"/>
      <c r="AM737" s="346"/>
      <c r="AN737" s="346"/>
      <c r="AO737" s="346"/>
      <c r="AP737" s="346"/>
      <c r="AQ737" s="346"/>
      <c r="AR737" s="346"/>
      <c r="AS737" s="346"/>
      <c r="AT737" s="346"/>
      <c r="AU737" s="346"/>
      <c r="AV737" s="346"/>
      <c r="AW737" s="346"/>
      <c r="AX737" s="346"/>
      <c r="AY737" s="346"/>
      <c r="AZ737" s="346"/>
      <c r="BA737" s="346"/>
      <c r="BB737" s="346"/>
      <c r="BC737" s="346"/>
      <c r="BD737" s="346"/>
      <c r="BE737" s="346"/>
      <c r="BF737" s="346"/>
      <c r="BG737" s="346"/>
      <c r="BH737">
        <f t="shared" si="97"/>
        <v>0</v>
      </c>
      <c r="BI737" s="351">
        <f t="shared" si="96"/>
        <v>0</v>
      </c>
    </row>
    <row r="738" spans="1:61" ht="14.25" customHeight="1">
      <c r="A738" s="165"/>
      <c r="BH738">
        <f t="shared" si="97"/>
        <v>0</v>
      </c>
      <c r="BI738" s="351">
        <f t="shared" si="96"/>
        <v>0</v>
      </c>
    </row>
    <row r="739" spans="1:61" ht="14.25" customHeight="1">
      <c r="A739" s="165"/>
      <c r="B739" s="346"/>
      <c r="C739" s="346"/>
      <c r="D739" s="346"/>
      <c r="E739" s="346"/>
      <c r="F739" s="346"/>
      <c r="G739" s="346"/>
      <c r="H739" s="346"/>
      <c r="I739" s="346"/>
      <c r="J739" s="346"/>
      <c r="K739" s="346"/>
      <c r="L739" s="346"/>
      <c r="M739" s="346"/>
      <c r="N739" s="346"/>
      <c r="O739" s="346"/>
      <c r="P739" s="346"/>
      <c r="Q739" s="346"/>
      <c r="R739" s="346"/>
      <c r="S739" s="346"/>
      <c r="T739" s="346"/>
      <c r="U739" s="346"/>
      <c r="V739" s="346"/>
      <c r="W739" s="346"/>
      <c r="X739" s="346"/>
      <c r="Y739" s="346"/>
      <c r="Z739" s="346"/>
      <c r="AA739" s="346"/>
      <c r="AB739" s="346"/>
      <c r="AC739" s="346"/>
      <c r="AD739" s="346"/>
      <c r="AE739" s="346"/>
      <c r="AF739" s="346"/>
      <c r="AG739" s="346"/>
      <c r="AH739" s="346"/>
      <c r="AI739" s="346"/>
      <c r="AJ739" s="346"/>
      <c r="AK739" s="346"/>
      <c r="AL739" s="346"/>
      <c r="AM739" s="346"/>
      <c r="AN739" s="346"/>
      <c r="AO739" s="346"/>
      <c r="AP739" s="346"/>
      <c r="AQ739" s="346"/>
      <c r="AR739" s="346"/>
      <c r="AS739" s="346"/>
      <c r="AT739" s="346"/>
      <c r="AU739" s="346"/>
      <c r="AV739" s="346"/>
      <c r="AW739" s="346"/>
      <c r="AX739" s="346"/>
      <c r="AY739" s="346"/>
      <c r="AZ739" s="346"/>
      <c r="BA739" s="346"/>
      <c r="BB739" s="346"/>
      <c r="BC739" s="346"/>
      <c r="BD739" s="346"/>
      <c r="BE739" s="346"/>
      <c r="BF739" s="346"/>
      <c r="BG739" s="346"/>
      <c r="BH739">
        <f t="shared" si="97"/>
        <v>0</v>
      </c>
      <c r="BI739" s="351">
        <f t="shared" si="96"/>
        <v>0</v>
      </c>
    </row>
    <row r="740" spans="1:61" ht="14.25" customHeight="1">
      <c r="A740" s="165"/>
      <c r="BH740">
        <f t="shared" si="97"/>
        <v>0</v>
      </c>
      <c r="BI740" s="351">
        <f t="shared" si="96"/>
        <v>0</v>
      </c>
    </row>
    <row r="741" spans="1:61" ht="14.25" customHeight="1">
      <c r="A741" s="347" t="s">
        <v>173</v>
      </c>
      <c r="B741" s="347">
        <f t="shared" ref="B741:BG741" si="98">SUM(B684:B740)</f>
        <v>0</v>
      </c>
      <c r="C741" s="347">
        <f t="shared" si="98"/>
        <v>0</v>
      </c>
      <c r="D741" s="347">
        <f t="shared" si="98"/>
        <v>0</v>
      </c>
      <c r="E741" s="347">
        <f t="shared" si="98"/>
        <v>0</v>
      </c>
      <c r="F741" s="347">
        <f t="shared" si="98"/>
        <v>0</v>
      </c>
      <c r="G741" s="347">
        <f t="shared" si="98"/>
        <v>0</v>
      </c>
      <c r="H741" s="347">
        <f t="shared" si="98"/>
        <v>0</v>
      </c>
      <c r="I741" s="347">
        <f t="shared" si="98"/>
        <v>0</v>
      </c>
      <c r="J741" s="347">
        <f t="shared" si="98"/>
        <v>0</v>
      </c>
      <c r="K741" s="347">
        <f t="shared" si="98"/>
        <v>0</v>
      </c>
      <c r="L741" s="347">
        <f t="shared" si="98"/>
        <v>0</v>
      </c>
      <c r="M741" s="347">
        <f t="shared" si="98"/>
        <v>0</v>
      </c>
      <c r="N741" s="347">
        <f t="shared" si="98"/>
        <v>0</v>
      </c>
      <c r="O741" s="347">
        <f t="shared" si="98"/>
        <v>0</v>
      </c>
      <c r="P741" s="347">
        <f t="shared" si="98"/>
        <v>0</v>
      </c>
      <c r="Q741" s="347">
        <f t="shared" si="98"/>
        <v>0</v>
      </c>
      <c r="R741" s="347">
        <f t="shared" si="98"/>
        <v>0</v>
      </c>
      <c r="S741" s="347">
        <f t="shared" si="98"/>
        <v>0</v>
      </c>
      <c r="T741" s="347">
        <f t="shared" si="98"/>
        <v>0</v>
      </c>
      <c r="U741" s="347">
        <f t="shared" si="98"/>
        <v>0</v>
      </c>
      <c r="V741" s="347">
        <f t="shared" si="98"/>
        <v>0</v>
      </c>
      <c r="W741" s="347">
        <f t="shared" si="98"/>
        <v>0</v>
      </c>
      <c r="X741" s="347">
        <f t="shared" si="98"/>
        <v>0</v>
      </c>
      <c r="Y741" s="347">
        <f t="shared" si="98"/>
        <v>0</v>
      </c>
      <c r="Z741" s="347">
        <f t="shared" si="98"/>
        <v>0</v>
      </c>
      <c r="AA741" s="347">
        <f t="shared" si="98"/>
        <v>0</v>
      </c>
      <c r="AB741" s="347">
        <f t="shared" si="98"/>
        <v>0</v>
      </c>
      <c r="AC741" s="347">
        <f t="shared" si="98"/>
        <v>0</v>
      </c>
      <c r="AD741" s="347">
        <f t="shared" si="98"/>
        <v>0</v>
      </c>
      <c r="AE741" s="347">
        <f t="shared" si="98"/>
        <v>0</v>
      </c>
      <c r="AF741" s="347">
        <f t="shared" si="98"/>
        <v>0</v>
      </c>
      <c r="AG741" s="347">
        <f t="shared" si="98"/>
        <v>0</v>
      </c>
      <c r="AH741" s="347">
        <f t="shared" si="98"/>
        <v>0</v>
      </c>
      <c r="AI741" s="347">
        <f t="shared" si="98"/>
        <v>0</v>
      </c>
      <c r="AJ741" s="347">
        <f t="shared" si="98"/>
        <v>0</v>
      </c>
      <c r="AK741" s="347">
        <f t="shared" si="98"/>
        <v>0</v>
      </c>
      <c r="AL741" s="347">
        <f t="shared" si="98"/>
        <v>0</v>
      </c>
      <c r="AM741" s="347">
        <f t="shared" si="98"/>
        <v>0</v>
      </c>
      <c r="AN741" s="347">
        <f t="shared" si="98"/>
        <v>0</v>
      </c>
      <c r="AO741" s="347">
        <f t="shared" si="98"/>
        <v>0</v>
      </c>
      <c r="AP741" s="347">
        <f t="shared" si="98"/>
        <v>0</v>
      </c>
      <c r="AQ741" s="347">
        <f t="shared" si="98"/>
        <v>0</v>
      </c>
      <c r="AR741" s="347">
        <f t="shared" si="98"/>
        <v>0</v>
      </c>
      <c r="AS741" s="347">
        <f t="shared" si="98"/>
        <v>0</v>
      </c>
      <c r="AT741" s="347">
        <f t="shared" si="98"/>
        <v>0</v>
      </c>
      <c r="AU741" s="347">
        <f t="shared" si="98"/>
        <v>0</v>
      </c>
      <c r="AV741" s="347">
        <f t="shared" si="98"/>
        <v>0</v>
      </c>
      <c r="AW741" s="347">
        <f t="shared" si="98"/>
        <v>0</v>
      </c>
      <c r="AX741" s="347">
        <f t="shared" si="98"/>
        <v>0</v>
      </c>
      <c r="AY741" s="347">
        <f t="shared" si="98"/>
        <v>0</v>
      </c>
      <c r="AZ741" s="347">
        <f t="shared" si="98"/>
        <v>0</v>
      </c>
      <c r="BA741" s="347">
        <f t="shared" si="98"/>
        <v>0</v>
      </c>
      <c r="BB741" s="347">
        <f t="shared" si="98"/>
        <v>0</v>
      </c>
      <c r="BC741" s="347">
        <f t="shared" si="98"/>
        <v>0</v>
      </c>
      <c r="BD741" s="347">
        <f t="shared" si="98"/>
        <v>0</v>
      </c>
      <c r="BE741" s="347">
        <f t="shared" si="98"/>
        <v>0</v>
      </c>
      <c r="BF741" s="347">
        <f t="shared" si="98"/>
        <v>0</v>
      </c>
      <c r="BG741" s="347">
        <f t="shared" si="98"/>
        <v>0</v>
      </c>
      <c r="BH741" s="347">
        <f>SUM(BH684:BH740)</f>
        <v>0</v>
      </c>
      <c r="BI741" s="351"/>
    </row>
    <row r="742" spans="1:61" ht="14.25" customHeight="1" thickBot="1">
      <c r="A742" s="348" t="s">
        <v>174</v>
      </c>
      <c r="B742" s="348" t="e">
        <f>B741/$BH741</f>
        <v>#DIV/0!</v>
      </c>
      <c r="C742" s="348" t="e">
        <f t="shared" ref="C742:BG742" si="99">C741/$BH741</f>
        <v>#DIV/0!</v>
      </c>
      <c r="D742" s="348" t="e">
        <f t="shared" si="99"/>
        <v>#DIV/0!</v>
      </c>
      <c r="E742" s="348" t="e">
        <f t="shared" si="99"/>
        <v>#DIV/0!</v>
      </c>
      <c r="F742" s="348" t="e">
        <f t="shared" si="99"/>
        <v>#DIV/0!</v>
      </c>
      <c r="G742" s="348" t="e">
        <f t="shared" si="99"/>
        <v>#DIV/0!</v>
      </c>
      <c r="H742" s="348" t="e">
        <f t="shared" si="99"/>
        <v>#DIV/0!</v>
      </c>
      <c r="I742" s="348" t="e">
        <f t="shared" si="99"/>
        <v>#DIV/0!</v>
      </c>
      <c r="J742" s="348" t="e">
        <f t="shared" si="99"/>
        <v>#DIV/0!</v>
      </c>
      <c r="K742" s="348" t="e">
        <f t="shared" si="99"/>
        <v>#DIV/0!</v>
      </c>
      <c r="L742" s="348" t="e">
        <f t="shared" si="99"/>
        <v>#DIV/0!</v>
      </c>
      <c r="M742" s="348" t="e">
        <f t="shared" si="99"/>
        <v>#DIV/0!</v>
      </c>
      <c r="N742" s="348" t="e">
        <f t="shared" si="99"/>
        <v>#DIV/0!</v>
      </c>
      <c r="O742" s="348" t="e">
        <f t="shared" si="99"/>
        <v>#DIV/0!</v>
      </c>
      <c r="P742" s="348" t="e">
        <f t="shared" si="99"/>
        <v>#DIV/0!</v>
      </c>
      <c r="Q742" s="348" t="e">
        <f t="shared" si="99"/>
        <v>#DIV/0!</v>
      </c>
      <c r="R742" s="348" t="e">
        <f t="shared" si="99"/>
        <v>#DIV/0!</v>
      </c>
      <c r="S742" s="348" t="e">
        <f t="shared" si="99"/>
        <v>#DIV/0!</v>
      </c>
      <c r="T742" s="348" t="e">
        <f t="shared" si="99"/>
        <v>#DIV/0!</v>
      </c>
      <c r="U742" s="348" t="e">
        <f t="shared" si="99"/>
        <v>#DIV/0!</v>
      </c>
      <c r="V742" s="348" t="e">
        <f t="shared" si="99"/>
        <v>#DIV/0!</v>
      </c>
      <c r="W742" s="348" t="e">
        <f t="shared" si="99"/>
        <v>#DIV/0!</v>
      </c>
      <c r="X742" s="348" t="e">
        <f t="shared" si="99"/>
        <v>#DIV/0!</v>
      </c>
      <c r="Y742" s="348" t="e">
        <f t="shared" si="99"/>
        <v>#DIV/0!</v>
      </c>
      <c r="Z742" s="348" t="e">
        <f t="shared" si="99"/>
        <v>#DIV/0!</v>
      </c>
      <c r="AA742" s="348" t="e">
        <f t="shared" si="99"/>
        <v>#DIV/0!</v>
      </c>
      <c r="AB742" s="348" t="e">
        <f t="shared" si="99"/>
        <v>#DIV/0!</v>
      </c>
      <c r="AC742" s="348" t="e">
        <f t="shared" si="99"/>
        <v>#DIV/0!</v>
      </c>
      <c r="AD742" s="348" t="e">
        <f t="shared" si="99"/>
        <v>#DIV/0!</v>
      </c>
      <c r="AE742" s="348" t="e">
        <f t="shared" si="99"/>
        <v>#DIV/0!</v>
      </c>
      <c r="AF742" s="348" t="e">
        <f t="shared" si="99"/>
        <v>#DIV/0!</v>
      </c>
      <c r="AG742" s="348" t="e">
        <f t="shared" si="99"/>
        <v>#DIV/0!</v>
      </c>
      <c r="AH742" s="348" t="e">
        <f t="shared" si="99"/>
        <v>#DIV/0!</v>
      </c>
      <c r="AI742" s="348" t="e">
        <f t="shared" si="99"/>
        <v>#DIV/0!</v>
      </c>
      <c r="AJ742" s="348" t="e">
        <f t="shared" si="99"/>
        <v>#DIV/0!</v>
      </c>
      <c r="AK742" s="348" t="e">
        <f t="shared" si="99"/>
        <v>#DIV/0!</v>
      </c>
      <c r="AL742" s="348" t="e">
        <f t="shared" si="99"/>
        <v>#DIV/0!</v>
      </c>
      <c r="AM742" s="348" t="e">
        <f t="shared" si="99"/>
        <v>#DIV/0!</v>
      </c>
      <c r="AN742" s="348" t="e">
        <f t="shared" si="99"/>
        <v>#DIV/0!</v>
      </c>
      <c r="AO742" s="348" t="e">
        <f t="shared" si="99"/>
        <v>#DIV/0!</v>
      </c>
      <c r="AP742" s="348" t="e">
        <f t="shared" si="99"/>
        <v>#DIV/0!</v>
      </c>
      <c r="AQ742" s="348" t="e">
        <f t="shared" si="99"/>
        <v>#DIV/0!</v>
      </c>
      <c r="AR742" s="348" t="e">
        <f t="shared" si="99"/>
        <v>#DIV/0!</v>
      </c>
      <c r="AS742" s="348" t="e">
        <f t="shared" si="99"/>
        <v>#DIV/0!</v>
      </c>
      <c r="AT742" s="348" t="e">
        <f t="shared" si="99"/>
        <v>#DIV/0!</v>
      </c>
      <c r="AU742" s="348" t="e">
        <f t="shared" si="99"/>
        <v>#DIV/0!</v>
      </c>
      <c r="AV742" s="348" t="e">
        <f t="shared" si="99"/>
        <v>#DIV/0!</v>
      </c>
      <c r="AW742" s="348" t="e">
        <f t="shared" si="99"/>
        <v>#DIV/0!</v>
      </c>
      <c r="AX742" s="348" t="e">
        <f t="shared" si="99"/>
        <v>#DIV/0!</v>
      </c>
      <c r="AY742" s="348" t="e">
        <f t="shared" si="99"/>
        <v>#DIV/0!</v>
      </c>
      <c r="AZ742" s="348" t="e">
        <f t="shared" si="99"/>
        <v>#DIV/0!</v>
      </c>
      <c r="BA742" s="348" t="e">
        <f t="shared" si="99"/>
        <v>#DIV/0!</v>
      </c>
      <c r="BB742" s="348" t="e">
        <f t="shared" si="99"/>
        <v>#DIV/0!</v>
      </c>
      <c r="BC742" s="348" t="e">
        <f t="shared" si="99"/>
        <v>#DIV/0!</v>
      </c>
      <c r="BD742" s="348" t="e">
        <f t="shared" si="99"/>
        <v>#DIV/0!</v>
      </c>
      <c r="BE742" s="348" t="e">
        <f t="shared" si="99"/>
        <v>#DIV/0!</v>
      </c>
      <c r="BF742" s="348" t="e">
        <f t="shared" si="99"/>
        <v>#DIV/0!</v>
      </c>
      <c r="BG742" s="348" t="e">
        <f t="shared" si="99"/>
        <v>#DIV/0!</v>
      </c>
      <c r="BH742" s="351"/>
    </row>
    <row r="743" spans="1:61" ht="14.25" customHeight="1"/>
    <row r="744" spans="1:61" s="184" customFormat="1" ht="15">
      <c r="A744" s="519" t="s">
        <v>173</v>
      </c>
      <c r="B744" s="519">
        <f t="shared" ref="B744:AG744" si="100">SUM(B741,B679,B617,B557,B494,B433,B372,B306,B245,B184,B123,B66)</f>
        <v>22</v>
      </c>
      <c r="C744" s="519">
        <f t="shared" si="100"/>
        <v>0</v>
      </c>
      <c r="D744" s="519">
        <f t="shared" si="100"/>
        <v>0</v>
      </c>
      <c r="E744" s="519">
        <f t="shared" si="100"/>
        <v>0</v>
      </c>
      <c r="F744" s="519">
        <f t="shared" si="100"/>
        <v>0</v>
      </c>
      <c r="G744" s="519">
        <f t="shared" si="100"/>
        <v>2438</v>
      </c>
      <c r="H744" s="519">
        <f t="shared" si="100"/>
        <v>1639</v>
      </c>
      <c r="I744" s="519">
        <f t="shared" si="100"/>
        <v>2612</v>
      </c>
      <c r="J744" s="519">
        <f t="shared" si="100"/>
        <v>0</v>
      </c>
      <c r="K744" s="519">
        <f t="shared" si="100"/>
        <v>0</v>
      </c>
      <c r="L744" s="519">
        <f t="shared" si="100"/>
        <v>0</v>
      </c>
      <c r="M744" s="519">
        <f t="shared" si="100"/>
        <v>7</v>
      </c>
      <c r="N744" s="519">
        <f t="shared" si="100"/>
        <v>2748</v>
      </c>
      <c r="O744" s="519">
        <f t="shared" si="100"/>
        <v>0</v>
      </c>
      <c r="P744" s="519">
        <f t="shared" si="100"/>
        <v>140</v>
      </c>
      <c r="Q744" s="519">
        <f t="shared" si="100"/>
        <v>0</v>
      </c>
      <c r="R744" s="519">
        <f t="shared" si="100"/>
        <v>280</v>
      </c>
      <c r="S744" s="519">
        <f t="shared" si="100"/>
        <v>14</v>
      </c>
      <c r="T744" s="519">
        <f t="shared" si="100"/>
        <v>0</v>
      </c>
      <c r="U744" s="519">
        <f t="shared" si="100"/>
        <v>3</v>
      </c>
      <c r="V744" s="519">
        <f t="shared" si="100"/>
        <v>0</v>
      </c>
      <c r="W744" s="519">
        <f t="shared" si="100"/>
        <v>0</v>
      </c>
      <c r="X744" s="519">
        <f t="shared" si="100"/>
        <v>0</v>
      </c>
      <c r="Y744" s="519">
        <f t="shared" si="100"/>
        <v>0</v>
      </c>
      <c r="Z744" s="519">
        <f t="shared" si="100"/>
        <v>0</v>
      </c>
      <c r="AA744" s="519">
        <f t="shared" si="100"/>
        <v>0</v>
      </c>
      <c r="AB744" s="519">
        <f t="shared" si="100"/>
        <v>0</v>
      </c>
      <c r="AC744" s="519">
        <f t="shared" si="100"/>
        <v>0</v>
      </c>
      <c r="AD744" s="519">
        <f t="shared" si="100"/>
        <v>0</v>
      </c>
      <c r="AE744" s="519">
        <f t="shared" si="100"/>
        <v>25</v>
      </c>
      <c r="AF744" s="519">
        <f t="shared" si="100"/>
        <v>0</v>
      </c>
      <c r="AG744" s="519">
        <f t="shared" si="100"/>
        <v>0</v>
      </c>
      <c r="AH744" s="519">
        <f t="shared" ref="AH744:BH744" si="101">SUM(AH741,AH679,AH617,AH557,AH494,AH433,AH372,AH306,AH245,AH184,AH123,AH66)</f>
        <v>0</v>
      </c>
      <c r="AI744" s="519">
        <f t="shared" si="101"/>
        <v>0</v>
      </c>
      <c r="AJ744" s="519">
        <f t="shared" si="101"/>
        <v>8</v>
      </c>
      <c r="AK744" s="519">
        <f t="shared" si="101"/>
        <v>26</v>
      </c>
      <c r="AL744" s="519">
        <f t="shared" si="101"/>
        <v>0</v>
      </c>
      <c r="AM744" s="519">
        <f t="shared" si="101"/>
        <v>59</v>
      </c>
      <c r="AN744" s="519">
        <f t="shared" si="101"/>
        <v>40</v>
      </c>
      <c r="AO744" s="519">
        <f t="shared" si="101"/>
        <v>78</v>
      </c>
      <c r="AP744" s="519">
        <f t="shared" si="101"/>
        <v>258</v>
      </c>
      <c r="AQ744" s="519">
        <f t="shared" si="101"/>
        <v>275</v>
      </c>
      <c r="AR744" s="519">
        <f t="shared" si="101"/>
        <v>646</v>
      </c>
      <c r="AS744" s="519">
        <f t="shared" si="101"/>
        <v>255</v>
      </c>
      <c r="AT744" s="519">
        <f t="shared" si="101"/>
        <v>0</v>
      </c>
      <c r="AU744" s="519">
        <f t="shared" si="101"/>
        <v>4</v>
      </c>
      <c r="AV744" s="519">
        <f t="shared" si="101"/>
        <v>0</v>
      </c>
      <c r="AW744" s="519">
        <f t="shared" si="101"/>
        <v>0</v>
      </c>
      <c r="AX744" s="519">
        <f t="shared" si="101"/>
        <v>0</v>
      </c>
      <c r="AY744" s="519">
        <f t="shared" si="101"/>
        <v>0</v>
      </c>
      <c r="AZ744" s="519">
        <f t="shared" si="101"/>
        <v>31</v>
      </c>
      <c r="BA744" s="519">
        <f t="shared" si="101"/>
        <v>0</v>
      </c>
      <c r="BB744" s="519">
        <f t="shared" si="101"/>
        <v>0</v>
      </c>
      <c r="BC744" s="519">
        <f t="shared" si="101"/>
        <v>7</v>
      </c>
      <c r="BD744" s="519">
        <f t="shared" si="101"/>
        <v>0</v>
      </c>
      <c r="BE744" s="519">
        <f t="shared" si="101"/>
        <v>30</v>
      </c>
      <c r="BF744" s="519">
        <f t="shared" si="101"/>
        <v>1923</v>
      </c>
      <c r="BG744" s="519">
        <f t="shared" si="101"/>
        <v>258</v>
      </c>
      <c r="BH744" s="519">
        <f t="shared" si="101"/>
        <v>13826</v>
      </c>
    </row>
    <row r="745" spans="1:61" s="184" customFormat="1" ht="15.75" thickBot="1">
      <c r="A745" s="521" t="s">
        <v>43</v>
      </c>
      <c r="B745" s="521">
        <f>B744/$BH744</f>
        <v>1.5912049761319254E-3</v>
      </c>
      <c r="C745" s="521">
        <f t="shared" ref="C745:BF745" si="102">C744/$BH744</f>
        <v>0</v>
      </c>
      <c r="D745" s="521">
        <f t="shared" si="102"/>
        <v>0</v>
      </c>
      <c r="E745" s="521">
        <f t="shared" si="102"/>
        <v>0</v>
      </c>
      <c r="F745" s="521">
        <f t="shared" si="102"/>
        <v>0</v>
      </c>
      <c r="G745" s="521">
        <f t="shared" si="102"/>
        <v>0.17633444235498336</v>
      </c>
      <c r="H745" s="521">
        <f t="shared" si="102"/>
        <v>0.11854477072182844</v>
      </c>
      <c r="I745" s="521">
        <f t="shared" si="102"/>
        <v>0.1889194271662086</v>
      </c>
      <c r="J745" s="521">
        <f t="shared" si="102"/>
        <v>0</v>
      </c>
      <c r="K745" s="521">
        <f t="shared" si="102"/>
        <v>0</v>
      </c>
      <c r="L745" s="521">
        <f t="shared" si="102"/>
        <v>0</v>
      </c>
      <c r="M745" s="521">
        <f t="shared" si="102"/>
        <v>5.0629249240561258E-4</v>
      </c>
      <c r="N745" s="521">
        <f t="shared" si="102"/>
        <v>0.1987559670186605</v>
      </c>
      <c r="O745" s="521">
        <f t="shared" si="102"/>
        <v>0</v>
      </c>
      <c r="P745" s="521">
        <f t="shared" si="102"/>
        <v>1.0125849848112252E-2</v>
      </c>
      <c r="Q745" s="521">
        <f t="shared" si="102"/>
        <v>0</v>
      </c>
      <c r="R745" s="521">
        <f t="shared" si="102"/>
        <v>2.0251699696224503E-2</v>
      </c>
      <c r="S745" s="521">
        <f t="shared" si="102"/>
        <v>1.0125849848112252E-3</v>
      </c>
      <c r="T745" s="521">
        <f t="shared" si="102"/>
        <v>0</v>
      </c>
      <c r="U745" s="521">
        <f t="shared" si="102"/>
        <v>2.1698249674526255E-4</v>
      </c>
      <c r="V745" s="521">
        <f t="shared" si="102"/>
        <v>0</v>
      </c>
      <c r="W745" s="521">
        <f t="shared" si="102"/>
        <v>0</v>
      </c>
      <c r="X745" s="521">
        <f t="shared" si="102"/>
        <v>0</v>
      </c>
      <c r="Y745" s="521">
        <f t="shared" si="102"/>
        <v>0</v>
      </c>
      <c r="Z745" s="521">
        <f t="shared" si="102"/>
        <v>0</v>
      </c>
      <c r="AA745" s="521">
        <f t="shared" si="102"/>
        <v>0</v>
      </c>
      <c r="AB745" s="521">
        <f t="shared" si="102"/>
        <v>0</v>
      </c>
      <c r="AC745" s="521">
        <f t="shared" si="102"/>
        <v>0</v>
      </c>
      <c r="AD745" s="521">
        <f t="shared" si="102"/>
        <v>0</v>
      </c>
      <c r="AE745" s="521">
        <f t="shared" si="102"/>
        <v>1.8081874728771879E-3</v>
      </c>
      <c r="AF745" s="521">
        <f t="shared" si="102"/>
        <v>0</v>
      </c>
      <c r="AG745" s="521">
        <f t="shared" si="102"/>
        <v>0</v>
      </c>
      <c r="AH745" s="521">
        <f t="shared" si="102"/>
        <v>0</v>
      </c>
      <c r="AI745" s="521">
        <f t="shared" si="102"/>
        <v>0</v>
      </c>
      <c r="AJ745" s="521">
        <f t="shared" si="102"/>
        <v>5.7861999132070017E-4</v>
      </c>
      <c r="AK745" s="521">
        <f t="shared" si="102"/>
        <v>1.8805149717922754E-3</v>
      </c>
      <c r="AL745" s="521">
        <f t="shared" si="102"/>
        <v>0</v>
      </c>
      <c r="AM745" s="521">
        <f t="shared" si="102"/>
        <v>4.2673224359901637E-3</v>
      </c>
      <c r="AN745" s="521">
        <f t="shared" si="102"/>
        <v>2.8930999566035005E-3</v>
      </c>
      <c r="AO745" s="521">
        <f t="shared" si="102"/>
        <v>5.6415449153768265E-3</v>
      </c>
      <c r="AP745" s="521">
        <f t="shared" si="102"/>
        <v>1.8660494720092579E-2</v>
      </c>
      <c r="AQ745" s="521">
        <f t="shared" si="102"/>
        <v>1.9890062201649066E-2</v>
      </c>
      <c r="AR745" s="521">
        <f t="shared" si="102"/>
        <v>4.6723564299146536E-2</v>
      </c>
      <c r="AS745" s="521">
        <f t="shared" si="102"/>
        <v>1.8443512223347315E-2</v>
      </c>
      <c r="AT745" s="521">
        <f t="shared" si="102"/>
        <v>0</v>
      </c>
      <c r="AU745" s="521">
        <f t="shared" si="102"/>
        <v>2.8930999566035008E-4</v>
      </c>
      <c r="AV745" s="521">
        <f t="shared" si="102"/>
        <v>0</v>
      </c>
      <c r="AW745" s="521">
        <f t="shared" si="102"/>
        <v>0</v>
      </c>
      <c r="AX745" s="521">
        <f t="shared" si="102"/>
        <v>0</v>
      </c>
      <c r="AY745" s="521">
        <f t="shared" si="102"/>
        <v>0</v>
      </c>
      <c r="AZ745" s="521">
        <f t="shared" si="102"/>
        <v>2.242152466367713E-3</v>
      </c>
      <c r="BA745" s="521">
        <f t="shared" si="102"/>
        <v>0</v>
      </c>
      <c r="BB745" s="521">
        <f t="shared" si="102"/>
        <v>0</v>
      </c>
      <c r="BC745" s="521">
        <f t="shared" si="102"/>
        <v>5.0629249240561258E-4</v>
      </c>
      <c r="BD745" s="521">
        <f t="shared" si="102"/>
        <v>0</v>
      </c>
      <c r="BE745" s="521">
        <f t="shared" si="102"/>
        <v>2.1698249674526253E-3</v>
      </c>
      <c r="BF745" s="521">
        <f t="shared" si="102"/>
        <v>0.13908578041371331</v>
      </c>
      <c r="BG745" s="521">
        <f>BG744/$BH744</f>
        <v>1.8660494720092579E-2</v>
      </c>
    </row>
    <row r="746" spans="1:61" ht="14.25" customHeight="1"/>
  </sheetData>
  <mergeCells count="1">
    <mergeCell ref="A6:A7"/>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tabColor rgb="FF00B0F0"/>
  </sheetPr>
  <dimension ref="A3:AO740"/>
  <sheetViews>
    <sheetView tabSelected="1" zoomScale="110" zoomScaleNormal="110" workbookViewId="0">
      <pane xSplit="1" ySplit="4" topLeftCell="B551" activePane="bottomRight" state="frozen"/>
      <selection pane="topRight"/>
      <selection pane="bottomLeft"/>
      <selection pane="bottomRight" activeCell="P567" sqref="P567"/>
    </sheetView>
  </sheetViews>
  <sheetFormatPr defaultColWidth="9" defaultRowHeight="12.75"/>
  <cols>
    <col min="1" max="1" width="13.42578125" customWidth="1"/>
    <col min="2" max="2" width="17.5703125" customWidth="1"/>
    <col min="3" max="3" width="15.5703125" customWidth="1"/>
    <col min="4" max="4" width="17.42578125" customWidth="1"/>
    <col min="5" max="5" width="9.5703125" customWidth="1"/>
    <col min="6" max="7" width="10.42578125" customWidth="1"/>
    <col min="8" max="8" width="9.5703125" customWidth="1"/>
    <col min="9" max="9" width="8.5703125" customWidth="1"/>
    <col min="10" max="10" width="12.5703125" customWidth="1"/>
    <col min="11" max="12" width="14" customWidth="1"/>
    <col min="13" max="13" width="11.5703125" customWidth="1"/>
    <col min="14" max="14" width="16.42578125" customWidth="1"/>
    <col min="15" max="15" width="12.42578125" customWidth="1"/>
    <col min="16" max="17" width="11.42578125" customWidth="1"/>
    <col min="18" max="18" width="9.42578125" customWidth="1"/>
    <col min="19" max="19" width="10" customWidth="1"/>
    <col min="20" max="20" width="12" customWidth="1"/>
    <col min="21" max="21" width="18.5703125" customWidth="1"/>
    <col min="22" max="22" width="10.42578125" customWidth="1"/>
    <col min="23" max="23" width="16.42578125" customWidth="1"/>
    <col min="24" max="24" width="15.5703125" customWidth="1"/>
    <col min="25" max="25" width="17.42578125" customWidth="1"/>
    <col min="26" max="26" width="14.42578125" customWidth="1"/>
    <col min="27" max="27" width="11.42578125" customWidth="1"/>
    <col min="28" max="28" width="8.42578125" customWidth="1"/>
    <col min="29" max="34" width="15.5703125" customWidth="1"/>
  </cols>
  <sheetData>
    <row r="3" spans="1:36" ht="15">
      <c r="B3" s="279" t="s">
        <v>316</v>
      </c>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row>
    <row r="4" spans="1:36" s="37" customFormat="1" ht="51.75">
      <c r="A4" s="365" t="s">
        <v>81</v>
      </c>
      <c r="B4" s="366" t="s">
        <v>317</v>
      </c>
      <c r="C4" s="367" t="s">
        <v>318</v>
      </c>
      <c r="D4" s="368" t="s">
        <v>319</v>
      </c>
      <c r="E4" s="368" t="s">
        <v>320</v>
      </c>
      <c r="F4" s="367" t="s">
        <v>321</v>
      </c>
      <c r="G4" s="367" t="s">
        <v>322</v>
      </c>
      <c r="H4" s="367" t="s">
        <v>323</v>
      </c>
      <c r="I4" s="367" t="s">
        <v>324</v>
      </c>
      <c r="J4" s="367" t="s">
        <v>205</v>
      </c>
      <c r="K4" s="367" t="s">
        <v>325</v>
      </c>
      <c r="L4" s="370" t="s">
        <v>326</v>
      </c>
      <c r="M4" s="367" t="s">
        <v>327</v>
      </c>
      <c r="N4" s="349" t="s">
        <v>328</v>
      </c>
      <c r="O4" s="561" t="s">
        <v>329</v>
      </c>
      <c r="P4" s="367" t="s">
        <v>330</v>
      </c>
      <c r="Q4" s="370" t="s">
        <v>331</v>
      </c>
      <c r="R4" s="367" t="s">
        <v>332</v>
      </c>
      <c r="S4" s="562" t="s">
        <v>333</v>
      </c>
      <c r="T4" s="367" t="s">
        <v>334</v>
      </c>
      <c r="U4" s="372" t="s">
        <v>335</v>
      </c>
      <c r="V4" s="367" t="s">
        <v>336</v>
      </c>
      <c r="W4" s="373" t="s">
        <v>337</v>
      </c>
      <c r="X4" s="367" t="s">
        <v>338</v>
      </c>
      <c r="Y4" s="374" t="s">
        <v>339</v>
      </c>
      <c r="Z4" s="349" t="s">
        <v>340</v>
      </c>
      <c r="AA4" s="349" t="s">
        <v>341</v>
      </c>
      <c r="AB4" s="370" t="s">
        <v>342</v>
      </c>
      <c r="AC4" s="370" t="s">
        <v>343</v>
      </c>
      <c r="AD4" s="367" t="s">
        <v>344</v>
      </c>
      <c r="AE4" s="517" t="s">
        <v>345</v>
      </c>
      <c r="AF4" s="367" t="s">
        <v>346</v>
      </c>
      <c r="AG4" s="367" t="s">
        <v>347</v>
      </c>
      <c r="AH4" s="367" t="s">
        <v>348</v>
      </c>
    </row>
    <row r="5" spans="1:36" s="364" customFormat="1" ht="26.25">
      <c r="A5" s="369">
        <v>2026</v>
      </c>
    </row>
    <row r="6" spans="1:36">
      <c r="A6" s="165">
        <f>'Conveyor Downtime (new)'!A6</f>
        <v>46024</v>
      </c>
      <c r="B6" s="346"/>
      <c r="C6" s="346"/>
      <c r="D6" s="346"/>
      <c r="E6" s="346"/>
      <c r="F6" s="346"/>
      <c r="G6" s="346"/>
      <c r="H6" s="346"/>
      <c r="I6" s="346"/>
      <c r="J6" s="346"/>
      <c r="K6" s="346"/>
      <c r="L6" s="346"/>
      <c r="M6" s="346"/>
      <c r="N6" s="346"/>
      <c r="O6" s="346">
        <f>6+5</f>
        <v>11</v>
      </c>
      <c r="P6" s="346"/>
      <c r="Q6" s="346"/>
      <c r="R6" s="346"/>
      <c r="S6" s="346"/>
      <c r="T6" s="346"/>
      <c r="U6" s="346"/>
      <c r="V6" s="346"/>
      <c r="W6" s="346"/>
      <c r="X6" s="346"/>
      <c r="Y6" s="346"/>
      <c r="Z6" s="346"/>
      <c r="AA6" s="346"/>
      <c r="AB6" s="346"/>
      <c r="AC6" s="346"/>
      <c r="AD6" s="346"/>
      <c r="AE6" s="346"/>
      <c r="AF6" s="346"/>
      <c r="AG6" s="346"/>
      <c r="AH6" s="346"/>
      <c r="AI6">
        <f t="shared" ref="AI6:AI50" si="0">SUM(B6:AH6)</f>
        <v>11</v>
      </c>
      <c r="AJ6" s="351">
        <f t="shared" ref="AJ6:AJ50" si="1">AI6/$AI$67</f>
        <v>2.4663677130044841E-2</v>
      </c>
    </row>
    <row r="7" spans="1:36">
      <c r="A7" s="165">
        <f>'Conveyor Downtime (new)'!A7</f>
        <v>46027</v>
      </c>
      <c r="AI7">
        <f t="shared" si="0"/>
        <v>0</v>
      </c>
      <c r="AJ7" s="351">
        <f t="shared" si="1"/>
        <v>0</v>
      </c>
    </row>
    <row r="8" spans="1:36">
      <c r="A8" s="165">
        <f>'Conveyor Downtime (new)'!A8</f>
        <v>46028</v>
      </c>
      <c r="B8" s="346"/>
      <c r="C8" s="346"/>
      <c r="D8" s="346"/>
      <c r="E8" s="346"/>
      <c r="F8" s="346"/>
      <c r="G8" s="346"/>
      <c r="H8" s="346"/>
      <c r="I8" s="346"/>
      <c r="J8" s="346"/>
      <c r="K8" s="346"/>
      <c r="L8" s="346"/>
      <c r="M8" s="346"/>
      <c r="N8" s="346"/>
      <c r="O8" s="346"/>
      <c r="P8" s="346"/>
      <c r="Q8" s="346"/>
      <c r="R8" s="346"/>
      <c r="S8" s="346"/>
      <c r="T8" s="346"/>
      <c r="U8" s="346"/>
      <c r="V8" s="346"/>
      <c r="W8" s="346"/>
      <c r="X8" s="346"/>
      <c r="Y8" s="346"/>
      <c r="Z8" s="346"/>
      <c r="AA8" s="346"/>
      <c r="AB8" s="346"/>
      <c r="AC8" s="346"/>
      <c r="AD8" s="346"/>
      <c r="AE8" s="346"/>
      <c r="AF8" s="346"/>
      <c r="AG8" s="346"/>
      <c r="AH8" s="346"/>
      <c r="AI8">
        <f t="shared" si="0"/>
        <v>0</v>
      </c>
      <c r="AJ8" s="351">
        <f t="shared" si="1"/>
        <v>0</v>
      </c>
    </row>
    <row r="9" spans="1:36">
      <c r="A9" s="165">
        <f>'Conveyor Downtime (new)'!A9</f>
        <v>46029</v>
      </c>
      <c r="AI9">
        <f t="shared" si="0"/>
        <v>0</v>
      </c>
      <c r="AJ9" s="351">
        <f t="shared" si="1"/>
        <v>0</v>
      </c>
    </row>
    <row r="10" spans="1:36">
      <c r="A10" s="165">
        <f>'Conveyor Downtime (new)'!A10</f>
        <v>46030</v>
      </c>
      <c r="B10" s="346"/>
      <c r="C10" s="346"/>
      <c r="D10" s="346"/>
      <c r="E10" s="346"/>
      <c r="F10" s="346"/>
      <c r="G10" s="346"/>
      <c r="H10" s="346"/>
      <c r="I10" s="346"/>
      <c r="J10" s="346"/>
      <c r="K10" s="346"/>
      <c r="L10" s="346"/>
      <c r="M10" s="346"/>
      <c r="N10" s="346"/>
      <c r="O10" s="346">
        <f>2+10</f>
        <v>12</v>
      </c>
      <c r="P10" s="346"/>
      <c r="Q10" s="346"/>
      <c r="R10" s="346"/>
      <c r="S10" s="346"/>
      <c r="T10" s="346"/>
      <c r="U10" s="346"/>
      <c r="V10" s="346"/>
      <c r="W10" s="346"/>
      <c r="X10" s="346"/>
      <c r="Y10" s="346"/>
      <c r="Z10" s="346"/>
      <c r="AA10" s="346"/>
      <c r="AB10" s="346"/>
      <c r="AC10" s="346"/>
      <c r="AD10" s="346"/>
      <c r="AE10" s="346"/>
      <c r="AF10" s="346"/>
      <c r="AG10" s="346"/>
      <c r="AH10" s="346"/>
      <c r="AI10">
        <f t="shared" si="0"/>
        <v>12</v>
      </c>
      <c r="AJ10" s="351">
        <f t="shared" si="1"/>
        <v>2.6905829596412557E-2</v>
      </c>
    </row>
    <row r="11" spans="1:36">
      <c r="A11" s="165">
        <f>'Conveyor Downtime (new)'!A11</f>
        <v>46031</v>
      </c>
      <c r="N11">
        <f>37+10</f>
        <v>47</v>
      </c>
      <c r="O11">
        <v>2</v>
      </c>
      <c r="U11">
        <f>2+2+2</f>
        <v>6</v>
      </c>
      <c r="Y11">
        <f>2+2</f>
        <v>4</v>
      </c>
      <c r="AI11">
        <f t="shared" si="0"/>
        <v>59</v>
      </c>
      <c r="AJ11" s="351">
        <f t="shared" si="1"/>
        <v>0.13228699551569506</v>
      </c>
    </row>
    <row r="12" spans="1:36">
      <c r="A12" s="165">
        <f>'Conveyor Downtime (new)'!A12</f>
        <v>46031</v>
      </c>
      <c r="B12" s="346"/>
      <c r="C12" s="346"/>
      <c r="D12" s="346"/>
      <c r="E12" s="346"/>
      <c r="F12" s="346"/>
      <c r="G12" s="346"/>
      <c r="H12" s="346"/>
      <c r="I12" s="346"/>
      <c r="J12" s="346"/>
      <c r="K12" s="346"/>
      <c r="L12" s="346"/>
      <c r="M12" s="346"/>
      <c r="N12" s="346"/>
      <c r="O12" s="346"/>
      <c r="P12" s="346"/>
      <c r="Q12" s="346"/>
      <c r="R12" s="346"/>
      <c r="S12" s="346"/>
      <c r="T12" s="346"/>
      <c r="U12" s="346"/>
      <c r="V12" s="346"/>
      <c r="W12" s="346"/>
      <c r="X12" s="346"/>
      <c r="Y12" s="346"/>
      <c r="Z12" s="346"/>
      <c r="AA12" s="346"/>
      <c r="AB12" s="346"/>
      <c r="AC12" s="346"/>
      <c r="AD12" s="346"/>
      <c r="AE12" s="346"/>
      <c r="AF12" s="346"/>
      <c r="AG12" s="346"/>
      <c r="AH12" s="346"/>
      <c r="AI12">
        <f t="shared" si="0"/>
        <v>0</v>
      </c>
      <c r="AJ12" s="351">
        <f t="shared" si="1"/>
        <v>0</v>
      </c>
    </row>
    <row r="13" spans="1:36">
      <c r="A13" s="165">
        <f>'Conveyor Downtime (new)'!A13</f>
        <v>46032</v>
      </c>
      <c r="N13">
        <f>6+5+6</f>
        <v>17</v>
      </c>
      <c r="U13">
        <f>2</f>
        <v>2</v>
      </c>
      <c r="Y13">
        <f>2</f>
        <v>2</v>
      </c>
      <c r="AI13">
        <f t="shared" si="0"/>
        <v>21</v>
      </c>
      <c r="AJ13" s="351">
        <f t="shared" si="1"/>
        <v>4.708520179372197E-2</v>
      </c>
    </row>
    <row r="14" spans="1:36">
      <c r="A14" s="165">
        <f>'Conveyor Downtime (new)'!A14</f>
        <v>46034</v>
      </c>
      <c r="B14" s="346"/>
      <c r="C14" s="346"/>
      <c r="D14" s="346"/>
      <c r="E14" s="346"/>
      <c r="F14" s="346"/>
      <c r="G14" s="346"/>
      <c r="H14" s="346"/>
      <c r="I14" s="346"/>
      <c r="J14" s="346"/>
      <c r="K14" s="346"/>
      <c r="L14" s="346"/>
      <c r="M14" s="346"/>
      <c r="N14" s="346"/>
      <c r="O14" s="346">
        <f>5+4</f>
        <v>9</v>
      </c>
      <c r="P14" s="346"/>
      <c r="Q14" s="346"/>
      <c r="R14" s="346"/>
      <c r="S14" s="346"/>
      <c r="T14" s="346"/>
      <c r="U14" s="346"/>
      <c r="V14" s="346"/>
      <c r="W14" s="346"/>
      <c r="X14" s="346"/>
      <c r="Y14" s="346"/>
      <c r="Z14" s="346"/>
      <c r="AA14" s="346"/>
      <c r="AB14" s="346"/>
      <c r="AC14" s="346"/>
      <c r="AD14" s="346"/>
      <c r="AE14" s="346"/>
      <c r="AF14" s="346"/>
      <c r="AG14" s="346"/>
      <c r="AH14" s="346"/>
      <c r="AI14">
        <f t="shared" si="0"/>
        <v>9</v>
      </c>
      <c r="AJ14" s="351">
        <f t="shared" si="1"/>
        <v>2.0179372197309416E-2</v>
      </c>
    </row>
    <row r="15" spans="1:36">
      <c r="A15" s="165">
        <f>'Conveyor Downtime (new)'!A15</f>
        <v>46034</v>
      </c>
      <c r="AI15">
        <f t="shared" si="0"/>
        <v>0</v>
      </c>
      <c r="AJ15" s="351">
        <f t="shared" si="1"/>
        <v>0</v>
      </c>
    </row>
    <row r="16" spans="1:36">
      <c r="A16" s="165">
        <f>'Conveyor Downtime (new)'!A16</f>
        <v>46034</v>
      </c>
      <c r="B16" s="346"/>
      <c r="C16" s="346"/>
      <c r="D16" s="346"/>
      <c r="E16" s="346"/>
      <c r="F16" s="346"/>
      <c r="G16" s="346"/>
      <c r="H16" s="346"/>
      <c r="I16" s="346"/>
      <c r="J16" s="346"/>
      <c r="K16" s="346"/>
      <c r="L16" s="346"/>
      <c r="M16" s="346"/>
      <c r="N16" s="346"/>
      <c r="O16" s="346"/>
      <c r="P16" s="346"/>
      <c r="Q16" s="346"/>
      <c r="R16" s="346"/>
      <c r="S16" s="346"/>
      <c r="T16" s="346"/>
      <c r="U16" s="346"/>
      <c r="V16" s="346"/>
      <c r="W16" s="346"/>
      <c r="X16" s="346"/>
      <c r="Y16" s="346"/>
      <c r="Z16" s="346"/>
      <c r="AA16" s="346"/>
      <c r="AB16" s="346"/>
      <c r="AC16" s="346"/>
      <c r="AD16" s="346"/>
      <c r="AE16" s="346"/>
      <c r="AF16" s="346"/>
      <c r="AG16" s="346"/>
      <c r="AH16" s="346"/>
      <c r="AI16">
        <f t="shared" si="0"/>
        <v>0</v>
      </c>
      <c r="AJ16" s="351">
        <f t="shared" si="1"/>
        <v>0</v>
      </c>
    </row>
    <row r="17" spans="1:36">
      <c r="A17" s="165">
        <f>'Conveyor Downtime (new)'!A17</f>
        <v>46035</v>
      </c>
      <c r="I17">
        <f>1</f>
        <v>1</v>
      </c>
      <c r="Y17">
        <f>2</f>
        <v>2</v>
      </c>
      <c r="AI17">
        <f t="shared" si="0"/>
        <v>3</v>
      </c>
      <c r="AJ17" s="351">
        <f t="shared" si="1"/>
        <v>6.7264573991031393E-3</v>
      </c>
    </row>
    <row r="18" spans="1:36">
      <c r="A18" s="165">
        <f>'Conveyor Downtime (new)'!A18</f>
        <v>46035</v>
      </c>
      <c r="B18" s="346"/>
      <c r="C18" s="346"/>
      <c r="D18" s="346"/>
      <c r="E18" s="346"/>
      <c r="F18" s="346"/>
      <c r="G18" s="346"/>
      <c r="H18" s="346"/>
      <c r="I18" s="346"/>
      <c r="J18" s="346"/>
      <c r="K18" s="346"/>
      <c r="L18" s="346"/>
      <c r="M18" s="346"/>
      <c r="N18" s="346"/>
      <c r="O18" s="346"/>
      <c r="P18" s="346"/>
      <c r="Q18" s="346"/>
      <c r="R18" s="346"/>
      <c r="S18" s="346"/>
      <c r="T18" s="346"/>
      <c r="U18" s="346"/>
      <c r="V18" s="346"/>
      <c r="W18" s="346"/>
      <c r="X18" s="346"/>
      <c r="Y18" s="346">
        <f>2+2+3</f>
        <v>7</v>
      </c>
      <c r="Z18" s="346"/>
      <c r="AA18" s="346"/>
      <c r="AB18" s="346"/>
      <c r="AC18" s="346"/>
      <c r="AD18" s="346"/>
      <c r="AE18" s="346"/>
      <c r="AF18" s="346"/>
      <c r="AG18" s="346"/>
      <c r="AH18" s="346"/>
      <c r="AI18">
        <f t="shared" si="0"/>
        <v>7</v>
      </c>
      <c r="AJ18" s="351">
        <f t="shared" si="1"/>
        <v>1.5695067264573991E-2</v>
      </c>
    </row>
    <row r="19" spans="1:36">
      <c r="A19" s="165">
        <f>'Conveyor Downtime (new)'!A19</f>
        <v>46036</v>
      </c>
      <c r="O19" s="371"/>
      <c r="AI19">
        <f t="shared" si="0"/>
        <v>0</v>
      </c>
      <c r="AJ19" s="351">
        <f t="shared" si="1"/>
        <v>0</v>
      </c>
    </row>
    <row r="20" spans="1:36">
      <c r="A20" s="165">
        <f>'Conveyor Downtime (new)'!A20</f>
        <v>46036</v>
      </c>
      <c r="B20" s="346"/>
      <c r="C20" s="346"/>
      <c r="D20" s="346"/>
      <c r="E20" s="346"/>
      <c r="F20" s="346"/>
      <c r="G20" s="346"/>
      <c r="H20" s="346"/>
      <c r="I20" s="346"/>
      <c r="J20" s="346"/>
      <c r="K20" s="346"/>
      <c r="L20" s="346"/>
      <c r="M20" s="346"/>
      <c r="N20" s="346"/>
      <c r="O20" s="346">
        <f>3+9</f>
        <v>12</v>
      </c>
      <c r="P20" s="346"/>
      <c r="Q20" s="346"/>
      <c r="R20" s="346"/>
      <c r="S20" s="346"/>
      <c r="T20" s="346"/>
      <c r="U20" s="346"/>
      <c r="V20" s="346"/>
      <c r="W20" s="346"/>
      <c r="X20" s="346"/>
      <c r="Y20" s="346">
        <f>1+2+2</f>
        <v>5</v>
      </c>
      <c r="Z20" s="346"/>
      <c r="AA20" s="346"/>
      <c r="AB20" s="346"/>
      <c r="AC20" s="346"/>
      <c r="AD20" s="346"/>
      <c r="AE20" s="346"/>
      <c r="AF20" s="346"/>
      <c r="AG20" s="346"/>
      <c r="AH20" s="346"/>
      <c r="AI20">
        <f t="shared" si="0"/>
        <v>17</v>
      </c>
      <c r="AJ20" s="351">
        <f t="shared" si="1"/>
        <v>3.811659192825112E-2</v>
      </c>
    </row>
    <row r="21" spans="1:36">
      <c r="A21" s="165">
        <f>'Conveyor Downtime (new)'!A21</f>
        <v>46037</v>
      </c>
      <c r="O21">
        <f>8+2</f>
        <v>10</v>
      </c>
      <c r="Y21">
        <f>4+3+4+3+3+4+2+3</f>
        <v>26</v>
      </c>
      <c r="AI21">
        <f t="shared" si="0"/>
        <v>36</v>
      </c>
      <c r="AJ21" s="351">
        <f t="shared" si="1"/>
        <v>8.0717488789237665E-2</v>
      </c>
    </row>
    <row r="22" spans="1:36">
      <c r="A22" s="165">
        <f>'Conveyor Downtime (new)'!A22</f>
        <v>46037</v>
      </c>
      <c r="B22" s="346"/>
      <c r="C22" s="346"/>
      <c r="D22" s="346"/>
      <c r="E22" s="346"/>
      <c r="F22" s="346"/>
      <c r="G22" s="346"/>
      <c r="H22" s="346"/>
      <c r="I22" s="346"/>
      <c r="J22" s="346"/>
      <c r="K22" s="346"/>
      <c r="L22" s="346"/>
      <c r="M22" s="346"/>
      <c r="N22" s="346"/>
      <c r="O22" s="346"/>
      <c r="P22" s="346"/>
      <c r="Q22" s="346"/>
      <c r="R22" s="346"/>
      <c r="S22" s="346"/>
      <c r="T22" s="346"/>
      <c r="U22" s="346"/>
      <c r="V22" s="346"/>
      <c r="W22" s="346"/>
      <c r="X22" s="346"/>
      <c r="Y22" s="346">
        <f>2</f>
        <v>2</v>
      </c>
      <c r="Z22" s="346"/>
      <c r="AA22" s="346"/>
      <c r="AB22" s="346"/>
      <c r="AC22" s="346"/>
      <c r="AD22" s="346"/>
      <c r="AE22" s="346"/>
      <c r="AF22" s="346"/>
      <c r="AG22" s="346"/>
      <c r="AH22" s="346"/>
      <c r="AI22">
        <f t="shared" si="0"/>
        <v>2</v>
      </c>
      <c r="AJ22" s="351">
        <f t="shared" si="1"/>
        <v>4.4843049327354259E-3</v>
      </c>
    </row>
    <row r="23" spans="1:36">
      <c r="A23" s="165">
        <f>'Conveyor Downtime (new)'!A23</f>
        <v>46038</v>
      </c>
      <c r="O23">
        <f>6+9</f>
        <v>15</v>
      </c>
      <c r="U23">
        <f>2+2</f>
        <v>4</v>
      </c>
      <c r="AI23">
        <f t="shared" si="0"/>
        <v>19</v>
      </c>
      <c r="AJ23" s="351">
        <f t="shared" si="1"/>
        <v>4.2600896860986545E-2</v>
      </c>
    </row>
    <row r="24" spans="1:36">
      <c r="A24" s="165">
        <f>'Conveyor Downtime (new)'!A24</f>
        <v>46038</v>
      </c>
      <c r="B24" s="346"/>
      <c r="C24" s="346"/>
      <c r="D24" s="346"/>
      <c r="E24" s="346"/>
      <c r="F24" s="346"/>
      <c r="G24" s="346"/>
      <c r="H24" s="346"/>
      <c r="I24" s="346"/>
      <c r="J24" s="346"/>
      <c r="K24" s="346"/>
      <c r="L24" s="346"/>
      <c r="M24" s="346"/>
      <c r="N24" s="346"/>
      <c r="O24" s="346">
        <f>3+4</f>
        <v>7</v>
      </c>
      <c r="P24" s="346"/>
      <c r="Q24" s="346"/>
      <c r="R24" s="346"/>
      <c r="S24" s="346"/>
      <c r="T24" s="346"/>
      <c r="U24" s="346">
        <f>2</f>
        <v>2</v>
      </c>
      <c r="V24" s="346"/>
      <c r="W24" s="346"/>
      <c r="X24" s="346"/>
      <c r="Y24" s="346">
        <f>3+2+2+2+3</f>
        <v>12</v>
      </c>
      <c r="Z24" s="346"/>
      <c r="AA24" s="346"/>
      <c r="AB24" s="346"/>
      <c r="AC24" s="346"/>
      <c r="AD24" s="346"/>
      <c r="AE24" s="346"/>
      <c r="AF24" s="346"/>
      <c r="AG24" s="346"/>
      <c r="AH24" s="346"/>
      <c r="AI24">
        <f t="shared" si="0"/>
        <v>21</v>
      </c>
      <c r="AJ24" s="351">
        <f t="shared" si="1"/>
        <v>4.708520179372197E-2</v>
      </c>
    </row>
    <row r="25" spans="1:36">
      <c r="A25" s="165">
        <f>'Conveyor Downtime (new)'!A25</f>
        <v>46041</v>
      </c>
      <c r="O25">
        <f>3+1+1</f>
        <v>5</v>
      </c>
      <c r="P25">
        <v>3</v>
      </c>
      <c r="U25">
        <f>3+2</f>
        <v>5</v>
      </c>
      <c r="Y25">
        <f>2+2</f>
        <v>4</v>
      </c>
      <c r="AA25">
        <v>2</v>
      </c>
      <c r="AI25">
        <f t="shared" si="0"/>
        <v>19</v>
      </c>
      <c r="AJ25" s="351">
        <f t="shared" si="1"/>
        <v>4.2600896860986545E-2</v>
      </c>
    </row>
    <row r="26" spans="1:36">
      <c r="A26" s="165">
        <f>'Conveyor Downtime (new)'!A26</f>
        <v>46041</v>
      </c>
      <c r="B26" s="346"/>
      <c r="C26" s="346"/>
      <c r="D26" s="346"/>
      <c r="E26" s="346"/>
      <c r="F26" s="346"/>
      <c r="G26" s="346"/>
      <c r="H26" s="346"/>
      <c r="I26" s="346"/>
      <c r="J26" s="346"/>
      <c r="K26" s="346"/>
      <c r="L26" s="346"/>
      <c r="M26" s="346"/>
      <c r="N26" s="346"/>
      <c r="O26" s="346"/>
      <c r="P26" s="346"/>
      <c r="Q26" s="346"/>
      <c r="R26" s="346"/>
      <c r="S26" s="346"/>
      <c r="T26" s="346"/>
      <c r="U26" s="346"/>
      <c r="V26" s="346"/>
      <c r="W26" s="346"/>
      <c r="X26" s="346"/>
      <c r="Y26" s="346">
        <f>2</f>
        <v>2</v>
      </c>
      <c r="Z26" s="346"/>
      <c r="AA26" s="346"/>
      <c r="AB26" s="346"/>
      <c r="AC26" s="346"/>
      <c r="AD26" s="346"/>
      <c r="AE26" s="346"/>
      <c r="AF26" s="346"/>
      <c r="AG26" s="346"/>
      <c r="AH26" s="346"/>
      <c r="AI26">
        <f t="shared" si="0"/>
        <v>2</v>
      </c>
      <c r="AJ26" s="351">
        <f t="shared" si="1"/>
        <v>4.4843049327354259E-3</v>
      </c>
    </row>
    <row r="27" spans="1:36">
      <c r="A27" s="165">
        <f>'Conveyor Downtime (new)'!A27</f>
        <v>46042</v>
      </c>
      <c r="O27">
        <f>1+1+1+1+1+2+1+1</f>
        <v>9</v>
      </c>
      <c r="U27">
        <f>2</f>
        <v>2</v>
      </c>
      <c r="AI27">
        <f t="shared" si="0"/>
        <v>11</v>
      </c>
      <c r="AJ27" s="351">
        <f t="shared" si="1"/>
        <v>2.4663677130044841E-2</v>
      </c>
    </row>
    <row r="28" spans="1:36">
      <c r="A28" s="165">
        <f>'Conveyor Downtime (new)'!A28</f>
        <v>46042</v>
      </c>
      <c r="B28" s="346"/>
      <c r="C28" s="346"/>
      <c r="D28" s="346"/>
      <c r="E28" s="346"/>
      <c r="F28" s="346"/>
      <c r="G28" s="346"/>
      <c r="H28" s="346"/>
      <c r="I28" s="346"/>
      <c r="J28" s="346"/>
      <c r="K28" s="346"/>
      <c r="L28" s="346"/>
      <c r="M28" s="346"/>
      <c r="N28" s="346">
        <f>5</f>
        <v>5</v>
      </c>
      <c r="O28" s="346">
        <f>6</f>
        <v>6</v>
      </c>
      <c r="P28" s="346"/>
      <c r="Q28" s="346"/>
      <c r="R28" s="346"/>
      <c r="S28" s="346"/>
      <c r="T28" s="346"/>
      <c r="U28" s="346">
        <f>4+1+2+1+2+1+2+2+2</f>
        <v>17</v>
      </c>
      <c r="V28" s="346"/>
      <c r="W28" s="346"/>
      <c r="X28" s="346"/>
      <c r="Y28" s="346"/>
      <c r="Z28" s="346"/>
      <c r="AA28" s="346"/>
      <c r="AB28" s="346"/>
      <c r="AC28" s="346"/>
      <c r="AD28" s="346"/>
      <c r="AE28" s="346"/>
      <c r="AF28" s="346"/>
      <c r="AG28" s="346"/>
      <c r="AH28" s="346"/>
      <c r="AI28">
        <f t="shared" si="0"/>
        <v>28</v>
      </c>
      <c r="AJ28" s="351">
        <f t="shared" si="1"/>
        <v>6.2780269058295965E-2</v>
      </c>
    </row>
    <row r="29" spans="1:36" ht="13.5" customHeight="1">
      <c r="A29" s="165">
        <f>'Conveyor Downtime (new)'!A29</f>
        <v>46043</v>
      </c>
      <c r="AI29">
        <f t="shared" si="0"/>
        <v>0</v>
      </c>
      <c r="AJ29" s="351">
        <f t="shared" si="1"/>
        <v>0</v>
      </c>
    </row>
    <row r="30" spans="1:36">
      <c r="A30" s="165">
        <f>'Conveyor Downtime (new)'!A30</f>
        <v>46043</v>
      </c>
      <c r="B30" s="346"/>
      <c r="C30" s="346"/>
      <c r="D30" s="346"/>
      <c r="E30" s="346"/>
      <c r="F30" s="346"/>
      <c r="G30" s="346"/>
      <c r="H30" s="346"/>
      <c r="I30" s="346"/>
      <c r="J30" s="346"/>
      <c r="K30" s="346"/>
      <c r="L30" s="346"/>
      <c r="M30" s="346"/>
      <c r="N30" s="346"/>
      <c r="O30" s="346">
        <f>2+2+2</f>
        <v>6</v>
      </c>
      <c r="P30" s="346"/>
      <c r="Q30" s="346"/>
      <c r="R30" s="346"/>
      <c r="S30" s="346"/>
      <c r="T30" s="346"/>
      <c r="U30" s="346"/>
      <c r="V30" s="346"/>
      <c r="W30" s="346"/>
      <c r="X30" s="346"/>
      <c r="Y30" s="346"/>
      <c r="Z30" s="346"/>
      <c r="AA30" s="346"/>
      <c r="AB30" s="346"/>
      <c r="AC30" s="346"/>
      <c r="AD30" s="346"/>
      <c r="AE30" s="346"/>
      <c r="AF30" s="346"/>
      <c r="AG30" s="346"/>
      <c r="AH30" s="346"/>
      <c r="AI30">
        <f t="shared" si="0"/>
        <v>6</v>
      </c>
      <c r="AJ30" s="351">
        <f t="shared" si="1"/>
        <v>1.3452914798206279E-2</v>
      </c>
    </row>
    <row r="31" spans="1:36">
      <c r="A31" s="165">
        <f>'Conveyor Downtime (new)'!A31</f>
        <v>46043</v>
      </c>
      <c r="N31">
        <f>4</f>
        <v>4</v>
      </c>
      <c r="U31">
        <f>2+2</f>
        <v>4</v>
      </c>
      <c r="AI31">
        <f t="shared" si="0"/>
        <v>8</v>
      </c>
      <c r="AJ31" s="351">
        <f t="shared" si="1"/>
        <v>1.7937219730941704E-2</v>
      </c>
    </row>
    <row r="32" spans="1:36">
      <c r="A32" s="165">
        <f>'Conveyor Downtime (new)'!A32</f>
        <v>46043</v>
      </c>
      <c r="B32" s="346"/>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46"/>
      <c r="AH32" s="346"/>
      <c r="AI32">
        <f t="shared" si="0"/>
        <v>0</v>
      </c>
      <c r="AJ32" s="351">
        <f>AI32/$AI$67</f>
        <v>0</v>
      </c>
    </row>
    <row r="33" spans="1:36">
      <c r="A33" s="165">
        <f>'Conveyor Downtime (new)'!A33</f>
        <v>46044</v>
      </c>
      <c r="AI33">
        <f t="shared" si="0"/>
        <v>0</v>
      </c>
      <c r="AJ33" s="351">
        <f t="shared" si="1"/>
        <v>0</v>
      </c>
    </row>
    <row r="34" spans="1:36">
      <c r="A34" s="165">
        <f>'Conveyor Downtime (new)'!A34</f>
        <v>46045</v>
      </c>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6"/>
      <c r="AC34" s="346"/>
      <c r="AD34" s="346"/>
      <c r="AE34" s="346"/>
      <c r="AF34" s="346"/>
      <c r="AG34" s="346"/>
      <c r="AH34" s="346"/>
      <c r="AI34">
        <f t="shared" si="0"/>
        <v>0</v>
      </c>
      <c r="AJ34" s="351">
        <f t="shared" si="1"/>
        <v>0</v>
      </c>
    </row>
    <row r="35" spans="1:36">
      <c r="A35" s="165">
        <f>'Conveyor Downtime (new)'!A35</f>
        <v>46045</v>
      </c>
      <c r="O35">
        <f>1+9+4+2+8+2</f>
        <v>26</v>
      </c>
      <c r="U35">
        <f>2</f>
        <v>2</v>
      </c>
      <c r="AI35">
        <f t="shared" si="0"/>
        <v>28</v>
      </c>
      <c r="AJ35" s="351">
        <f t="shared" si="1"/>
        <v>6.2780269058295965E-2</v>
      </c>
    </row>
    <row r="36" spans="1:36">
      <c r="A36" s="165">
        <f>'Conveyor Downtime (new)'!A36</f>
        <v>46045</v>
      </c>
      <c r="B36" s="346"/>
      <c r="C36" s="346"/>
      <c r="D36" s="346"/>
      <c r="E36" s="346"/>
      <c r="F36" s="346"/>
      <c r="G36" s="346"/>
      <c r="H36" s="346"/>
      <c r="I36" s="346"/>
      <c r="J36" s="346"/>
      <c r="K36" s="346"/>
      <c r="L36" s="346"/>
      <c r="M36" s="346"/>
      <c r="N36" s="346"/>
      <c r="O36" s="346"/>
      <c r="P36" s="346"/>
      <c r="Q36" s="346"/>
      <c r="R36" s="346"/>
      <c r="S36" s="346"/>
      <c r="T36" s="346"/>
      <c r="U36" s="346">
        <v>3</v>
      </c>
      <c r="V36" s="346"/>
      <c r="W36" s="346"/>
      <c r="X36" s="346"/>
      <c r="Y36" s="346"/>
      <c r="Z36" s="346"/>
      <c r="AA36" s="346"/>
      <c r="AB36" s="346"/>
      <c r="AC36" s="346"/>
      <c r="AD36" s="346"/>
      <c r="AE36" s="346"/>
      <c r="AF36" s="346"/>
      <c r="AG36" s="346"/>
      <c r="AH36" s="346"/>
      <c r="AI36">
        <f t="shared" si="0"/>
        <v>3</v>
      </c>
      <c r="AJ36" s="351">
        <f t="shared" si="1"/>
        <v>6.7264573991031393E-3</v>
      </c>
    </row>
    <row r="37" spans="1:36">
      <c r="A37" s="165">
        <f>'Conveyor Downtime (new)'!A37</f>
        <v>46045</v>
      </c>
      <c r="AI37">
        <f t="shared" si="0"/>
        <v>0</v>
      </c>
      <c r="AJ37" s="351">
        <f t="shared" si="1"/>
        <v>0</v>
      </c>
    </row>
    <row r="38" spans="1:36">
      <c r="A38" s="165">
        <f>'Conveyor Downtime (new)'!A38</f>
        <v>46048</v>
      </c>
      <c r="B38" s="346"/>
      <c r="C38" s="346"/>
      <c r="D38" s="346"/>
      <c r="E38" s="346"/>
      <c r="F38" s="346"/>
      <c r="G38" s="346"/>
      <c r="H38" s="346"/>
      <c r="I38" s="346"/>
      <c r="J38" s="346"/>
      <c r="K38" s="346"/>
      <c r="L38" s="346"/>
      <c r="M38" s="346"/>
      <c r="N38" s="346"/>
      <c r="O38" s="346"/>
      <c r="P38" s="346"/>
      <c r="Q38" s="346"/>
      <c r="R38" s="346"/>
      <c r="S38" s="346"/>
      <c r="T38" s="346"/>
      <c r="U38" s="346">
        <f>2</f>
        <v>2</v>
      </c>
      <c r="V38" s="346"/>
      <c r="W38" s="346"/>
      <c r="X38" s="346"/>
      <c r="Y38" s="346"/>
      <c r="Z38" s="346"/>
      <c r="AA38" s="346"/>
      <c r="AB38" s="346"/>
      <c r="AC38" s="346"/>
      <c r="AD38" s="346"/>
      <c r="AE38" s="346"/>
      <c r="AF38" s="346"/>
      <c r="AG38" s="346"/>
      <c r="AH38" s="346"/>
      <c r="AI38">
        <f t="shared" si="0"/>
        <v>2</v>
      </c>
      <c r="AJ38" s="351">
        <f t="shared" si="1"/>
        <v>4.4843049327354259E-3</v>
      </c>
    </row>
    <row r="39" spans="1:36">
      <c r="A39" s="165">
        <f>'Conveyor Downtime (new)'!A39</f>
        <v>46048</v>
      </c>
      <c r="AI39">
        <f t="shared" si="0"/>
        <v>0</v>
      </c>
      <c r="AJ39" s="351">
        <f t="shared" si="1"/>
        <v>0</v>
      </c>
    </row>
    <row r="40" spans="1:36">
      <c r="A40" s="165">
        <f>'Conveyor Downtime (new)'!A40</f>
        <v>46049</v>
      </c>
      <c r="B40" s="346"/>
      <c r="C40" s="346"/>
      <c r="D40" s="346"/>
      <c r="E40" s="346"/>
      <c r="F40" s="346"/>
      <c r="G40" s="346"/>
      <c r="H40" s="346"/>
      <c r="I40" s="346"/>
      <c r="J40" s="346"/>
      <c r="K40" s="346"/>
      <c r="L40" s="346"/>
      <c r="M40" s="346"/>
      <c r="N40" s="346"/>
      <c r="O40" s="346"/>
      <c r="P40" s="346"/>
      <c r="Q40" s="346"/>
      <c r="R40" s="346"/>
      <c r="S40" s="346"/>
      <c r="T40" s="346"/>
      <c r="U40" s="346">
        <f>1+1+2</f>
        <v>4</v>
      </c>
      <c r="V40" s="346"/>
      <c r="W40" s="346"/>
      <c r="X40" s="346"/>
      <c r="Y40" s="346">
        <f>2</f>
        <v>2</v>
      </c>
      <c r="Z40" s="346"/>
      <c r="AA40" s="346"/>
      <c r="AB40" s="346"/>
      <c r="AC40" s="346"/>
      <c r="AD40" s="346"/>
      <c r="AE40" s="346"/>
      <c r="AF40" s="346"/>
      <c r="AG40" s="346"/>
      <c r="AH40" s="346"/>
      <c r="AI40">
        <f t="shared" si="0"/>
        <v>6</v>
      </c>
      <c r="AJ40" s="351">
        <f t="shared" si="1"/>
        <v>1.3452914798206279E-2</v>
      </c>
    </row>
    <row r="41" spans="1:36">
      <c r="A41" s="165">
        <f>'Conveyor Downtime (new)'!A41</f>
        <v>46049</v>
      </c>
      <c r="AI41">
        <f t="shared" si="0"/>
        <v>0</v>
      </c>
      <c r="AJ41" s="351">
        <f t="shared" si="1"/>
        <v>0</v>
      </c>
    </row>
    <row r="42" spans="1:36">
      <c r="A42" s="165">
        <f>'Conveyor Downtime (new)'!A42</f>
        <v>46050</v>
      </c>
      <c r="B42" s="346"/>
      <c r="C42" s="346"/>
      <c r="D42" s="346"/>
      <c r="E42" s="346"/>
      <c r="F42" s="346"/>
      <c r="G42" s="346"/>
      <c r="H42" s="346"/>
      <c r="I42" s="346"/>
      <c r="J42" s="346"/>
      <c r="K42" s="346"/>
      <c r="L42" s="346"/>
      <c r="M42" s="346"/>
      <c r="N42" s="346"/>
      <c r="O42" s="346"/>
      <c r="P42" s="346"/>
      <c r="Q42" s="346"/>
      <c r="R42" s="346"/>
      <c r="S42" s="346"/>
      <c r="T42" s="346"/>
      <c r="U42" s="346"/>
      <c r="V42" s="346"/>
      <c r="W42" s="346"/>
      <c r="X42" s="346"/>
      <c r="Y42" s="346">
        <f>2+2</f>
        <v>4</v>
      </c>
      <c r="Z42" s="346"/>
      <c r="AA42" s="346"/>
      <c r="AB42" s="346"/>
      <c r="AC42" s="346"/>
      <c r="AD42" s="346"/>
      <c r="AE42" s="346"/>
      <c r="AF42" s="346"/>
      <c r="AG42" s="346"/>
      <c r="AH42" s="346"/>
      <c r="AI42">
        <f t="shared" si="0"/>
        <v>4</v>
      </c>
      <c r="AJ42" s="351">
        <f t="shared" si="1"/>
        <v>8.9686098654708519E-3</v>
      </c>
    </row>
    <row r="43" spans="1:36">
      <c r="A43" s="165">
        <f>'Conveyor Downtime (new)'!A43</f>
        <v>46050</v>
      </c>
      <c r="P43">
        <f>3</f>
        <v>3</v>
      </c>
      <c r="Y43">
        <f>2+1+2+2+1+2+2+2+1+2+1+1+1+1+2</f>
        <v>23</v>
      </c>
      <c r="AI43">
        <f t="shared" si="0"/>
        <v>26</v>
      </c>
      <c r="AJ43" s="351">
        <f t="shared" si="1"/>
        <v>5.829596412556054E-2</v>
      </c>
    </row>
    <row r="44" spans="1:36">
      <c r="A44" s="165">
        <f>'Conveyor Downtime (new)'!A44</f>
        <v>46050</v>
      </c>
      <c r="B44" s="346"/>
      <c r="C44" s="346"/>
      <c r="D44" s="346"/>
      <c r="E44" s="346"/>
      <c r="F44" s="346"/>
      <c r="G44" s="346"/>
      <c r="H44" s="346"/>
      <c r="I44" s="346"/>
      <c r="J44" s="346"/>
      <c r="K44" s="346"/>
      <c r="L44" s="346"/>
      <c r="M44" s="346"/>
      <c r="N44" s="346"/>
      <c r="O44" s="346">
        <v>10</v>
      </c>
      <c r="P44" s="346"/>
      <c r="Q44" s="346"/>
      <c r="R44" s="346"/>
      <c r="S44" s="346"/>
      <c r="T44" s="346"/>
      <c r="U44" s="346">
        <f>10+3+4+5</f>
        <v>22</v>
      </c>
      <c r="V44" s="346"/>
      <c r="W44" s="346"/>
      <c r="X44" s="346"/>
      <c r="Y44" s="346"/>
      <c r="Z44" s="346"/>
      <c r="AA44" s="346"/>
      <c r="AB44" s="346"/>
      <c r="AC44" s="346"/>
      <c r="AD44" s="346"/>
      <c r="AE44" s="346"/>
      <c r="AF44" s="346"/>
      <c r="AG44" s="346"/>
      <c r="AH44" s="346"/>
      <c r="AI44">
        <f t="shared" si="0"/>
        <v>32</v>
      </c>
      <c r="AJ44" s="351">
        <f t="shared" si="1"/>
        <v>7.1748878923766815E-2</v>
      </c>
    </row>
    <row r="45" spans="1:36">
      <c r="A45" s="165">
        <f>'Conveyor Downtime (new)'!A45</f>
        <v>46051</v>
      </c>
      <c r="V45">
        <f>4+3+4+3+3+5</f>
        <v>22</v>
      </c>
      <c r="AI45">
        <f t="shared" si="0"/>
        <v>22</v>
      </c>
      <c r="AJ45" s="351">
        <f t="shared" si="1"/>
        <v>4.9327354260089683E-2</v>
      </c>
    </row>
    <row r="46" spans="1:36">
      <c r="A46" s="165">
        <f>'Conveyor Downtime (new)'!A46</f>
        <v>46051</v>
      </c>
      <c r="B46" s="346"/>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6">
        <f>6</f>
        <v>6</v>
      </c>
      <c r="AF46" s="346"/>
      <c r="AG46" s="346"/>
      <c r="AH46" s="346"/>
      <c r="AI46">
        <f t="shared" si="0"/>
        <v>6</v>
      </c>
      <c r="AJ46" s="351">
        <f t="shared" si="1"/>
        <v>1.3452914798206279E-2</v>
      </c>
    </row>
    <row r="47" spans="1:36">
      <c r="A47" s="165">
        <f>'Conveyor Downtime (new)'!A47</f>
        <v>46051</v>
      </c>
      <c r="C47">
        <f>6</f>
        <v>6</v>
      </c>
      <c r="O47">
        <f>3+3+3+4</f>
        <v>13</v>
      </c>
      <c r="U47">
        <f>3+2</f>
        <v>5</v>
      </c>
      <c r="AI47">
        <f t="shared" si="0"/>
        <v>24</v>
      </c>
      <c r="AJ47" s="351">
        <f t="shared" si="1"/>
        <v>5.3811659192825115E-2</v>
      </c>
    </row>
    <row r="48" spans="1:36">
      <c r="A48" s="165">
        <f>'Conveyor Downtime (new)'!A48</f>
        <v>46051</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346"/>
      <c r="AH48" s="346"/>
      <c r="AI48">
        <f t="shared" si="0"/>
        <v>0</v>
      </c>
      <c r="AJ48" s="351">
        <f t="shared" si="1"/>
        <v>0</v>
      </c>
    </row>
    <row r="49" spans="1:36">
      <c r="A49" s="165">
        <f>'Conveyor Downtime (new)'!A49</f>
        <v>46052</v>
      </c>
      <c r="AI49">
        <f t="shared" si="0"/>
        <v>0</v>
      </c>
      <c r="AJ49" s="351">
        <f t="shared" si="1"/>
        <v>0</v>
      </c>
    </row>
    <row r="50" spans="1:36">
      <c r="A50" s="165">
        <f>'Conveyor Downtime (new)'!A50</f>
        <v>46052</v>
      </c>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f>2</f>
        <v>2</v>
      </c>
      <c r="Z50" s="346"/>
      <c r="AA50" s="346"/>
      <c r="AB50" s="346"/>
      <c r="AC50" s="346"/>
      <c r="AD50" s="346"/>
      <c r="AE50" s="346"/>
      <c r="AF50" s="346"/>
      <c r="AG50" s="346"/>
      <c r="AH50" s="346"/>
      <c r="AI50">
        <f t="shared" si="0"/>
        <v>2</v>
      </c>
      <c r="AJ50" s="351">
        <f t="shared" si="1"/>
        <v>4.4843049327354259E-3</v>
      </c>
    </row>
    <row r="51" spans="1:36">
      <c r="A51" s="165">
        <f>'Conveyor Downtime (new)'!A51</f>
        <v>0</v>
      </c>
      <c r="AI51">
        <f t="shared" ref="AI51:AI66" si="2">SUM(B51:AH51)</f>
        <v>0</v>
      </c>
      <c r="AJ51" s="351">
        <f t="shared" ref="AJ51:AJ66" si="3">AI51/$AI$67</f>
        <v>0</v>
      </c>
    </row>
    <row r="52" spans="1:36">
      <c r="A52" s="165">
        <f>'Conveyor Downtime (new)'!A52</f>
        <v>0</v>
      </c>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6"/>
      <c r="AG52" s="346"/>
      <c r="AH52" s="346"/>
      <c r="AI52">
        <f t="shared" si="2"/>
        <v>0</v>
      </c>
      <c r="AJ52" s="351">
        <f t="shared" si="3"/>
        <v>0</v>
      </c>
    </row>
    <row r="53" spans="1:36">
      <c r="A53" s="165">
        <f>'Conveyor Downtime (new)'!A53</f>
        <v>0</v>
      </c>
      <c r="AI53">
        <f t="shared" si="2"/>
        <v>0</v>
      </c>
      <c r="AJ53" s="351">
        <f t="shared" si="3"/>
        <v>0</v>
      </c>
    </row>
    <row r="54" spans="1:36">
      <c r="A54" s="165">
        <f>'Conveyor Downtime (new)'!A54</f>
        <v>0</v>
      </c>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c r="AG54" s="346"/>
      <c r="AH54" s="346"/>
      <c r="AI54">
        <f t="shared" si="2"/>
        <v>0</v>
      </c>
      <c r="AJ54" s="351">
        <f t="shared" si="3"/>
        <v>0</v>
      </c>
    </row>
    <row r="55" spans="1:36">
      <c r="A55" s="165">
        <f>'Conveyor Downtime (new)'!A55</f>
        <v>0</v>
      </c>
      <c r="AI55">
        <f t="shared" si="2"/>
        <v>0</v>
      </c>
      <c r="AJ55" s="351">
        <f t="shared" si="3"/>
        <v>0</v>
      </c>
    </row>
    <row r="56" spans="1:36">
      <c r="A56" s="165">
        <f>'Conveyor Downtime (new)'!A56</f>
        <v>0</v>
      </c>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346"/>
      <c r="AC56" s="346"/>
      <c r="AD56" s="346"/>
      <c r="AE56" s="346"/>
      <c r="AF56" s="346"/>
      <c r="AG56" s="346"/>
      <c r="AH56" s="346"/>
      <c r="AI56">
        <f t="shared" si="2"/>
        <v>0</v>
      </c>
      <c r="AJ56" s="351">
        <f t="shared" si="3"/>
        <v>0</v>
      </c>
    </row>
    <row r="57" spans="1:36">
      <c r="A57" s="165">
        <f>'Conveyor Downtime (new)'!A57</f>
        <v>0</v>
      </c>
      <c r="AI57">
        <f t="shared" si="2"/>
        <v>0</v>
      </c>
      <c r="AJ57" s="351">
        <f t="shared" si="3"/>
        <v>0</v>
      </c>
    </row>
    <row r="58" spans="1:36">
      <c r="A58" s="165">
        <f>'Conveyor Downtime (new)'!A58</f>
        <v>0</v>
      </c>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s="346"/>
      <c r="AH58" s="346"/>
      <c r="AI58">
        <f t="shared" si="2"/>
        <v>0</v>
      </c>
      <c r="AJ58" s="351">
        <f t="shared" si="3"/>
        <v>0</v>
      </c>
    </row>
    <row r="59" spans="1:36">
      <c r="A59" s="165">
        <f>'Conveyor Downtime (new)'!A59</f>
        <v>0</v>
      </c>
      <c r="AI59">
        <f t="shared" si="2"/>
        <v>0</v>
      </c>
      <c r="AJ59" s="351">
        <f t="shared" si="3"/>
        <v>0</v>
      </c>
    </row>
    <row r="60" spans="1:36">
      <c r="A60" s="165">
        <f>'Conveyor Downtime (new)'!A60</f>
        <v>0</v>
      </c>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f t="shared" si="2"/>
        <v>0</v>
      </c>
      <c r="AJ60" s="351">
        <f t="shared" si="3"/>
        <v>0</v>
      </c>
    </row>
    <row r="61" spans="1:36">
      <c r="A61" s="165"/>
      <c r="AI61">
        <f t="shared" si="2"/>
        <v>0</v>
      </c>
      <c r="AJ61" s="351">
        <f t="shared" si="3"/>
        <v>0</v>
      </c>
    </row>
    <row r="62" spans="1:36">
      <c r="A62" s="165"/>
      <c r="B62" s="346"/>
      <c r="C62" s="346"/>
      <c r="D62" s="346"/>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c r="AC62" s="346"/>
      <c r="AD62" s="346"/>
      <c r="AE62" s="346"/>
      <c r="AF62" s="346"/>
      <c r="AG62" s="346"/>
      <c r="AH62" s="346"/>
      <c r="AI62">
        <f t="shared" si="2"/>
        <v>0</v>
      </c>
      <c r="AJ62" s="351">
        <f t="shared" si="3"/>
        <v>0</v>
      </c>
    </row>
    <row r="63" spans="1:36">
      <c r="A63" s="165"/>
      <c r="AI63">
        <f t="shared" si="2"/>
        <v>0</v>
      </c>
      <c r="AJ63" s="351">
        <f t="shared" si="3"/>
        <v>0</v>
      </c>
    </row>
    <row r="64" spans="1:36">
      <c r="A64" s="165"/>
      <c r="B64" s="346"/>
      <c r="C64" s="346"/>
      <c r="D64" s="346"/>
      <c r="E64" s="346"/>
      <c r="F64" s="346"/>
      <c r="G64" s="346"/>
      <c r="H64" s="346"/>
      <c r="I64" s="346"/>
      <c r="J64" s="346"/>
      <c r="K64" s="346"/>
      <c r="L64" s="346"/>
      <c r="M64" s="346"/>
      <c r="N64" s="346"/>
      <c r="O64" s="346"/>
      <c r="P64" s="346"/>
      <c r="Q64" s="346"/>
      <c r="R64" s="346"/>
      <c r="S64" s="346"/>
      <c r="T64" s="346"/>
      <c r="U64" s="346"/>
      <c r="V64" s="346"/>
      <c r="W64" s="346"/>
      <c r="X64" s="346"/>
      <c r="Y64" s="346"/>
      <c r="Z64" s="346"/>
      <c r="AA64" s="346"/>
      <c r="AB64" s="346"/>
      <c r="AC64" s="346"/>
      <c r="AD64" s="346"/>
      <c r="AE64" s="346"/>
      <c r="AF64" s="346"/>
      <c r="AG64" s="346"/>
      <c r="AH64" s="346"/>
      <c r="AI64">
        <f t="shared" si="2"/>
        <v>0</v>
      </c>
      <c r="AJ64" s="351">
        <f t="shared" si="3"/>
        <v>0</v>
      </c>
    </row>
    <row r="65" spans="1:36">
      <c r="A65" s="165"/>
      <c r="AI65">
        <f t="shared" si="2"/>
        <v>0</v>
      </c>
      <c r="AJ65" s="351">
        <f t="shared" si="3"/>
        <v>0</v>
      </c>
    </row>
    <row r="66" spans="1:36">
      <c r="A66" s="165"/>
      <c r="B66" s="346"/>
      <c r="C66" s="346"/>
      <c r="D66" s="346"/>
      <c r="E66" s="346"/>
      <c r="F66" s="346"/>
      <c r="G66" s="346"/>
      <c r="H66" s="346"/>
      <c r="I66" s="346"/>
      <c r="J66" s="346"/>
      <c r="K66" s="346"/>
      <c r="L66" s="346"/>
      <c r="M66" s="346"/>
      <c r="N66" s="346"/>
      <c r="O66" s="346"/>
      <c r="P66" s="346"/>
      <c r="Q66" s="346"/>
      <c r="R66" s="346"/>
      <c r="S66" s="346"/>
      <c r="T66" s="346"/>
      <c r="U66" s="346"/>
      <c r="V66" s="346"/>
      <c r="W66" s="346"/>
      <c r="X66" s="346"/>
      <c r="Y66" s="346"/>
      <c r="Z66" s="346"/>
      <c r="AA66" s="346"/>
      <c r="AB66" s="346"/>
      <c r="AC66" s="346"/>
      <c r="AD66" s="346"/>
      <c r="AE66" s="346"/>
      <c r="AF66" s="346"/>
      <c r="AG66" s="346"/>
      <c r="AH66" s="346"/>
      <c r="AI66">
        <f t="shared" si="2"/>
        <v>0</v>
      </c>
      <c r="AJ66" s="351">
        <f t="shared" si="3"/>
        <v>0</v>
      </c>
    </row>
    <row r="67" spans="1:36" ht="15">
      <c r="A67" s="347" t="s">
        <v>173</v>
      </c>
      <c r="B67" s="347">
        <f t="shared" ref="B67:AH67" si="4">SUM(B6:B66)</f>
        <v>0</v>
      </c>
      <c r="C67" s="347">
        <f t="shared" si="4"/>
        <v>6</v>
      </c>
      <c r="D67" s="347">
        <f t="shared" si="4"/>
        <v>0</v>
      </c>
      <c r="E67" s="347">
        <f t="shared" si="4"/>
        <v>0</v>
      </c>
      <c r="F67" s="347">
        <f t="shared" si="4"/>
        <v>0</v>
      </c>
      <c r="G67" s="347">
        <f t="shared" si="4"/>
        <v>0</v>
      </c>
      <c r="H67" s="347">
        <f t="shared" si="4"/>
        <v>0</v>
      </c>
      <c r="I67" s="347">
        <f t="shared" si="4"/>
        <v>1</v>
      </c>
      <c r="J67" s="347">
        <f t="shared" si="4"/>
        <v>0</v>
      </c>
      <c r="K67" s="347">
        <f t="shared" si="4"/>
        <v>0</v>
      </c>
      <c r="L67" s="347">
        <f t="shared" si="4"/>
        <v>0</v>
      </c>
      <c r="M67" s="347">
        <f t="shared" si="4"/>
        <v>0</v>
      </c>
      <c r="N67" s="347">
        <f t="shared" si="4"/>
        <v>73</v>
      </c>
      <c r="O67" s="347">
        <f t="shared" si="4"/>
        <v>153</v>
      </c>
      <c r="P67" s="347">
        <f t="shared" si="4"/>
        <v>6</v>
      </c>
      <c r="Q67" s="347">
        <f t="shared" si="4"/>
        <v>0</v>
      </c>
      <c r="R67" s="347">
        <f t="shared" si="4"/>
        <v>0</v>
      </c>
      <c r="S67" s="347">
        <f t="shared" si="4"/>
        <v>0</v>
      </c>
      <c r="T67" s="347">
        <f t="shared" si="4"/>
        <v>0</v>
      </c>
      <c r="U67" s="347">
        <f t="shared" si="4"/>
        <v>80</v>
      </c>
      <c r="V67" s="347">
        <f t="shared" si="4"/>
        <v>22</v>
      </c>
      <c r="W67" s="347">
        <f t="shared" si="4"/>
        <v>0</v>
      </c>
      <c r="X67" s="347">
        <f t="shared" si="4"/>
        <v>0</v>
      </c>
      <c r="Y67" s="347">
        <f t="shared" si="4"/>
        <v>97</v>
      </c>
      <c r="Z67" s="347">
        <f t="shared" si="4"/>
        <v>0</v>
      </c>
      <c r="AA67" s="347">
        <f t="shared" si="4"/>
        <v>2</v>
      </c>
      <c r="AB67" s="347">
        <f t="shared" si="4"/>
        <v>0</v>
      </c>
      <c r="AC67" s="347">
        <f t="shared" si="4"/>
        <v>0</v>
      </c>
      <c r="AD67" s="347">
        <f t="shared" si="4"/>
        <v>0</v>
      </c>
      <c r="AE67" s="347">
        <f t="shared" si="4"/>
        <v>6</v>
      </c>
      <c r="AF67" s="347">
        <f t="shared" si="4"/>
        <v>0</v>
      </c>
      <c r="AG67" s="347">
        <f t="shared" si="4"/>
        <v>0</v>
      </c>
      <c r="AH67" s="347">
        <f t="shared" si="4"/>
        <v>0</v>
      </c>
      <c r="AI67" s="347">
        <f>SUM(AI6:AI66)</f>
        <v>446</v>
      </c>
    </row>
    <row r="68" spans="1:36" ht="15.75" thickBot="1">
      <c r="A68" s="348" t="s">
        <v>174</v>
      </c>
      <c r="B68" s="348">
        <f>B67/$AI67</f>
        <v>0</v>
      </c>
      <c r="C68" s="348">
        <f t="shared" ref="C68:AH68" si="5">C67/$AI67</f>
        <v>1.3452914798206279E-2</v>
      </c>
      <c r="D68" s="348">
        <f t="shared" si="5"/>
        <v>0</v>
      </c>
      <c r="E68" s="348">
        <f t="shared" si="5"/>
        <v>0</v>
      </c>
      <c r="F68" s="348">
        <f t="shared" si="5"/>
        <v>0</v>
      </c>
      <c r="G68" s="348">
        <f t="shared" si="5"/>
        <v>0</v>
      </c>
      <c r="H68" s="348">
        <f t="shared" si="5"/>
        <v>0</v>
      </c>
      <c r="I68" s="348">
        <f t="shared" si="5"/>
        <v>2.242152466367713E-3</v>
      </c>
      <c r="J68" s="348">
        <f t="shared" si="5"/>
        <v>0</v>
      </c>
      <c r="K68" s="348">
        <f t="shared" si="5"/>
        <v>0</v>
      </c>
      <c r="L68" s="348">
        <f t="shared" si="5"/>
        <v>0</v>
      </c>
      <c r="M68" s="348">
        <f t="shared" si="5"/>
        <v>0</v>
      </c>
      <c r="N68" s="348">
        <f t="shared" si="5"/>
        <v>0.16367713004484305</v>
      </c>
      <c r="O68" s="348">
        <f t="shared" si="5"/>
        <v>0.34304932735426008</v>
      </c>
      <c r="P68" s="348">
        <f t="shared" si="5"/>
        <v>1.3452914798206279E-2</v>
      </c>
      <c r="Q68" s="348">
        <f t="shared" si="5"/>
        <v>0</v>
      </c>
      <c r="R68" s="348">
        <f t="shared" si="5"/>
        <v>0</v>
      </c>
      <c r="S68" s="348">
        <f t="shared" si="5"/>
        <v>0</v>
      </c>
      <c r="T68" s="348">
        <f t="shared" si="5"/>
        <v>0</v>
      </c>
      <c r="U68" s="348">
        <f t="shared" si="5"/>
        <v>0.17937219730941703</v>
      </c>
      <c r="V68" s="348">
        <f t="shared" si="5"/>
        <v>4.9327354260089683E-2</v>
      </c>
      <c r="W68" s="348">
        <f t="shared" si="5"/>
        <v>0</v>
      </c>
      <c r="X68" s="348">
        <f t="shared" si="5"/>
        <v>0</v>
      </c>
      <c r="Y68" s="348">
        <f t="shared" si="5"/>
        <v>0.21748878923766815</v>
      </c>
      <c r="Z68" s="348">
        <f t="shared" si="5"/>
        <v>0</v>
      </c>
      <c r="AA68" s="348">
        <f t="shared" si="5"/>
        <v>4.4843049327354259E-3</v>
      </c>
      <c r="AB68" s="348">
        <f t="shared" si="5"/>
        <v>0</v>
      </c>
      <c r="AC68" s="348">
        <f t="shared" si="5"/>
        <v>0</v>
      </c>
      <c r="AD68" s="348">
        <f t="shared" si="5"/>
        <v>0</v>
      </c>
      <c r="AE68" s="348">
        <f t="shared" si="5"/>
        <v>1.3452914798206279E-2</v>
      </c>
      <c r="AF68" s="348">
        <f t="shared" si="5"/>
        <v>0</v>
      </c>
      <c r="AG68" s="348">
        <f t="shared" si="5"/>
        <v>0</v>
      </c>
      <c r="AH68" s="348">
        <f t="shared" si="5"/>
        <v>0</v>
      </c>
    </row>
    <row r="71" spans="1:36">
      <c r="A71" s="165">
        <f>'Conveyor Downtime (new)'!A67</f>
        <v>46055</v>
      </c>
      <c r="B71" s="346"/>
      <c r="C71" s="346"/>
      <c r="D71" s="346"/>
      <c r="E71" s="346"/>
      <c r="F71" s="346"/>
      <c r="G71" s="346"/>
      <c r="H71" s="346"/>
      <c r="I71" s="346"/>
      <c r="J71" s="346"/>
      <c r="K71" s="346"/>
      <c r="L71" s="346"/>
      <c r="M71" s="346">
        <f>4</f>
        <v>4</v>
      </c>
      <c r="N71" s="346"/>
      <c r="O71" s="346">
        <f>3</f>
        <v>3</v>
      </c>
      <c r="P71" s="346"/>
      <c r="Q71" s="346"/>
      <c r="R71" s="346"/>
      <c r="S71" s="346"/>
      <c r="T71" s="346"/>
      <c r="U71" s="346"/>
      <c r="V71" s="346"/>
      <c r="W71" s="346"/>
      <c r="X71" s="346"/>
      <c r="Y71" s="346">
        <f>2</f>
        <v>2</v>
      </c>
      <c r="Z71" s="346"/>
      <c r="AA71" s="346"/>
      <c r="AB71" s="346"/>
      <c r="AC71" s="346"/>
      <c r="AD71" s="346"/>
      <c r="AE71" s="346"/>
      <c r="AF71" s="346"/>
      <c r="AG71" s="346"/>
      <c r="AH71" s="346"/>
      <c r="AI71">
        <f t="shared" ref="AI71:AI120" si="6">SUM(B71:AH71)</f>
        <v>9</v>
      </c>
      <c r="AJ71" s="351">
        <f t="shared" ref="AJ71:AJ89" si="7">AI71/$AI$121</f>
        <v>5.9132720105124839E-3</v>
      </c>
    </row>
    <row r="72" spans="1:36">
      <c r="A72" s="165">
        <f>'Conveyor Downtime (new)'!A68</f>
        <v>46055</v>
      </c>
      <c r="O72">
        <v>2</v>
      </c>
      <c r="AI72">
        <f t="shared" si="6"/>
        <v>2</v>
      </c>
      <c r="AJ72" s="351">
        <f t="shared" si="7"/>
        <v>1.3140604467805519E-3</v>
      </c>
    </row>
    <row r="73" spans="1:36">
      <c r="A73" s="165">
        <f>'Conveyor Downtime (new)'!A69</f>
        <v>46056</v>
      </c>
      <c r="B73" s="346"/>
      <c r="C73" s="346"/>
      <c r="D73" s="346"/>
      <c r="E73" s="346"/>
      <c r="F73" s="346"/>
      <c r="G73" s="346"/>
      <c r="H73" s="346"/>
      <c r="I73" s="346"/>
      <c r="J73" s="346"/>
      <c r="K73" s="346"/>
      <c r="L73" s="346"/>
      <c r="M73" s="346"/>
      <c r="N73" s="346"/>
      <c r="O73" s="346"/>
      <c r="P73" s="346"/>
      <c r="Q73" s="346"/>
      <c r="R73" s="346"/>
      <c r="S73" s="346"/>
      <c r="T73" s="346"/>
      <c r="U73" s="346">
        <f>2+2</f>
        <v>4</v>
      </c>
      <c r="V73" s="346"/>
      <c r="W73" s="346"/>
      <c r="X73" s="346"/>
      <c r="Y73" s="346">
        <f>2</f>
        <v>2</v>
      </c>
      <c r="Z73" s="346"/>
      <c r="AA73" s="346"/>
      <c r="AB73" s="346"/>
      <c r="AC73" s="346"/>
      <c r="AD73" s="346"/>
      <c r="AE73" s="346"/>
      <c r="AF73" s="346"/>
      <c r="AG73" s="346"/>
      <c r="AH73" s="346"/>
      <c r="AI73">
        <f t="shared" si="6"/>
        <v>6</v>
      </c>
      <c r="AJ73" s="351">
        <f t="shared" si="7"/>
        <v>3.9421813403416554E-3</v>
      </c>
    </row>
    <row r="74" spans="1:36">
      <c r="A74" s="165">
        <f>'Conveyor Downtime (new)'!A70</f>
        <v>46057</v>
      </c>
      <c r="O74">
        <f>7</f>
        <v>7</v>
      </c>
      <c r="U74">
        <f>2+2+2</f>
        <v>6</v>
      </c>
      <c r="AH74">
        <f>3</f>
        <v>3</v>
      </c>
      <c r="AI74">
        <f t="shared" si="6"/>
        <v>16</v>
      </c>
      <c r="AJ74" s="351">
        <f t="shared" si="7"/>
        <v>1.0512483574244415E-2</v>
      </c>
    </row>
    <row r="75" spans="1:36">
      <c r="A75" s="165">
        <f>'Conveyor Downtime (new)'!A71</f>
        <v>46057</v>
      </c>
      <c r="B75" s="346"/>
      <c r="C75" s="346"/>
      <c r="D75" s="346"/>
      <c r="E75" s="346"/>
      <c r="F75" s="346"/>
      <c r="G75" s="346"/>
      <c r="H75" s="346"/>
      <c r="I75" s="346"/>
      <c r="J75" s="346"/>
      <c r="K75" s="346"/>
      <c r="L75" s="346"/>
      <c r="M75" s="346"/>
      <c r="N75" s="346"/>
      <c r="O75" s="346">
        <f>5</f>
        <v>5</v>
      </c>
      <c r="P75" s="346"/>
      <c r="Q75" s="346"/>
      <c r="R75" s="346"/>
      <c r="S75" s="346"/>
      <c r="T75" s="346"/>
      <c r="U75" s="346"/>
      <c r="V75" s="346"/>
      <c r="W75" s="346"/>
      <c r="X75" s="346"/>
      <c r="Y75" s="346"/>
      <c r="Z75" s="346"/>
      <c r="AA75" s="346"/>
      <c r="AB75" s="346"/>
      <c r="AC75" s="346"/>
      <c r="AD75" s="346"/>
      <c r="AE75" s="346"/>
      <c r="AF75" s="346"/>
      <c r="AG75" s="346"/>
      <c r="AH75" s="346"/>
      <c r="AI75">
        <f t="shared" si="6"/>
        <v>5</v>
      </c>
      <c r="AJ75" s="351">
        <f t="shared" si="7"/>
        <v>3.2851511169513796E-3</v>
      </c>
    </row>
    <row r="76" spans="1:36">
      <c r="A76" s="165">
        <f>'Conveyor Downtime (new)'!A72</f>
        <v>46058</v>
      </c>
      <c r="O76">
        <f>4</f>
        <v>4</v>
      </c>
      <c r="AI76">
        <f t="shared" si="6"/>
        <v>4</v>
      </c>
      <c r="AJ76" s="351">
        <f t="shared" si="7"/>
        <v>2.6281208935611039E-3</v>
      </c>
    </row>
    <row r="77" spans="1:36">
      <c r="A77" s="165">
        <f>'Conveyor Downtime (new)'!A73</f>
        <v>46058</v>
      </c>
      <c r="B77" s="346">
        <f>6</f>
        <v>6</v>
      </c>
      <c r="C77" s="346"/>
      <c r="D77" s="346"/>
      <c r="E77" s="346"/>
      <c r="F77" s="346"/>
      <c r="G77" s="346"/>
      <c r="H77" s="346"/>
      <c r="I77" s="346"/>
      <c r="J77" s="346"/>
      <c r="K77" s="346"/>
      <c r="L77" s="346"/>
      <c r="M77" s="346"/>
      <c r="N77" s="346"/>
      <c r="O77" s="346">
        <f>10</f>
        <v>10</v>
      </c>
      <c r="P77" s="346"/>
      <c r="Q77" s="346"/>
      <c r="R77" s="346"/>
      <c r="S77" s="346"/>
      <c r="T77" s="346"/>
      <c r="U77" s="346">
        <f>2+1+2</f>
        <v>5</v>
      </c>
      <c r="V77" s="346"/>
      <c r="W77" s="346"/>
      <c r="X77" s="346"/>
      <c r="Y77" s="346">
        <f>2</f>
        <v>2</v>
      </c>
      <c r="Z77" s="346"/>
      <c r="AA77" s="346"/>
      <c r="AB77" s="346"/>
      <c r="AC77" s="346"/>
      <c r="AD77" s="346">
        <f>2</f>
        <v>2</v>
      </c>
      <c r="AE77" s="346">
        <f>20</f>
        <v>20</v>
      </c>
      <c r="AF77" s="346"/>
      <c r="AG77" s="346"/>
      <c r="AH77" s="346"/>
      <c r="AI77">
        <f t="shared" si="6"/>
        <v>45</v>
      </c>
      <c r="AJ77" s="351">
        <f t="shared" si="7"/>
        <v>2.956636005256242E-2</v>
      </c>
    </row>
    <row r="78" spans="1:36">
      <c r="A78" s="165">
        <f>'Conveyor Downtime (new)'!A74</f>
        <v>46058</v>
      </c>
      <c r="AI78">
        <f t="shared" si="6"/>
        <v>0</v>
      </c>
      <c r="AJ78" s="351">
        <f t="shared" si="7"/>
        <v>0</v>
      </c>
    </row>
    <row r="79" spans="1:36">
      <c r="A79" s="165">
        <f>'Conveyor Downtime (new)'!A75</f>
        <v>46059</v>
      </c>
      <c r="B79" s="346"/>
      <c r="C79" s="346"/>
      <c r="D79" s="346"/>
      <c r="E79" s="346"/>
      <c r="F79" s="346"/>
      <c r="G79" s="346"/>
      <c r="H79" s="346"/>
      <c r="I79" s="346"/>
      <c r="J79" s="346"/>
      <c r="K79" s="346"/>
      <c r="L79" s="346"/>
      <c r="M79" s="346"/>
      <c r="N79" s="346"/>
      <c r="O79" s="346"/>
      <c r="P79" s="346"/>
      <c r="Q79" s="346"/>
      <c r="R79" s="346"/>
      <c r="S79" s="346"/>
      <c r="T79" s="346"/>
      <c r="U79" s="346">
        <f>2+1+1</f>
        <v>4</v>
      </c>
      <c r="V79" s="346"/>
      <c r="W79" s="346"/>
      <c r="X79" s="346"/>
      <c r="Y79" s="346"/>
      <c r="Z79" s="346"/>
      <c r="AA79" s="346"/>
      <c r="AB79" s="346"/>
      <c r="AC79" s="346"/>
      <c r="AD79" s="346"/>
      <c r="AE79" s="346"/>
      <c r="AF79" s="346"/>
      <c r="AG79" s="346"/>
      <c r="AH79" s="346"/>
      <c r="AI79">
        <f t="shared" si="6"/>
        <v>4</v>
      </c>
      <c r="AJ79" s="351">
        <f t="shared" si="7"/>
        <v>2.6281208935611039E-3</v>
      </c>
    </row>
    <row r="80" spans="1:36">
      <c r="A80" s="165">
        <f>'Conveyor Downtime (new)'!A76</f>
        <v>46059</v>
      </c>
      <c r="AI80">
        <f t="shared" si="6"/>
        <v>0</v>
      </c>
      <c r="AJ80" s="351">
        <f t="shared" si="7"/>
        <v>0</v>
      </c>
    </row>
    <row r="81" spans="1:36">
      <c r="A81" s="165">
        <f>'Conveyor Downtime (new)'!A77</f>
        <v>46062</v>
      </c>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f t="shared" si="6"/>
        <v>0</v>
      </c>
      <c r="AJ81" s="351">
        <f t="shared" si="7"/>
        <v>0</v>
      </c>
    </row>
    <row r="82" spans="1:36">
      <c r="A82" s="165">
        <f>'Conveyor Downtime (new)'!A78</f>
        <v>46062</v>
      </c>
      <c r="AI82">
        <f t="shared" si="6"/>
        <v>0</v>
      </c>
      <c r="AJ82" s="351">
        <f t="shared" si="7"/>
        <v>0</v>
      </c>
    </row>
    <row r="83" spans="1:36">
      <c r="A83" s="165">
        <f>'Conveyor Downtime (new)'!A79</f>
        <v>46062</v>
      </c>
      <c r="B83" s="346"/>
      <c r="C83" s="346"/>
      <c r="D83" s="346"/>
      <c r="E83" s="346"/>
      <c r="F83" s="346"/>
      <c r="G83" s="346"/>
      <c r="H83" s="346"/>
      <c r="I83" s="346"/>
      <c r="J83" s="346"/>
      <c r="K83" s="346"/>
      <c r="L83" s="346"/>
      <c r="M83" s="346"/>
      <c r="N83" s="346"/>
      <c r="O83" s="346"/>
      <c r="P83" s="346"/>
      <c r="Q83" s="346"/>
      <c r="R83" s="346"/>
      <c r="S83" s="346"/>
      <c r="T83" s="346"/>
      <c r="U83" s="346">
        <f>2+1</f>
        <v>3</v>
      </c>
      <c r="V83" s="346"/>
      <c r="W83" s="346"/>
      <c r="X83" s="346"/>
      <c r="Y83" s="346"/>
      <c r="Z83" s="346">
        <f>37</f>
        <v>37</v>
      </c>
      <c r="AA83" s="346"/>
      <c r="AB83" s="346"/>
      <c r="AC83" s="346"/>
      <c r="AD83" s="346"/>
      <c r="AE83" s="346"/>
      <c r="AF83" s="346"/>
      <c r="AG83" s="346"/>
      <c r="AH83" s="346"/>
      <c r="AI83">
        <f t="shared" si="6"/>
        <v>40</v>
      </c>
      <c r="AJ83" s="351">
        <f t="shared" si="7"/>
        <v>2.6281208935611037E-2</v>
      </c>
    </row>
    <row r="84" spans="1:36">
      <c r="A84" s="165">
        <f>'Conveyor Downtime (new)'!A80</f>
        <v>46063</v>
      </c>
      <c r="O84">
        <f>2</f>
        <v>2</v>
      </c>
      <c r="AI84">
        <f t="shared" si="6"/>
        <v>2</v>
      </c>
      <c r="AJ84" s="351">
        <f t="shared" si="7"/>
        <v>1.3140604467805519E-3</v>
      </c>
    </row>
    <row r="85" spans="1:36">
      <c r="A85" s="165">
        <f>'Conveyor Downtime (new)'!A81</f>
        <v>46063</v>
      </c>
      <c r="B85" s="346"/>
      <c r="C85" s="346"/>
      <c r="D85" s="346"/>
      <c r="E85" s="346"/>
      <c r="F85" s="346"/>
      <c r="G85" s="346"/>
      <c r="H85" s="346"/>
      <c r="I85" s="346"/>
      <c r="J85" s="346"/>
      <c r="K85" s="346"/>
      <c r="L85" s="346">
        <f>3</f>
        <v>3</v>
      </c>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f t="shared" si="6"/>
        <v>3</v>
      </c>
      <c r="AJ85" s="351">
        <f t="shared" si="7"/>
        <v>1.9710906701708277E-3</v>
      </c>
    </row>
    <row r="86" spans="1:36">
      <c r="A86" s="165">
        <f>'Conveyor Downtime (new)'!A82</f>
        <v>46063</v>
      </c>
      <c r="AI86">
        <f t="shared" si="6"/>
        <v>0</v>
      </c>
      <c r="AJ86" s="351">
        <f t="shared" si="7"/>
        <v>0</v>
      </c>
    </row>
    <row r="87" spans="1:36">
      <c r="A87" s="165">
        <f>'Conveyor Downtime (new)'!A83</f>
        <v>46064</v>
      </c>
      <c r="B87" s="346"/>
      <c r="C87" s="346"/>
      <c r="D87" s="346"/>
      <c r="E87" s="346"/>
      <c r="F87" s="346"/>
      <c r="G87" s="346"/>
      <c r="H87" s="346"/>
      <c r="I87" s="346"/>
      <c r="J87" s="346"/>
      <c r="K87" s="346"/>
      <c r="L87" s="346"/>
      <c r="M87" s="346"/>
      <c r="N87" s="346"/>
      <c r="O87" s="346">
        <f>4</f>
        <v>4</v>
      </c>
      <c r="P87" s="346"/>
      <c r="Q87" s="346"/>
      <c r="R87" s="346"/>
      <c r="S87" s="346"/>
      <c r="T87" s="346"/>
      <c r="U87" s="346">
        <f>2</f>
        <v>2</v>
      </c>
      <c r="V87" s="346"/>
      <c r="W87" s="346"/>
      <c r="X87" s="346"/>
      <c r="Y87" s="346">
        <f>2+2+2</f>
        <v>6</v>
      </c>
      <c r="Z87" s="346"/>
      <c r="AA87" s="346"/>
      <c r="AB87" s="346"/>
      <c r="AC87" s="346"/>
      <c r="AD87" s="346"/>
      <c r="AE87" s="346"/>
      <c r="AF87" s="346"/>
      <c r="AG87" s="346"/>
      <c r="AH87" s="346"/>
      <c r="AI87">
        <f t="shared" si="6"/>
        <v>12</v>
      </c>
      <c r="AJ87" s="351">
        <f t="shared" si="7"/>
        <v>7.8843626806833107E-3</v>
      </c>
    </row>
    <row r="88" spans="1:36">
      <c r="A88" s="165">
        <f>'Conveyor Downtime (new)'!A84</f>
        <v>46064</v>
      </c>
      <c r="B88">
        <f>5</f>
        <v>5</v>
      </c>
      <c r="O88">
        <f>5+3</f>
        <v>8</v>
      </c>
      <c r="U88">
        <f>3+2</f>
        <v>5</v>
      </c>
      <c r="AE88">
        <f>9+24</f>
        <v>33</v>
      </c>
      <c r="AI88">
        <f t="shared" si="6"/>
        <v>51</v>
      </c>
      <c r="AJ88" s="351">
        <f t="shared" si="7"/>
        <v>3.3508541392904073E-2</v>
      </c>
    </row>
    <row r="89" spans="1:36">
      <c r="A89" s="165">
        <f>'Conveyor Downtime (new)'!A85</f>
        <v>46065</v>
      </c>
      <c r="B89" s="346"/>
      <c r="C89" s="346">
        <f>6</f>
        <v>6</v>
      </c>
      <c r="D89" s="346"/>
      <c r="E89" s="346"/>
      <c r="F89" s="346"/>
      <c r="G89" s="346"/>
      <c r="H89" s="346"/>
      <c r="I89" s="346"/>
      <c r="J89" s="346"/>
      <c r="K89" s="346"/>
      <c r="L89" s="346"/>
      <c r="M89" s="346"/>
      <c r="N89" s="346"/>
      <c r="O89" s="346">
        <f>3+3+4+2</f>
        <v>12</v>
      </c>
      <c r="P89" s="346"/>
      <c r="Q89" s="346"/>
      <c r="R89" s="346"/>
      <c r="S89" s="346">
        <f>2+2+2+2+1+2+2+2+1+1+2+2+2+2+1</f>
        <v>26</v>
      </c>
      <c r="T89" s="346"/>
      <c r="U89" s="346">
        <f>2</f>
        <v>2</v>
      </c>
      <c r="V89" s="346"/>
      <c r="W89" s="346"/>
      <c r="X89" s="346"/>
      <c r="Y89" s="346"/>
      <c r="Z89" s="346"/>
      <c r="AA89" s="346"/>
      <c r="AB89" s="346"/>
      <c r="AC89" s="346"/>
      <c r="AD89" s="346"/>
      <c r="AE89" s="346"/>
      <c r="AF89" s="346"/>
      <c r="AG89" s="346"/>
      <c r="AH89" s="346"/>
      <c r="AI89">
        <f t="shared" si="6"/>
        <v>46</v>
      </c>
      <c r="AJ89" s="351">
        <f t="shared" si="7"/>
        <v>3.0223390275952694E-2</v>
      </c>
    </row>
    <row r="90" spans="1:36">
      <c r="A90" s="165">
        <f>'Conveyor Downtime (new)'!A86</f>
        <v>46066</v>
      </c>
      <c r="U90">
        <f>2</f>
        <v>2</v>
      </c>
      <c r="AI90">
        <f t="shared" ref="AI90:AI96" si="8">SUM(B90:AH90)</f>
        <v>2</v>
      </c>
      <c r="AJ90" s="351">
        <f t="shared" ref="AJ90:AJ96" si="9">AI90/$AI$121</f>
        <v>1.3140604467805519E-3</v>
      </c>
    </row>
    <row r="91" spans="1:36">
      <c r="A91" s="165">
        <f>'Conveyor Downtime (new)'!A87</f>
        <v>46066</v>
      </c>
      <c r="B91" s="346"/>
      <c r="C91" s="346"/>
      <c r="D91" s="346"/>
      <c r="E91" s="346"/>
      <c r="F91" s="346"/>
      <c r="G91" s="346"/>
      <c r="H91" s="346"/>
      <c r="I91" s="346"/>
      <c r="J91" s="346"/>
      <c r="K91" s="346"/>
      <c r="L91" s="346"/>
      <c r="M91" s="346"/>
      <c r="N91" s="346"/>
      <c r="O91" s="346">
        <f>8</f>
        <v>8</v>
      </c>
      <c r="P91" s="346"/>
      <c r="Q91" s="346"/>
      <c r="R91" s="346"/>
      <c r="S91" s="346"/>
      <c r="T91" s="346"/>
      <c r="U91" s="346"/>
      <c r="V91" s="346"/>
      <c r="W91" s="346"/>
      <c r="X91" s="346"/>
      <c r="Y91" s="346"/>
      <c r="Z91" s="346"/>
      <c r="AA91" s="346"/>
      <c r="AB91" s="346"/>
      <c r="AC91" s="346"/>
      <c r="AD91" s="346"/>
      <c r="AE91" s="346"/>
      <c r="AF91" s="346"/>
      <c r="AG91" s="346"/>
      <c r="AH91" s="346"/>
      <c r="AI91">
        <f t="shared" si="8"/>
        <v>8</v>
      </c>
      <c r="AJ91" s="351">
        <f t="shared" si="9"/>
        <v>5.2562417871222077E-3</v>
      </c>
    </row>
    <row r="92" spans="1:36">
      <c r="A92" s="165">
        <f>'Conveyor Downtime (new)'!A88</f>
        <v>46069</v>
      </c>
      <c r="L92">
        <f>6</f>
        <v>6</v>
      </c>
      <c r="O92">
        <f>4+2+3</f>
        <v>9</v>
      </c>
      <c r="U92">
        <f>2</f>
        <v>2</v>
      </c>
      <c r="AI92">
        <f t="shared" si="8"/>
        <v>17</v>
      </c>
      <c r="AJ92" s="351">
        <f t="shared" si="9"/>
        <v>1.1169513797634692E-2</v>
      </c>
    </row>
    <row r="93" spans="1:36">
      <c r="A93" s="165">
        <f>'Conveyor Downtime (new)'!A89</f>
        <v>46070</v>
      </c>
      <c r="O93">
        <f>5+4+2+3+3</f>
        <v>17</v>
      </c>
      <c r="U93">
        <f>2+2+1+1</f>
        <v>6</v>
      </c>
      <c r="AI93">
        <f t="shared" si="8"/>
        <v>23</v>
      </c>
      <c r="AJ93" s="351">
        <f t="shared" si="9"/>
        <v>1.5111695137976347E-2</v>
      </c>
    </row>
    <row r="94" spans="1:36">
      <c r="A94" s="165">
        <f>'Conveyor Downtime (new)'!A90</f>
        <v>46071</v>
      </c>
      <c r="B94" s="346"/>
      <c r="C94" s="346"/>
      <c r="D94" s="346"/>
      <c r="E94" s="346"/>
      <c r="F94" s="346"/>
      <c r="G94" s="346"/>
      <c r="H94" s="346"/>
      <c r="I94" s="346"/>
      <c r="J94" s="346"/>
      <c r="K94" s="346"/>
      <c r="L94" s="346"/>
      <c r="M94" s="346"/>
      <c r="N94" s="346"/>
      <c r="O94" s="346"/>
      <c r="P94" s="346"/>
      <c r="Q94" s="346"/>
      <c r="R94" s="346"/>
      <c r="S94" s="346"/>
      <c r="T94" s="346"/>
      <c r="U94" s="346"/>
      <c r="V94" s="346"/>
      <c r="W94" s="346"/>
      <c r="X94" s="346"/>
      <c r="Y94" s="346"/>
      <c r="Z94" s="346"/>
      <c r="AA94" s="346"/>
      <c r="AB94" s="346"/>
      <c r="AC94" s="346"/>
      <c r="AD94" s="346"/>
      <c r="AE94" s="346"/>
      <c r="AF94" s="346"/>
      <c r="AG94" s="346"/>
      <c r="AH94" s="346"/>
      <c r="AI94">
        <f t="shared" si="8"/>
        <v>0</v>
      </c>
      <c r="AJ94" s="351">
        <f t="shared" si="9"/>
        <v>0</v>
      </c>
    </row>
    <row r="95" spans="1:36">
      <c r="A95" s="165">
        <f>'Conveyor Downtime (new)'!A91</f>
        <v>46072</v>
      </c>
      <c r="O95">
        <f>3+4+6</f>
        <v>13</v>
      </c>
      <c r="U95">
        <v>2</v>
      </c>
      <c r="Y95">
        <f>2</f>
        <v>2</v>
      </c>
      <c r="AE95">
        <f>8+7+2+2+1+7+3+5+3</f>
        <v>38</v>
      </c>
      <c r="AI95">
        <f t="shared" si="8"/>
        <v>55</v>
      </c>
      <c r="AJ95" s="351">
        <f t="shared" si="9"/>
        <v>3.6136662286465178E-2</v>
      </c>
    </row>
    <row r="96" spans="1:36">
      <c r="A96" s="165">
        <f>'Conveyor Downtime (new)'!A92</f>
        <v>46072</v>
      </c>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s="346"/>
      <c r="AE96" s="501">
        <v>9</v>
      </c>
      <c r="AF96" s="346"/>
      <c r="AG96" s="346"/>
      <c r="AH96" s="346"/>
      <c r="AI96">
        <f t="shared" si="8"/>
        <v>9</v>
      </c>
      <c r="AJ96" s="351">
        <f t="shared" si="9"/>
        <v>5.9132720105124839E-3</v>
      </c>
    </row>
    <row r="97" spans="1:36">
      <c r="A97" s="165">
        <f>'Conveyor Downtime (new)'!A93</f>
        <v>46072</v>
      </c>
      <c r="O97">
        <f>3</f>
        <v>3</v>
      </c>
      <c r="AI97">
        <f t="shared" si="6"/>
        <v>3</v>
      </c>
      <c r="AJ97" s="351">
        <f t="shared" ref="AJ97:AJ120" si="10">AI97/$AI$121</f>
        <v>1.9710906701708277E-3</v>
      </c>
    </row>
    <row r="98" spans="1:36">
      <c r="A98" s="165">
        <f>'Conveyor Downtime (new)'!A94</f>
        <v>46073</v>
      </c>
      <c r="B98" s="346"/>
      <c r="C98" s="346"/>
      <c r="D98" s="346"/>
      <c r="E98" s="346"/>
      <c r="F98" s="346"/>
      <c r="G98" s="346"/>
      <c r="H98" s="346"/>
      <c r="I98" s="346"/>
      <c r="J98" s="346"/>
      <c r="K98" s="346"/>
      <c r="L98" s="346"/>
      <c r="M98" s="346"/>
      <c r="N98" s="346"/>
      <c r="O98" s="346"/>
      <c r="P98" s="346"/>
      <c r="Q98" s="346"/>
      <c r="R98" s="346"/>
      <c r="S98" s="346">
        <f>3+4+3+3+2+2</f>
        <v>17</v>
      </c>
      <c r="T98" s="346"/>
      <c r="U98" s="346"/>
      <c r="V98" s="346"/>
      <c r="W98" s="346"/>
      <c r="X98" s="346"/>
      <c r="Y98" s="346"/>
      <c r="Z98" s="346"/>
      <c r="AA98" s="346"/>
      <c r="AB98" s="346"/>
      <c r="AC98" s="346"/>
      <c r="AD98" s="346"/>
      <c r="AE98" s="346"/>
      <c r="AF98" s="346"/>
      <c r="AG98" s="346"/>
      <c r="AH98" s="346"/>
      <c r="AI98">
        <f t="shared" si="6"/>
        <v>17</v>
      </c>
      <c r="AJ98" s="351">
        <f t="shared" si="10"/>
        <v>1.1169513797634692E-2</v>
      </c>
    </row>
    <row r="99" spans="1:36">
      <c r="A99" s="165">
        <f>'Conveyor Downtime (new)'!A95</f>
        <v>46073</v>
      </c>
      <c r="U99">
        <f>1</f>
        <v>1</v>
      </c>
      <c r="AI99">
        <f t="shared" si="6"/>
        <v>1</v>
      </c>
      <c r="AJ99" s="351">
        <f t="shared" si="10"/>
        <v>6.5703022339027597E-4</v>
      </c>
    </row>
    <row r="100" spans="1:36">
      <c r="A100" s="165">
        <f>'Conveyor Downtime (new)'!A96</f>
        <v>46076</v>
      </c>
      <c r="B100" s="346"/>
      <c r="C100" s="346"/>
      <c r="D100" s="346"/>
      <c r="E100" s="346"/>
      <c r="F100" s="346"/>
      <c r="G100" s="346"/>
      <c r="H100" s="346"/>
      <c r="I100" s="346"/>
      <c r="J100" s="346"/>
      <c r="K100" s="346"/>
      <c r="L100" s="346"/>
      <c r="M100" s="346"/>
      <c r="N100" s="346"/>
      <c r="O100" s="346">
        <f>7+6+4+4+4+4+3+4+2+4</f>
        <v>42</v>
      </c>
      <c r="P100" s="346"/>
      <c r="Q100" s="346"/>
      <c r="R100" s="346"/>
      <c r="S100" s="346"/>
      <c r="T100" s="346"/>
      <c r="U100" s="346">
        <f>3+2+3</f>
        <v>8</v>
      </c>
      <c r="V100" s="346"/>
      <c r="W100" s="346"/>
      <c r="X100" s="346"/>
      <c r="Y100" s="346">
        <f>3+2</f>
        <v>5</v>
      </c>
      <c r="Z100" s="346"/>
      <c r="AA100" s="346"/>
      <c r="AB100" s="346"/>
      <c r="AC100" s="346"/>
      <c r="AD100" s="346"/>
      <c r="AE100" s="346">
        <f>12+6</f>
        <v>18</v>
      </c>
      <c r="AF100" s="346"/>
      <c r="AG100" s="346"/>
      <c r="AH100" s="346"/>
      <c r="AI100">
        <f t="shared" si="6"/>
        <v>73</v>
      </c>
      <c r="AJ100" s="351">
        <f t="shared" si="10"/>
        <v>4.7963206307490146E-2</v>
      </c>
    </row>
    <row r="101" spans="1:36">
      <c r="A101" s="165">
        <f>'Conveyor Downtime (new)'!A97</f>
        <v>46077</v>
      </c>
      <c r="O101">
        <f>5+3</f>
        <v>8</v>
      </c>
      <c r="U101">
        <f>1+2</f>
        <v>3</v>
      </c>
      <c r="AI101">
        <f t="shared" si="6"/>
        <v>11</v>
      </c>
      <c r="AJ101" s="351">
        <f t="shared" si="10"/>
        <v>7.2273324572930354E-3</v>
      </c>
    </row>
    <row r="102" spans="1:36">
      <c r="A102" s="165">
        <f>'Conveyor Downtime (new)'!A98</f>
        <v>46077</v>
      </c>
      <c r="B102" s="346"/>
      <c r="C102" s="346"/>
      <c r="D102" s="346"/>
      <c r="E102" s="346"/>
      <c r="F102" s="346"/>
      <c r="G102" s="346"/>
      <c r="H102" s="346"/>
      <c r="I102" s="346"/>
      <c r="J102" s="346"/>
      <c r="K102" s="346"/>
      <c r="L102" s="346"/>
      <c r="M102" s="346"/>
      <c r="N102" s="346"/>
      <c r="O102" s="346">
        <f>4+3+3+2+3+3+4+2+4+2+3+7+3</f>
        <v>43</v>
      </c>
      <c r="P102" s="346"/>
      <c r="Q102" s="346"/>
      <c r="R102" s="346"/>
      <c r="S102" s="346"/>
      <c r="T102" s="346"/>
      <c r="U102" s="346">
        <f>3+2+3+3+4+4+3+2</f>
        <v>24</v>
      </c>
      <c r="V102" s="346"/>
      <c r="W102" s="346"/>
      <c r="X102" s="346"/>
      <c r="Y102" s="346"/>
      <c r="Z102" s="346"/>
      <c r="AA102" s="346"/>
      <c r="AB102" s="346"/>
      <c r="AC102" s="346"/>
      <c r="AD102" s="346"/>
      <c r="AE102" s="346">
        <f>26+16</f>
        <v>42</v>
      </c>
      <c r="AF102" s="346"/>
      <c r="AG102" s="346"/>
      <c r="AH102" s="346"/>
      <c r="AI102">
        <f t="shared" si="6"/>
        <v>109</v>
      </c>
      <c r="AJ102" s="351">
        <f t="shared" si="10"/>
        <v>7.1616294349540074E-2</v>
      </c>
    </row>
    <row r="103" spans="1:36">
      <c r="A103" s="165">
        <f>'Conveyor Downtime (new)'!A99</f>
        <v>46078</v>
      </c>
      <c r="N103">
        <f>10</f>
        <v>10</v>
      </c>
      <c r="O103">
        <f>4+5+6+2+7+8+3+4+5+25+10</f>
        <v>79</v>
      </c>
      <c r="V103">
        <f>10+11+6+10+19</f>
        <v>56</v>
      </c>
      <c r="Y103">
        <f>2+2</f>
        <v>4</v>
      </c>
      <c r="AI103">
        <f t="shared" si="6"/>
        <v>149</v>
      </c>
      <c r="AJ103" s="351">
        <f t="shared" si="10"/>
        <v>9.7897503285151122E-2</v>
      </c>
    </row>
    <row r="104" spans="1:36">
      <c r="A104" s="165">
        <f>'Conveyor Downtime (new)'!A100</f>
        <v>46079</v>
      </c>
      <c r="B104" s="346"/>
      <c r="C104" s="346"/>
      <c r="D104" s="346"/>
      <c r="E104" s="346"/>
      <c r="F104" s="346"/>
      <c r="G104" s="346"/>
      <c r="H104" s="346"/>
      <c r="I104" s="346"/>
      <c r="J104" s="346"/>
      <c r="K104" s="346"/>
      <c r="L104" s="346"/>
      <c r="M104" s="346"/>
      <c r="N104" s="346"/>
      <c r="O104" s="346"/>
      <c r="P104" s="346"/>
      <c r="Q104" s="346"/>
      <c r="R104" s="346"/>
      <c r="S104" s="346"/>
      <c r="T104" s="346"/>
      <c r="U104" s="346"/>
      <c r="V104" s="346">
        <f>14+44+60+60+60+60+60+47+5+60+60+60+60+60</f>
        <v>710</v>
      </c>
      <c r="W104" s="346"/>
      <c r="X104" s="346"/>
      <c r="Y104" s="346"/>
      <c r="Z104" s="346"/>
      <c r="AA104" s="346"/>
      <c r="AB104" s="346"/>
      <c r="AC104" s="346"/>
      <c r="AD104" s="346"/>
      <c r="AE104" s="346"/>
      <c r="AF104" s="346"/>
      <c r="AG104" s="346"/>
      <c r="AH104" s="346"/>
      <c r="AI104">
        <f t="shared" si="6"/>
        <v>710</v>
      </c>
      <c r="AJ104" s="351">
        <f t="shared" si="10"/>
        <v>0.4664914586070959</v>
      </c>
    </row>
    <row r="105" spans="1:36">
      <c r="A105" s="165">
        <f>'Conveyor Downtime (new)'!A101</f>
        <v>46079</v>
      </c>
      <c r="O105">
        <f>10</f>
        <v>10</v>
      </c>
      <c r="AE105">
        <f>40</f>
        <v>40</v>
      </c>
      <c r="AI105">
        <f t="shared" si="6"/>
        <v>50</v>
      </c>
      <c r="AJ105" s="351">
        <f t="shared" si="10"/>
        <v>3.2851511169513799E-2</v>
      </c>
    </row>
    <row r="106" spans="1:36">
      <c r="A106" s="165">
        <f>'Conveyor Downtime (new)'!A102</f>
        <v>46080</v>
      </c>
      <c r="B106" s="346"/>
      <c r="C106" s="346"/>
      <c r="D106" s="346"/>
      <c r="E106" s="346"/>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s="346"/>
      <c r="AH106" s="346"/>
      <c r="AI106">
        <f t="shared" si="6"/>
        <v>0</v>
      </c>
      <c r="AJ106" s="351">
        <f t="shared" si="10"/>
        <v>0</v>
      </c>
    </row>
    <row r="107" spans="1:36">
      <c r="A107" s="165">
        <f>'Conveyor Downtime (new)'!A103</f>
        <v>46080</v>
      </c>
      <c r="N107">
        <f>3</f>
        <v>3</v>
      </c>
      <c r="O107">
        <f>8+7</f>
        <v>15</v>
      </c>
      <c r="P107">
        <f>4</f>
        <v>4</v>
      </c>
      <c r="S107">
        <f>2</f>
        <v>2</v>
      </c>
      <c r="U107">
        <v>2</v>
      </c>
      <c r="AI107">
        <f t="shared" si="6"/>
        <v>26</v>
      </c>
      <c r="AJ107" s="351">
        <f t="shared" si="10"/>
        <v>1.7082785808147174E-2</v>
      </c>
    </row>
    <row r="108" spans="1:36">
      <c r="A108" s="165">
        <f>'Conveyor Downtime (new)'!A104</f>
        <v>46080</v>
      </c>
      <c r="B108" s="346"/>
      <c r="C108" s="346"/>
      <c r="D108" s="346"/>
      <c r="E108" s="346"/>
      <c r="F108" s="346"/>
      <c r="G108" s="346"/>
      <c r="H108" s="346"/>
      <c r="I108" s="346"/>
      <c r="J108" s="346"/>
      <c r="K108" s="346"/>
      <c r="L108" s="346"/>
      <c r="M108" s="346"/>
      <c r="N108" s="346"/>
      <c r="O108" s="346"/>
      <c r="P108" s="346"/>
      <c r="Q108" s="346"/>
      <c r="R108" s="346"/>
      <c r="S108" s="346"/>
      <c r="T108" s="346"/>
      <c r="U108" s="346"/>
      <c r="V108" s="346"/>
      <c r="W108" s="346"/>
      <c r="X108" s="346"/>
      <c r="Y108" s="346">
        <f>2</f>
        <v>2</v>
      </c>
      <c r="Z108" s="346"/>
      <c r="AA108" s="346"/>
      <c r="AB108" s="346"/>
      <c r="AC108" s="346"/>
      <c r="AD108" s="346"/>
      <c r="AE108" s="346"/>
      <c r="AF108" s="346"/>
      <c r="AG108" s="346"/>
      <c r="AH108" s="346"/>
      <c r="AI108">
        <f t="shared" si="6"/>
        <v>2</v>
      </c>
      <c r="AJ108" s="351">
        <f t="shared" si="10"/>
        <v>1.3140604467805519E-3</v>
      </c>
    </row>
    <row r="109" spans="1:36">
      <c r="A109" s="165">
        <f>'Conveyor Downtime (new)'!A105</f>
        <v>46081</v>
      </c>
      <c r="O109">
        <f>5+3</f>
        <v>8</v>
      </c>
      <c r="U109">
        <f>2+1+1</f>
        <v>4</v>
      </c>
      <c r="AI109">
        <f t="shared" si="6"/>
        <v>12</v>
      </c>
      <c r="AJ109" s="351">
        <f t="shared" si="10"/>
        <v>7.8843626806833107E-3</v>
      </c>
    </row>
    <row r="110" spans="1:36">
      <c r="A110" s="165">
        <f>'Conveyor Downtime (new)'!A106</f>
        <v>46081</v>
      </c>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f t="shared" si="6"/>
        <v>0</v>
      </c>
      <c r="AJ110" s="351">
        <f t="shared" si="10"/>
        <v>0</v>
      </c>
    </row>
    <row r="111" spans="1:36">
      <c r="A111" s="165">
        <f>'Conveyor Downtime (new)'!A107</f>
        <v>0</v>
      </c>
      <c r="AI111">
        <f t="shared" si="6"/>
        <v>0</v>
      </c>
      <c r="AJ111" s="351">
        <f t="shared" si="10"/>
        <v>0</v>
      </c>
    </row>
    <row r="112" spans="1:36">
      <c r="A112" s="165">
        <f>'Conveyor Downtime (new)'!A108</f>
        <v>0</v>
      </c>
      <c r="B112" s="346"/>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c r="AH112" s="346"/>
      <c r="AI112">
        <f t="shared" si="6"/>
        <v>0</v>
      </c>
      <c r="AJ112" s="351">
        <f t="shared" si="10"/>
        <v>0</v>
      </c>
    </row>
    <row r="113" spans="1:38">
      <c r="A113" s="165">
        <f>'Conveyor Downtime (new)'!A109</f>
        <v>0</v>
      </c>
      <c r="AI113">
        <f t="shared" si="6"/>
        <v>0</v>
      </c>
      <c r="AJ113" s="351">
        <f t="shared" si="10"/>
        <v>0</v>
      </c>
    </row>
    <row r="114" spans="1:38">
      <c r="A114" s="165">
        <f>'Conveyor Downtime (new)'!A110</f>
        <v>0</v>
      </c>
      <c r="B114" s="346"/>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c r="AH114" s="346"/>
      <c r="AI114">
        <f t="shared" si="6"/>
        <v>0</v>
      </c>
      <c r="AJ114" s="351">
        <f t="shared" si="10"/>
        <v>0</v>
      </c>
    </row>
    <row r="115" spans="1:38">
      <c r="A115" s="165">
        <f>'Conveyor Downtime (new)'!A111</f>
        <v>0</v>
      </c>
      <c r="AI115">
        <f t="shared" si="6"/>
        <v>0</v>
      </c>
      <c r="AJ115" s="351">
        <f t="shared" si="10"/>
        <v>0</v>
      </c>
    </row>
    <row r="116" spans="1:38">
      <c r="A116" s="165">
        <f>'Conveyor Downtime (new)'!A112</f>
        <v>0</v>
      </c>
      <c r="B116" s="346"/>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f t="shared" si="6"/>
        <v>0</v>
      </c>
      <c r="AJ116" s="351">
        <f t="shared" si="10"/>
        <v>0</v>
      </c>
    </row>
    <row r="117" spans="1:38">
      <c r="A117" s="165">
        <f>'Conveyor Downtime (new)'!A113</f>
        <v>0</v>
      </c>
      <c r="AI117">
        <f t="shared" si="6"/>
        <v>0</v>
      </c>
      <c r="AJ117" s="351">
        <f t="shared" si="10"/>
        <v>0</v>
      </c>
    </row>
    <row r="118" spans="1:38">
      <c r="A118" s="165">
        <f>'Conveyor Downtime (new)'!A114</f>
        <v>0</v>
      </c>
      <c r="B118" s="346"/>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c r="AH118" s="346"/>
      <c r="AI118">
        <f t="shared" si="6"/>
        <v>0</v>
      </c>
      <c r="AJ118" s="351">
        <f t="shared" si="10"/>
        <v>0</v>
      </c>
    </row>
    <row r="119" spans="1:38">
      <c r="A119" s="165">
        <f>'Conveyor Downtime (new)'!A115</f>
        <v>0</v>
      </c>
      <c r="AI119">
        <f t="shared" si="6"/>
        <v>0</v>
      </c>
      <c r="AJ119" s="351">
        <f t="shared" si="10"/>
        <v>0</v>
      </c>
    </row>
    <row r="120" spans="1:38">
      <c r="A120" s="165"/>
      <c r="B120" s="346"/>
      <c r="C120" s="346"/>
      <c r="D120" s="346"/>
      <c r="E120" s="346"/>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c r="AH120" s="346"/>
      <c r="AI120">
        <f t="shared" si="6"/>
        <v>0</v>
      </c>
      <c r="AJ120" s="351">
        <f t="shared" si="10"/>
        <v>0</v>
      </c>
    </row>
    <row r="121" spans="1:38" ht="15">
      <c r="A121" s="347" t="s">
        <v>173</v>
      </c>
      <c r="B121" s="347">
        <f t="shared" ref="B121:AH121" si="11">SUM(B71:B120)</f>
        <v>11</v>
      </c>
      <c r="C121" s="347">
        <f t="shared" si="11"/>
        <v>6</v>
      </c>
      <c r="D121" s="347">
        <f t="shared" si="11"/>
        <v>0</v>
      </c>
      <c r="E121" s="347">
        <f t="shared" si="11"/>
        <v>0</v>
      </c>
      <c r="F121" s="347">
        <f t="shared" si="11"/>
        <v>0</v>
      </c>
      <c r="G121" s="347">
        <f t="shared" si="11"/>
        <v>0</v>
      </c>
      <c r="H121" s="347">
        <f t="shared" si="11"/>
        <v>0</v>
      </c>
      <c r="I121" s="347">
        <f t="shared" si="11"/>
        <v>0</v>
      </c>
      <c r="J121" s="347">
        <f t="shared" si="11"/>
        <v>0</v>
      </c>
      <c r="K121" s="347">
        <f t="shared" si="11"/>
        <v>0</v>
      </c>
      <c r="L121" s="347">
        <f t="shared" si="11"/>
        <v>9</v>
      </c>
      <c r="M121" s="347">
        <f t="shared" si="11"/>
        <v>4</v>
      </c>
      <c r="N121" s="347">
        <f t="shared" si="11"/>
        <v>13</v>
      </c>
      <c r="O121" s="347">
        <f t="shared" si="11"/>
        <v>312</v>
      </c>
      <c r="P121" s="347">
        <f t="shared" si="11"/>
        <v>4</v>
      </c>
      <c r="Q121" s="347">
        <f t="shared" si="11"/>
        <v>0</v>
      </c>
      <c r="R121" s="347">
        <f t="shared" si="11"/>
        <v>0</v>
      </c>
      <c r="S121" s="347">
        <f t="shared" si="11"/>
        <v>45</v>
      </c>
      <c r="T121" s="347">
        <f t="shared" si="11"/>
        <v>0</v>
      </c>
      <c r="U121" s="347">
        <f t="shared" si="11"/>
        <v>85</v>
      </c>
      <c r="V121" s="347">
        <f t="shared" si="11"/>
        <v>766</v>
      </c>
      <c r="W121" s="347">
        <f t="shared" si="11"/>
        <v>0</v>
      </c>
      <c r="X121" s="347">
        <f t="shared" si="11"/>
        <v>0</v>
      </c>
      <c r="Y121" s="347">
        <f t="shared" si="11"/>
        <v>25</v>
      </c>
      <c r="Z121" s="347">
        <f t="shared" si="11"/>
        <v>37</v>
      </c>
      <c r="AA121" s="347">
        <f t="shared" si="11"/>
        <v>0</v>
      </c>
      <c r="AB121" s="347">
        <f t="shared" si="11"/>
        <v>0</v>
      </c>
      <c r="AC121" s="347">
        <f t="shared" ref="AC121:AF121" si="12">SUM(AC71:AC120)</f>
        <v>0</v>
      </c>
      <c r="AD121" s="347">
        <f t="shared" si="12"/>
        <v>2</v>
      </c>
      <c r="AE121" s="347">
        <f t="shared" si="12"/>
        <v>200</v>
      </c>
      <c r="AF121" s="347">
        <f t="shared" si="12"/>
        <v>0</v>
      </c>
      <c r="AG121" s="347">
        <f t="shared" si="11"/>
        <v>0</v>
      </c>
      <c r="AH121" s="347">
        <f t="shared" si="11"/>
        <v>3</v>
      </c>
      <c r="AI121" s="347">
        <f>SUM(AI71:AI120)</f>
        <v>1522</v>
      </c>
    </row>
    <row r="122" spans="1:38" ht="15.75" thickBot="1">
      <c r="A122" s="348" t="s">
        <v>174</v>
      </c>
      <c r="B122" s="348">
        <f t="shared" ref="B122:AB122" si="13">B121/$AI121</f>
        <v>7.2273324572930354E-3</v>
      </c>
      <c r="C122" s="348">
        <f t="shared" si="13"/>
        <v>3.9421813403416554E-3</v>
      </c>
      <c r="D122" s="348">
        <f t="shared" si="13"/>
        <v>0</v>
      </c>
      <c r="E122" s="348">
        <f t="shared" si="13"/>
        <v>0</v>
      </c>
      <c r="F122" s="348">
        <f t="shared" si="13"/>
        <v>0</v>
      </c>
      <c r="G122" s="348">
        <f t="shared" si="13"/>
        <v>0</v>
      </c>
      <c r="H122" s="348">
        <f t="shared" si="13"/>
        <v>0</v>
      </c>
      <c r="I122" s="348">
        <f t="shared" si="13"/>
        <v>0</v>
      </c>
      <c r="J122" s="348">
        <f t="shared" si="13"/>
        <v>0</v>
      </c>
      <c r="K122" s="348">
        <f t="shared" si="13"/>
        <v>0</v>
      </c>
      <c r="L122" s="348">
        <f t="shared" si="13"/>
        <v>5.9132720105124839E-3</v>
      </c>
      <c r="M122" s="348">
        <f t="shared" si="13"/>
        <v>2.6281208935611039E-3</v>
      </c>
      <c r="N122" s="348">
        <f t="shared" si="13"/>
        <v>8.5413929040735869E-3</v>
      </c>
      <c r="O122" s="348">
        <f t="shared" si="13"/>
        <v>0.2049934296977661</v>
      </c>
      <c r="P122" s="348">
        <f t="shared" si="13"/>
        <v>2.6281208935611039E-3</v>
      </c>
      <c r="Q122" s="348">
        <f t="shared" si="13"/>
        <v>0</v>
      </c>
      <c r="R122" s="348">
        <f t="shared" si="13"/>
        <v>0</v>
      </c>
      <c r="S122" s="348">
        <f t="shared" si="13"/>
        <v>2.956636005256242E-2</v>
      </c>
      <c r="T122" s="348">
        <f t="shared" si="13"/>
        <v>0</v>
      </c>
      <c r="U122" s="348">
        <f t="shared" si="13"/>
        <v>5.5847568988173453E-2</v>
      </c>
      <c r="V122" s="348">
        <f t="shared" si="13"/>
        <v>0.50328515111695138</v>
      </c>
      <c r="W122" s="348">
        <f t="shared" si="13"/>
        <v>0</v>
      </c>
      <c r="X122" s="348">
        <f t="shared" si="13"/>
        <v>0</v>
      </c>
      <c r="Y122" s="348">
        <f t="shared" si="13"/>
        <v>1.6425755584756899E-2</v>
      </c>
      <c r="Z122" s="348">
        <f t="shared" si="13"/>
        <v>2.431011826544021E-2</v>
      </c>
      <c r="AA122" s="348">
        <f t="shared" si="13"/>
        <v>0</v>
      </c>
      <c r="AB122" s="348">
        <f t="shared" si="13"/>
        <v>0</v>
      </c>
      <c r="AC122" s="348">
        <f t="shared" ref="AC122:AF122" si="14">AC121/$AI121</f>
        <v>0</v>
      </c>
      <c r="AD122" s="348">
        <f t="shared" si="14"/>
        <v>1.3140604467805519E-3</v>
      </c>
      <c r="AE122" s="348">
        <f t="shared" si="14"/>
        <v>0.13140604467805519</v>
      </c>
      <c r="AF122" s="348">
        <f t="shared" si="14"/>
        <v>0</v>
      </c>
      <c r="AG122" s="348">
        <f>AG121/$AI121</f>
        <v>0</v>
      </c>
      <c r="AH122" s="348">
        <f>AH121/$AI121</f>
        <v>1.9710906701708277E-3</v>
      </c>
    </row>
    <row r="128" spans="1:38">
      <c r="A128" s="165">
        <f>'Conveyor Downtime (new)'!A124</f>
        <v>46083</v>
      </c>
      <c r="B128" s="346"/>
      <c r="C128" s="346"/>
      <c r="D128" s="346"/>
      <c r="E128" s="346"/>
      <c r="F128" s="346"/>
      <c r="G128" s="346"/>
      <c r="H128" s="346"/>
      <c r="I128" s="346"/>
      <c r="J128" s="346"/>
      <c r="K128" s="346"/>
      <c r="L128" s="346"/>
      <c r="M128" s="346"/>
      <c r="N128" s="346"/>
      <c r="O128" s="346">
        <f>4+5</f>
        <v>9</v>
      </c>
      <c r="P128" s="346"/>
      <c r="Q128" s="346"/>
      <c r="R128" s="346"/>
      <c r="S128" s="346"/>
      <c r="T128" s="346"/>
      <c r="U128" s="346"/>
      <c r="V128" s="346"/>
      <c r="W128" s="346"/>
      <c r="X128" s="346"/>
      <c r="Y128" s="346">
        <v>2</v>
      </c>
      <c r="Z128" s="346"/>
      <c r="AA128" s="346"/>
      <c r="AB128" s="346"/>
      <c r="AC128" s="346"/>
      <c r="AD128" s="346"/>
      <c r="AE128" s="346">
        <f>37+11</f>
        <v>48</v>
      </c>
      <c r="AF128" s="346"/>
      <c r="AG128" s="346"/>
      <c r="AH128" s="346"/>
      <c r="AI128">
        <f t="shared" ref="AI128:AI160" si="15">SUM(B128:AH128)</f>
        <v>59</v>
      </c>
      <c r="AJ128" s="351">
        <f t="shared" ref="AJ128:AJ151" si="16">AI128/$AI$184</f>
        <v>6.86046511627907E-2</v>
      </c>
      <c r="AL128" s="351"/>
    </row>
    <row r="129" spans="1:38">
      <c r="A129" s="165">
        <f>'Conveyor Downtime (new)'!A125</f>
        <v>46083</v>
      </c>
      <c r="O129">
        <f>9+14+2+3+1+4</f>
        <v>33</v>
      </c>
      <c r="U129">
        <f>2</f>
        <v>2</v>
      </c>
      <c r="Y129">
        <f>2</f>
        <v>2</v>
      </c>
      <c r="AI129">
        <f t="shared" si="15"/>
        <v>37</v>
      </c>
      <c r="AJ129" s="351">
        <f t="shared" si="16"/>
        <v>4.3023255813953491E-2</v>
      </c>
      <c r="AL129" s="351"/>
    </row>
    <row r="130" spans="1:38">
      <c r="A130" s="165">
        <f>'Conveyor Downtime (new)'!A126</f>
        <v>46084</v>
      </c>
      <c r="B130" s="346"/>
      <c r="C130" s="346"/>
      <c r="D130" s="346"/>
      <c r="E130" s="346"/>
      <c r="F130" s="346">
        <f>18+11</f>
        <v>29</v>
      </c>
      <c r="G130" s="346"/>
      <c r="H130" s="346"/>
      <c r="I130" s="346"/>
      <c r="J130" s="346"/>
      <c r="K130" s="346"/>
      <c r="L130" s="346"/>
      <c r="M130" s="346"/>
      <c r="N130" s="346"/>
      <c r="O130" s="346">
        <f>4+3</f>
        <v>7</v>
      </c>
      <c r="P130" s="346"/>
      <c r="Q130" s="346"/>
      <c r="R130" s="346"/>
      <c r="S130" s="346"/>
      <c r="T130" s="346">
        <f>18</f>
        <v>18</v>
      </c>
      <c r="U130" s="346">
        <f>2+2+1+1+2</f>
        <v>8</v>
      </c>
      <c r="V130" s="346"/>
      <c r="W130" s="346"/>
      <c r="X130" s="346"/>
      <c r="Y130" s="346">
        <f>2+2+2</f>
        <v>6</v>
      </c>
      <c r="Z130" s="346"/>
      <c r="AA130" s="346"/>
      <c r="AB130" s="346"/>
      <c r="AC130" s="346"/>
      <c r="AD130" s="346"/>
      <c r="AE130" s="346"/>
      <c r="AF130" s="346"/>
      <c r="AG130" s="346"/>
      <c r="AH130" s="346"/>
      <c r="AI130">
        <f t="shared" si="15"/>
        <v>68</v>
      </c>
      <c r="AJ130" s="351">
        <f t="shared" si="16"/>
        <v>7.9069767441860464E-2</v>
      </c>
      <c r="AL130" s="351"/>
    </row>
    <row r="131" spans="1:38">
      <c r="A131" s="165">
        <f>'Conveyor Downtime (new)'!A127</f>
        <v>46085</v>
      </c>
      <c r="T131">
        <f>20</f>
        <v>20</v>
      </c>
      <c r="Y131">
        <f>2+2+2</f>
        <v>6</v>
      </c>
      <c r="AI131">
        <f t="shared" si="15"/>
        <v>26</v>
      </c>
      <c r="AJ131" s="351">
        <f t="shared" si="16"/>
        <v>3.0232558139534883E-2</v>
      </c>
      <c r="AL131" s="351"/>
    </row>
    <row r="132" spans="1:38">
      <c r="A132" s="165">
        <f>'Conveyor Downtime (new)'!A128</f>
        <v>46085</v>
      </c>
      <c r="B132" s="346"/>
      <c r="C132" s="346"/>
      <c r="D132" s="346"/>
      <c r="E132" s="346"/>
      <c r="F132" s="346"/>
      <c r="G132" s="346"/>
      <c r="H132" s="346"/>
      <c r="I132" s="346"/>
      <c r="J132" s="346"/>
      <c r="K132" s="346"/>
      <c r="L132" s="346">
        <f>3</f>
        <v>3</v>
      </c>
      <c r="M132" s="346"/>
      <c r="N132" s="346"/>
      <c r="O132" s="346">
        <f>2+3+2</f>
        <v>7</v>
      </c>
      <c r="P132" s="346"/>
      <c r="Q132" s="346"/>
      <c r="R132" s="346"/>
      <c r="S132" s="346"/>
      <c r="T132" s="346"/>
      <c r="U132" s="346">
        <f>1+2+6</f>
        <v>9</v>
      </c>
      <c r="V132" s="346"/>
      <c r="W132" s="346"/>
      <c r="X132" s="346"/>
      <c r="Y132" s="346"/>
      <c r="Z132" s="346"/>
      <c r="AA132" s="346"/>
      <c r="AB132" s="346"/>
      <c r="AC132" s="346"/>
      <c r="AD132" s="346"/>
      <c r="AE132" s="346"/>
      <c r="AF132" s="346"/>
      <c r="AG132" s="346"/>
      <c r="AH132" s="346"/>
      <c r="AI132">
        <f t="shared" si="15"/>
        <v>19</v>
      </c>
      <c r="AJ132" s="351">
        <f t="shared" si="16"/>
        <v>2.2093023255813953E-2</v>
      </c>
      <c r="AL132" s="351"/>
    </row>
    <row r="133" spans="1:38">
      <c r="A133" s="165">
        <f>'Conveyor Downtime (new)'!A129</f>
        <v>46086</v>
      </c>
      <c r="B133" s="346"/>
      <c r="C133" s="346"/>
      <c r="D133" s="346"/>
      <c r="E133" s="346"/>
      <c r="F133" s="346"/>
      <c r="G133" s="346"/>
      <c r="H133" s="346"/>
      <c r="I133" s="346"/>
      <c r="J133" s="346"/>
      <c r="K133" s="346"/>
      <c r="L133" s="346"/>
      <c r="M133" s="346"/>
      <c r="N133" s="346"/>
      <c r="O133" s="346"/>
      <c r="P133" s="346"/>
      <c r="Q133" s="346"/>
      <c r="R133" s="346"/>
      <c r="S133" s="346"/>
      <c r="T133" s="346"/>
      <c r="U133" s="346"/>
      <c r="V133" s="346"/>
      <c r="W133" s="346"/>
      <c r="X133" s="346"/>
      <c r="Y133" s="346">
        <f>2</f>
        <v>2</v>
      </c>
      <c r="Z133" s="346"/>
      <c r="AA133" s="346"/>
      <c r="AB133" s="346"/>
      <c r="AC133" s="346"/>
      <c r="AD133" s="346"/>
      <c r="AE133" s="346"/>
      <c r="AF133" s="346"/>
      <c r="AG133" s="346"/>
      <c r="AH133" s="346"/>
      <c r="AI133">
        <f t="shared" si="15"/>
        <v>2</v>
      </c>
      <c r="AJ133" s="351">
        <f t="shared" si="16"/>
        <v>2.3255813953488372E-3</v>
      </c>
      <c r="AL133" s="351"/>
    </row>
    <row r="134" spans="1:38">
      <c r="A134" s="165">
        <f>'Conveyor Downtime (new)'!A130</f>
        <v>46086</v>
      </c>
      <c r="C134">
        <f>17</f>
        <v>17</v>
      </c>
      <c r="O134">
        <f>5+4</f>
        <v>9</v>
      </c>
      <c r="S134">
        <f>3</f>
        <v>3</v>
      </c>
      <c r="AE134">
        <f>43</f>
        <v>43</v>
      </c>
      <c r="AI134">
        <f t="shared" si="15"/>
        <v>72</v>
      </c>
      <c r="AJ134" s="351">
        <f t="shared" si="16"/>
        <v>8.3720930232558138E-2</v>
      </c>
      <c r="AL134" s="351"/>
    </row>
    <row r="135" spans="1:38">
      <c r="A135" s="165">
        <f>'Conveyor Downtime (new)'!A131</f>
        <v>46087</v>
      </c>
      <c r="B135" s="346"/>
      <c r="C135" s="346"/>
      <c r="D135" s="346"/>
      <c r="E135" s="346"/>
      <c r="F135" s="346"/>
      <c r="G135" s="346"/>
      <c r="H135" s="346"/>
      <c r="I135" s="346"/>
      <c r="J135" s="346"/>
      <c r="K135" s="346"/>
      <c r="L135" s="346"/>
      <c r="M135" s="346"/>
      <c r="N135" s="346"/>
      <c r="O135" s="346"/>
      <c r="P135" s="346"/>
      <c r="Q135" s="346"/>
      <c r="R135" s="346"/>
      <c r="S135" s="346"/>
      <c r="T135" s="346"/>
      <c r="U135" s="346">
        <f>2</f>
        <v>2</v>
      </c>
      <c r="V135" s="346"/>
      <c r="W135" s="346"/>
      <c r="X135" s="346"/>
      <c r="Y135" s="346"/>
      <c r="Z135" s="346"/>
      <c r="AA135" s="346"/>
      <c r="AB135" s="346"/>
      <c r="AC135" s="346"/>
      <c r="AD135" s="346"/>
      <c r="AE135" s="346">
        <f>10</f>
        <v>10</v>
      </c>
      <c r="AF135" s="346"/>
      <c r="AG135" s="346"/>
      <c r="AH135" s="346"/>
      <c r="AI135">
        <f t="shared" si="15"/>
        <v>12</v>
      </c>
      <c r="AJ135" s="351">
        <f t="shared" si="16"/>
        <v>1.3953488372093023E-2</v>
      </c>
      <c r="AL135" s="351"/>
    </row>
    <row r="136" spans="1:38">
      <c r="A136" s="165">
        <f>'Conveyor Downtime (new)'!A132</f>
        <v>46087</v>
      </c>
      <c r="U136">
        <f>2</f>
        <v>2</v>
      </c>
      <c r="AI136">
        <f t="shared" si="15"/>
        <v>2</v>
      </c>
      <c r="AJ136" s="351">
        <f t="shared" si="16"/>
        <v>2.3255813953488372E-3</v>
      </c>
      <c r="AL136" s="351"/>
    </row>
    <row r="137" spans="1:38">
      <c r="A137" s="165">
        <f>'Conveyor Downtime (new)'!A133</f>
        <v>46087</v>
      </c>
      <c r="B137" s="346"/>
      <c r="C137" s="346"/>
      <c r="D137" s="346"/>
      <c r="E137" s="346"/>
      <c r="F137" s="346"/>
      <c r="G137" s="346"/>
      <c r="H137" s="346"/>
      <c r="I137" s="346"/>
      <c r="J137" s="346"/>
      <c r="K137" s="346"/>
      <c r="L137" s="346"/>
      <c r="M137" s="346"/>
      <c r="N137" s="346"/>
      <c r="O137" s="346">
        <f>4+2+3+2+2+4+3</f>
        <v>20</v>
      </c>
      <c r="P137" s="346"/>
      <c r="Q137" s="346"/>
      <c r="R137" s="346">
        <v>3</v>
      </c>
      <c r="S137" s="346"/>
      <c r="T137" s="346"/>
      <c r="U137" s="346">
        <f>3+2</f>
        <v>5</v>
      </c>
      <c r="V137" s="346"/>
      <c r="W137" s="346"/>
      <c r="X137" s="346"/>
      <c r="Y137" s="346"/>
      <c r="Z137" s="346"/>
      <c r="AA137" s="346"/>
      <c r="AB137" s="346"/>
      <c r="AC137" s="346"/>
      <c r="AD137" s="346"/>
      <c r="AE137" s="346"/>
      <c r="AF137" s="346"/>
      <c r="AG137" s="346"/>
      <c r="AH137" s="346"/>
      <c r="AI137">
        <f t="shared" si="15"/>
        <v>28</v>
      </c>
      <c r="AJ137" s="351">
        <f t="shared" si="16"/>
        <v>3.255813953488372E-2</v>
      </c>
      <c r="AL137" s="351"/>
    </row>
    <row r="138" spans="1:38">
      <c r="A138" s="165">
        <f>'Conveyor Downtime (new)'!A134</f>
        <v>46089</v>
      </c>
      <c r="O138">
        <f>3+4+6+2+3+6</f>
        <v>24</v>
      </c>
      <c r="U138">
        <f>2+2</f>
        <v>4</v>
      </c>
      <c r="AI138">
        <f t="shared" si="15"/>
        <v>28</v>
      </c>
      <c r="AJ138" s="351">
        <f t="shared" si="16"/>
        <v>3.255813953488372E-2</v>
      </c>
      <c r="AL138" s="351"/>
    </row>
    <row r="139" spans="1:38">
      <c r="A139" s="165">
        <f>'Conveyor Downtime (new)'!A135</f>
        <v>46090</v>
      </c>
      <c r="B139" s="346"/>
      <c r="C139" s="346"/>
      <c r="D139" s="346"/>
      <c r="E139" s="346"/>
      <c r="F139" s="346"/>
      <c r="G139" s="346">
        <f>2+2+1+3+1+1</f>
        <v>10</v>
      </c>
      <c r="H139" s="346"/>
      <c r="I139" s="346"/>
      <c r="J139" s="346"/>
      <c r="K139" s="346"/>
      <c r="L139" s="346"/>
      <c r="M139" s="346"/>
      <c r="N139" s="346"/>
      <c r="O139" s="346">
        <v>3</v>
      </c>
      <c r="P139" s="346"/>
      <c r="Q139" s="346"/>
      <c r="R139" s="346"/>
      <c r="S139" s="346"/>
      <c r="T139" s="346"/>
      <c r="U139" s="346">
        <f>2+1+1+2+1+3+2</f>
        <v>12</v>
      </c>
      <c r="V139" s="346"/>
      <c r="W139" s="346">
        <f>2+2+1+3+1+1</f>
        <v>10</v>
      </c>
      <c r="X139" s="346"/>
      <c r="Y139" s="346">
        <f>3</f>
        <v>3</v>
      </c>
      <c r="Z139" s="346"/>
      <c r="AA139" s="346"/>
      <c r="AB139" s="346"/>
      <c r="AC139" s="346"/>
      <c r="AD139" s="346"/>
      <c r="AE139" s="346"/>
      <c r="AF139" s="346"/>
      <c r="AG139" s="346"/>
      <c r="AH139" s="346"/>
      <c r="AI139">
        <f t="shared" si="15"/>
        <v>38</v>
      </c>
      <c r="AJ139" s="351">
        <f t="shared" si="16"/>
        <v>4.4186046511627906E-2</v>
      </c>
      <c r="AL139" s="351"/>
    </row>
    <row r="140" spans="1:38">
      <c r="A140" s="165">
        <f>'Conveyor Downtime (new)'!A136</f>
        <v>46091</v>
      </c>
      <c r="O140">
        <f>2+1+6+2+2</f>
        <v>13</v>
      </c>
      <c r="U140">
        <f>2</f>
        <v>2</v>
      </c>
      <c r="W140">
        <f>12</f>
        <v>12</v>
      </c>
      <c r="Y140">
        <f>2+1+2</f>
        <v>5</v>
      </c>
      <c r="AI140">
        <f t="shared" si="15"/>
        <v>32</v>
      </c>
      <c r="AJ140" s="351">
        <f t="shared" si="16"/>
        <v>3.7209302325581395E-2</v>
      </c>
      <c r="AL140" s="351"/>
    </row>
    <row r="141" spans="1:38">
      <c r="A141" s="165">
        <f>'Conveyor Downtime (new)'!A137</f>
        <v>46091</v>
      </c>
      <c r="B141" s="346"/>
      <c r="C141" s="346"/>
      <c r="D141" s="346"/>
      <c r="E141" s="346"/>
      <c r="F141" s="346"/>
      <c r="G141" s="346"/>
      <c r="H141" s="346"/>
      <c r="I141" s="346"/>
      <c r="J141" s="346"/>
      <c r="K141" s="346"/>
      <c r="L141" s="346"/>
      <c r="M141" s="346"/>
      <c r="N141" s="346"/>
      <c r="O141" s="346">
        <f>2</f>
        <v>2</v>
      </c>
      <c r="P141" s="346"/>
      <c r="Q141" s="346"/>
      <c r="R141" s="346"/>
      <c r="S141" s="346"/>
      <c r="T141" s="346"/>
      <c r="U141" s="346"/>
      <c r="V141" s="346"/>
      <c r="W141" s="346"/>
      <c r="X141" s="346"/>
      <c r="Y141" s="346"/>
      <c r="Z141" s="346"/>
      <c r="AA141" s="346"/>
      <c r="AB141" s="346"/>
      <c r="AC141" s="346"/>
      <c r="AD141" s="346"/>
      <c r="AE141" s="346"/>
      <c r="AF141" s="346"/>
      <c r="AG141" s="346"/>
      <c r="AH141" s="346"/>
      <c r="AI141">
        <f t="shared" si="15"/>
        <v>2</v>
      </c>
      <c r="AJ141" s="351">
        <f t="shared" si="16"/>
        <v>2.3255813953488372E-3</v>
      </c>
      <c r="AL141" s="351"/>
    </row>
    <row r="142" spans="1:38">
      <c r="A142" s="165">
        <f>'Conveyor Downtime (new)'!A138</f>
        <v>46092</v>
      </c>
      <c r="T142">
        <f>42</f>
        <v>42</v>
      </c>
      <c r="U142">
        <f>1</f>
        <v>1</v>
      </c>
      <c r="AI142">
        <f t="shared" si="15"/>
        <v>43</v>
      </c>
      <c r="AJ142" s="351">
        <f t="shared" si="16"/>
        <v>0.05</v>
      </c>
      <c r="AL142" s="351"/>
    </row>
    <row r="143" spans="1:38">
      <c r="A143" s="165">
        <f>'Conveyor Downtime (new)'!A139</f>
        <v>46092</v>
      </c>
      <c r="B143" s="346"/>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s="346"/>
      <c r="AE143" s="346">
        <f>30</f>
        <v>30</v>
      </c>
      <c r="AF143" s="346"/>
      <c r="AG143" s="346"/>
      <c r="AH143" s="346"/>
      <c r="AI143">
        <f t="shared" si="15"/>
        <v>30</v>
      </c>
      <c r="AJ143" s="351">
        <f t="shared" si="16"/>
        <v>3.4883720930232558E-2</v>
      </c>
      <c r="AL143" s="351"/>
    </row>
    <row r="144" spans="1:38" ht="13.5" customHeight="1">
      <c r="A144" s="165">
        <f>'Conveyor Downtime (new)'!A140</f>
        <v>46092</v>
      </c>
      <c r="U144">
        <f>1</f>
        <v>1</v>
      </c>
      <c r="AI144">
        <f t="shared" si="15"/>
        <v>1</v>
      </c>
      <c r="AJ144" s="351">
        <f t="shared" si="16"/>
        <v>1.1627906976744186E-3</v>
      </c>
      <c r="AL144" s="351"/>
    </row>
    <row r="145" spans="1:38">
      <c r="A145" s="165">
        <f>'Conveyor Downtime (new)'!A141</f>
        <v>46093</v>
      </c>
      <c r="B145" s="346"/>
      <c r="C145" s="346"/>
      <c r="D145" s="346"/>
      <c r="E145" s="346"/>
      <c r="F145" s="346"/>
      <c r="G145" s="346"/>
      <c r="H145" s="346"/>
      <c r="I145" s="346"/>
      <c r="J145" s="346"/>
      <c r="K145" s="346"/>
      <c r="L145" s="346"/>
      <c r="M145" s="346"/>
      <c r="N145" s="346"/>
      <c r="O145" s="346">
        <f>6+4</f>
        <v>10</v>
      </c>
      <c r="P145" s="346"/>
      <c r="Q145" s="346"/>
      <c r="R145" s="346"/>
      <c r="S145" s="346"/>
      <c r="T145" s="346"/>
      <c r="U145" s="346">
        <f>9</f>
        <v>9</v>
      </c>
      <c r="V145" s="346"/>
      <c r="W145" s="346"/>
      <c r="X145" s="346"/>
      <c r="Y145" s="346">
        <f>2+2+1+2+4</f>
        <v>11</v>
      </c>
      <c r="Z145" s="346"/>
      <c r="AA145" s="346"/>
      <c r="AB145" s="346"/>
      <c r="AC145" s="346"/>
      <c r="AD145" s="346"/>
      <c r="AE145" s="346"/>
      <c r="AF145" s="346"/>
      <c r="AG145" s="346"/>
      <c r="AH145" s="346"/>
      <c r="AI145">
        <f t="shared" si="15"/>
        <v>30</v>
      </c>
      <c r="AJ145" s="351">
        <f t="shared" si="16"/>
        <v>3.4883720930232558E-2</v>
      </c>
      <c r="AL145" s="351"/>
    </row>
    <row r="146" spans="1:38">
      <c r="A146" s="165">
        <f>'Conveyor Downtime (new)'!A142</f>
        <v>46093</v>
      </c>
      <c r="AI146">
        <f t="shared" si="15"/>
        <v>0</v>
      </c>
      <c r="AJ146" s="351">
        <f t="shared" si="16"/>
        <v>0</v>
      </c>
      <c r="AL146" s="351"/>
    </row>
    <row r="147" spans="1:38">
      <c r="A147" s="165">
        <f>'Conveyor Downtime (new)'!A143</f>
        <v>46094</v>
      </c>
      <c r="B147" s="346"/>
      <c r="C147" s="346"/>
      <c r="D147" s="346"/>
      <c r="E147" s="346"/>
      <c r="F147" s="346"/>
      <c r="G147" s="346"/>
      <c r="H147" s="346"/>
      <c r="I147" s="346"/>
      <c r="J147" s="346"/>
      <c r="K147" s="346"/>
      <c r="L147" s="346"/>
      <c r="M147" s="346"/>
      <c r="N147" s="346"/>
      <c r="O147" s="346"/>
      <c r="P147" s="346"/>
      <c r="Q147" s="346"/>
      <c r="R147" s="346"/>
      <c r="S147" s="346"/>
      <c r="T147" s="346"/>
      <c r="U147" s="346"/>
      <c r="V147" s="346"/>
      <c r="W147" s="346"/>
      <c r="X147" s="346"/>
      <c r="Y147" s="346">
        <f>2+2</f>
        <v>4</v>
      </c>
      <c r="Z147" s="346"/>
      <c r="AA147" s="346"/>
      <c r="AB147" s="346"/>
      <c r="AC147" s="346"/>
      <c r="AD147" s="346"/>
      <c r="AE147" s="346"/>
      <c r="AF147" s="346"/>
      <c r="AG147" s="346"/>
      <c r="AH147" s="346"/>
      <c r="AI147">
        <f t="shared" si="15"/>
        <v>4</v>
      </c>
      <c r="AJ147" s="351">
        <f t="shared" si="16"/>
        <v>4.6511627906976744E-3</v>
      </c>
      <c r="AL147" s="351"/>
    </row>
    <row r="148" spans="1:38">
      <c r="A148" s="165">
        <f>'Conveyor Downtime (new)'!A144</f>
        <v>46094</v>
      </c>
      <c r="O148">
        <f>4+6</f>
        <v>10</v>
      </c>
      <c r="U148">
        <f>2</f>
        <v>2</v>
      </c>
      <c r="Y148">
        <f>2</f>
        <v>2</v>
      </c>
      <c r="AI148">
        <f t="shared" si="15"/>
        <v>14</v>
      </c>
      <c r="AJ148" s="351">
        <f t="shared" si="16"/>
        <v>1.627906976744186E-2</v>
      </c>
      <c r="AL148" s="351"/>
    </row>
    <row r="149" spans="1:38">
      <c r="A149" s="165">
        <f>'Conveyor Downtime (new)'!A145</f>
        <v>46097</v>
      </c>
      <c r="B149" s="346"/>
      <c r="C149" s="346"/>
      <c r="D149" s="346"/>
      <c r="E149" s="346"/>
      <c r="F149" s="346"/>
      <c r="G149" s="346"/>
      <c r="H149" s="346"/>
      <c r="I149" s="346"/>
      <c r="J149" s="346"/>
      <c r="K149" s="346"/>
      <c r="L149" s="346"/>
      <c r="M149" s="346"/>
      <c r="N149" s="346"/>
      <c r="O149" s="346">
        <f>3</f>
        <v>3</v>
      </c>
      <c r="P149" s="346"/>
      <c r="Q149" s="346"/>
      <c r="R149" s="346"/>
      <c r="S149" s="346"/>
      <c r="T149" s="346"/>
      <c r="U149" s="346"/>
      <c r="V149" s="346"/>
      <c r="W149" s="346"/>
      <c r="X149" s="346"/>
      <c r="Y149" s="346"/>
      <c r="Z149" s="346"/>
      <c r="AA149" s="346"/>
      <c r="AB149" s="346"/>
      <c r="AC149" s="346"/>
      <c r="AD149" s="346"/>
      <c r="AE149" s="346"/>
      <c r="AF149" s="346"/>
      <c r="AG149" s="346"/>
      <c r="AH149" s="346"/>
      <c r="AI149">
        <f t="shared" si="15"/>
        <v>3</v>
      </c>
      <c r="AJ149" s="351">
        <f t="shared" si="16"/>
        <v>3.4883720930232558E-3</v>
      </c>
      <c r="AL149" s="351"/>
    </row>
    <row r="150" spans="1:38">
      <c r="A150" s="165">
        <f>'Conveyor Downtime (new)'!A146</f>
        <v>46098</v>
      </c>
      <c r="AI150">
        <f t="shared" si="15"/>
        <v>0</v>
      </c>
      <c r="AJ150" s="351">
        <f t="shared" si="16"/>
        <v>0</v>
      </c>
      <c r="AL150" s="351"/>
    </row>
    <row r="151" spans="1:38">
      <c r="A151" s="165">
        <f>'Conveyor Downtime (new)'!A147</f>
        <v>46099</v>
      </c>
      <c r="B151" s="346"/>
      <c r="C151" s="346"/>
      <c r="D151" s="346"/>
      <c r="E151" s="346"/>
      <c r="F151" s="346"/>
      <c r="G151" s="346"/>
      <c r="H151" s="346"/>
      <c r="I151" s="346"/>
      <c r="J151" s="346"/>
      <c r="K151" s="346"/>
      <c r="L151" s="346"/>
      <c r="M151" s="346"/>
      <c r="N151" s="346"/>
      <c r="O151" s="346">
        <f>5+5+4+4+3+4+4+3+2</f>
        <v>34</v>
      </c>
      <c r="P151" s="346"/>
      <c r="Q151" s="346"/>
      <c r="R151" s="346"/>
      <c r="S151" s="346"/>
      <c r="T151" s="346"/>
      <c r="U151" s="346"/>
      <c r="V151" s="346"/>
      <c r="W151" s="346"/>
      <c r="X151" s="346"/>
      <c r="Y151" s="346"/>
      <c r="Z151" s="346"/>
      <c r="AA151" s="346"/>
      <c r="AB151" s="346"/>
      <c r="AC151" s="346"/>
      <c r="AD151" s="346"/>
      <c r="AE151" s="346"/>
      <c r="AF151" s="346"/>
      <c r="AG151" s="346"/>
      <c r="AH151" s="346"/>
      <c r="AI151">
        <f t="shared" si="15"/>
        <v>34</v>
      </c>
      <c r="AJ151" s="351">
        <f t="shared" si="16"/>
        <v>3.9534883720930232E-2</v>
      </c>
      <c r="AL151" s="351"/>
    </row>
    <row r="152" spans="1:38">
      <c r="A152" s="165">
        <f>'Conveyor Downtime (new)'!A148</f>
        <v>46099</v>
      </c>
      <c r="X152">
        <f>3</f>
        <v>3</v>
      </c>
      <c r="Y152">
        <f>2+8</f>
        <v>10</v>
      </c>
      <c r="AI152">
        <f t="shared" si="15"/>
        <v>13</v>
      </c>
      <c r="AJ152" s="351">
        <f t="shared" ref="AJ152:AJ166" si="17">AI152/$AI$184</f>
        <v>1.5116279069767442E-2</v>
      </c>
      <c r="AL152" s="351"/>
    </row>
    <row r="153" spans="1:38">
      <c r="A153" s="165">
        <f>'Conveyor Downtime (new)'!A149</f>
        <v>46100</v>
      </c>
      <c r="B153" s="346"/>
      <c r="C153" s="346"/>
      <c r="D153" s="346"/>
      <c r="E153" s="346"/>
      <c r="F153" s="346"/>
      <c r="G153" s="346"/>
      <c r="H153" s="346"/>
      <c r="I153" s="346"/>
      <c r="J153" s="346"/>
      <c r="K153" s="346"/>
      <c r="L153" s="346"/>
      <c r="M153" s="346"/>
      <c r="N153" s="346"/>
      <c r="O153" s="346"/>
      <c r="P153" s="346"/>
      <c r="Q153" s="346"/>
      <c r="R153" s="346"/>
      <c r="S153" s="346"/>
      <c r="T153" s="346"/>
      <c r="U153" s="346">
        <f>2+2+2+2</f>
        <v>8</v>
      </c>
      <c r="V153" s="346"/>
      <c r="W153" s="346"/>
      <c r="X153" s="346"/>
      <c r="Y153" s="346"/>
      <c r="Z153" s="346"/>
      <c r="AA153" s="346">
        <f>2</f>
        <v>2</v>
      </c>
      <c r="AB153" s="346"/>
      <c r="AC153" s="346"/>
      <c r="AD153" s="346"/>
      <c r="AE153" s="346"/>
      <c r="AF153" s="346"/>
      <c r="AG153" s="346"/>
      <c r="AH153" s="346"/>
      <c r="AI153">
        <f t="shared" si="15"/>
        <v>10</v>
      </c>
      <c r="AJ153" s="351">
        <f t="shared" si="17"/>
        <v>1.1627906976744186E-2</v>
      </c>
      <c r="AL153" s="351"/>
    </row>
    <row r="154" spans="1:38">
      <c r="A154" s="165">
        <f>'Conveyor Downtime (new)'!A150</f>
        <v>46100</v>
      </c>
      <c r="O154">
        <f>8</f>
        <v>8</v>
      </c>
      <c r="AI154">
        <f t="shared" si="15"/>
        <v>8</v>
      </c>
      <c r="AJ154" s="351">
        <f t="shared" si="17"/>
        <v>9.3023255813953487E-3</v>
      </c>
      <c r="AL154" s="351"/>
    </row>
    <row r="155" spans="1:38">
      <c r="A155" s="165">
        <f>'Conveyor Downtime (new)'!A151</f>
        <v>46100</v>
      </c>
      <c r="B155" s="346"/>
      <c r="C155" s="346"/>
      <c r="D155" s="346"/>
      <c r="E155" s="346"/>
      <c r="F155" s="346"/>
      <c r="G155" s="346"/>
      <c r="H155" s="346"/>
      <c r="I155" s="346"/>
      <c r="J155" s="346"/>
      <c r="K155" s="346"/>
      <c r="L155" s="346"/>
      <c r="M155" s="346"/>
      <c r="N155" s="346"/>
      <c r="O155" s="346"/>
      <c r="P155" s="346"/>
      <c r="Q155" s="346"/>
      <c r="R155" s="346"/>
      <c r="S155" s="346"/>
      <c r="T155" s="346"/>
      <c r="U155" s="346">
        <f>3</f>
        <v>3</v>
      </c>
      <c r="V155" s="346"/>
      <c r="W155" s="346"/>
      <c r="X155" s="346"/>
      <c r="Y155" s="346">
        <f>2</f>
        <v>2</v>
      </c>
      <c r="Z155" s="346"/>
      <c r="AA155" s="346"/>
      <c r="AB155" s="346"/>
      <c r="AC155" s="346"/>
      <c r="AD155" s="346"/>
      <c r="AE155" s="346"/>
      <c r="AF155" s="346"/>
      <c r="AG155" s="346"/>
      <c r="AH155" s="346"/>
      <c r="AI155">
        <f t="shared" si="15"/>
        <v>5</v>
      </c>
      <c r="AJ155" s="351">
        <f t="shared" si="17"/>
        <v>5.8139534883720929E-3</v>
      </c>
      <c r="AL155" s="351"/>
    </row>
    <row r="156" spans="1:38">
      <c r="A156" s="165">
        <f>'Conveyor Downtime (new)'!A152</f>
        <v>46101</v>
      </c>
      <c r="U156">
        <f>2</f>
        <v>2</v>
      </c>
      <c r="AI156">
        <f t="shared" si="15"/>
        <v>2</v>
      </c>
      <c r="AJ156" s="351">
        <f t="shared" si="17"/>
        <v>2.3255813953488372E-3</v>
      </c>
      <c r="AL156" s="351"/>
    </row>
    <row r="157" spans="1:38">
      <c r="A157" s="165">
        <f>'Conveyor Downtime (new)'!A153</f>
        <v>46101</v>
      </c>
      <c r="B157" s="346"/>
      <c r="C157" s="346"/>
      <c r="D157" s="346"/>
      <c r="E157" s="346"/>
      <c r="F157" s="346"/>
      <c r="G157" s="346"/>
      <c r="H157" s="346"/>
      <c r="I157" s="346"/>
      <c r="J157" s="346"/>
      <c r="K157" s="346"/>
      <c r="L157" s="346"/>
      <c r="M157" s="346"/>
      <c r="N157" s="346"/>
      <c r="O157">
        <f>4+3+3</f>
        <v>10</v>
      </c>
      <c r="P157" s="346"/>
      <c r="Q157" s="346"/>
      <c r="R157" s="346"/>
      <c r="S157" s="346"/>
      <c r="T157" s="346"/>
      <c r="U157" s="346"/>
      <c r="V157" s="346"/>
      <c r="W157" s="346"/>
      <c r="X157" s="346"/>
      <c r="Y157" s="346"/>
      <c r="Z157" s="346"/>
      <c r="AA157" s="346"/>
      <c r="AB157" s="346"/>
      <c r="AC157" s="346"/>
      <c r="AD157" s="346"/>
      <c r="AE157" s="346"/>
      <c r="AF157" s="346"/>
      <c r="AG157" s="346"/>
      <c r="AH157" s="346"/>
      <c r="AI157">
        <f t="shared" si="15"/>
        <v>10</v>
      </c>
      <c r="AJ157" s="351">
        <f t="shared" si="17"/>
        <v>1.1627906976744186E-2</v>
      </c>
      <c r="AL157" s="351"/>
    </row>
    <row r="158" spans="1:38" ht="14.25" customHeight="1">
      <c r="A158" s="165">
        <f>'Conveyor Downtime (new)'!A154</f>
        <v>46104</v>
      </c>
      <c r="O158">
        <v>2</v>
      </c>
      <c r="U158" s="363">
        <v>4</v>
      </c>
      <c r="AI158">
        <f t="shared" si="15"/>
        <v>6</v>
      </c>
      <c r="AJ158" s="351">
        <f t="shared" si="17"/>
        <v>6.9767441860465115E-3</v>
      </c>
      <c r="AL158" s="351"/>
    </row>
    <row r="159" spans="1:38">
      <c r="A159" s="165">
        <f>'Conveyor Downtime (new)'!A155</f>
        <v>46104</v>
      </c>
      <c r="B159" s="346"/>
      <c r="C159" s="346"/>
      <c r="D159" s="346"/>
      <c r="E159" s="346"/>
      <c r="F159" s="346"/>
      <c r="G159" s="346"/>
      <c r="H159" s="346"/>
      <c r="I159" s="346"/>
      <c r="J159" s="346"/>
      <c r="K159" s="346"/>
      <c r="L159" s="346"/>
      <c r="M159" s="346"/>
      <c r="N159" s="346"/>
      <c r="O159" s="346">
        <f>3+3</f>
        <v>6</v>
      </c>
      <c r="P159" s="346"/>
      <c r="Q159" s="346"/>
      <c r="R159" s="346"/>
      <c r="S159" s="346"/>
      <c r="T159" s="346"/>
      <c r="U159" s="346">
        <v>2</v>
      </c>
      <c r="V159" s="346"/>
      <c r="W159" s="346"/>
      <c r="X159" s="346"/>
      <c r="Y159" s="346"/>
      <c r="Z159" s="346"/>
      <c r="AA159" s="346"/>
      <c r="AB159" s="346"/>
      <c r="AC159" s="346"/>
      <c r="AD159" s="346"/>
      <c r="AE159" s="346"/>
      <c r="AF159" s="346"/>
      <c r="AG159" s="346"/>
      <c r="AH159" s="346"/>
      <c r="AI159">
        <f t="shared" si="15"/>
        <v>8</v>
      </c>
      <c r="AJ159" s="351">
        <f t="shared" si="17"/>
        <v>9.3023255813953487E-3</v>
      </c>
      <c r="AL159" s="351"/>
    </row>
    <row r="160" spans="1:38">
      <c r="A160" s="165">
        <f>'Conveyor Downtime (new)'!A156</f>
        <v>46104</v>
      </c>
      <c r="U160">
        <v>2</v>
      </c>
      <c r="Y160">
        <f>2+2+2</f>
        <v>6</v>
      </c>
      <c r="AI160">
        <f t="shared" si="15"/>
        <v>8</v>
      </c>
      <c r="AJ160" s="351">
        <f t="shared" si="17"/>
        <v>9.3023255813953487E-3</v>
      </c>
      <c r="AL160" s="351"/>
    </row>
    <row r="161" spans="1:38">
      <c r="A161" s="165">
        <f>'Conveyor Downtime (new)'!A157</f>
        <v>46105</v>
      </c>
      <c r="B161" s="346"/>
      <c r="C161" s="346"/>
      <c r="D161" s="346"/>
      <c r="E161" s="346"/>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6"/>
      <c r="AB161" s="346"/>
      <c r="AC161" s="346"/>
      <c r="AD161" s="346"/>
      <c r="AE161" s="346"/>
      <c r="AF161" s="346"/>
      <c r="AG161" s="346"/>
      <c r="AH161" s="346"/>
      <c r="AI161">
        <f t="shared" ref="AI161:AI183" si="18">SUM(B161:AH161)</f>
        <v>0</v>
      </c>
      <c r="AJ161" s="351">
        <f t="shared" si="17"/>
        <v>0</v>
      </c>
      <c r="AL161" s="351"/>
    </row>
    <row r="162" spans="1:38">
      <c r="A162" s="165">
        <f>'Conveyor Downtime (new)'!A158</f>
        <v>46105</v>
      </c>
      <c r="O162">
        <f>6</f>
        <v>6</v>
      </c>
      <c r="AI162">
        <f t="shared" si="18"/>
        <v>6</v>
      </c>
      <c r="AJ162" s="351">
        <f t="shared" si="17"/>
        <v>6.9767441860465115E-3</v>
      </c>
      <c r="AL162" s="351"/>
    </row>
    <row r="163" spans="1:38">
      <c r="A163" s="165">
        <f>'Conveyor Downtime (new)'!A159</f>
        <v>46106</v>
      </c>
      <c r="B163" s="346"/>
      <c r="C163" s="346"/>
      <c r="D163" s="346"/>
      <c r="E163" s="346"/>
      <c r="F163" s="346"/>
      <c r="G163" s="346"/>
      <c r="H163" s="346"/>
      <c r="I163" s="346"/>
      <c r="J163" s="346"/>
      <c r="K163" s="346"/>
      <c r="L163" s="346"/>
      <c r="M163" s="346"/>
      <c r="N163" s="346"/>
      <c r="O163">
        <f>4+7</f>
        <v>11</v>
      </c>
      <c r="P163" s="346"/>
      <c r="Q163" s="346"/>
      <c r="R163" s="346"/>
      <c r="S163" s="346"/>
      <c r="T163" s="346"/>
      <c r="U163" s="346"/>
      <c r="V163" s="346"/>
      <c r="W163" s="346"/>
      <c r="X163" s="346"/>
      <c r="Y163" s="346">
        <f>2+2+2</f>
        <v>6</v>
      </c>
      <c r="Z163" s="346"/>
      <c r="AA163" s="346"/>
      <c r="AB163" s="346"/>
      <c r="AC163" s="346"/>
      <c r="AD163" s="346"/>
      <c r="AE163" s="346"/>
      <c r="AF163" s="346"/>
      <c r="AG163" s="346"/>
      <c r="AH163" s="346"/>
      <c r="AI163">
        <f t="shared" si="18"/>
        <v>17</v>
      </c>
      <c r="AJ163" s="351">
        <f t="shared" si="17"/>
        <v>1.9767441860465116E-2</v>
      </c>
      <c r="AL163" s="351"/>
    </row>
    <row r="164" spans="1:38">
      <c r="A164" s="165">
        <f>'Conveyor Downtime (new)'!A160</f>
        <v>46106</v>
      </c>
      <c r="AI164">
        <f t="shared" si="18"/>
        <v>0</v>
      </c>
      <c r="AJ164" s="351">
        <f t="shared" si="17"/>
        <v>0</v>
      </c>
      <c r="AL164" s="351"/>
    </row>
    <row r="165" spans="1:38">
      <c r="A165" s="165">
        <f>'Conveyor Downtime (new)'!A161</f>
        <v>46106</v>
      </c>
      <c r="B165" s="346"/>
      <c r="C165" s="346"/>
      <c r="D165" s="346"/>
      <c r="E165" s="346"/>
      <c r="F165" s="346"/>
      <c r="G165" s="346"/>
      <c r="H165" s="346"/>
      <c r="I165" s="346"/>
      <c r="J165" s="346"/>
      <c r="K165" s="346"/>
      <c r="L165" s="346"/>
      <c r="M165" s="346"/>
      <c r="N165" s="346"/>
      <c r="O165" s="346"/>
      <c r="P165" s="346"/>
      <c r="Q165" s="346"/>
      <c r="R165" s="346"/>
      <c r="S165" s="346"/>
      <c r="T165" s="346"/>
      <c r="U165" s="346">
        <f>1+1+3</f>
        <v>5</v>
      </c>
      <c r="V165" s="346"/>
      <c r="W165" s="346"/>
      <c r="X165" s="346"/>
      <c r="Y165" s="346"/>
      <c r="Z165" s="346"/>
      <c r="AA165" s="346"/>
      <c r="AB165" s="346"/>
      <c r="AC165" s="346"/>
      <c r="AD165" s="346"/>
      <c r="AE165" s="346"/>
      <c r="AF165" s="346"/>
      <c r="AG165" s="346"/>
      <c r="AH165" s="346"/>
      <c r="AI165">
        <f t="shared" si="18"/>
        <v>5</v>
      </c>
      <c r="AJ165" s="351">
        <f t="shared" si="17"/>
        <v>5.8139534883720929E-3</v>
      </c>
      <c r="AL165" s="351"/>
    </row>
    <row r="166" spans="1:38">
      <c r="A166" s="165">
        <f>'Conveyor Downtime (new)'!A162</f>
        <v>46106</v>
      </c>
      <c r="Y166">
        <f>3+2</f>
        <v>5</v>
      </c>
      <c r="AI166">
        <f t="shared" si="18"/>
        <v>5</v>
      </c>
      <c r="AJ166" s="351">
        <f t="shared" si="17"/>
        <v>5.8139534883720929E-3</v>
      </c>
      <c r="AL166" s="351"/>
    </row>
    <row r="167" spans="1:38">
      <c r="A167" s="165">
        <f>'Conveyor Downtime (new)'!A163</f>
        <v>46107</v>
      </c>
      <c r="B167" s="346"/>
      <c r="C167" s="346">
        <f>6</f>
        <v>6</v>
      </c>
      <c r="D167" s="346"/>
      <c r="E167" s="346"/>
      <c r="F167" s="346"/>
      <c r="G167" s="346"/>
      <c r="H167" s="346"/>
      <c r="I167" s="346"/>
      <c r="J167" s="346"/>
      <c r="K167" s="346"/>
      <c r="L167" s="346"/>
      <c r="M167" s="346"/>
      <c r="N167" s="346"/>
      <c r="O167" s="346">
        <f>4+4+5</f>
        <v>13</v>
      </c>
      <c r="P167" s="346"/>
      <c r="Q167" s="346"/>
      <c r="R167" s="346"/>
      <c r="S167" s="346"/>
      <c r="T167" s="346"/>
      <c r="U167" s="346"/>
      <c r="V167" s="346"/>
      <c r="W167" s="346"/>
      <c r="X167" s="346"/>
      <c r="Y167" s="346"/>
      <c r="Z167" s="346"/>
      <c r="AA167" s="346"/>
      <c r="AB167" s="346"/>
      <c r="AC167" s="346"/>
      <c r="AD167" s="346"/>
      <c r="AE167" s="346"/>
      <c r="AF167" s="346"/>
      <c r="AG167" s="346"/>
      <c r="AH167" s="346">
        <f>2</f>
        <v>2</v>
      </c>
      <c r="AI167">
        <f t="shared" si="18"/>
        <v>21</v>
      </c>
      <c r="AJ167" s="351">
        <f t="shared" ref="AJ167:AJ183" si="19">AI167/$AI$184</f>
        <v>2.441860465116279E-2</v>
      </c>
      <c r="AL167" s="351"/>
    </row>
    <row r="168" spans="1:38">
      <c r="A168" s="165">
        <f>'Conveyor Downtime (new)'!A164</f>
        <v>46107</v>
      </c>
      <c r="S168">
        <f>3+3</f>
        <v>6</v>
      </c>
      <c r="Y168">
        <f>3+2+2</f>
        <v>7</v>
      </c>
      <c r="AI168">
        <f t="shared" si="18"/>
        <v>13</v>
      </c>
      <c r="AJ168" s="351">
        <f t="shared" si="19"/>
        <v>1.5116279069767442E-2</v>
      </c>
      <c r="AL168" s="351"/>
    </row>
    <row r="169" spans="1:38">
      <c r="A169" s="165">
        <f>'Conveyor Downtime (new)'!A166</f>
        <v>46107</v>
      </c>
      <c r="B169" s="346"/>
      <c r="C169" s="346"/>
      <c r="D169" s="346"/>
      <c r="E169" s="346"/>
      <c r="F169" s="346"/>
      <c r="G169" s="346"/>
      <c r="H169" s="346"/>
      <c r="I169" s="346"/>
      <c r="J169" s="346"/>
      <c r="K169" s="346"/>
      <c r="L169" s="346"/>
      <c r="M169" s="346"/>
      <c r="N169" s="346"/>
      <c r="O169" s="346"/>
      <c r="P169" s="346"/>
      <c r="Q169" s="346"/>
      <c r="R169" s="346"/>
      <c r="S169" s="346"/>
      <c r="T169" s="346"/>
      <c r="U169" s="346"/>
      <c r="V169" s="346"/>
      <c r="W169" s="346"/>
      <c r="X169" s="346"/>
      <c r="Y169" s="346">
        <f>2+1</f>
        <v>3</v>
      </c>
      <c r="Z169" s="346"/>
      <c r="AA169" s="346"/>
      <c r="AB169" s="346"/>
      <c r="AC169" s="346"/>
      <c r="AD169" s="346"/>
      <c r="AE169" s="346"/>
      <c r="AF169" s="346"/>
      <c r="AG169" s="346"/>
      <c r="AH169" s="346"/>
      <c r="AI169">
        <f t="shared" si="18"/>
        <v>3</v>
      </c>
      <c r="AJ169" s="351">
        <f t="shared" si="19"/>
        <v>3.4883720930232558E-3</v>
      </c>
      <c r="AL169" s="351"/>
    </row>
    <row r="170" spans="1:38">
      <c r="A170" s="165">
        <f>'Conveyor Downtime (new)'!A167</f>
        <v>46108</v>
      </c>
      <c r="AI170">
        <f t="shared" si="18"/>
        <v>0</v>
      </c>
      <c r="AJ170" s="351">
        <f t="shared" si="19"/>
        <v>0</v>
      </c>
      <c r="AL170" s="351"/>
    </row>
    <row r="171" spans="1:38">
      <c r="A171" s="165">
        <f>'Conveyor Downtime (new)'!A168</f>
        <v>46108</v>
      </c>
      <c r="B171" s="346"/>
      <c r="C171" s="346">
        <f>8</f>
        <v>8</v>
      </c>
      <c r="D171" s="346"/>
      <c r="E171" s="346"/>
      <c r="F171" s="346"/>
      <c r="G171" s="346"/>
      <c r="H171" s="346"/>
      <c r="I171" s="346"/>
      <c r="J171" s="346"/>
      <c r="K171" s="346"/>
      <c r="L171" s="346"/>
      <c r="M171" s="346"/>
      <c r="N171" s="346"/>
      <c r="O171" s="346">
        <f>4+3+3+5+3</f>
        <v>18</v>
      </c>
      <c r="P171" s="346"/>
      <c r="Q171" s="346"/>
      <c r="R171" s="346"/>
      <c r="S171" s="346"/>
      <c r="T171" s="346"/>
      <c r="U171" s="346">
        <f>3+2+2</f>
        <v>7</v>
      </c>
      <c r="V171" s="346"/>
      <c r="W171" s="346"/>
      <c r="X171" s="346"/>
      <c r="Y171" s="346">
        <f>3</f>
        <v>3</v>
      </c>
      <c r="Z171" s="346"/>
      <c r="AA171" s="346"/>
      <c r="AB171" s="346"/>
      <c r="AC171" s="346"/>
      <c r="AD171" s="346"/>
      <c r="AE171" s="346"/>
      <c r="AF171" s="346"/>
      <c r="AG171" s="346"/>
      <c r="AH171" s="346"/>
      <c r="AI171">
        <f t="shared" si="18"/>
        <v>36</v>
      </c>
      <c r="AJ171" s="351">
        <f t="shared" si="19"/>
        <v>4.1860465116279069E-2</v>
      </c>
      <c r="AL171" s="351"/>
    </row>
    <row r="172" spans="1:38">
      <c r="A172" s="165">
        <f>'Conveyor Downtime (new)'!A169</f>
        <v>46111</v>
      </c>
      <c r="O172">
        <f>3</f>
        <v>3</v>
      </c>
      <c r="X172">
        <f>3</f>
        <v>3</v>
      </c>
      <c r="Y172">
        <f>2+2</f>
        <v>4</v>
      </c>
      <c r="AI172">
        <f t="shared" si="18"/>
        <v>10</v>
      </c>
      <c r="AJ172" s="351">
        <f t="shared" si="19"/>
        <v>1.1627906976744186E-2</v>
      </c>
      <c r="AL172" s="351"/>
    </row>
    <row r="173" spans="1:38">
      <c r="A173" s="165">
        <f>'Conveyor Downtime (new)'!A170</f>
        <v>46112</v>
      </c>
      <c r="B173" s="346"/>
      <c r="C173" s="346"/>
      <c r="D173" s="346"/>
      <c r="E173" s="346"/>
      <c r="F173" s="346"/>
      <c r="G173" s="346"/>
      <c r="H173" s="346"/>
      <c r="I173" s="346"/>
      <c r="J173" s="346"/>
      <c r="K173" s="346"/>
      <c r="L173" s="346"/>
      <c r="M173" s="346"/>
      <c r="N173" s="346"/>
      <c r="O173" s="346"/>
      <c r="P173" s="346">
        <f>5</f>
        <v>5</v>
      </c>
      <c r="Q173" s="346"/>
      <c r="R173" s="346"/>
      <c r="S173" s="346"/>
      <c r="T173" s="346"/>
      <c r="U173" s="346">
        <f>2+2</f>
        <v>4</v>
      </c>
      <c r="V173" s="346"/>
      <c r="W173" s="346"/>
      <c r="X173" s="346"/>
      <c r="Y173" s="346"/>
      <c r="Z173" s="346"/>
      <c r="AA173" s="346"/>
      <c r="AB173" s="346"/>
      <c r="AC173" s="346"/>
      <c r="AD173" s="346"/>
      <c r="AE173" s="346"/>
      <c r="AF173" s="346"/>
      <c r="AG173" s="346"/>
      <c r="AH173" s="346"/>
      <c r="AI173">
        <f t="shared" si="18"/>
        <v>9</v>
      </c>
      <c r="AJ173" s="351">
        <f t="shared" si="19"/>
        <v>1.0465116279069767E-2</v>
      </c>
      <c r="AL173" s="351"/>
    </row>
    <row r="174" spans="1:38">
      <c r="A174" s="165">
        <f>'Conveyor Downtime (new)'!A171</f>
        <v>46112</v>
      </c>
      <c r="U174">
        <f>2+3</f>
        <v>5</v>
      </c>
      <c r="AI174">
        <f t="shared" si="18"/>
        <v>5</v>
      </c>
      <c r="AJ174" s="351">
        <f t="shared" si="19"/>
        <v>5.8139534883720929E-3</v>
      </c>
      <c r="AL174" s="351"/>
    </row>
    <row r="175" spans="1:38">
      <c r="A175" s="165">
        <f>'Conveyor Downtime (new)'!A172</f>
        <v>46112</v>
      </c>
      <c r="B175" s="346"/>
      <c r="C175" s="346"/>
      <c r="D175" s="346"/>
      <c r="E175" s="346"/>
      <c r="F175" s="346"/>
      <c r="G175" s="346"/>
      <c r="H175" s="346"/>
      <c r="I175" s="346"/>
      <c r="J175" s="346"/>
      <c r="K175" s="346"/>
      <c r="L175" s="346"/>
      <c r="M175" s="346"/>
      <c r="N175" s="346"/>
      <c r="O175" s="346"/>
      <c r="P175" s="346"/>
      <c r="Q175" s="346"/>
      <c r="R175" s="346"/>
      <c r="S175" s="346"/>
      <c r="T175" s="346"/>
      <c r="U175" s="346">
        <f>2</f>
        <v>2</v>
      </c>
      <c r="V175" s="346"/>
      <c r="W175" s="346"/>
      <c r="X175" s="346"/>
      <c r="Y175" s="346">
        <f>2+2</f>
        <v>4</v>
      </c>
      <c r="Z175" s="346"/>
      <c r="AA175" s="346"/>
      <c r="AB175" s="346"/>
      <c r="AC175" s="346"/>
      <c r="AD175" s="346"/>
      <c r="AE175" s="346"/>
      <c r="AF175" s="346"/>
      <c r="AG175" s="346"/>
      <c r="AH175" s="346"/>
      <c r="AI175">
        <f t="shared" si="18"/>
        <v>6</v>
      </c>
      <c r="AJ175" s="351">
        <f t="shared" si="19"/>
        <v>6.9767441860465115E-3</v>
      </c>
      <c r="AL175" s="351"/>
    </row>
    <row r="176" spans="1:38">
      <c r="A176" s="165">
        <f>'Conveyor Downtime (new)'!A173</f>
        <v>46112</v>
      </c>
      <c r="V176">
        <f>10+60</f>
        <v>70</v>
      </c>
      <c r="AI176">
        <f t="shared" si="18"/>
        <v>70</v>
      </c>
      <c r="AJ176" s="351">
        <f t="shared" si="19"/>
        <v>8.1395348837209308E-2</v>
      </c>
      <c r="AL176" s="351"/>
    </row>
    <row r="177" spans="1:38">
      <c r="A177" s="165">
        <f>'Conveyor Downtime (new)'!A174</f>
        <v>0</v>
      </c>
      <c r="B177" s="346"/>
      <c r="C177" s="346"/>
      <c r="D177" s="346"/>
      <c r="E177" s="346"/>
      <c r="F177" s="346"/>
      <c r="G177" s="346"/>
      <c r="H177" s="346"/>
      <c r="I177" s="346"/>
      <c r="J177" s="346"/>
      <c r="K177" s="346"/>
      <c r="L177" s="346"/>
      <c r="M177" s="346"/>
      <c r="N177" s="346"/>
      <c r="O177" s="346"/>
      <c r="P177" s="346"/>
      <c r="Q177" s="346"/>
      <c r="R177" s="346"/>
      <c r="S177" s="346"/>
      <c r="T177" s="346"/>
      <c r="U177" s="346"/>
      <c r="V177" s="346"/>
      <c r="W177" s="346"/>
      <c r="X177" s="346"/>
      <c r="Y177" s="346"/>
      <c r="Z177" s="346"/>
      <c r="AA177" s="346"/>
      <c r="AB177" s="346"/>
      <c r="AC177" s="346"/>
      <c r="AD177" s="346"/>
      <c r="AE177" s="346"/>
      <c r="AF177" s="346"/>
      <c r="AG177" s="346"/>
      <c r="AH177" s="346"/>
      <c r="AI177">
        <f t="shared" si="18"/>
        <v>0</v>
      </c>
      <c r="AJ177" s="351">
        <f t="shared" si="19"/>
        <v>0</v>
      </c>
      <c r="AL177" s="351"/>
    </row>
    <row r="178" spans="1:38">
      <c r="A178" s="165">
        <f>'Conveyor Downtime (new)'!A175</f>
        <v>0</v>
      </c>
      <c r="AI178">
        <f t="shared" si="18"/>
        <v>0</v>
      </c>
      <c r="AJ178" s="351">
        <f t="shared" si="19"/>
        <v>0</v>
      </c>
      <c r="AL178" s="351"/>
    </row>
    <row r="179" spans="1:38">
      <c r="A179" s="165">
        <f>'Conveyor Downtime (new)'!A176</f>
        <v>0</v>
      </c>
      <c r="B179" s="346"/>
      <c r="C179" s="346"/>
      <c r="D179" s="346"/>
      <c r="E179" s="346"/>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f t="shared" si="18"/>
        <v>0</v>
      </c>
      <c r="AJ179" s="351">
        <f t="shared" si="19"/>
        <v>0</v>
      </c>
      <c r="AL179" s="351"/>
    </row>
    <row r="180" spans="1:38">
      <c r="A180" s="165">
        <f>'Conveyor Downtime (new)'!A177</f>
        <v>0</v>
      </c>
      <c r="AI180">
        <f t="shared" si="18"/>
        <v>0</v>
      </c>
      <c r="AJ180" s="351">
        <f t="shared" si="19"/>
        <v>0</v>
      </c>
      <c r="AL180" s="351"/>
    </row>
    <row r="181" spans="1:38">
      <c r="A181" s="165"/>
      <c r="B181" s="346"/>
      <c r="C181" s="346"/>
      <c r="D181" s="346"/>
      <c r="E181" s="346"/>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f t="shared" si="18"/>
        <v>0</v>
      </c>
      <c r="AJ181" s="351">
        <f t="shared" si="19"/>
        <v>0</v>
      </c>
      <c r="AL181" s="351"/>
    </row>
    <row r="182" spans="1:38">
      <c r="A182" s="165"/>
      <c r="AI182">
        <f t="shared" si="18"/>
        <v>0</v>
      </c>
      <c r="AJ182" s="351">
        <f t="shared" si="19"/>
        <v>0</v>
      </c>
      <c r="AL182" s="351"/>
    </row>
    <row r="183" spans="1:38">
      <c r="A183" s="165"/>
      <c r="B183" s="346"/>
      <c r="C183" s="346"/>
      <c r="D183" s="346"/>
      <c r="E183" s="346"/>
      <c r="F183" s="346"/>
      <c r="G183" s="346"/>
      <c r="H183" s="346"/>
      <c r="I183" s="346"/>
      <c r="J183" s="346"/>
      <c r="K183" s="346"/>
      <c r="L183" s="346"/>
      <c r="M183" s="346"/>
      <c r="N183" s="346"/>
      <c r="O183" s="346"/>
      <c r="P183" s="346"/>
      <c r="Q183" s="346"/>
      <c r="R183" s="346"/>
      <c r="S183" s="346"/>
      <c r="T183" s="346"/>
      <c r="U183" s="346"/>
      <c r="V183" s="346"/>
      <c r="W183" s="346"/>
      <c r="X183" s="346"/>
      <c r="Y183" s="346"/>
      <c r="Z183" s="346"/>
      <c r="AA183" s="346"/>
      <c r="AB183" s="346"/>
      <c r="AC183" s="346"/>
      <c r="AD183" s="346"/>
      <c r="AE183" s="346"/>
      <c r="AF183" s="346"/>
      <c r="AG183" s="346"/>
      <c r="AH183" s="346"/>
      <c r="AI183">
        <f t="shared" si="18"/>
        <v>0</v>
      </c>
      <c r="AJ183" s="351">
        <f t="shared" si="19"/>
        <v>0</v>
      </c>
      <c r="AL183" s="351"/>
    </row>
    <row r="184" spans="1:38" ht="15">
      <c r="A184" s="347" t="s">
        <v>113</v>
      </c>
      <c r="B184" s="347">
        <f>SUM(B127:B183)</f>
        <v>0</v>
      </c>
      <c r="C184" s="347">
        <f t="shared" ref="C184:AI184" si="20">SUM(C127:C183)</f>
        <v>31</v>
      </c>
      <c r="D184" s="347">
        <f t="shared" si="20"/>
        <v>0</v>
      </c>
      <c r="E184" s="347">
        <f t="shared" si="20"/>
        <v>0</v>
      </c>
      <c r="F184" s="347">
        <f t="shared" si="20"/>
        <v>29</v>
      </c>
      <c r="G184" s="347">
        <f t="shared" si="20"/>
        <v>10</v>
      </c>
      <c r="H184" s="347">
        <f t="shared" si="20"/>
        <v>0</v>
      </c>
      <c r="I184" s="347">
        <f t="shared" si="20"/>
        <v>0</v>
      </c>
      <c r="J184" s="347">
        <f t="shared" si="20"/>
        <v>0</v>
      </c>
      <c r="K184" s="347">
        <f t="shared" si="20"/>
        <v>0</v>
      </c>
      <c r="L184" s="347">
        <f t="shared" si="20"/>
        <v>3</v>
      </c>
      <c r="M184" s="347">
        <f t="shared" si="20"/>
        <v>0</v>
      </c>
      <c r="N184" s="347">
        <f t="shared" si="20"/>
        <v>0</v>
      </c>
      <c r="O184" s="347">
        <f t="shared" si="20"/>
        <v>261</v>
      </c>
      <c r="P184" s="347">
        <f t="shared" si="20"/>
        <v>5</v>
      </c>
      <c r="Q184" s="347">
        <f t="shared" si="20"/>
        <v>0</v>
      </c>
      <c r="R184" s="347">
        <f t="shared" si="20"/>
        <v>3</v>
      </c>
      <c r="S184" s="347">
        <f t="shared" si="20"/>
        <v>9</v>
      </c>
      <c r="T184" s="347">
        <f t="shared" si="20"/>
        <v>80</v>
      </c>
      <c r="U184" s="347">
        <f t="shared" si="20"/>
        <v>103</v>
      </c>
      <c r="V184" s="347">
        <f t="shared" si="20"/>
        <v>70</v>
      </c>
      <c r="W184" s="347">
        <f t="shared" si="20"/>
        <v>22</v>
      </c>
      <c r="X184" s="347">
        <f t="shared" si="20"/>
        <v>6</v>
      </c>
      <c r="Y184" s="347">
        <f t="shared" si="20"/>
        <v>93</v>
      </c>
      <c r="Z184" s="347">
        <f t="shared" si="20"/>
        <v>0</v>
      </c>
      <c r="AA184" s="347">
        <f t="shared" si="20"/>
        <v>2</v>
      </c>
      <c r="AB184" s="347">
        <f t="shared" si="20"/>
        <v>0</v>
      </c>
      <c r="AC184" s="347">
        <f t="shared" si="20"/>
        <v>0</v>
      </c>
      <c r="AD184" s="347">
        <f t="shared" si="20"/>
        <v>0</v>
      </c>
      <c r="AE184" s="347">
        <f t="shared" si="20"/>
        <v>131</v>
      </c>
      <c r="AF184" s="347">
        <f t="shared" si="20"/>
        <v>0</v>
      </c>
      <c r="AG184" s="347">
        <f t="shared" si="20"/>
        <v>0</v>
      </c>
      <c r="AH184" s="347">
        <f t="shared" si="20"/>
        <v>2</v>
      </c>
      <c r="AI184" s="347">
        <f t="shared" si="20"/>
        <v>860</v>
      </c>
      <c r="AJ184" s="375"/>
      <c r="AK184" s="375"/>
      <c r="AL184" s="352"/>
    </row>
    <row r="185" spans="1:38" ht="15.75" thickBot="1">
      <c r="A185" s="348" t="s">
        <v>174</v>
      </c>
      <c r="B185" s="348">
        <f t="shared" ref="B185:AB185" si="21">B184/$AI184</f>
        <v>0</v>
      </c>
      <c r="C185" s="348">
        <f t="shared" si="21"/>
        <v>3.604651162790698E-2</v>
      </c>
      <c r="D185" s="348">
        <f t="shared" si="21"/>
        <v>0</v>
      </c>
      <c r="E185" s="348">
        <f t="shared" si="21"/>
        <v>0</v>
      </c>
      <c r="F185" s="348">
        <f t="shared" si="21"/>
        <v>3.3720930232558143E-2</v>
      </c>
      <c r="G185" s="348">
        <f t="shared" si="21"/>
        <v>1.1627906976744186E-2</v>
      </c>
      <c r="H185" s="348">
        <f t="shared" si="21"/>
        <v>0</v>
      </c>
      <c r="I185" s="348">
        <f t="shared" si="21"/>
        <v>0</v>
      </c>
      <c r="J185" s="348">
        <f t="shared" si="21"/>
        <v>0</v>
      </c>
      <c r="K185" s="348">
        <f t="shared" si="21"/>
        <v>0</v>
      </c>
      <c r="L185" s="348">
        <f t="shared" si="21"/>
        <v>3.4883720930232558E-3</v>
      </c>
      <c r="M185" s="348">
        <f t="shared" si="21"/>
        <v>0</v>
      </c>
      <c r="N185" s="348">
        <f t="shared" si="21"/>
        <v>0</v>
      </c>
      <c r="O185" s="348">
        <f t="shared" si="21"/>
        <v>0.30348837209302326</v>
      </c>
      <c r="P185" s="348">
        <f t="shared" si="21"/>
        <v>5.8139534883720929E-3</v>
      </c>
      <c r="Q185" s="348">
        <f t="shared" si="21"/>
        <v>0</v>
      </c>
      <c r="R185" s="348">
        <f t="shared" si="21"/>
        <v>3.4883720930232558E-3</v>
      </c>
      <c r="S185" s="348">
        <f t="shared" si="21"/>
        <v>1.0465116279069767E-2</v>
      </c>
      <c r="T185" s="348">
        <f t="shared" si="21"/>
        <v>9.3023255813953487E-2</v>
      </c>
      <c r="U185" s="348">
        <f t="shared" si="21"/>
        <v>0.11976744186046512</v>
      </c>
      <c r="V185" s="348">
        <f t="shared" si="21"/>
        <v>8.1395348837209308E-2</v>
      </c>
      <c r="W185" s="348">
        <f t="shared" si="21"/>
        <v>2.5581395348837209E-2</v>
      </c>
      <c r="X185" s="348">
        <f t="shared" si="21"/>
        <v>6.9767441860465115E-3</v>
      </c>
      <c r="Y185" s="348">
        <f t="shared" si="21"/>
        <v>0.10813953488372093</v>
      </c>
      <c r="Z185" s="348">
        <f t="shared" si="21"/>
        <v>0</v>
      </c>
      <c r="AA185" s="348">
        <f t="shared" si="21"/>
        <v>2.3255813953488372E-3</v>
      </c>
      <c r="AB185" s="348">
        <f t="shared" si="21"/>
        <v>0</v>
      </c>
      <c r="AC185" s="348">
        <f t="shared" ref="AC185:AH185" si="22">AC184/$AI184</f>
        <v>0</v>
      </c>
      <c r="AD185" s="348">
        <f t="shared" si="22"/>
        <v>0</v>
      </c>
      <c r="AE185" s="348">
        <f t="shared" si="22"/>
        <v>0.15232558139534882</v>
      </c>
      <c r="AF185" s="348">
        <f t="shared" si="22"/>
        <v>0</v>
      </c>
      <c r="AG185" s="348">
        <f t="shared" si="22"/>
        <v>0</v>
      </c>
      <c r="AH185" s="348">
        <f t="shared" si="22"/>
        <v>2.3255813953488372E-3</v>
      </c>
      <c r="AI185" s="376"/>
      <c r="AJ185" s="376"/>
      <c r="AL185" s="351"/>
    </row>
    <row r="189" spans="1:38">
      <c r="A189" s="165">
        <f>'Conveyor Downtime (new)'!A187</f>
        <v>46113</v>
      </c>
      <c r="B189" s="346"/>
      <c r="C189" s="346"/>
      <c r="D189" s="346"/>
      <c r="E189" s="346"/>
      <c r="F189" s="346"/>
      <c r="G189" s="346"/>
      <c r="H189" s="346"/>
      <c r="I189" s="346"/>
      <c r="J189" s="346"/>
      <c r="K189" s="346"/>
      <c r="L189" s="346"/>
      <c r="M189" s="346"/>
      <c r="N189" s="346"/>
      <c r="O189" s="346"/>
      <c r="P189" s="346"/>
      <c r="Q189" s="346"/>
      <c r="R189" s="346"/>
      <c r="S189" s="346"/>
      <c r="T189" s="346"/>
      <c r="U189" s="346">
        <f>1+1</f>
        <v>2</v>
      </c>
      <c r="V189" s="346"/>
      <c r="W189" s="346"/>
      <c r="X189" s="346"/>
      <c r="Y189" s="346"/>
      <c r="Z189" s="346"/>
      <c r="AA189" s="346"/>
      <c r="AB189" s="346"/>
      <c r="AC189" s="346"/>
      <c r="AD189" s="346"/>
      <c r="AE189" s="346"/>
      <c r="AF189" s="346"/>
      <c r="AG189" s="346"/>
      <c r="AH189" s="346"/>
      <c r="AI189">
        <f t="shared" ref="AI189:AI221" si="23">SUM(B189:AH189)</f>
        <v>2</v>
      </c>
      <c r="AJ189" s="351">
        <f>AI189/$AI$184</f>
        <v>2.3255813953488372E-3</v>
      </c>
    </row>
    <row r="190" spans="1:38">
      <c r="A190" s="165">
        <f>'Conveyor Downtime (new)'!A188</f>
        <v>46113</v>
      </c>
      <c r="AI190">
        <f t="shared" si="23"/>
        <v>0</v>
      </c>
      <c r="AJ190" s="351">
        <f t="shared" ref="AJ190:AJ244" si="24">AI190/$AI$184</f>
        <v>0</v>
      </c>
    </row>
    <row r="191" spans="1:38">
      <c r="A191" s="165">
        <f>'Conveyor Downtime (new)'!A189</f>
        <v>46113</v>
      </c>
      <c r="B191" s="346"/>
      <c r="C191" s="346"/>
      <c r="D191" s="346"/>
      <c r="E191" s="346"/>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f t="shared" si="23"/>
        <v>0</v>
      </c>
      <c r="AJ191" s="351">
        <f t="shared" si="24"/>
        <v>0</v>
      </c>
    </row>
    <row r="192" spans="1:38">
      <c r="A192" s="165">
        <f>'Conveyor Downtime (new)'!A190</f>
        <v>46114</v>
      </c>
      <c r="AI192">
        <f t="shared" si="23"/>
        <v>0</v>
      </c>
      <c r="AJ192" s="351">
        <f t="shared" si="24"/>
        <v>0</v>
      </c>
    </row>
    <row r="193" spans="1:36">
      <c r="A193" s="165">
        <f>'Conveyor Downtime (new)'!A191</f>
        <v>46114</v>
      </c>
      <c r="B193" s="346"/>
      <c r="C193" s="346"/>
      <c r="D193" s="346"/>
      <c r="E193" s="346"/>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f t="shared" si="23"/>
        <v>0</v>
      </c>
      <c r="AJ193" s="351">
        <f t="shared" si="24"/>
        <v>0</v>
      </c>
    </row>
    <row r="194" spans="1:36">
      <c r="A194" s="165">
        <f>'Conveyor Downtime (new)'!A192</f>
        <v>46119</v>
      </c>
      <c r="N194">
        <f>20+6</f>
        <v>26</v>
      </c>
      <c r="W194">
        <f>30+60</f>
        <v>90</v>
      </c>
      <c r="AI194">
        <f t="shared" si="23"/>
        <v>116</v>
      </c>
      <c r="AJ194" s="351">
        <f t="shared" si="24"/>
        <v>0.13488372093023257</v>
      </c>
    </row>
    <row r="195" spans="1:36">
      <c r="A195" s="165">
        <f>'Conveyor Downtime (new)'!A193</f>
        <v>46119</v>
      </c>
      <c r="B195" s="346"/>
      <c r="C195" s="346"/>
      <c r="D195" s="346"/>
      <c r="E195" s="346"/>
      <c r="F195" s="346"/>
      <c r="G195" s="346"/>
      <c r="H195" s="346"/>
      <c r="I195" s="346"/>
      <c r="J195" s="346"/>
      <c r="K195" s="346"/>
      <c r="L195" s="346"/>
      <c r="M195" s="346"/>
      <c r="N195" s="77">
        <v>50</v>
      </c>
      <c r="O195" s="346">
        <v>46</v>
      </c>
      <c r="P195" s="346"/>
      <c r="Q195" s="346"/>
      <c r="R195" s="346"/>
      <c r="S195" s="346"/>
      <c r="T195" s="346"/>
      <c r="U195" s="346"/>
      <c r="V195" s="346"/>
      <c r="W195" s="346"/>
      <c r="X195" s="346"/>
      <c r="Y195" s="346"/>
      <c r="Z195" s="346"/>
      <c r="AA195" s="346"/>
      <c r="AB195" s="346"/>
      <c r="AC195" s="346"/>
      <c r="AD195" s="346"/>
      <c r="AE195" s="346"/>
      <c r="AF195" s="346"/>
      <c r="AG195" s="346"/>
      <c r="AH195" s="346"/>
      <c r="AI195">
        <f t="shared" si="23"/>
        <v>96</v>
      </c>
      <c r="AJ195" s="351">
        <f t="shared" si="24"/>
        <v>0.11162790697674418</v>
      </c>
    </row>
    <row r="196" spans="1:36">
      <c r="A196" s="165">
        <f>'Conveyor Downtime (new)'!A194</f>
        <v>46120</v>
      </c>
      <c r="U196">
        <f>3+4</f>
        <v>7</v>
      </c>
      <c r="Y196">
        <f>2</f>
        <v>2</v>
      </c>
      <c r="AI196">
        <f t="shared" si="23"/>
        <v>9</v>
      </c>
      <c r="AJ196" s="351">
        <f t="shared" si="24"/>
        <v>1.0465116279069767E-2</v>
      </c>
    </row>
    <row r="197" spans="1:36">
      <c r="A197" s="165">
        <f>'Conveyor Downtime (new)'!A195</f>
        <v>46120</v>
      </c>
      <c r="B197" s="346"/>
      <c r="C197" s="346"/>
      <c r="D197" s="346"/>
      <c r="E197" s="346"/>
      <c r="F197" s="346"/>
      <c r="G197" s="346"/>
      <c r="H197" s="346"/>
      <c r="I197" s="346"/>
      <c r="J197" s="346"/>
      <c r="K197" s="346"/>
      <c r="L197" s="346"/>
      <c r="M197" s="346"/>
      <c r="N197" s="346"/>
      <c r="O197" s="346">
        <f>8</f>
        <v>8</v>
      </c>
      <c r="P197" s="346"/>
      <c r="Q197" s="346"/>
      <c r="R197" s="346"/>
      <c r="S197" s="346"/>
      <c r="T197" s="346">
        <f>6</f>
        <v>6</v>
      </c>
      <c r="U197" s="346">
        <f>2+3</f>
        <v>5</v>
      </c>
      <c r="V197" s="346"/>
      <c r="W197" s="346"/>
      <c r="X197" s="346"/>
      <c r="Y197" s="346"/>
      <c r="Z197" s="346"/>
      <c r="AA197" s="346"/>
      <c r="AB197" s="346"/>
      <c r="AC197" s="346"/>
      <c r="AD197" s="346"/>
      <c r="AE197" s="346"/>
      <c r="AF197" s="346"/>
      <c r="AG197" s="346"/>
      <c r="AH197" s="346"/>
      <c r="AI197">
        <f t="shared" si="23"/>
        <v>19</v>
      </c>
      <c r="AJ197" s="351">
        <f t="shared" si="24"/>
        <v>2.2093023255813953E-2</v>
      </c>
    </row>
    <row r="198" spans="1:36">
      <c r="A198" s="165">
        <f>'Conveyor Downtime (new)'!A196</f>
        <v>46121</v>
      </c>
      <c r="O198">
        <f>10+3</f>
        <v>13</v>
      </c>
      <c r="U198" s="363">
        <f>2+3+3+3+2</f>
        <v>13</v>
      </c>
      <c r="AI198">
        <f t="shared" si="23"/>
        <v>26</v>
      </c>
      <c r="AJ198" s="351">
        <f t="shared" si="24"/>
        <v>3.0232558139534883E-2</v>
      </c>
    </row>
    <row r="199" spans="1:36">
      <c r="A199" s="165">
        <f>'Conveyor Downtime (new)'!A197</f>
        <v>46122</v>
      </c>
      <c r="B199" s="346"/>
      <c r="C199" s="346"/>
      <c r="D199" s="346"/>
      <c r="E199" s="346"/>
      <c r="F199" s="346"/>
      <c r="G199" s="346"/>
      <c r="H199" s="346"/>
      <c r="I199" s="346"/>
      <c r="J199" s="346"/>
      <c r="K199" s="346"/>
      <c r="L199" s="346"/>
      <c r="M199" s="346"/>
      <c r="N199" s="346"/>
      <c r="O199" s="346">
        <f>3+3</f>
        <v>6</v>
      </c>
      <c r="P199" s="346"/>
      <c r="Q199" s="346"/>
      <c r="R199" s="346"/>
      <c r="S199" s="346"/>
      <c r="T199" s="346"/>
      <c r="U199" s="346">
        <f>2</f>
        <v>2</v>
      </c>
      <c r="V199" s="346"/>
      <c r="W199" s="346"/>
      <c r="X199" s="346"/>
      <c r="Y199" s="346">
        <f>2</f>
        <v>2</v>
      </c>
      <c r="Z199" s="346"/>
      <c r="AA199" s="346">
        <v>3</v>
      </c>
      <c r="AB199" s="346"/>
      <c r="AC199" s="346"/>
      <c r="AD199" s="346">
        <f>3</f>
        <v>3</v>
      </c>
      <c r="AE199" s="346"/>
      <c r="AF199" s="346"/>
      <c r="AG199" s="346"/>
      <c r="AH199" s="346"/>
      <c r="AI199">
        <f t="shared" si="23"/>
        <v>16</v>
      </c>
      <c r="AJ199" s="351">
        <f t="shared" si="24"/>
        <v>1.8604651162790697E-2</v>
      </c>
    </row>
    <row r="200" spans="1:36">
      <c r="A200" s="165">
        <f>'Conveyor Downtime (new)'!A198</f>
        <v>46125</v>
      </c>
      <c r="O200">
        <f>4+4</f>
        <v>8</v>
      </c>
      <c r="U200">
        <v>8</v>
      </c>
      <c r="AI200">
        <f t="shared" si="23"/>
        <v>16</v>
      </c>
      <c r="AJ200" s="351">
        <f t="shared" si="24"/>
        <v>1.8604651162790697E-2</v>
      </c>
    </row>
    <row r="201" spans="1:36">
      <c r="A201" s="165">
        <f>'Conveyor Downtime (new)'!A199</f>
        <v>46125</v>
      </c>
      <c r="B201" s="346"/>
      <c r="C201" s="346"/>
      <c r="D201" s="346"/>
      <c r="E201" s="346"/>
      <c r="F201" s="346"/>
      <c r="G201" s="346"/>
      <c r="H201" s="346"/>
      <c r="I201" s="346"/>
      <c r="J201" s="346"/>
      <c r="K201" s="346"/>
      <c r="L201" s="346"/>
      <c r="M201" s="346"/>
      <c r="N201" s="77">
        <f>40+28</f>
        <v>68</v>
      </c>
      <c r="O201" s="346"/>
      <c r="P201" s="346"/>
      <c r="Q201" s="346"/>
      <c r="R201" s="346"/>
      <c r="S201" s="346"/>
      <c r="T201" s="346"/>
      <c r="U201" s="346"/>
      <c r="V201" s="346"/>
      <c r="W201" s="346"/>
      <c r="X201" s="346"/>
      <c r="Y201" s="346"/>
      <c r="Z201" s="346"/>
      <c r="AA201" s="346"/>
      <c r="AB201" s="346"/>
      <c r="AC201" s="346"/>
      <c r="AD201" s="346"/>
      <c r="AE201" s="346"/>
      <c r="AF201" s="346"/>
      <c r="AG201" s="346"/>
      <c r="AH201" s="346"/>
      <c r="AI201">
        <f t="shared" si="23"/>
        <v>68</v>
      </c>
      <c r="AJ201" s="351">
        <f t="shared" si="24"/>
        <v>7.9069767441860464E-2</v>
      </c>
    </row>
    <row r="202" spans="1:36">
      <c r="A202" s="165">
        <f>'Conveyor Downtime (new)'!A200</f>
        <v>46126</v>
      </c>
      <c r="Y202">
        <f>2</f>
        <v>2</v>
      </c>
      <c r="AA202">
        <f>2</f>
        <v>2</v>
      </c>
      <c r="AI202">
        <f t="shared" si="23"/>
        <v>4</v>
      </c>
      <c r="AJ202" s="351">
        <f t="shared" si="24"/>
        <v>4.6511627906976744E-3</v>
      </c>
    </row>
    <row r="203" spans="1:36">
      <c r="A203" s="165">
        <f>'Conveyor Downtime (new)'!A201</f>
        <v>46126</v>
      </c>
      <c r="B203" s="346"/>
      <c r="C203" s="346"/>
      <c r="D203" s="346"/>
      <c r="E203" s="346"/>
      <c r="F203" s="346"/>
      <c r="G203" s="346"/>
      <c r="H203" s="346"/>
      <c r="I203" s="346"/>
      <c r="J203" s="346"/>
      <c r="K203" s="346"/>
      <c r="L203" s="346"/>
      <c r="M203" s="346"/>
      <c r="N203" s="346"/>
      <c r="O203" s="346">
        <f>4+3</f>
        <v>7</v>
      </c>
      <c r="P203" s="346"/>
      <c r="Q203" s="346"/>
      <c r="R203" s="346"/>
      <c r="S203" s="346"/>
      <c r="T203" s="346"/>
      <c r="U203" s="346"/>
      <c r="V203" s="346"/>
      <c r="W203" s="346"/>
      <c r="X203" s="346"/>
      <c r="Y203" s="346"/>
      <c r="Z203" s="346"/>
      <c r="AA203" s="346"/>
      <c r="AB203" s="346"/>
      <c r="AC203" s="346"/>
      <c r="AD203" s="346"/>
      <c r="AE203" s="346"/>
      <c r="AF203" s="346"/>
      <c r="AG203" s="346"/>
      <c r="AH203" s="346"/>
      <c r="AI203">
        <f t="shared" si="23"/>
        <v>7</v>
      </c>
      <c r="AJ203" s="351">
        <f t="shared" si="24"/>
        <v>8.1395348837209301E-3</v>
      </c>
    </row>
    <row r="204" spans="1:36">
      <c r="A204" s="165">
        <f>'Conveyor Downtime (new)'!A202</f>
        <v>46126</v>
      </c>
      <c r="U204">
        <f>2</f>
        <v>2</v>
      </c>
      <c r="AI204">
        <f t="shared" si="23"/>
        <v>2</v>
      </c>
      <c r="AJ204" s="351">
        <f t="shared" si="24"/>
        <v>2.3255813953488372E-3</v>
      </c>
    </row>
    <row r="205" spans="1:36">
      <c r="A205" s="165">
        <f>'Conveyor Downtime (new)'!A203</f>
        <v>46126</v>
      </c>
      <c r="B205" s="346"/>
      <c r="C205" s="346"/>
      <c r="D205" s="346"/>
      <c r="E205" s="346"/>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f t="shared" si="23"/>
        <v>0</v>
      </c>
      <c r="AJ205" s="351">
        <f t="shared" si="24"/>
        <v>0</v>
      </c>
    </row>
    <row r="206" spans="1:36">
      <c r="A206" s="165">
        <f>'Conveyor Downtime (new)'!A204</f>
        <v>46127</v>
      </c>
      <c r="N206">
        <f>2+3</f>
        <v>5</v>
      </c>
      <c r="Y206">
        <f>2+2</f>
        <v>4</v>
      </c>
      <c r="AI206">
        <f t="shared" si="23"/>
        <v>9</v>
      </c>
      <c r="AJ206" s="351">
        <f t="shared" si="24"/>
        <v>1.0465116279069767E-2</v>
      </c>
    </row>
    <row r="207" spans="1:36">
      <c r="A207" s="165">
        <f>'Conveyor Downtime (new)'!A205</f>
        <v>46127</v>
      </c>
      <c r="B207" s="346"/>
      <c r="C207" s="346"/>
      <c r="D207" s="346"/>
      <c r="E207" s="346"/>
      <c r="F207" s="346"/>
      <c r="G207" s="346"/>
      <c r="H207" s="346"/>
      <c r="I207" s="346"/>
      <c r="J207" s="346"/>
      <c r="K207" s="346"/>
      <c r="L207" s="346"/>
      <c r="M207" s="346"/>
      <c r="N207" s="346"/>
      <c r="O207" s="346"/>
      <c r="P207" s="346"/>
      <c r="Q207" s="346"/>
      <c r="R207" s="346"/>
      <c r="S207" s="346"/>
      <c r="T207" s="346"/>
      <c r="U207" s="346">
        <f>3+2</f>
        <v>5</v>
      </c>
      <c r="V207" s="346">
        <f>15+6</f>
        <v>21</v>
      </c>
      <c r="W207" s="346"/>
      <c r="X207" s="346"/>
      <c r="Y207" s="346">
        <f>3</f>
        <v>3</v>
      </c>
      <c r="Z207" s="346"/>
      <c r="AA207" s="346"/>
      <c r="AB207" s="346"/>
      <c r="AC207" s="346"/>
      <c r="AD207" s="346"/>
      <c r="AE207" s="346"/>
      <c r="AF207" s="346"/>
      <c r="AG207" s="346"/>
      <c r="AH207" s="346"/>
      <c r="AI207">
        <f t="shared" si="23"/>
        <v>29</v>
      </c>
      <c r="AJ207" s="351">
        <f t="shared" si="24"/>
        <v>3.3720930232558143E-2</v>
      </c>
    </row>
    <row r="208" spans="1:36">
      <c r="A208" s="165">
        <f>'Conveyor Downtime (new)'!A206</f>
        <v>46127</v>
      </c>
      <c r="K208">
        <f>7</f>
        <v>7</v>
      </c>
      <c r="T208">
        <f>3</f>
        <v>3</v>
      </c>
      <c r="AI208">
        <f t="shared" si="23"/>
        <v>10</v>
      </c>
      <c r="AJ208" s="351">
        <f t="shared" si="24"/>
        <v>1.1627906976744186E-2</v>
      </c>
    </row>
    <row r="209" spans="1:36">
      <c r="A209" s="165">
        <f>'Conveyor Downtime (new)'!A207</f>
        <v>46128</v>
      </c>
      <c r="B209" s="346"/>
      <c r="C209" s="346"/>
      <c r="D209" s="346"/>
      <c r="E209" s="346"/>
      <c r="F209" s="346"/>
      <c r="G209" s="346"/>
      <c r="H209" s="346"/>
      <c r="I209" s="346"/>
      <c r="J209" s="346"/>
      <c r="K209" s="346"/>
      <c r="L209" s="346"/>
      <c r="M209" s="346"/>
      <c r="N209" s="346"/>
      <c r="O209" s="346">
        <f>3</f>
        <v>3</v>
      </c>
      <c r="P209" s="346"/>
      <c r="Q209" s="346"/>
      <c r="R209" s="346"/>
      <c r="S209" s="346"/>
      <c r="T209" s="346"/>
      <c r="U209" s="346"/>
      <c r="V209" s="346"/>
      <c r="W209" s="346"/>
      <c r="X209" s="346"/>
      <c r="Y209" s="346">
        <f>2+4</f>
        <v>6</v>
      </c>
      <c r="Z209" s="346"/>
      <c r="AA209" s="346"/>
      <c r="AB209" s="346"/>
      <c r="AC209" s="346"/>
      <c r="AD209" s="346"/>
      <c r="AE209" s="346"/>
      <c r="AF209" s="346"/>
      <c r="AG209" s="346"/>
      <c r="AH209" s="346"/>
      <c r="AI209">
        <f t="shared" si="23"/>
        <v>9</v>
      </c>
      <c r="AJ209" s="351">
        <f t="shared" si="24"/>
        <v>1.0465116279069767E-2</v>
      </c>
    </row>
    <row r="210" spans="1:36">
      <c r="A210" s="165">
        <f>'Conveyor Downtime (new)'!A208</f>
        <v>46128</v>
      </c>
      <c r="AI210">
        <f t="shared" si="23"/>
        <v>0</v>
      </c>
      <c r="AJ210" s="351">
        <f t="shared" si="24"/>
        <v>0</v>
      </c>
    </row>
    <row r="211" spans="1:36">
      <c r="A211" s="165">
        <f>'Conveyor Downtime (new)'!A209</f>
        <v>46129</v>
      </c>
      <c r="B211" s="346"/>
      <c r="C211" s="346"/>
      <c r="D211" s="346"/>
      <c r="E211" s="346"/>
      <c r="F211" s="346"/>
      <c r="G211" s="346"/>
      <c r="H211" s="346"/>
      <c r="I211" s="346"/>
      <c r="J211" s="346"/>
      <c r="K211" s="346"/>
      <c r="L211" s="346"/>
      <c r="M211" s="346"/>
      <c r="N211" s="346"/>
      <c r="O211" s="346"/>
      <c r="P211" s="346"/>
      <c r="Q211" s="346"/>
      <c r="R211" s="346"/>
      <c r="S211" s="346"/>
      <c r="T211" s="346"/>
      <c r="U211" s="346">
        <f>2</f>
        <v>2</v>
      </c>
      <c r="V211" s="346"/>
      <c r="W211" s="346"/>
      <c r="X211" s="346"/>
      <c r="Y211" s="346">
        <f>3</f>
        <v>3</v>
      </c>
      <c r="Z211" s="346"/>
      <c r="AA211" s="346"/>
      <c r="AB211" s="346"/>
      <c r="AC211" s="346"/>
      <c r="AD211" s="346"/>
      <c r="AE211" s="346"/>
      <c r="AF211" s="346"/>
      <c r="AG211" s="346"/>
      <c r="AH211" s="346"/>
      <c r="AI211">
        <f t="shared" si="23"/>
        <v>5</v>
      </c>
      <c r="AJ211" s="351">
        <f t="shared" si="24"/>
        <v>5.8139534883720929E-3</v>
      </c>
    </row>
    <row r="212" spans="1:36">
      <c r="A212" s="165">
        <f>'Conveyor Downtime (new)'!A210</f>
        <v>46129</v>
      </c>
      <c r="O212">
        <f>2</f>
        <v>2</v>
      </c>
      <c r="AI212">
        <f t="shared" si="23"/>
        <v>2</v>
      </c>
      <c r="AJ212" s="351">
        <f t="shared" si="24"/>
        <v>2.3255813953488372E-3</v>
      </c>
    </row>
    <row r="213" spans="1:36">
      <c r="A213" s="165">
        <f>'Conveyor Downtime (new)'!A211</f>
        <v>46132</v>
      </c>
      <c r="B213" s="346"/>
      <c r="C213" s="346"/>
      <c r="D213" s="346"/>
      <c r="E213" s="346"/>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s="346"/>
      <c r="AE213" s="346"/>
      <c r="AF213" s="346"/>
      <c r="AG213" s="346"/>
      <c r="AH213" s="346"/>
      <c r="AI213">
        <f t="shared" si="23"/>
        <v>0</v>
      </c>
      <c r="AJ213" s="351">
        <f t="shared" si="24"/>
        <v>0</v>
      </c>
    </row>
    <row r="214" spans="1:36">
      <c r="A214" s="165">
        <f>'Conveyor Downtime (new)'!A212</f>
        <v>46132</v>
      </c>
      <c r="O214">
        <f>6</f>
        <v>6</v>
      </c>
      <c r="U214">
        <v>3</v>
      </c>
      <c r="AI214">
        <f t="shared" si="23"/>
        <v>9</v>
      </c>
      <c r="AJ214" s="351">
        <f t="shared" si="24"/>
        <v>1.0465116279069767E-2</v>
      </c>
    </row>
    <row r="215" spans="1:36">
      <c r="A215" s="165">
        <f>'Conveyor Downtime (new)'!A213</f>
        <v>46132</v>
      </c>
      <c r="U215">
        <f>2</f>
        <v>2</v>
      </c>
      <c r="AI215">
        <f t="shared" si="23"/>
        <v>2</v>
      </c>
      <c r="AJ215" s="351">
        <f t="shared" si="24"/>
        <v>2.3255813953488372E-3</v>
      </c>
    </row>
    <row r="216" spans="1:36">
      <c r="A216" s="165">
        <f>'Conveyor Downtime (new)'!A214</f>
        <v>46133</v>
      </c>
      <c r="B216" s="346"/>
      <c r="C216" s="346"/>
      <c r="D216" s="346"/>
      <c r="E216" s="346"/>
      <c r="F216" s="346"/>
      <c r="G216" s="346"/>
      <c r="H216" s="346"/>
      <c r="I216" s="346"/>
      <c r="J216" s="346"/>
      <c r="K216" s="346"/>
      <c r="L216" s="346"/>
      <c r="M216" s="346"/>
      <c r="N216" s="346"/>
      <c r="O216" s="346"/>
      <c r="P216" s="346"/>
      <c r="Q216" s="346"/>
      <c r="R216" s="346"/>
      <c r="S216" s="346"/>
      <c r="T216" s="346"/>
      <c r="U216" s="346"/>
      <c r="V216" s="346"/>
      <c r="W216" s="346"/>
      <c r="X216" s="346"/>
      <c r="Y216" s="346">
        <f>2</f>
        <v>2</v>
      </c>
      <c r="Z216" s="346"/>
      <c r="AA216" s="346"/>
      <c r="AB216" s="346"/>
      <c r="AC216" s="346"/>
      <c r="AD216" s="346"/>
      <c r="AE216" s="346"/>
      <c r="AF216" s="346"/>
      <c r="AG216" s="346"/>
      <c r="AH216" s="346"/>
      <c r="AI216">
        <f t="shared" si="23"/>
        <v>2</v>
      </c>
      <c r="AJ216" s="351">
        <f t="shared" si="24"/>
        <v>2.3255813953488372E-3</v>
      </c>
    </row>
    <row r="217" spans="1:36">
      <c r="A217" s="165">
        <f>'Conveyor Downtime (new)'!A215</f>
        <v>46133</v>
      </c>
      <c r="O217">
        <f>5+8</f>
        <v>13</v>
      </c>
      <c r="AI217">
        <f t="shared" si="23"/>
        <v>13</v>
      </c>
      <c r="AJ217" s="351">
        <f t="shared" si="24"/>
        <v>1.5116279069767442E-2</v>
      </c>
    </row>
    <row r="218" spans="1:36">
      <c r="A218" s="165">
        <f>'Conveyor Downtime (new)'!A216</f>
        <v>46134</v>
      </c>
      <c r="B218" s="346"/>
      <c r="C218" s="346"/>
      <c r="D218" s="346"/>
      <c r="E218" s="346"/>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f t="shared" si="23"/>
        <v>0</v>
      </c>
      <c r="AJ218" s="351">
        <f t="shared" si="24"/>
        <v>0</v>
      </c>
    </row>
    <row r="219" spans="1:36">
      <c r="A219" s="165">
        <f>'Conveyor Downtime (new)'!A217</f>
        <v>46134</v>
      </c>
      <c r="O219">
        <f>2</f>
        <v>2</v>
      </c>
      <c r="U219">
        <f>2+2</f>
        <v>4</v>
      </c>
      <c r="Y219">
        <f>2+2</f>
        <v>4</v>
      </c>
      <c r="AI219">
        <f t="shared" si="23"/>
        <v>10</v>
      </c>
      <c r="AJ219" s="351">
        <f t="shared" si="24"/>
        <v>1.1627906976744186E-2</v>
      </c>
    </row>
    <row r="220" spans="1:36">
      <c r="A220" s="165">
        <f>'Conveyor Downtime (new)'!A218</f>
        <v>46135</v>
      </c>
      <c r="B220" s="346"/>
      <c r="C220" s="346"/>
      <c r="D220" s="346"/>
      <c r="E220" s="346"/>
      <c r="F220" s="346"/>
      <c r="G220" s="346"/>
      <c r="H220" s="346"/>
      <c r="I220" s="346"/>
      <c r="J220" s="346"/>
      <c r="K220" s="346"/>
      <c r="L220" s="346"/>
      <c r="M220" s="346"/>
      <c r="N220" s="346"/>
      <c r="O220" s="346"/>
      <c r="P220" s="346"/>
      <c r="Q220" s="346"/>
      <c r="R220" s="346"/>
      <c r="S220" s="346"/>
      <c r="T220" s="346"/>
      <c r="U220" s="346">
        <f>2</f>
        <v>2</v>
      </c>
      <c r="V220" s="346"/>
      <c r="W220" s="346"/>
      <c r="X220" s="346"/>
      <c r="Y220" s="346"/>
      <c r="Z220" s="346"/>
      <c r="AA220" s="346"/>
      <c r="AB220" s="346"/>
      <c r="AC220" s="346"/>
      <c r="AD220" s="346"/>
      <c r="AE220" s="346"/>
      <c r="AF220" s="346"/>
      <c r="AG220" s="346"/>
      <c r="AH220" s="346"/>
      <c r="AI220">
        <f t="shared" si="23"/>
        <v>2</v>
      </c>
      <c r="AJ220" s="351">
        <f t="shared" si="24"/>
        <v>2.3255813953488372E-3</v>
      </c>
    </row>
    <row r="221" spans="1:36">
      <c r="A221" s="165">
        <f>'Conveyor Downtime (new)'!A219</f>
        <v>46135</v>
      </c>
      <c r="B221">
        <f>1</f>
        <v>1</v>
      </c>
      <c r="O221">
        <v>1</v>
      </c>
      <c r="P221">
        <f>13</f>
        <v>13</v>
      </c>
      <c r="U221">
        <f>1+1</f>
        <v>2</v>
      </c>
      <c r="AD221">
        <v>1</v>
      </c>
      <c r="AI221">
        <f t="shared" si="23"/>
        <v>18</v>
      </c>
      <c r="AJ221" s="351">
        <f t="shared" si="24"/>
        <v>2.0930232558139535E-2</v>
      </c>
    </row>
    <row r="222" spans="1:36">
      <c r="A222" s="165">
        <f>'Conveyor Downtime (new)'!A220</f>
        <v>46136</v>
      </c>
      <c r="B222" s="346"/>
      <c r="C222" s="346"/>
      <c r="D222" s="346"/>
      <c r="E222" s="346"/>
      <c r="F222" s="346"/>
      <c r="G222" s="346"/>
      <c r="H222" s="346"/>
      <c r="I222" s="346"/>
      <c r="J222" s="346"/>
      <c r="K222" s="346"/>
      <c r="L222" s="346"/>
      <c r="M222" s="346"/>
      <c r="N222" s="346"/>
      <c r="O222" s="346"/>
      <c r="P222" s="346"/>
      <c r="Q222" s="346"/>
      <c r="R222" s="346"/>
      <c r="S222" s="346"/>
      <c r="T222" s="346"/>
      <c r="U222" s="346">
        <f>2</f>
        <v>2</v>
      </c>
      <c r="V222" s="346"/>
      <c r="W222" s="346"/>
      <c r="X222" s="346"/>
      <c r="Y222" s="346"/>
      <c r="Z222" s="346"/>
      <c r="AA222" s="346"/>
      <c r="AB222" s="346"/>
      <c r="AC222" s="346"/>
      <c r="AD222" s="346"/>
      <c r="AE222" s="346"/>
      <c r="AF222" s="346"/>
      <c r="AG222" s="346"/>
      <c r="AH222" s="346"/>
      <c r="AI222">
        <f t="shared" ref="AI222:AI244" si="25">SUM(B222:AH222)</f>
        <v>2</v>
      </c>
      <c r="AJ222" s="351">
        <f t="shared" si="24"/>
        <v>2.3255813953488372E-3</v>
      </c>
    </row>
    <row r="223" spans="1:36">
      <c r="A223" s="165">
        <f>'Conveyor Downtime (new)'!A221</f>
        <v>46136</v>
      </c>
      <c r="O223">
        <f>5+3+6+4+7+4</f>
        <v>29</v>
      </c>
      <c r="AI223">
        <f t="shared" si="25"/>
        <v>29</v>
      </c>
      <c r="AJ223" s="351">
        <f t="shared" si="24"/>
        <v>3.3720930232558143E-2</v>
      </c>
    </row>
    <row r="224" spans="1:36">
      <c r="A224" s="165">
        <f>'Conveyor Downtime (new)'!A222</f>
        <v>46139</v>
      </c>
      <c r="B224" s="346"/>
      <c r="C224" s="346">
        <v>4</v>
      </c>
      <c r="D224" s="346"/>
      <c r="E224" s="346"/>
      <c r="F224" s="346"/>
      <c r="G224" s="346"/>
      <c r="H224" s="346"/>
      <c r="I224" s="346">
        <v>1</v>
      </c>
      <c r="J224" s="346"/>
      <c r="K224" s="346"/>
      <c r="L224" s="346"/>
      <c r="M224" s="346"/>
      <c r="N224" s="346"/>
      <c r="O224" s="346">
        <f>4+7+4+4</f>
        <v>19</v>
      </c>
      <c r="P224" s="346"/>
      <c r="Q224" s="346"/>
      <c r="R224" s="346"/>
      <c r="S224" s="346"/>
      <c r="T224" s="346"/>
      <c r="U224" s="346">
        <f>3+2+2</f>
        <v>7</v>
      </c>
      <c r="V224" s="346"/>
      <c r="W224" s="346"/>
      <c r="X224" s="346"/>
      <c r="Y224" s="346"/>
      <c r="Z224" s="346"/>
      <c r="AA224" s="346"/>
      <c r="AB224" s="346"/>
      <c r="AC224" s="346"/>
      <c r="AD224" s="346"/>
      <c r="AE224" s="346"/>
      <c r="AF224" s="346"/>
      <c r="AG224" s="346"/>
      <c r="AH224" s="346"/>
      <c r="AI224">
        <f t="shared" si="25"/>
        <v>31</v>
      </c>
      <c r="AJ224" s="351">
        <f t="shared" si="24"/>
        <v>3.604651162790698E-2</v>
      </c>
    </row>
    <row r="225" spans="1:36">
      <c r="A225" s="165">
        <f>'Conveyor Downtime (new)'!A223</f>
        <v>46140</v>
      </c>
      <c r="U225">
        <f>2+2</f>
        <v>4</v>
      </c>
      <c r="Y225">
        <f>2+3</f>
        <v>5</v>
      </c>
      <c r="AA225">
        <f>2</f>
        <v>2</v>
      </c>
      <c r="AI225">
        <f t="shared" si="25"/>
        <v>11</v>
      </c>
      <c r="AJ225" s="351">
        <f t="shared" si="24"/>
        <v>1.2790697674418604E-2</v>
      </c>
    </row>
    <row r="226" spans="1:36">
      <c r="A226" s="165">
        <f>'Conveyor Downtime (new)'!A224</f>
        <v>46141</v>
      </c>
      <c r="B226" s="346"/>
      <c r="C226" s="346"/>
      <c r="D226" s="346"/>
      <c r="E226" s="346"/>
      <c r="F226" s="346"/>
      <c r="G226" s="346"/>
      <c r="H226" s="346"/>
      <c r="I226" s="346">
        <f>2</f>
        <v>2</v>
      </c>
      <c r="J226" s="346"/>
      <c r="K226" s="346"/>
      <c r="L226" s="346"/>
      <c r="M226" s="346"/>
      <c r="N226" s="346"/>
      <c r="O226" s="346"/>
      <c r="P226" s="346"/>
      <c r="Q226" s="346"/>
      <c r="R226" s="346"/>
      <c r="S226" s="346"/>
      <c r="T226" s="346"/>
      <c r="U226" s="346">
        <f>2</f>
        <v>2</v>
      </c>
      <c r="V226" s="346"/>
      <c r="W226" s="346"/>
      <c r="X226" s="346"/>
      <c r="Y226" s="346"/>
      <c r="Z226" s="346"/>
      <c r="AA226" s="346"/>
      <c r="AB226" s="346"/>
      <c r="AC226" s="346"/>
      <c r="AD226" s="346"/>
      <c r="AE226" s="346"/>
      <c r="AF226" s="346"/>
      <c r="AG226" s="346"/>
      <c r="AH226" s="346"/>
      <c r="AI226">
        <f t="shared" si="25"/>
        <v>4</v>
      </c>
      <c r="AJ226" s="351">
        <f t="shared" si="24"/>
        <v>4.6511627906976744E-3</v>
      </c>
    </row>
    <row r="227" spans="1:36">
      <c r="A227" s="165">
        <f>'Conveyor Downtime (new)'!A225</f>
        <v>46141</v>
      </c>
      <c r="O227">
        <f>4</f>
        <v>4</v>
      </c>
      <c r="Y227">
        <f>2</f>
        <v>2</v>
      </c>
      <c r="AA227">
        <f>5</f>
        <v>5</v>
      </c>
      <c r="AI227">
        <f t="shared" si="25"/>
        <v>11</v>
      </c>
      <c r="AJ227" s="351">
        <f t="shared" si="24"/>
        <v>1.2790697674418604E-2</v>
      </c>
    </row>
    <row r="228" spans="1:36">
      <c r="A228" s="165">
        <f>'Conveyor Downtime (new)'!A226</f>
        <v>46142</v>
      </c>
      <c r="B228" s="346"/>
      <c r="C228" s="346"/>
      <c r="D228" s="346"/>
      <c r="E228" s="346"/>
      <c r="F228" s="346"/>
      <c r="G228" s="346"/>
      <c r="H228" s="346"/>
      <c r="I228" s="346"/>
      <c r="J228" s="346"/>
      <c r="K228" s="346"/>
      <c r="L228" s="346"/>
      <c r="M228" s="346"/>
      <c r="N228" s="346"/>
      <c r="O228" s="346"/>
      <c r="P228" s="346"/>
      <c r="Q228" s="346"/>
      <c r="R228" s="346"/>
      <c r="S228" s="346"/>
      <c r="T228" s="346"/>
      <c r="U228" s="346"/>
      <c r="V228" s="346"/>
      <c r="W228" s="346"/>
      <c r="X228" s="346">
        <v>2</v>
      </c>
      <c r="Y228" s="346"/>
      <c r="Z228" s="346"/>
      <c r="AA228" s="346"/>
      <c r="AB228" s="346"/>
      <c r="AC228" s="346"/>
      <c r="AD228" s="346"/>
      <c r="AE228" s="346"/>
      <c r="AF228" s="346"/>
      <c r="AG228" s="346"/>
      <c r="AH228" s="346"/>
      <c r="AI228">
        <f t="shared" si="25"/>
        <v>2</v>
      </c>
      <c r="AJ228" s="351">
        <f t="shared" si="24"/>
        <v>2.3255813953488372E-3</v>
      </c>
    </row>
    <row r="229" spans="1:36">
      <c r="A229" s="165">
        <f>'Conveyor Downtime (new)'!A227</f>
        <v>46142</v>
      </c>
      <c r="C229">
        <f>6+10+6</f>
        <v>22</v>
      </c>
      <c r="N229">
        <v>2</v>
      </c>
      <c r="O229">
        <f>5+2+7</f>
        <v>14</v>
      </c>
      <c r="U229">
        <f>2+16+3</f>
        <v>21</v>
      </c>
      <c r="X229">
        <v>3</v>
      </c>
      <c r="Y229">
        <f>2+2+2</f>
        <v>6</v>
      </c>
      <c r="AI229">
        <f t="shared" si="25"/>
        <v>68</v>
      </c>
      <c r="AJ229" s="351">
        <f t="shared" si="24"/>
        <v>7.9069767441860464E-2</v>
      </c>
    </row>
    <row r="230" spans="1:36">
      <c r="A230" s="165">
        <f>'Conveyor Downtime (new)'!A228</f>
        <v>0</v>
      </c>
      <c r="B230" s="346"/>
      <c r="C230" s="346"/>
      <c r="D230" s="346"/>
      <c r="E230" s="346"/>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f t="shared" si="25"/>
        <v>0</v>
      </c>
      <c r="AJ230" s="351">
        <f t="shared" si="24"/>
        <v>0</v>
      </c>
    </row>
    <row r="231" spans="1:36">
      <c r="A231" s="165">
        <f>'Conveyor Downtime (new)'!A229</f>
        <v>0</v>
      </c>
      <c r="AI231">
        <f t="shared" si="25"/>
        <v>0</v>
      </c>
      <c r="AJ231" s="351">
        <f t="shared" si="24"/>
        <v>0</v>
      </c>
    </row>
    <row r="232" spans="1:36">
      <c r="A232" s="165">
        <f>'Conveyor Downtime (new)'!A230</f>
        <v>0</v>
      </c>
      <c r="B232" s="346"/>
      <c r="C232" s="346"/>
      <c r="D232" s="346"/>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f t="shared" si="25"/>
        <v>0</v>
      </c>
      <c r="AJ232" s="351">
        <f t="shared" si="24"/>
        <v>0</v>
      </c>
    </row>
    <row r="233" spans="1:36">
      <c r="A233" s="165">
        <f>'Conveyor Downtime (new)'!A231</f>
        <v>0</v>
      </c>
      <c r="AI233">
        <f t="shared" si="25"/>
        <v>0</v>
      </c>
      <c r="AJ233" s="351">
        <f t="shared" si="24"/>
        <v>0</v>
      </c>
    </row>
    <row r="234" spans="1:36">
      <c r="A234" s="165">
        <f>'Conveyor Downtime (new)'!A232</f>
        <v>0</v>
      </c>
      <c r="B234" s="346"/>
      <c r="C234" s="346"/>
      <c r="D234" s="346"/>
      <c r="E234" s="346"/>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f t="shared" si="25"/>
        <v>0</v>
      </c>
      <c r="AJ234" s="351">
        <f t="shared" si="24"/>
        <v>0</v>
      </c>
    </row>
    <row r="235" spans="1:36">
      <c r="A235" s="165">
        <f>'Conveyor Downtime (new)'!A233</f>
        <v>0</v>
      </c>
      <c r="AI235">
        <f t="shared" si="25"/>
        <v>0</v>
      </c>
      <c r="AJ235" s="351">
        <f t="shared" si="24"/>
        <v>0</v>
      </c>
    </row>
    <row r="236" spans="1:36">
      <c r="A236" s="165"/>
      <c r="B236" s="346"/>
      <c r="C236" s="346"/>
      <c r="D236" s="346"/>
      <c r="E236" s="346"/>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f t="shared" si="25"/>
        <v>0</v>
      </c>
      <c r="AJ236" s="351">
        <f t="shared" si="24"/>
        <v>0</v>
      </c>
    </row>
    <row r="237" spans="1:36">
      <c r="A237" s="165"/>
      <c r="AI237">
        <f t="shared" si="25"/>
        <v>0</v>
      </c>
      <c r="AJ237" s="351">
        <f t="shared" si="24"/>
        <v>0</v>
      </c>
    </row>
    <row r="238" spans="1:36">
      <c r="A238" s="165"/>
      <c r="B238" s="346"/>
      <c r="C238" s="346"/>
      <c r="D238" s="346"/>
      <c r="E238" s="346"/>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f t="shared" si="25"/>
        <v>0</v>
      </c>
      <c r="AJ238" s="351">
        <f t="shared" si="24"/>
        <v>0</v>
      </c>
    </row>
    <row r="239" spans="1:36">
      <c r="A239" s="165"/>
      <c r="AI239">
        <f t="shared" si="25"/>
        <v>0</v>
      </c>
      <c r="AJ239" s="351">
        <f t="shared" si="24"/>
        <v>0</v>
      </c>
    </row>
    <row r="240" spans="1:36">
      <c r="A240" s="165"/>
      <c r="B240" s="346"/>
      <c r="C240" s="346"/>
      <c r="D240" s="346"/>
      <c r="E240" s="346"/>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f t="shared" si="25"/>
        <v>0</v>
      </c>
      <c r="AJ240" s="351">
        <f t="shared" si="24"/>
        <v>0</v>
      </c>
    </row>
    <row r="241" spans="1:37">
      <c r="A241" s="165"/>
      <c r="AI241">
        <f t="shared" si="25"/>
        <v>0</v>
      </c>
      <c r="AJ241" s="351">
        <f t="shared" si="24"/>
        <v>0</v>
      </c>
    </row>
    <row r="242" spans="1:37">
      <c r="A242" s="165"/>
      <c r="B242" s="346"/>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f t="shared" si="25"/>
        <v>0</v>
      </c>
      <c r="AJ242" s="351">
        <f t="shared" si="24"/>
        <v>0</v>
      </c>
    </row>
    <row r="243" spans="1:37">
      <c r="A243" s="165"/>
      <c r="AI243">
        <f t="shared" si="25"/>
        <v>0</v>
      </c>
      <c r="AJ243" s="351">
        <f t="shared" si="24"/>
        <v>0</v>
      </c>
    </row>
    <row r="244" spans="1:37">
      <c r="A244" s="165"/>
      <c r="B244" s="346"/>
      <c r="C244" s="346"/>
      <c r="D244" s="346"/>
      <c r="E244" s="346"/>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f t="shared" si="25"/>
        <v>0</v>
      </c>
      <c r="AJ244" s="351">
        <f t="shared" si="24"/>
        <v>0</v>
      </c>
    </row>
    <row r="245" spans="1:37" ht="15">
      <c r="A245" s="347" t="s">
        <v>113</v>
      </c>
      <c r="B245" s="347">
        <f t="shared" ref="B245:AH245" si="26">SUM(B189:B244)</f>
        <v>1</v>
      </c>
      <c r="C245" s="347">
        <f t="shared" si="26"/>
        <v>26</v>
      </c>
      <c r="D245" s="347">
        <f t="shared" si="26"/>
        <v>0</v>
      </c>
      <c r="E245" s="347">
        <f t="shared" si="26"/>
        <v>0</v>
      </c>
      <c r="F245" s="347">
        <f t="shared" si="26"/>
        <v>0</v>
      </c>
      <c r="G245" s="347">
        <f t="shared" si="26"/>
        <v>0</v>
      </c>
      <c r="H245" s="347">
        <f t="shared" si="26"/>
        <v>0</v>
      </c>
      <c r="I245" s="347">
        <f t="shared" si="26"/>
        <v>3</v>
      </c>
      <c r="J245" s="347">
        <f t="shared" si="26"/>
        <v>0</v>
      </c>
      <c r="K245" s="347">
        <f t="shared" si="26"/>
        <v>7</v>
      </c>
      <c r="L245" s="347">
        <f t="shared" si="26"/>
        <v>0</v>
      </c>
      <c r="M245" s="347">
        <f t="shared" si="26"/>
        <v>0</v>
      </c>
      <c r="N245" s="347">
        <f t="shared" si="26"/>
        <v>151</v>
      </c>
      <c r="O245" s="347">
        <f t="shared" si="26"/>
        <v>181</v>
      </c>
      <c r="P245" s="347">
        <f t="shared" si="26"/>
        <v>13</v>
      </c>
      <c r="Q245" s="347">
        <f t="shared" si="26"/>
        <v>0</v>
      </c>
      <c r="R245" s="347">
        <f t="shared" si="26"/>
        <v>0</v>
      </c>
      <c r="S245" s="347">
        <f t="shared" si="26"/>
        <v>0</v>
      </c>
      <c r="T245" s="347">
        <f t="shared" si="26"/>
        <v>9</v>
      </c>
      <c r="U245" s="347">
        <f t="shared" si="26"/>
        <v>95</v>
      </c>
      <c r="V245" s="347">
        <f t="shared" si="26"/>
        <v>21</v>
      </c>
      <c r="W245" s="347">
        <f t="shared" si="26"/>
        <v>90</v>
      </c>
      <c r="X245" s="347">
        <f t="shared" si="26"/>
        <v>5</v>
      </c>
      <c r="Y245" s="347">
        <f t="shared" si="26"/>
        <v>41</v>
      </c>
      <c r="Z245" s="347">
        <f t="shared" si="26"/>
        <v>0</v>
      </c>
      <c r="AA245" s="347">
        <f t="shared" si="26"/>
        <v>12</v>
      </c>
      <c r="AB245" s="347">
        <f t="shared" si="26"/>
        <v>0</v>
      </c>
      <c r="AC245" s="347">
        <f t="shared" si="26"/>
        <v>0</v>
      </c>
      <c r="AD245" s="347">
        <f t="shared" si="26"/>
        <v>4</v>
      </c>
      <c r="AE245" s="347">
        <f t="shared" si="26"/>
        <v>0</v>
      </c>
      <c r="AF245" s="347">
        <f t="shared" si="26"/>
        <v>0</v>
      </c>
      <c r="AG245" s="347">
        <f t="shared" si="26"/>
        <v>0</v>
      </c>
      <c r="AH245" s="347">
        <f t="shared" si="26"/>
        <v>0</v>
      </c>
      <c r="AI245" s="347">
        <f>SUM(AI189:AI244)</f>
        <v>659</v>
      </c>
      <c r="AJ245" s="375"/>
      <c r="AK245" s="375"/>
    </row>
    <row r="246" spans="1:37" ht="15.75" thickBot="1">
      <c r="A246" s="348" t="s">
        <v>174</v>
      </c>
      <c r="B246" s="348">
        <f t="shared" ref="B246:Q246" si="27">B245/$AI245</f>
        <v>1.5174506828528073E-3</v>
      </c>
      <c r="C246" s="348">
        <f t="shared" si="27"/>
        <v>3.9453717754172987E-2</v>
      </c>
      <c r="D246" s="348">
        <f t="shared" si="27"/>
        <v>0</v>
      </c>
      <c r="E246" s="348">
        <f t="shared" si="27"/>
        <v>0</v>
      </c>
      <c r="F246" s="348">
        <f t="shared" si="27"/>
        <v>0</v>
      </c>
      <c r="G246" s="348">
        <f t="shared" si="27"/>
        <v>0</v>
      </c>
      <c r="H246" s="348">
        <f t="shared" si="27"/>
        <v>0</v>
      </c>
      <c r="I246" s="348">
        <f t="shared" si="27"/>
        <v>4.552352048558422E-3</v>
      </c>
      <c r="J246" s="348">
        <f t="shared" si="27"/>
        <v>0</v>
      </c>
      <c r="K246" s="348">
        <f t="shared" si="27"/>
        <v>1.0622154779969651E-2</v>
      </c>
      <c r="L246" s="348">
        <f t="shared" si="27"/>
        <v>0</v>
      </c>
      <c r="M246" s="348">
        <f t="shared" si="27"/>
        <v>0</v>
      </c>
      <c r="N246" s="348">
        <f t="shared" si="27"/>
        <v>0.2291350531107739</v>
      </c>
      <c r="O246" s="348">
        <f t="shared" si="27"/>
        <v>0.27465857359635809</v>
      </c>
      <c r="P246" s="348">
        <f t="shared" si="27"/>
        <v>1.9726858877086494E-2</v>
      </c>
      <c r="Q246" s="348">
        <f t="shared" si="27"/>
        <v>0</v>
      </c>
      <c r="R246" s="348">
        <f t="shared" ref="R246:AB246" si="28">R245/$AI245</f>
        <v>0</v>
      </c>
      <c r="S246" s="348">
        <f t="shared" si="28"/>
        <v>0</v>
      </c>
      <c r="T246" s="348">
        <f t="shared" si="28"/>
        <v>1.3657056145675266E-2</v>
      </c>
      <c r="U246" s="348">
        <f t="shared" si="28"/>
        <v>0.1441578148710167</v>
      </c>
      <c r="V246" s="348">
        <f t="shared" si="28"/>
        <v>3.1866464339908952E-2</v>
      </c>
      <c r="W246" s="348">
        <f t="shared" si="28"/>
        <v>0.13657056145675264</v>
      </c>
      <c r="X246" s="348">
        <f t="shared" si="28"/>
        <v>7.5872534142640367E-3</v>
      </c>
      <c r="Y246" s="348">
        <f t="shared" si="28"/>
        <v>6.2215477996965099E-2</v>
      </c>
      <c r="Z246" s="348">
        <f t="shared" si="28"/>
        <v>0</v>
      </c>
      <c r="AA246" s="348">
        <f t="shared" si="28"/>
        <v>1.8209408194233688E-2</v>
      </c>
      <c r="AB246" s="348">
        <f t="shared" si="28"/>
        <v>0</v>
      </c>
      <c r="AC246" s="348">
        <f t="shared" ref="AC246:AH246" si="29">AC245/$AI245</f>
        <v>0</v>
      </c>
      <c r="AD246" s="348">
        <f t="shared" si="29"/>
        <v>6.0698027314112293E-3</v>
      </c>
      <c r="AE246" s="348">
        <f t="shared" si="29"/>
        <v>0</v>
      </c>
      <c r="AF246" s="348">
        <f t="shared" si="29"/>
        <v>0</v>
      </c>
      <c r="AG246" s="348">
        <f t="shared" si="29"/>
        <v>0</v>
      </c>
      <c r="AH246" s="348">
        <f t="shared" si="29"/>
        <v>0</v>
      </c>
      <c r="AI246" s="376"/>
      <c r="AJ246" s="376"/>
    </row>
    <row r="250" spans="1:37">
      <c r="A250" s="165">
        <f>'Conveyor Downtime (new)'!A248</f>
        <v>46146</v>
      </c>
      <c r="B250" s="346"/>
      <c r="C250" s="346"/>
      <c r="D250" s="346"/>
      <c r="E250" s="346"/>
      <c r="F250" s="346"/>
      <c r="G250" s="346"/>
      <c r="H250" s="346"/>
      <c r="I250" s="346"/>
      <c r="J250" s="346"/>
      <c r="K250" s="77">
        <f>60+60+15</f>
        <v>135</v>
      </c>
      <c r="L250" s="346"/>
      <c r="M250" s="346"/>
      <c r="N250" s="346"/>
      <c r="O250" s="346"/>
      <c r="P250" s="346"/>
      <c r="Q250" s="346"/>
      <c r="R250" s="346"/>
      <c r="S250" s="346"/>
      <c r="T250" s="346"/>
      <c r="U250" s="346"/>
      <c r="V250" s="346"/>
      <c r="W250" s="346"/>
      <c r="X250" s="346"/>
      <c r="Y250" s="346">
        <f>2</f>
        <v>2</v>
      </c>
      <c r="Z250" s="346"/>
      <c r="AA250" s="346"/>
      <c r="AB250" s="346"/>
      <c r="AC250" s="346"/>
      <c r="AD250" s="346"/>
      <c r="AE250" s="346">
        <f>39</f>
        <v>39</v>
      </c>
      <c r="AF250" s="346"/>
      <c r="AG250" s="346"/>
      <c r="AH250" s="346"/>
      <c r="AI250">
        <f t="shared" ref="AI250:AI281" si="30">SUM(B250:AH250)</f>
        <v>176</v>
      </c>
      <c r="AJ250" s="351">
        <f>AI250/$AI$184</f>
        <v>0.20465116279069767</v>
      </c>
    </row>
    <row r="251" spans="1:37">
      <c r="A251" s="165">
        <f>'Conveyor Downtime (new)'!A249</f>
        <v>46146</v>
      </c>
      <c r="N251">
        <f>3</f>
        <v>3</v>
      </c>
      <c r="O251">
        <f>2+2+5+4+4+6</f>
        <v>23</v>
      </c>
      <c r="T251">
        <f>20+20</f>
        <v>40</v>
      </c>
      <c r="U251">
        <f>1+3+2+2</f>
        <v>8</v>
      </c>
      <c r="AI251">
        <f t="shared" si="30"/>
        <v>74</v>
      </c>
      <c r="AJ251" s="351">
        <f t="shared" ref="AJ251:AJ304" si="31">AI251/$AI$184</f>
        <v>8.6046511627906982E-2</v>
      </c>
    </row>
    <row r="252" spans="1:37">
      <c r="A252" s="165">
        <f>'Conveyor Downtime (new)'!A250</f>
        <v>46147</v>
      </c>
      <c r="B252" s="346"/>
      <c r="C252" s="346"/>
      <c r="D252" s="346"/>
      <c r="E252" s="346"/>
      <c r="F252" s="346"/>
      <c r="G252" s="346"/>
      <c r="H252" s="346"/>
      <c r="I252" s="346"/>
      <c r="J252" s="346"/>
      <c r="K252" s="77">
        <f>45+60+42+45+7+24+60+60+60+60</f>
        <v>463</v>
      </c>
      <c r="L252" s="346"/>
      <c r="M252" s="346"/>
      <c r="N252" s="346"/>
      <c r="O252" s="346">
        <f>3+3+4</f>
        <v>10</v>
      </c>
      <c r="P252" s="346"/>
      <c r="Q252" s="346"/>
      <c r="R252" s="346"/>
      <c r="S252" s="346"/>
      <c r="T252" s="346">
        <f>19</f>
        <v>19</v>
      </c>
      <c r="U252" s="346">
        <f>10+9+8+4+11+5+3</f>
        <v>50</v>
      </c>
      <c r="V252" s="346"/>
      <c r="W252" s="346"/>
      <c r="X252" s="346"/>
      <c r="Y252" s="346"/>
      <c r="Z252" s="346"/>
      <c r="AA252" s="346"/>
      <c r="AB252" s="346"/>
      <c r="AC252" s="346"/>
      <c r="AD252" s="346"/>
      <c r="AE252" s="346"/>
      <c r="AF252" s="346"/>
      <c r="AG252" s="346"/>
      <c r="AH252" s="346"/>
      <c r="AI252">
        <f t="shared" si="30"/>
        <v>542</v>
      </c>
      <c r="AJ252" s="351">
        <f t="shared" si="31"/>
        <v>0.63023255813953494</v>
      </c>
    </row>
    <row r="253" spans="1:37">
      <c r="A253" s="165">
        <f>'Conveyor Downtime (new)'!A251</f>
        <v>46147</v>
      </c>
      <c r="O253">
        <f>2+5</f>
        <v>7</v>
      </c>
      <c r="AI253">
        <f t="shared" si="30"/>
        <v>7</v>
      </c>
      <c r="AJ253" s="351">
        <f t="shared" si="31"/>
        <v>8.1395348837209301E-3</v>
      </c>
    </row>
    <row r="254" spans="1:37">
      <c r="A254" s="165">
        <f>'Conveyor Downtime (new)'!A252</f>
        <v>46148</v>
      </c>
      <c r="B254" s="346"/>
      <c r="C254" s="346"/>
      <c r="D254" s="346"/>
      <c r="E254" s="346"/>
      <c r="F254" s="346"/>
      <c r="G254" s="346"/>
      <c r="H254" s="346"/>
      <c r="I254" s="346">
        <f>1</f>
        <v>1</v>
      </c>
      <c r="J254" s="346"/>
      <c r="K254" s="346"/>
      <c r="L254" s="346"/>
      <c r="M254" s="346"/>
      <c r="N254" s="346"/>
      <c r="O254" s="346">
        <f>3</f>
        <v>3</v>
      </c>
      <c r="P254" s="346"/>
      <c r="Q254" s="346"/>
      <c r="R254" s="346"/>
      <c r="S254" s="346">
        <f>5+3</f>
        <v>8</v>
      </c>
      <c r="T254" s="346"/>
      <c r="U254" s="346">
        <f>2+3</f>
        <v>5</v>
      </c>
      <c r="V254" s="346"/>
      <c r="W254" s="346"/>
      <c r="X254" s="346"/>
      <c r="Y254" s="346">
        <f>2</f>
        <v>2</v>
      </c>
      <c r="Z254" s="346"/>
      <c r="AA254" s="346">
        <f>2</f>
        <v>2</v>
      </c>
      <c r="AB254" s="346"/>
      <c r="AC254" s="346"/>
      <c r="AD254" s="346"/>
      <c r="AE254" s="346">
        <f>49+18</f>
        <v>67</v>
      </c>
      <c r="AF254" s="346"/>
      <c r="AG254" s="346"/>
      <c r="AH254" s="346"/>
      <c r="AI254">
        <f t="shared" si="30"/>
        <v>88</v>
      </c>
      <c r="AJ254" s="351">
        <f t="shared" si="31"/>
        <v>0.10232558139534884</v>
      </c>
    </row>
    <row r="255" spans="1:37">
      <c r="A255" s="165">
        <f>'Conveyor Downtime (new)'!A253</f>
        <v>46149</v>
      </c>
      <c r="D255">
        <f>10</f>
        <v>10</v>
      </c>
      <c r="O255">
        <f>4</f>
        <v>4</v>
      </c>
      <c r="U255">
        <f>3</f>
        <v>3</v>
      </c>
      <c r="AA255">
        <f>2</f>
        <v>2</v>
      </c>
      <c r="AI255">
        <f t="shared" si="30"/>
        <v>19</v>
      </c>
      <c r="AJ255" s="351">
        <f t="shared" si="31"/>
        <v>2.2093023255813953E-2</v>
      </c>
    </row>
    <row r="256" spans="1:37">
      <c r="A256" s="165">
        <f>'Conveyor Downtime (new)'!A254</f>
        <v>46149</v>
      </c>
      <c r="B256" s="346"/>
      <c r="C256" s="346"/>
      <c r="D256" s="346"/>
      <c r="E256" s="346"/>
      <c r="F256" s="346"/>
      <c r="G256" s="346"/>
      <c r="H256" s="346"/>
      <c r="I256" s="346"/>
      <c r="J256" s="346"/>
      <c r="K256" s="346"/>
      <c r="L256" s="346"/>
      <c r="M256" s="346"/>
      <c r="N256" s="346"/>
      <c r="O256" s="346"/>
      <c r="P256" s="346"/>
      <c r="Q256" s="346"/>
      <c r="R256" s="346"/>
      <c r="S256" s="346"/>
      <c r="T256" s="346"/>
      <c r="U256" s="346"/>
      <c r="V256" s="346"/>
      <c r="W256" s="346"/>
      <c r="X256" s="346"/>
      <c r="Y256" s="346"/>
      <c r="Z256" s="346"/>
      <c r="AA256" s="346"/>
      <c r="AB256" s="346"/>
      <c r="AC256" s="346"/>
      <c r="AD256" s="346"/>
      <c r="AE256" s="346"/>
      <c r="AF256" s="346"/>
      <c r="AG256" s="346"/>
      <c r="AH256" s="346"/>
      <c r="AI256">
        <f t="shared" si="30"/>
        <v>0</v>
      </c>
      <c r="AJ256" s="351">
        <f t="shared" si="31"/>
        <v>0</v>
      </c>
    </row>
    <row r="257" spans="1:36">
      <c r="A257" s="165">
        <f>'Conveyor Downtime (new)'!A255</f>
        <v>46149</v>
      </c>
      <c r="AI257">
        <f t="shared" si="30"/>
        <v>0</v>
      </c>
      <c r="AJ257" s="351">
        <f t="shared" si="31"/>
        <v>0</v>
      </c>
    </row>
    <row r="258" spans="1:36" ht="13.5" customHeight="1">
      <c r="A258" s="165">
        <f>'Conveyor Downtime (new)'!A256</f>
        <v>46150</v>
      </c>
      <c r="B258" s="346"/>
      <c r="C258" s="346"/>
      <c r="D258" s="346"/>
      <c r="E258" s="346"/>
      <c r="F258" s="346"/>
      <c r="G258" s="346"/>
      <c r="H258" s="346"/>
      <c r="I258" s="346">
        <f>1</f>
        <v>1</v>
      </c>
      <c r="J258" s="346"/>
      <c r="K258" s="346"/>
      <c r="L258" s="346"/>
      <c r="M258" s="346"/>
      <c r="N258" s="346"/>
      <c r="O258" s="346">
        <f>3</f>
        <v>3</v>
      </c>
      <c r="P258" s="346"/>
      <c r="Q258" s="346"/>
      <c r="R258" s="346"/>
      <c r="S258" s="346"/>
      <c r="T258" s="346"/>
      <c r="U258" s="346"/>
      <c r="V258" s="346"/>
      <c r="W258" s="346"/>
      <c r="X258" s="346"/>
      <c r="Y258" s="346">
        <f>2</f>
        <v>2</v>
      </c>
      <c r="Z258" s="346"/>
      <c r="AA258" s="346"/>
      <c r="AB258" s="346"/>
      <c r="AC258" s="346"/>
      <c r="AD258" s="346"/>
      <c r="AE258" s="346"/>
      <c r="AF258" s="346"/>
      <c r="AG258" s="346"/>
      <c r="AH258" s="346"/>
      <c r="AI258">
        <f t="shared" si="30"/>
        <v>6</v>
      </c>
      <c r="AJ258" s="351">
        <f t="shared" si="31"/>
        <v>6.9767441860465115E-3</v>
      </c>
    </row>
    <row r="259" spans="1:36">
      <c r="A259" s="165">
        <f>'Conveyor Downtime (new)'!A257</f>
        <v>46150</v>
      </c>
      <c r="N259">
        <v>8</v>
      </c>
      <c r="O259">
        <v>2</v>
      </c>
      <c r="AI259">
        <f t="shared" si="30"/>
        <v>10</v>
      </c>
      <c r="AJ259" s="351">
        <f t="shared" si="31"/>
        <v>1.1627906976744186E-2</v>
      </c>
    </row>
    <row r="260" spans="1:36">
      <c r="A260" s="165">
        <f>'Conveyor Downtime (new)'!A258</f>
        <v>46151</v>
      </c>
      <c r="B260" s="346"/>
      <c r="C260" s="346"/>
      <c r="D260" s="346"/>
      <c r="E260" s="346"/>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f t="shared" si="30"/>
        <v>0</v>
      </c>
      <c r="AJ260" s="351">
        <f t="shared" si="31"/>
        <v>0</v>
      </c>
    </row>
    <row r="261" spans="1:36">
      <c r="A261" s="165">
        <f>'Conveyor Downtime (new)'!A259</f>
        <v>46153</v>
      </c>
      <c r="O261">
        <v>1</v>
      </c>
      <c r="AI261">
        <f t="shared" si="30"/>
        <v>1</v>
      </c>
      <c r="AJ261" s="351">
        <f t="shared" si="31"/>
        <v>1.1627906976744186E-3</v>
      </c>
    </row>
    <row r="262" spans="1:36">
      <c r="A262" s="165">
        <f>'Conveyor Downtime (new)'!A260</f>
        <v>46154</v>
      </c>
      <c r="B262" s="346"/>
      <c r="C262" s="346"/>
      <c r="D262" s="346"/>
      <c r="E262" s="346"/>
      <c r="F262" s="346"/>
      <c r="G262" s="346"/>
      <c r="H262" s="346"/>
      <c r="I262" s="346"/>
      <c r="J262" s="346"/>
      <c r="K262" s="346"/>
      <c r="L262" s="346"/>
      <c r="M262" s="346"/>
      <c r="N262" s="346"/>
      <c r="O262" s="346"/>
      <c r="P262" s="346"/>
      <c r="Q262" s="346"/>
      <c r="R262" s="346"/>
      <c r="S262" s="346">
        <f>4+4+5</f>
        <v>13</v>
      </c>
      <c r="T262" s="346"/>
      <c r="U262" s="346">
        <f>2+2+2+2+2</f>
        <v>10</v>
      </c>
      <c r="V262" s="346"/>
      <c r="W262" s="346"/>
      <c r="X262" s="346"/>
      <c r="Y262" s="346"/>
      <c r="Z262" s="346"/>
      <c r="AA262" s="346"/>
      <c r="AB262" s="346"/>
      <c r="AC262" s="346"/>
      <c r="AD262" s="346"/>
      <c r="AE262" s="346"/>
      <c r="AF262" s="346"/>
      <c r="AG262" s="346"/>
      <c r="AH262" s="346"/>
      <c r="AI262">
        <f t="shared" si="30"/>
        <v>23</v>
      </c>
      <c r="AJ262" s="351">
        <f t="shared" si="31"/>
        <v>2.6744186046511628E-2</v>
      </c>
    </row>
    <row r="263" spans="1:36">
      <c r="A263" s="165">
        <f>'Conveyor Downtime (new)'!A261</f>
        <v>46154</v>
      </c>
      <c r="O263">
        <f>4+3</f>
        <v>7</v>
      </c>
      <c r="S263">
        <f>4</f>
        <v>4</v>
      </c>
      <c r="U263">
        <f>1</f>
        <v>1</v>
      </c>
      <c r="AA263">
        <f>2</f>
        <v>2</v>
      </c>
      <c r="AI263">
        <f t="shared" si="30"/>
        <v>14</v>
      </c>
      <c r="AJ263" s="351">
        <f t="shared" si="31"/>
        <v>1.627906976744186E-2</v>
      </c>
    </row>
    <row r="264" spans="1:36">
      <c r="A264" s="165">
        <f>'Conveyor Downtime (new)'!A262</f>
        <v>46155</v>
      </c>
      <c r="B264" s="346"/>
      <c r="C264" s="346"/>
      <c r="D264" s="346"/>
      <c r="E264" s="346"/>
      <c r="F264" s="346"/>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f t="shared" si="30"/>
        <v>0</v>
      </c>
      <c r="AJ264" s="351">
        <f t="shared" si="31"/>
        <v>0</v>
      </c>
    </row>
    <row r="265" spans="1:36">
      <c r="A265" s="165">
        <f>'Conveyor Downtime (new)'!A263</f>
        <v>46155</v>
      </c>
      <c r="O265">
        <f>1+4+2</f>
        <v>7</v>
      </c>
      <c r="AI265">
        <f t="shared" si="30"/>
        <v>7</v>
      </c>
      <c r="AJ265" s="351">
        <f t="shared" si="31"/>
        <v>8.1395348837209301E-3</v>
      </c>
    </row>
    <row r="266" spans="1:36">
      <c r="A266" s="165">
        <f>'Conveyor Downtime (new)'!A264</f>
        <v>46156</v>
      </c>
      <c r="B266" s="346"/>
      <c r="C266" s="346"/>
      <c r="D266" s="346"/>
      <c r="E266" s="346"/>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f>4</f>
        <v>4</v>
      </c>
      <c r="AH266" s="346"/>
      <c r="AI266">
        <f t="shared" si="30"/>
        <v>4</v>
      </c>
      <c r="AJ266" s="351">
        <f t="shared" si="31"/>
        <v>4.6511627906976744E-3</v>
      </c>
    </row>
    <row r="267" spans="1:36">
      <c r="A267" s="165">
        <f>'Conveyor Downtime (new)'!A265</f>
        <v>46156</v>
      </c>
      <c r="AA267">
        <v>2</v>
      </c>
      <c r="AI267" s="77">
        <f t="shared" si="30"/>
        <v>2</v>
      </c>
      <c r="AJ267" s="351">
        <f t="shared" si="31"/>
        <v>2.3255813953488372E-3</v>
      </c>
    </row>
    <row r="268" spans="1:36">
      <c r="A268" s="165">
        <f>'Conveyor Downtime (new)'!A266</f>
        <v>46156</v>
      </c>
      <c r="B268" s="346"/>
      <c r="C268" s="346"/>
      <c r="D268" s="346"/>
      <c r="E268" s="346"/>
      <c r="F268" s="346"/>
      <c r="G268" s="346"/>
      <c r="H268" s="346"/>
      <c r="I268" s="346"/>
      <c r="J268" s="346"/>
      <c r="K268" s="346"/>
      <c r="L268" s="346"/>
      <c r="M268" s="346"/>
      <c r="N268" s="346"/>
      <c r="O268" s="346">
        <f>7+2</f>
        <v>9</v>
      </c>
      <c r="P268" s="346">
        <v>28</v>
      </c>
      <c r="Q268" s="346"/>
      <c r="R268" s="346"/>
      <c r="S268" s="346"/>
      <c r="T268" s="346"/>
      <c r="U268" s="346"/>
      <c r="V268" s="346"/>
      <c r="W268" s="346"/>
      <c r="X268" s="346"/>
      <c r="Y268" s="346"/>
      <c r="Z268" s="346"/>
      <c r="AA268" s="346">
        <v>2</v>
      </c>
      <c r="AB268" s="346"/>
      <c r="AC268" s="346"/>
      <c r="AD268" s="346"/>
      <c r="AE268" s="346"/>
      <c r="AF268" s="346"/>
      <c r="AG268" s="346"/>
      <c r="AH268" s="346"/>
      <c r="AI268">
        <f t="shared" si="30"/>
        <v>39</v>
      </c>
      <c r="AJ268" s="351">
        <f t="shared" si="31"/>
        <v>4.5348837209302328E-2</v>
      </c>
    </row>
    <row r="269" spans="1:36">
      <c r="A269" s="165">
        <f>'Conveyor Downtime (new)'!A267</f>
        <v>46156</v>
      </c>
      <c r="C269">
        <f>4+2+3</f>
        <v>9</v>
      </c>
      <c r="I269">
        <f>1</f>
        <v>1</v>
      </c>
      <c r="U269" s="77"/>
      <c r="AI269">
        <f t="shared" si="30"/>
        <v>10</v>
      </c>
      <c r="AJ269" s="351">
        <f t="shared" si="31"/>
        <v>1.1627906976744186E-2</v>
      </c>
    </row>
    <row r="270" spans="1:36">
      <c r="A270" s="165">
        <f>'Conveyor Downtime (new)'!A268</f>
        <v>46157</v>
      </c>
      <c r="B270" s="346"/>
      <c r="C270" s="346"/>
      <c r="D270" s="346"/>
      <c r="E270" s="346"/>
      <c r="F270" s="346"/>
      <c r="G270" s="346"/>
      <c r="H270" s="346"/>
      <c r="I270" s="346"/>
      <c r="J270" s="346"/>
      <c r="K270" s="346"/>
      <c r="L270" s="346"/>
      <c r="M270" s="346"/>
      <c r="N270" s="346">
        <f>5+6+9+4</f>
        <v>24</v>
      </c>
      <c r="O270" s="346">
        <v>3</v>
      </c>
      <c r="P270" s="346"/>
      <c r="Q270" s="346"/>
      <c r="R270" s="346"/>
      <c r="S270" s="346"/>
      <c r="T270" s="346"/>
      <c r="U270" s="346"/>
      <c r="V270" s="346"/>
      <c r="W270" s="346"/>
      <c r="X270" s="346"/>
      <c r="Y270" s="346"/>
      <c r="Z270" s="346"/>
      <c r="AA270" s="346"/>
      <c r="AB270" s="346"/>
      <c r="AC270" s="346"/>
      <c r="AD270" s="346"/>
      <c r="AE270" s="346"/>
      <c r="AF270" s="346"/>
      <c r="AG270" s="346"/>
      <c r="AH270" s="346"/>
      <c r="AI270">
        <f t="shared" si="30"/>
        <v>27</v>
      </c>
      <c r="AJ270" s="351">
        <f t="shared" si="31"/>
        <v>3.1395348837209305E-2</v>
      </c>
    </row>
    <row r="271" spans="1:36">
      <c r="A271" s="165">
        <f>'Conveyor Downtime (new)'!A269</f>
        <v>46157</v>
      </c>
      <c r="C271">
        <f>3</f>
        <v>3</v>
      </c>
      <c r="AI271">
        <f t="shared" si="30"/>
        <v>3</v>
      </c>
      <c r="AJ271" s="351">
        <f t="shared" si="31"/>
        <v>3.4883720930232558E-3</v>
      </c>
    </row>
    <row r="272" spans="1:36">
      <c r="A272" s="165">
        <f>'Conveyor Downtime (new)'!A270</f>
        <v>46158</v>
      </c>
      <c r="B272" s="346"/>
      <c r="C272" s="346"/>
      <c r="D272" s="346"/>
      <c r="E272" s="346"/>
      <c r="F272" s="346"/>
      <c r="G272" s="346"/>
      <c r="H272" s="346"/>
      <c r="I272" s="346"/>
      <c r="J272" s="346"/>
      <c r="K272" s="346"/>
      <c r="L272" s="346"/>
      <c r="M272" s="346"/>
      <c r="N272" s="346"/>
      <c r="O272" s="346"/>
      <c r="P272" s="346"/>
      <c r="Q272" s="346"/>
      <c r="R272" s="346"/>
      <c r="S272" s="346"/>
      <c r="T272" s="346"/>
      <c r="U272" s="346">
        <f>1</f>
        <v>1</v>
      </c>
      <c r="V272" s="346"/>
      <c r="W272" s="346"/>
      <c r="X272" s="346"/>
      <c r="Y272" s="346"/>
      <c r="Z272" s="346"/>
      <c r="AA272" s="346"/>
      <c r="AB272" s="346"/>
      <c r="AC272" s="346"/>
      <c r="AD272" s="346"/>
      <c r="AE272" s="346"/>
      <c r="AF272" s="346"/>
      <c r="AG272" s="346"/>
      <c r="AH272" s="346"/>
      <c r="AI272">
        <f t="shared" si="30"/>
        <v>1</v>
      </c>
      <c r="AJ272" s="351">
        <f t="shared" si="31"/>
        <v>1.1627906976744186E-3</v>
      </c>
    </row>
    <row r="273" spans="1:36">
      <c r="A273" s="165">
        <f>'Conveyor Downtime (new)'!A271</f>
        <v>46160</v>
      </c>
      <c r="AI273">
        <f t="shared" si="30"/>
        <v>0</v>
      </c>
      <c r="AJ273" s="351">
        <f t="shared" si="31"/>
        <v>0</v>
      </c>
    </row>
    <row r="274" spans="1:36">
      <c r="A274" s="165">
        <f>'Conveyor Downtime (new)'!A272</f>
        <v>46160</v>
      </c>
      <c r="B274" s="346"/>
      <c r="C274" s="346"/>
      <c r="D274" s="346"/>
      <c r="E274" s="346"/>
      <c r="F274" s="346"/>
      <c r="G274" s="346"/>
      <c r="H274" s="346"/>
      <c r="I274" s="346"/>
      <c r="J274" s="346"/>
      <c r="K274" s="346"/>
      <c r="L274" s="346"/>
      <c r="M274" s="346"/>
      <c r="N274" s="346"/>
      <c r="O274" s="346"/>
      <c r="P274" s="346"/>
      <c r="Q274" s="346"/>
      <c r="R274" s="346"/>
      <c r="S274" s="346"/>
      <c r="T274" s="346"/>
      <c r="U274" s="346">
        <f>3</f>
        <v>3</v>
      </c>
      <c r="V274" s="346"/>
      <c r="W274" s="346"/>
      <c r="X274" s="346"/>
      <c r="Y274" s="346"/>
      <c r="Z274" s="346"/>
      <c r="AA274" s="346"/>
      <c r="AB274" s="346"/>
      <c r="AC274" s="346"/>
      <c r="AD274" s="346"/>
      <c r="AE274" s="346"/>
      <c r="AF274" s="346"/>
      <c r="AG274" s="346"/>
      <c r="AH274" s="346"/>
      <c r="AI274">
        <f t="shared" si="30"/>
        <v>3</v>
      </c>
      <c r="AJ274" s="351">
        <f t="shared" si="31"/>
        <v>3.4883720930232558E-3</v>
      </c>
    </row>
    <row r="275" spans="1:36">
      <c r="A275" s="165">
        <f>'Conveyor Downtime (new)'!A273</f>
        <v>46161</v>
      </c>
      <c r="C275">
        <f>5</f>
        <v>5</v>
      </c>
      <c r="U275">
        <f>2</f>
        <v>2</v>
      </c>
      <c r="Y275">
        <f>1+1</f>
        <v>2</v>
      </c>
      <c r="AI275">
        <f t="shared" si="30"/>
        <v>9</v>
      </c>
      <c r="AJ275" s="351">
        <f t="shared" si="31"/>
        <v>1.0465116279069767E-2</v>
      </c>
    </row>
    <row r="276" spans="1:36">
      <c r="A276" s="165">
        <f>'Conveyor Downtime (new)'!A274</f>
        <v>46161</v>
      </c>
      <c r="B276" s="346"/>
      <c r="C276" s="346"/>
      <c r="D276" s="346"/>
      <c r="E276" s="346"/>
      <c r="F276" s="346"/>
      <c r="G276" s="346"/>
      <c r="H276" s="346"/>
      <c r="I276" s="346"/>
      <c r="J276" s="346"/>
      <c r="K276" s="346"/>
      <c r="L276" s="346"/>
      <c r="M276" s="346"/>
      <c r="N276" s="346"/>
      <c r="O276" s="346">
        <v>20</v>
      </c>
      <c r="P276" s="346"/>
      <c r="Q276" s="346"/>
      <c r="R276" s="346"/>
      <c r="S276" s="346"/>
      <c r="T276" s="346"/>
      <c r="U276" s="346">
        <v>2</v>
      </c>
      <c r="V276" s="346"/>
      <c r="W276" s="346"/>
      <c r="X276" s="346"/>
      <c r="Y276" s="346"/>
      <c r="Z276" s="346"/>
      <c r="AA276" s="346"/>
      <c r="AB276" s="346"/>
      <c r="AC276" s="346"/>
      <c r="AD276" s="346"/>
      <c r="AE276" s="346"/>
      <c r="AF276" s="346"/>
      <c r="AG276" s="346"/>
      <c r="AH276" s="346"/>
      <c r="AI276">
        <f t="shared" si="30"/>
        <v>22</v>
      </c>
      <c r="AJ276" s="351">
        <f t="shared" si="31"/>
        <v>2.5581395348837209E-2</v>
      </c>
    </row>
    <row r="277" spans="1:36">
      <c r="A277" s="165">
        <f>'Conveyor Downtime (new)'!A275</f>
        <v>46161</v>
      </c>
      <c r="N277">
        <f>9</f>
        <v>9</v>
      </c>
      <c r="O277">
        <f>4+2+5+6+4</f>
        <v>21</v>
      </c>
      <c r="AA277">
        <f>2</f>
        <v>2</v>
      </c>
      <c r="AI277">
        <f t="shared" si="30"/>
        <v>32</v>
      </c>
      <c r="AJ277" s="351">
        <f t="shared" si="31"/>
        <v>3.7209302325581395E-2</v>
      </c>
    </row>
    <row r="278" spans="1:36">
      <c r="A278" s="165">
        <f>'Conveyor Downtime (new)'!A276</f>
        <v>46162</v>
      </c>
      <c r="B278" s="346"/>
      <c r="C278" s="346"/>
      <c r="D278" s="346"/>
      <c r="E278" s="346"/>
      <c r="F278" s="346"/>
      <c r="G278" s="346"/>
      <c r="H278" s="346"/>
      <c r="I278" s="346"/>
      <c r="J278" s="346"/>
      <c r="K278" s="346"/>
      <c r="L278" s="346"/>
      <c r="M278" s="346"/>
      <c r="N278" s="346">
        <f>10</f>
        <v>10</v>
      </c>
      <c r="O278" s="346">
        <v>2</v>
      </c>
      <c r="P278" s="346"/>
      <c r="Q278" s="346"/>
      <c r="R278" s="346"/>
      <c r="S278" s="346"/>
      <c r="T278" s="346"/>
      <c r="U278" s="346"/>
      <c r="V278" s="346"/>
      <c r="W278" s="346"/>
      <c r="X278" s="346"/>
      <c r="Y278" s="346"/>
      <c r="Z278" s="346"/>
      <c r="AA278" s="346"/>
      <c r="AB278" s="346"/>
      <c r="AC278" s="346"/>
      <c r="AD278" s="346"/>
      <c r="AE278" s="346"/>
      <c r="AF278" s="346"/>
      <c r="AG278" s="346"/>
      <c r="AH278" s="346"/>
      <c r="AI278">
        <f t="shared" si="30"/>
        <v>12</v>
      </c>
      <c r="AJ278" s="351">
        <f t="shared" si="31"/>
        <v>1.3953488372093023E-2</v>
      </c>
    </row>
    <row r="279" spans="1:36">
      <c r="A279" s="165">
        <f>'Conveyor Downtime (new)'!A277</f>
        <v>46162</v>
      </c>
      <c r="U279">
        <f>2</f>
        <v>2</v>
      </c>
      <c r="Y279">
        <f>3</f>
        <v>3</v>
      </c>
      <c r="AA279">
        <f>2</f>
        <v>2</v>
      </c>
      <c r="AI279">
        <f t="shared" si="30"/>
        <v>7</v>
      </c>
      <c r="AJ279" s="351">
        <f t="shared" si="31"/>
        <v>8.1395348837209301E-3</v>
      </c>
    </row>
    <row r="280" spans="1:36">
      <c r="A280" s="165">
        <f>'Conveyor Downtime (new)'!A278</f>
        <v>46163</v>
      </c>
      <c r="B280" s="346"/>
      <c r="C280" s="346"/>
      <c r="D280" s="346"/>
      <c r="E280" s="346"/>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f t="shared" si="30"/>
        <v>0</v>
      </c>
      <c r="AJ280" s="351">
        <f t="shared" si="31"/>
        <v>0</v>
      </c>
    </row>
    <row r="281" spans="1:36">
      <c r="A281" s="165">
        <f>'Conveyor Downtime (new)'!A279</f>
        <v>46163</v>
      </c>
      <c r="O281">
        <v>3</v>
      </c>
      <c r="U281">
        <f>1+1+3</f>
        <v>5</v>
      </c>
      <c r="AI281">
        <f t="shared" si="30"/>
        <v>8</v>
      </c>
      <c r="AJ281" s="351">
        <f t="shared" si="31"/>
        <v>9.3023255813953487E-3</v>
      </c>
    </row>
    <row r="282" spans="1:36">
      <c r="A282" s="165">
        <f>'Conveyor Downtime (new)'!A280</f>
        <v>46163</v>
      </c>
      <c r="B282" s="346"/>
      <c r="C282" s="346"/>
      <c r="D282" s="346"/>
      <c r="E282" s="346"/>
      <c r="F282" s="346"/>
      <c r="G282" s="346"/>
      <c r="H282" s="346"/>
      <c r="I282" s="346"/>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f t="shared" ref="AI282:AI304" si="32">SUM(B282:AH282)</f>
        <v>0</v>
      </c>
      <c r="AJ282" s="351">
        <f t="shared" si="31"/>
        <v>0</v>
      </c>
    </row>
    <row r="283" spans="1:36">
      <c r="A283" s="165">
        <f>'Conveyor Downtime (new)'!A281</f>
        <v>46164</v>
      </c>
      <c r="O283">
        <f>3</f>
        <v>3</v>
      </c>
      <c r="U283">
        <f>2</f>
        <v>2</v>
      </c>
      <c r="Y283">
        <f>1</f>
        <v>1</v>
      </c>
      <c r="AI283">
        <f t="shared" si="32"/>
        <v>6</v>
      </c>
      <c r="AJ283" s="351">
        <f t="shared" si="31"/>
        <v>6.9767441860465115E-3</v>
      </c>
    </row>
    <row r="284" spans="1:36">
      <c r="A284" s="165">
        <f>'Conveyor Downtime (new)'!A282</f>
        <v>46164</v>
      </c>
      <c r="B284" s="346"/>
      <c r="C284" s="346"/>
      <c r="D284" s="346"/>
      <c r="E284" s="346"/>
      <c r="F284" s="346"/>
      <c r="G284" s="346"/>
      <c r="H284" s="346"/>
      <c r="I284" s="346"/>
      <c r="J284" s="346"/>
      <c r="K284" s="346"/>
      <c r="L284" s="346"/>
      <c r="M284" s="346"/>
      <c r="N284" s="346"/>
      <c r="O284" s="346">
        <f>4+6</f>
        <v>10</v>
      </c>
      <c r="P284" s="346"/>
      <c r="Q284" s="346"/>
      <c r="R284" s="346"/>
      <c r="S284" s="346"/>
      <c r="T284" s="346"/>
      <c r="U284" s="346">
        <f>2</f>
        <v>2</v>
      </c>
      <c r="V284" s="346"/>
      <c r="W284" s="346"/>
      <c r="X284" s="346"/>
      <c r="Y284" s="346"/>
      <c r="Z284" s="346"/>
      <c r="AA284" s="346"/>
      <c r="AB284" s="346"/>
      <c r="AC284" s="346"/>
      <c r="AD284" s="346"/>
      <c r="AE284" s="346"/>
      <c r="AF284" s="346"/>
      <c r="AG284" s="346"/>
      <c r="AH284" s="346"/>
      <c r="AI284">
        <f t="shared" si="32"/>
        <v>12</v>
      </c>
      <c r="AJ284" s="351">
        <f t="shared" si="31"/>
        <v>1.3953488372093023E-2</v>
      </c>
    </row>
    <row r="285" spans="1:36">
      <c r="A285" s="165">
        <f>'Conveyor Downtime (new)'!A283</f>
        <v>46164</v>
      </c>
      <c r="AI285">
        <f t="shared" si="32"/>
        <v>0</v>
      </c>
      <c r="AJ285" s="351">
        <f t="shared" si="31"/>
        <v>0</v>
      </c>
    </row>
    <row r="286" spans="1:36">
      <c r="A286" s="165">
        <f>'Conveyor Downtime (new)'!A284</f>
        <v>46168</v>
      </c>
      <c r="B286" s="346"/>
      <c r="C286" s="346"/>
      <c r="D286" s="346"/>
      <c r="E286" s="346"/>
      <c r="F286" s="346"/>
      <c r="G286" s="346"/>
      <c r="H286" s="346"/>
      <c r="I286" s="346">
        <f>1</f>
        <v>1</v>
      </c>
      <c r="J286" s="346"/>
      <c r="K286" s="346"/>
      <c r="L286" s="346"/>
      <c r="M286" s="346"/>
      <c r="N286" s="346"/>
      <c r="O286" s="346">
        <f>2+2</f>
        <v>4</v>
      </c>
      <c r="P286" s="346"/>
      <c r="Q286" s="346"/>
      <c r="R286" s="346"/>
      <c r="S286" s="346"/>
      <c r="T286" s="346"/>
      <c r="U286" s="346"/>
      <c r="V286" s="346"/>
      <c r="W286" s="346"/>
      <c r="X286" s="346"/>
      <c r="Y286" s="346"/>
      <c r="Z286" s="346"/>
      <c r="AA286" s="346"/>
      <c r="AB286" s="346"/>
      <c r="AC286" s="346"/>
      <c r="AD286" s="346"/>
      <c r="AE286" s="346"/>
      <c r="AF286" s="346"/>
      <c r="AG286" s="346"/>
      <c r="AH286" s="346"/>
      <c r="AI286">
        <f t="shared" si="32"/>
        <v>5</v>
      </c>
      <c r="AJ286" s="351">
        <f t="shared" si="31"/>
        <v>5.8139534883720929E-3</v>
      </c>
    </row>
    <row r="287" spans="1:36">
      <c r="A287" s="165">
        <f>'Conveyor Downtime (new)'!A285</f>
        <v>46169</v>
      </c>
      <c r="Y287">
        <f>2</f>
        <v>2</v>
      </c>
      <c r="AA287">
        <f>2</f>
        <v>2</v>
      </c>
      <c r="AI287">
        <f t="shared" si="32"/>
        <v>4</v>
      </c>
      <c r="AJ287" s="351">
        <f t="shared" si="31"/>
        <v>4.6511627906976744E-3</v>
      </c>
    </row>
    <row r="288" spans="1:36">
      <c r="A288" s="165">
        <f>'Conveyor Downtime (new)'!A286</f>
        <v>46169</v>
      </c>
      <c r="B288" s="346"/>
      <c r="C288" s="346"/>
      <c r="D288" s="346"/>
      <c r="E288" s="346"/>
      <c r="F288" s="346"/>
      <c r="G288" s="346"/>
      <c r="H288" s="346"/>
      <c r="I288" s="346"/>
      <c r="J288" s="346"/>
      <c r="K288" s="346"/>
      <c r="L288" s="346"/>
      <c r="M288" s="346"/>
      <c r="N288" s="346"/>
      <c r="O288" s="346"/>
      <c r="P288" s="346"/>
      <c r="Q288" s="346"/>
      <c r="R288" s="346"/>
      <c r="S288" s="346"/>
      <c r="T288" s="346"/>
      <c r="U288" s="346"/>
      <c r="V288" s="346"/>
      <c r="W288" s="346"/>
      <c r="X288" s="346"/>
      <c r="Y288" s="346">
        <v>2</v>
      </c>
      <c r="Z288" s="346"/>
      <c r="AA288" s="346"/>
      <c r="AB288" s="346"/>
      <c r="AC288" s="346"/>
      <c r="AD288" s="346"/>
      <c r="AE288" s="346"/>
      <c r="AF288" s="346"/>
      <c r="AG288" s="346"/>
      <c r="AH288" s="346"/>
      <c r="AI288">
        <f t="shared" si="32"/>
        <v>2</v>
      </c>
      <c r="AJ288" s="351">
        <f t="shared" si="31"/>
        <v>2.3255813953488372E-3</v>
      </c>
    </row>
    <row r="289" spans="1:36" ht="15.75" customHeight="1">
      <c r="A289" s="165">
        <f>'Conveyor Downtime (new)'!A287</f>
        <v>46170</v>
      </c>
      <c r="AI289">
        <f t="shared" si="32"/>
        <v>0</v>
      </c>
      <c r="AJ289" s="351">
        <f t="shared" si="31"/>
        <v>0</v>
      </c>
    </row>
    <row r="290" spans="1:36">
      <c r="A290" s="165">
        <f>'Conveyor Downtime (new)'!A288</f>
        <v>0</v>
      </c>
      <c r="B290" s="346"/>
      <c r="C290" s="346"/>
      <c r="D290" s="346"/>
      <c r="E290" s="346"/>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f t="shared" si="32"/>
        <v>0</v>
      </c>
      <c r="AJ290" s="351">
        <f t="shared" si="31"/>
        <v>0</v>
      </c>
    </row>
    <row r="291" spans="1:36">
      <c r="A291" s="165">
        <f>'Conveyor Downtime (new)'!A289</f>
        <v>0</v>
      </c>
      <c r="AI291">
        <f t="shared" si="32"/>
        <v>0</v>
      </c>
      <c r="AJ291" s="351">
        <f t="shared" si="31"/>
        <v>0</v>
      </c>
    </row>
    <row r="292" spans="1:36" hidden="1">
      <c r="A292" s="165">
        <f>'Conveyor Downtime (new)'!A290</f>
        <v>0</v>
      </c>
      <c r="B292" s="346"/>
      <c r="C292" s="346"/>
      <c r="D292" s="346"/>
      <c r="E292" s="346"/>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f t="shared" si="32"/>
        <v>0</v>
      </c>
      <c r="AJ292" s="351">
        <f t="shared" si="31"/>
        <v>0</v>
      </c>
    </row>
    <row r="293" spans="1:36" hidden="1">
      <c r="A293" s="165">
        <f>'Conveyor Downtime (new)'!A291</f>
        <v>0</v>
      </c>
      <c r="AI293">
        <f t="shared" si="32"/>
        <v>0</v>
      </c>
      <c r="AJ293" s="351">
        <f t="shared" si="31"/>
        <v>0</v>
      </c>
    </row>
    <row r="294" spans="1:36" hidden="1">
      <c r="A294" s="165">
        <f>'Conveyor Downtime (new)'!A292</f>
        <v>0</v>
      </c>
      <c r="B294" s="346"/>
      <c r="C294" s="346"/>
      <c r="D294" s="346"/>
      <c r="E294" s="346"/>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f t="shared" si="32"/>
        <v>0</v>
      </c>
      <c r="AJ294" s="351">
        <f t="shared" si="31"/>
        <v>0</v>
      </c>
    </row>
    <row r="295" spans="1:36" hidden="1">
      <c r="A295" s="165">
        <f>'Conveyor Downtime (new)'!A293</f>
        <v>0</v>
      </c>
      <c r="AI295">
        <f t="shared" si="32"/>
        <v>0</v>
      </c>
      <c r="AJ295" s="351">
        <f t="shared" si="31"/>
        <v>0</v>
      </c>
    </row>
    <row r="296" spans="1:36" hidden="1">
      <c r="A296" s="165">
        <f>'Conveyor Downtime (new)'!A294</f>
        <v>0</v>
      </c>
      <c r="B296" s="346"/>
      <c r="C296" s="346"/>
      <c r="D296" s="346"/>
      <c r="E296" s="346"/>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f t="shared" si="32"/>
        <v>0</v>
      </c>
      <c r="AJ296" s="351">
        <f t="shared" si="31"/>
        <v>0</v>
      </c>
    </row>
    <row r="297" spans="1:36" hidden="1">
      <c r="A297" s="165">
        <f>'Conveyor Downtime (new)'!A295</f>
        <v>0</v>
      </c>
      <c r="AI297">
        <f t="shared" si="32"/>
        <v>0</v>
      </c>
      <c r="AJ297" s="351">
        <f t="shared" si="31"/>
        <v>0</v>
      </c>
    </row>
    <row r="298" spans="1:36" hidden="1">
      <c r="A298" s="165">
        <f>'Conveyor Downtime (new)'!A296</f>
        <v>0</v>
      </c>
      <c r="B298" s="346"/>
      <c r="C298" s="346"/>
      <c r="D298" s="346"/>
      <c r="E298" s="346"/>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f t="shared" si="32"/>
        <v>0</v>
      </c>
      <c r="AJ298" s="351">
        <f t="shared" si="31"/>
        <v>0</v>
      </c>
    </row>
    <row r="299" spans="1:36" hidden="1">
      <c r="A299" s="165">
        <f>'Conveyor Downtime (new)'!A297</f>
        <v>0</v>
      </c>
      <c r="AI299">
        <f t="shared" si="32"/>
        <v>0</v>
      </c>
      <c r="AJ299" s="351">
        <f t="shared" si="31"/>
        <v>0</v>
      </c>
    </row>
    <row r="300" spans="1:36" hidden="1">
      <c r="A300" s="165">
        <f>'Conveyor Downtime (new)'!A298</f>
        <v>0</v>
      </c>
      <c r="B300" s="346"/>
      <c r="C300" s="346"/>
      <c r="D300" s="346"/>
      <c r="E300" s="346"/>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f t="shared" si="32"/>
        <v>0</v>
      </c>
      <c r="AJ300" s="351">
        <f t="shared" si="31"/>
        <v>0</v>
      </c>
    </row>
    <row r="301" spans="1:36" hidden="1">
      <c r="A301" s="165">
        <f>'Conveyor Downtime (new)'!A299</f>
        <v>0</v>
      </c>
      <c r="AI301">
        <f t="shared" si="32"/>
        <v>0</v>
      </c>
      <c r="AJ301" s="351">
        <f t="shared" si="31"/>
        <v>0</v>
      </c>
    </row>
    <row r="302" spans="1:36" hidden="1">
      <c r="A302" s="165">
        <f>'Conveyor Downtime (new)'!A300</f>
        <v>0</v>
      </c>
      <c r="B302" s="346"/>
      <c r="C302" s="346"/>
      <c r="D302" s="346"/>
      <c r="E302" s="346"/>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f t="shared" si="32"/>
        <v>0</v>
      </c>
      <c r="AJ302" s="351">
        <f t="shared" si="31"/>
        <v>0</v>
      </c>
    </row>
    <row r="303" spans="1:36" hidden="1">
      <c r="A303" s="165">
        <f>'Conveyor Downtime (new)'!A301</f>
        <v>0</v>
      </c>
      <c r="AI303">
        <f t="shared" si="32"/>
        <v>0</v>
      </c>
      <c r="AJ303" s="351">
        <f t="shared" si="31"/>
        <v>0</v>
      </c>
    </row>
    <row r="304" spans="1:36" hidden="1">
      <c r="A304" s="165"/>
      <c r="B304" s="346"/>
      <c r="C304" s="346"/>
      <c r="D304" s="346"/>
      <c r="E304" s="346"/>
      <c r="F304" s="346"/>
      <c r="G304" s="346"/>
      <c r="H304" s="346"/>
      <c r="I304" s="346"/>
      <c r="J304" s="346"/>
      <c r="K304" s="346"/>
      <c r="L304" s="346"/>
      <c r="M304" s="346"/>
      <c r="N304" s="346"/>
      <c r="O304" s="346"/>
      <c r="P304" s="346"/>
      <c r="Q304" s="346"/>
      <c r="R304" s="346"/>
      <c r="S304" s="346"/>
      <c r="T304" s="346"/>
      <c r="U304" s="346"/>
      <c r="V304" s="346"/>
      <c r="W304" s="346"/>
      <c r="X304" s="346"/>
      <c r="Y304" s="346"/>
      <c r="Z304" s="346"/>
      <c r="AA304" s="346"/>
      <c r="AB304" s="346"/>
      <c r="AC304" s="346"/>
      <c r="AD304" s="346"/>
      <c r="AE304" s="346"/>
      <c r="AF304" s="346"/>
      <c r="AG304" s="346"/>
      <c r="AH304" s="346"/>
      <c r="AI304">
        <f t="shared" si="32"/>
        <v>0</v>
      </c>
      <c r="AJ304" s="351">
        <f t="shared" si="31"/>
        <v>0</v>
      </c>
    </row>
    <row r="305" spans="1:36" ht="15">
      <c r="A305" s="347" t="s">
        <v>113</v>
      </c>
      <c r="B305" s="347">
        <f>SUM(B249:B304)</f>
        <v>0</v>
      </c>
      <c r="C305" s="347">
        <f t="shared" ref="C305:AI305" si="33">SUM(C249:C304)</f>
        <v>17</v>
      </c>
      <c r="D305" s="347">
        <f t="shared" si="33"/>
        <v>10</v>
      </c>
      <c r="E305" s="347">
        <f t="shared" si="33"/>
        <v>0</v>
      </c>
      <c r="F305" s="347">
        <f t="shared" si="33"/>
        <v>0</v>
      </c>
      <c r="G305" s="347">
        <f t="shared" si="33"/>
        <v>0</v>
      </c>
      <c r="H305" s="347">
        <f t="shared" si="33"/>
        <v>0</v>
      </c>
      <c r="I305" s="347">
        <f t="shared" si="33"/>
        <v>4</v>
      </c>
      <c r="J305" s="347">
        <f t="shared" si="33"/>
        <v>0</v>
      </c>
      <c r="K305" s="347">
        <f t="shared" si="33"/>
        <v>598</v>
      </c>
      <c r="L305" s="347">
        <f t="shared" si="33"/>
        <v>0</v>
      </c>
      <c r="M305" s="347">
        <f t="shared" si="33"/>
        <v>0</v>
      </c>
      <c r="N305" s="347">
        <f t="shared" si="33"/>
        <v>54</v>
      </c>
      <c r="O305" s="347">
        <f t="shared" si="33"/>
        <v>142</v>
      </c>
      <c r="P305" s="347">
        <f t="shared" si="33"/>
        <v>28</v>
      </c>
      <c r="Q305" s="347">
        <f t="shared" si="33"/>
        <v>0</v>
      </c>
      <c r="R305" s="347">
        <f t="shared" si="33"/>
        <v>0</v>
      </c>
      <c r="S305" s="347">
        <f t="shared" si="33"/>
        <v>25</v>
      </c>
      <c r="T305" s="347">
        <f t="shared" si="33"/>
        <v>59</v>
      </c>
      <c r="U305" s="347">
        <f t="shared" si="33"/>
        <v>96</v>
      </c>
      <c r="V305" s="347">
        <f t="shared" si="33"/>
        <v>0</v>
      </c>
      <c r="W305" s="347">
        <f t="shared" si="33"/>
        <v>0</v>
      </c>
      <c r="X305" s="347">
        <f t="shared" si="33"/>
        <v>0</v>
      </c>
      <c r="Y305" s="347">
        <f t="shared" si="33"/>
        <v>16</v>
      </c>
      <c r="Z305" s="347">
        <f t="shared" si="33"/>
        <v>0</v>
      </c>
      <c r="AA305" s="347">
        <f t="shared" si="33"/>
        <v>16</v>
      </c>
      <c r="AB305" s="347">
        <f t="shared" si="33"/>
        <v>0</v>
      </c>
      <c r="AC305" s="347">
        <f t="shared" si="33"/>
        <v>0</v>
      </c>
      <c r="AD305" s="347">
        <f t="shared" si="33"/>
        <v>0</v>
      </c>
      <c r="AE305" s="347">
        <f t="shared" si="33"/>
        <v>106</v>
      </c>
      <c r="AF305" s="347">
        <f t="shared" si="33"/>
        <v>0</v>
      </c>
      <c r="AG305" s="347">
        <f t="shared" si="33"/>
        <v>4</v>
      </c>
      <c r="AH305" s="347">
        <f t="shared" si="33"/>
        <v>0</v>
      </c>
      <c r="AI305" s="347">
        <f t="shared" si="33"/>
        <v>1175</v>
      </c>
      <c r="AJ305" s="375"/>
    </row>
    <row r="306" spans="1:36" ht="15.75" thickBot="1">
      <c r="A306" s="348" t="s">
        <v>174</v>
      </c>
      <c r="B306" s="348">
        <f>B305/$AI305</f>
        <v>0</v>
      </c>
      <c r="C306" s="348">
        <f t="shared" ref="C306:AH306" si="34">C305/$AI305</f>
        <v>1.4468085106382979E-2</v>
      </c>
      <c r="D306" s="348">
        <f t="shared" si="34"/>
        <v>8.5106382978723406E-3</v>
      </c>
      <c r="E306" s="348">
        <f t="shared" si="34"/>
        <v>0</v>
      </c>
      <c r="F306" s="348">
        <f t="shared" si="34"/>
        <v>0</v>
      </c>
      <c r="G306" s="348">
        <f t="shared" si="34"/>
        <v>0</v>
      </c>
      <c r="H306" s="348">
        <f t="shared" si="34"/>
        <v>0</v>
      </c>
      <c r="I306" s="348">
        <f t="shared" si="34"/>
        <v>3.4042553191489361E-3</v>
      </c>
      <c r="J306" s="348">
        <f t="shared" si="34"/>
        <v>0</v>
      </c>
      <c r="K306" s="348">
        <f t="shared" si="34"/>
        <v>0.50893617021276594</v>
      </c>
      <c r="L306" s="348">
        <f t="shared" si="34"/>
        <v>0</v>
      </c>
      <c r="M306" s="348">
        <f t="shared" si="34"/>
        <v>0</v>
      </c>
      <c r="N306" s="348">
        <f t="shared" si="34"/>
        <v>4.5957446808510639E-2</v>
      </c>
      <c r="O306" s="348">
        <f t="shared" si="34"/>
        <v>0.12085106382978723</v>
      </c>
      <c r="P306" s="348">
        <f t="shared" si="34"/>
        <v>2.3829787234042554E-2</v>
      </c>
      <c r="Q306" s="348">
        <f t="shared" si="34"/>
        <v>0</v>
      </c>
      <c r="R306" s="348">
        <f t="shared" si="34"/>
        <v>0</v>
      </c>
      <c r="S306" s="348">
        <f t="shared" si="34"/>
        <v>2.1276595744680851E-2</v>
      </c>
      <c r="T306" s="348">
        <f t="shared" si="34"/>
        <v>5.0212765957446809E-2</v>
      </c>
      <c r="U306" s="348">
        <f t="shared" si="34"/>
        <v>8.1702127659574464E-2</v>
      </c>
      <c r="V306" s="348">
        <f t="shared" si="34"/>
        <v>0</v>
      </c>
      <c r="W306" s="348">
        <f t="shared" si="34"/>
        <v>0</v>
      </c>
      <c r="X306" s="348">
        <f t="shared" si="34"/>
        <v>0</v>
      </c>
      <c r="Y306" s="348">
        <f t="shared" si="34"/>
        <v>1.3617021276595745E-2</v>
      </c>
      <c r="Z306" s="348">
        <f t="shared" si="34"/>
        <v>0</v>
      </c>
      <c r="AA306" s="348">
        <f t="shared" si="34"/>
        <v>1.3617021276595745E-2</v>
      </c>
      <c r="AB306" s="348">
        <f t="shared" si="34"/>
        <v>0</v>
      </c>
      <c r="AC306" s="348">
        <f t="shared" si="34"/>
        <v>0</v>
      </c>
      <c r="AD306" s="348">
        <f t="shared" si="34"/>
        <v>0</v>
      </c>
      <c r="AE306" s="348">
        <f t="shared" si="34"/>
        <v>9.0212765957446803E-2</v>
      </c>
      <c r="AF306" s="348">
        <f t="shared" si="34"/>
        <v>0</v>
      </c>
      <c r="AG306" s="348">
        <f t="shared" si="34"/>
        <v>3.4042553191489361E-3</v>
      </c>
      <c r="AH306" s="348">
        <f t="shared" si="34"/>
        <v>0</v>
      </c>
      <c r="AI306" s="376"/>
      <c r="AJ306" s="376"/>
    </row>
    <row r="310" spans="1:36">
      <c r="A310" s="165">
        <f>'Conveyor Downtime (new)'!A308</f>
        <v>46192</v>
      </c>
      <c r="B310" s="346"/>
      <c r="C310" s="346"/>
      <c r="D310" s="346"/>
      <c r="E310" s="346"/>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f t="shared" ref="AI310:AI346" si="35">SUM(B310:AH310)</f>
        <v>0</v>
      </c>
      <c r="AJ310" s="351">
        <f>AI310/$AI$184</f>
        <v>0</v>
      </c>
    </row>
    <row r="311" spans="1:36">
      <c r="A311" s="165">
        <f>'Conveyor Downtime (new)'!A309</f>
        <v>46193</v>
      </c>
      <c r="O311">
        <f>2</f>
        <v>2</v>
      </c>
      <c r="AI311">
        <f t="shared" si="35"/>
        <v>2</v>
      </c>
      <c r="AJ311" s="351">
        <f t="shared" ref="AJ311:AJ369" si="36">AI311/$AI$184</f>
        <v>2.3255813953488372E-3</v>
      </c>
    </row>
    <row r="312" spans="1:36">
      <c r="A312" s="165">
        <f>'Conveyor Downtime (new)'!A310</f>
        <v>46194</v>
      </c>
      <c r="B312" s="346"/>
      <c r="C312" s="346"/>
      <c r="D312" s="346"/>
      <c r="E312" s="346"/>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f t="shared" si="35"/>
        <v>0</v>
      </c>
      <c r="AJ312" s="351">
        <f t="shared" si="36"/>
        <v>0</v>
      </c>
    </row>
    <row r="313" spans="1:36">
      <c r="A313" s="165">
        <f>'Conveyor Downtime (new)'!A311</f>
        <v>46195</v>
      </c>
      <c r="O313">
        <f>6</f>
        <v>6</v>
      </c>
      <c r="U313">
        <f>2</f>
        <v>2</v>
      </c>
      <c r="AI313">
        <f t="shared" si="35"/>
        <v>8</v>
      </c>
      <c r="AJ313" s="351">
        <f t="shared" si="36"/>
        <v>9.3023255813953487E-3</v>
      </c>
    </row>
    <row r="314" spans="1:36">
      <c r="A314" s="165">
        <f>'Conveyor Downtime (new)'!A312</f>
        <v>46195</v>
      </c>
      <c r="B314" s="346"/>
      <c r="C314" s="346"/>
      <c r="D314" s="346"/>
      <c r="E314" s="346"/>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f t="shared" si="35"/>
        <v>0</v>
      </c>
      <c r="AJ314" s="351">
        <f t="shared" si="36"/>
        <v>0</v>
      </c>
    </row>
    <row r="315" spans="1:36">
      <c r="A315" s="165">
        <f>'Conveyor Downtime (new)'!A313</f>
        <v>46196</v>
      </c>
      <c r="C315">
        <f>7</f>
        <v>7</v>
      </c>
      <c r="AA315">
        <f>2</f>
        <v>2</v>
      </c>
      <c r="AI315">
        <f t="shared" si="35"/>
        <v>9</v>
      </c>
      <c r="AJ315" s="351">
        <f t="shared" si="36"/>
        <v>1.0465116279069767E-2</v>
      </c>
    </row>
    <row r="316" spans="1:36">
      <c r="A316" s="165">
        <f>'Conveyor Downtime (new)'!A314</f>
        <v>46196</v>
      </c>
      <c r="B316" s="346"/>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f>3</f>
        <v>3</v>
      </c>
      <c r="Z316" s="346"/>
      <c r="AA316" s="346"/>
      <c r="AB316" s="346"/>
      <c r="AC316" s="346"/>
      <c r="AD316" s="346"/>
      <c r="AE316" s="346"/>
      <c r="AF316" s="346"/>
      <c r="AG316" s="346"/>
      <c r="AH316" s="346"/>
      <c r="AI316">
        <f t="shared" si="35"/>
        <v>3</v>
      </c>
      <c r="AJ316" s="351">
        <f t="shared" si="36"/>
        <v>3.4883720930232558E-3</v>
      </c>
    </row>
    <row r="317" spans="1:36">
      <c r="A317" s="165">
        <f>'Conveyor Downtime (new)'!A315</f>
        <v>46196</v>
      </c>
      <c r="AI317">
        <f t="shared" si="35"/>
        <v>0</v>
      </c>
      <c r="AJ317" s="351">
        <f t="shared" si="36"/>
        <v>0</v>
      </c>
    </row>
    <row r="318" spans="1:36">
      <c r="A318" s="165">
        <f>'Conveyor Downtime (new)'!A316</f>
        <v>46197</v>
      </c>
      <c r="B318" s="346"/>
      <c r="C318" s="346"/>
      <c r="D318" s="346"/>
      <c r="E318" s="346"/>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f t="shared" si="35"/>
        <v>0</v>
      </c>
      <c r="AJ318" s="351">
        <f t="shared" si="36"/>
        <v>0</v>
      </c>
    </row>
    <row r="319" spans="1:36">
      <c r="A319" s="165">
        <f>'Conveyor Downtime (new)'!A317</f>
        <v>46197</v>
      </c>
      <c r="AI319">
        <f t="shared" si="35"/>
        <v>0</v>
      </c>
      <c r="AJ319" s="351">
        <f t="shared" si="36"/>
        <v>0</v>
      </c>
    </row>
    <row r="320" spans="1:36">
      <c r="A320" s="165">
        <f>'Conveyor Downtime (new)'!A318</f>
        <v>46198</v>
      </c>
      <c r="B320" s="346"/>
      <c r="C320" s="346"/>
      <c r="D320" s="346"/>
      <c r="E320" s="346"/>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f t="shared" si="35"/>
        <v>0</v>
      </c>
      <c r="AJ320" s="351">
        <f t="shared" si="36"/>
        <v>0</v>
      </c>
    </row>
    <row r="321" spans="1:36">
      <c r="A321" s="165">
        <f>'Conveyor Downtime (new)'!A319</f>
        <v>46198</v>
      </c>
      <c r="O321">
        <f>2+3+3</f>
        <v>8</v>
      </c>
      <c r="AA321">
        <f>3+3</f>
        <v>6</v>
      </c>
      <c r="AI321">
        <f t="shared" si="35"/>
        <v>14</v>
      </c>
      <c r="AJ321" s="351">
        <f t="shared" si="36"/>
        <v>1.627906976744186E-2</v>
      </c>
    </row>
    <row r="322" spans="1:36">
      <c r="A322" s="165">
        <f>'Conveyor Downtime (new)'!A320</f>
        <v>46198</v>
      </c>
      <c r="B322" s="346"/>
      <c r="C322" s="346"/>
      <c r="D322" s="346"/>
      <c r="E322" s="346"/>
      <c r="F322" s="346"/>
      <c r="G322" s="346"/>
      <c r="H322" s="346"/>
      <c r="I322" s="346"/>
      <c r="J322" s="346"/>
      <c r="K322" s="346"/>
      <c r="L322" s="346"/>
      <c r="M322" s="346"/>
      <c r="N322" s="346"/>
      <c r="O322" s="346"/>
      <c r="P322" s="346"/>
      <c r="Q322" s="346"/>
      <c r="R322" s="346"/>
      <c r="S322" s="346"/>
      <c r="T322" s="346"/>
      <c r="U322" s="346">
        <f>2</f>
        <v>2</v>
      </c>
      <c r="V322" s="346"/>
      <c r="W322" s="346"/>
      <c r="X322" s="346"/>
      <c r="Y322" s="346"/>
      <c r="Z322" s="346"/>
      <c r="AA322" s="346"/>
      <c r="AB322" s="346"/>
      <c r="AC322" s="346"/>
      <c r="AD322" s="346"/>
      <c r="AE322" s="346"/>
      <c r="AF322" s="346"/>
      <c r="AG322" s="346"/>
      <c r="AH322" s="346"/>
      <c r="AI322">
        <f t="shared" si="35"/>
        <v>2</v>
      </c>
      <c r="AJ322" s="351">
        <f t="shared" si="36"/>
        <v>2.3255813953488372E-3</v>
      </c>
    </row>
    <row r="323" spans="1:36" ht="12" customHeight="1">
      <c r="A323" s="165">
        <f>'Conveyor Downtime (new)'!A321</f>
        <v>46198</v>
      </c>
      <c r="AI323">
        <f t="shared" si="35"/>
        <v>0</v>
      </c>
      <c r="AJ323" s="351">
        <f t="shared" si="36"/>
        <v>0</v>
      </c>
    </row>
    <row r="324" spans="1:36">
      <c r="A324" s="165">
        <f>'Conveyor Downtime (new)'!A322</f>
        <v>46199</v>
      </c>
      <c r="B324" s="346"/>
      <c r="C324" s="346"/>
      <c r="D324" s="346"/>
      <c r="E324" s="346"/>
      <c r="F324" s="346"/>
      <c r="G324" s="346"/>
      <c r="H324" s="346"/>
      <c r="I324" s="346">
        <f>2+2+5+12</f>
        <v>21</v>
      </c>
      <c r="J324" s="346"/>
      <c r="K324" s="346">
        <f>5+4</f>
        <v>9</v>
      </c>
      <c r="L324" s="346"/>
      <c r="M324" s="346"/>
      <c r="N324" s="346"/>
      <c r="O324" s="346">
        <f>3+6</f>
        <v>9</v>
      </c>
      <c r="P324" s="346"/>
      <c r="Q324" s="346"/>
      <c r="R324" s="346"/>
      <c r="S324" s="346"/>
      <c r="T324" s="346"/>
      <c r="U324" s="346">
        <f>2</f>
        <v>2</v>
      </c>
      <c r="V324" s="346"/>
      <c r="W324" s="346"/>
      <c r="X324" s="346"/>
      <c r="Y324" s="346">
        <f>2+2+1</f>
        <v>5</v>
      </c>
      <c r="Z324" s="346"/>
      <c r="AA324" s="346"/>
      <c r="AB324" s="346"/>
      <c r="AC324" s="346"/>
      <c r="AD324" s="346"/>
      <c r="AE324" s="346"/>
      <c r="AF324" s="346"/>
      <c r="AG324" s="346"/>
      <c r="AH324" s="346"/>
      <c r="AI324">
        <f t="shared" si="35"/>
        <v>46</v>
      </c>
      <c r="AJ324" s="351">
        <f t="shared" si="36"/>
        <v>5.3488372093023255E-2</v>
      </c>
    </row>
    <row r="325" spans="1:36">
      <c r="A325" s="165">
        <f>'Conveyor Downtime (new)'!A323</f>
        <v>46199</v>
      </c>
      <c r="B325" s="346"/>
      <c r="C325" s="346"/>
      <c r="D325" s="346"/>
      <c r="E325" s="346"/>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f t="shared" ref="AI325" si="37">SUM(B325:AH325)</f>
        <v>0</v>
      </c>
      <c r="AJ325" s="351">
        <f t="shared" ref="AJ325" si="38">AI325/$AI$184</f>
        <v>0</v>
      </c>
    </row>
    <row r="326" spans="1:36">
      <c r="A326" s="165">
        <f>'Conveyor Downtime (new)'!A324</f>
        <v>46200</v>
      </c>
      <c r="K326">
        <f>9</f>
        <v>9</v>
      </c>
      <c r="O326">
        <f>5</f>
        <v>5</v>
      </c>
      <c r="AI326">
        <f t="shared" si="35"/>
        <v>14</v>
      </c>
      <c r="AJ326" s="351">
        <f t="shared" si="36"/>
        <v>1.627906976744186E-2</v>
      </c>
    </row>
    <row r="327" spans="1:36">
      <c r="A327" s="165">
        <f>'Conveyor Downtime (new)'!A325</f>
        <v>46200</v>
      </c>
      <c r="B327" s="346"/>
      <c r="C327" s="346"/>
      <c r="D327" s="346"/>
      <c r="E327" s="346"/>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s="346"/>
      <c r="AE327" s="346"/>
      <c r="AF327" s="346"/>
      <c r="AG327" s="346"/>
      <c r="AH327" s="346"/>
      <c r="AI327">
        <f t="shared" si="35"/>
        <v>0</v>
      </c>
      <c r="AJ327" s="351">
        <f t="shared" si="36"/>
        <v>0</v>
      </c>
    </row>
    <row r="328" spans="1:36">
      <c r="A328" s="165">
        <f>'Conveyor Downtime (new)'!A326</f>
        <v>46202</v>
      </c>
      <c r="Y328">
        <f>2+2</f>
        <v>4</v>
      </c>
      <c r="AI328">
        <f t="shared" ref="AI328:AI334" si="39">SUM(B328:AH328)</f>
        <v>4</v>
      </c>
      <c r="AJ328" s="351">
        <f t="shared" ref="AJ328:AJ334" si="40">AI328/$AI$184</f>
        <v>4.6511627906976744E-3</v>
      </c>
    </row>
    <row r="329" spans="1:36">
      <c r="A329" s="165">
        <f>'Conveyor Downtime (new)'!A327</f>
        <v>46202</v>
      </c>
      <c r="B329" s="346"/>
      <c r="C329" s="346"/>
      <c r="D329" s="346"/>
      <c r="E329" s="346"/>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f t="shared" si="39"/>
        <v>0</v>
      </c>
      <c r="AJ329" s="351">
        <f t="shared" si="40"/>
        <v>0</v>
      </c>
    </row>
    <row r="330" spans="1:36">
      <c r="A330" s="165">
        <f>'Conveyor Downtime (new)'!A328</f>
        <v>46202</v>
      </c>
      <c r="C330">
        <f>5</f>
        <v>5</v>
      </c>
      <c r="N330">
        <f>29+4</f>
        <v>33</v>
      </c>
      <c r="T330">
        <f>20</f>
        <v>20</v>
      </c>
      <c r="U330">
        <f>3+3+2</f>
        <v>8</v>
      </c>
      <c r="AI330">
        <f t="shared" si="39"/>
        <v>66</v>
      </c>
      <c r="AJ330" s="351">
        <f t="shared" si="40"/>
        <v>7.6744186046511634E-2</v>
      </c>
    </row>
    <row r="331" spans="1:36">
      <c r="A331" s="165">
        <f>'Conveyor Downtime (new)'!A329</f>
        <v>46203</v>
      </c>
      <c r="B331" s="346"/>
      <c r="C331" s="346"/>
      <c r="D331" s="346"/>
      <c r="E331" s="346"/>
      <c r="F331" s="346"/>
      <c r="G331" s="346"/>
      <c r="H331" s="346"/>
      <c r="I331" s="346"/>
      <c r="J331" s="346"/>
      <c r="K331" s="346">
        <f>4+2+3+2</f>
        <v>11</v>
      </c>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f t="shared" si="39"/>
        <v>11</v>
      </c>
      <c r="AJ331" s="351">
        <f t="shared" si="40"/>
        <v>1.2790697674418604E-2</v>
      </c>
    </row>
    <row r="332" spans="1:36">
      <c r="A332" s="165">
        <f>'Conveyor Downtime (new)'!A330</f>
        <v>46203</v>
      </c>
      <c r="I332">
        <f>12+11</f>
        <v>23</v>
      </c>
      <c r="N332">
        <f>4+4</f>
        <v>8</v>
      </c>
      <c r="O332">
        <f>3+4+3+2+4+5+6</f>
        <v>27</v>
      </c>
      <c r="U332">
        <f>3+2</f>
        <v>5</v>
      </c>
      <c r="Y332">
        <f>2</f>
        <v>2</v>
      </c>
      <c r="AA332">
        <f>3</f>
        <v>3</v>
      </c>
      <c r="AI332">
        <f t="shared" si="39"/>
        <v>68</v>
      </c>
      <c r="AJ332" s="351">
        <f t="shared" si="40"/>
        <v>7.9069767441860464E-2</v>
      </c>
    </row>
    <row r="333" spans="1:36">
      <c r="A333" s="165">
        <f>'Conveyor Downtime (new)'!A331</f>
        <v>0</v>
      </c>
      <c r="B333" s="346"/>
      <c r="C333" s="346"/>
      <c r="D333" s="346"/>
      <c r="E333" s="346"/>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s="346"/>
      <c r="AE333" s="346"/>
      <c r="AF333" s="346"/>
      <c r="AG333" s="346"/>
      <c r="AH333" s="346"/>
      <c r="AI333">
        <f t="shared" si="39"/>
        <v>0</v>
      </c>
      <c r="AJ333" s="351">
        <f t="shared" si="40"/>
        <v>0</v>
      </c>
    </row>
    <row r="334" spans="1:36">
      <c r="A334" s="165">
        <f>'Conveyor Downtime (new)'!A332</f>
        <v>0</v>
      </c>
      <c r="AI334">
        <f t="shared" si="39"/>
        <v>0</v>
      </c>
      <c r="AJ334" s="351">
        <f t="shared" si="40"/>
        <v>0</v>
      </c>
    </row>
    <row r="335" spans="1:36" hidden="1">
      <c r="A335" s="165">
        <f>'Conveyor Downtime (new)'!A333</f>
        <v>0</v>
      </c>
      <c r="B335" s="346"/>
      <c r="C335" s="346"/>
      <c r="D335" s="346"/>
      <c r="E335" s="346"/>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f t="shared" si="35"/>
        <v>0</v>
      </c>
      <c r="AJ335" s="351">
        <f t="shared" si="36"/>
        <v>0</v>
      </c>
    </row>
    <row r="336" spans="1:36" hidden="1">
      <c r="A336" s="165">
        <f>'Conveyor Downtime (new)'!A334</f>
        <v>0</v>
      </c>
      <c r="AI336">
        <f t="shared" si="35"/>
        <v>0</v>
      </c>
      <c r="AJ336" s="351">
        <f t="shared" si="36"/>
        <v>0</v>
      </c>
    </row>
    <row r="337" spans="1:36" hidden="1">
      <c r="A337" s="165">
        <f>'Conveyor Downtime (new)'!A335</f>
        <v>0</v>
      </c>
      <c r="B337" s="346"/>
      <c r="C337" s="346"/>
      <c r="D337" s="346"/>
      <c r="E337" s="346"/>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f t="shared" si="35"/>
        <v>0</v>
      </c>
      <c r="AJ337" s="351">
        <f t="shared" si="36"/>
        <v>0</v>
      </c>
    </row>
    <row r="338" spans="1:36" hidden="1">
      <c r="A338" s="165">
        <f>'Conveyor Downtime (new)'!A336</f>
        <v>0</v>
      </c>
      <c r="AI338">
        <f t="shared" si="35"/>
        <v>0</v>
      </c>
      <c r="AJ338" s="351">
        <f t="shared" si="36"/>
        <v>0</v>
      </c>
    </row>
    <row r="339" spans="1:36" hidden="1">
      <c r="A339" s="165">
        <f>'Conveyor Downtime (new)'!A337</f>
        <v>0</v>
      </c>
      <c r="B339" s="346"/>
      <c r="C339" s="346"/>
      <c r="D339" s="346"/>
      <c r="E339" s="346"/>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f t="shared" si="35"/>
        <v>0</v>
      </c>
      <c r="AJ339" s="351">
        <f t="shared" si="36"/>
        <v>0</v>
      </c>
    </row>
    <row r="340" spans="1:36" hidden="1">
      <c r="A340" s="165">
        <f>'Conveyor Downtime (new)'!A338</f>
        <v>0</v>
      </c>
      <c r="AI340">
        <f t="shared" si="35"/>
        <v>0</v>
      </c>
      <c r="AJ340" s="351">
        <f t="shared" si="36"/>
        <v>0</v>
      </c>
    </row>
    <row r="341" spans="1:36" hidden="1">
      <c r="A341" s="165">
        <f>'Conveyor Downtime (new)'!A339</f>
        <v>0</v>
      </c>
      <c r="B341" s="346"/>
      <c r="C341" s="346"/>
      <c r="D341" s="346"/>
      <c r="E341" s="346"/>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f t="shared" si="35"/>
        <v>0</v>
      </c>
      <c r="AJ341" s="351">
        <f t="shared" si="36"/>
        <v>0</v>
      </c>
    </row>
    <row r="342" spans="1:36" hidden="1">
      <c r="A342" s="165">
        <f>'Conveyor Downtime (new)'!A340</f>
        <v>0</v>
      </c>
      <c r="AI342">
        <f t="shared" si="35"/>
        <v>0</v>
      </c>
      <c r="AJ342" s="351">
        <f t="shared" si="36"/>
        <v>0</v>
      </c>
    </row>
    <row r="343" spans="1:36" hidden="1">
      <c r="A343" s="165">
        <f>'Conveyor Downtime (new)'!A341</f>
        <v>0</v>
      </c>
      <c r="B343" s="346"/>
      <c r="C343" s="346"/>
      <c r="D343" s="346"/>
      <c r="E343" s="346"/>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f t="shared" si="35"/>
        <v>0</v>
      </c>
      <c r="AJ343" s="351">
        <f t="shared" si="36"/>
        <v>0</v>
      </c>
    </row>
    <row r="344" spans="1:36" hidden="1">
      <c r="A344" s="165">
        <f>'Conveyor Downtime (new)'!A342</f>
        <v>0</v>
      </c>
      <c r="AI344">
        <f t="shared" si="35"/>
        <v>0</v>
      </c>
      <c r="AJ344" s="351">
        <f t="shared" si="36"/>
        <v>0</v>
      </c>
    </row>
    <row r="345" spans="1:36" hidden="1">
      <c r="A345" s="165">
        <f>'Conveyor Downtime (new)'!A343</f>
        <v>0</v>
      </c>
      <c r="B345" s="346"/>
      <c r="C345" s="346"/>
      <c r="D345" s="346"/>
      <c r="E345" s="346"/>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f t="shared" si="35"/>
        <v>0</v>
      </c>
      <c r="AJ345" s="351">
        <f t="shared" si="36"/>
        <v>0</v>
      </c>
    </row>
    <row r="346" spans="1:36" hidden="1">
      <c r="A346" s="165">
        <f>'Conveyor Downtime (new)'!A344</f>
        <v>0</v>
      </c>
      <c r="AI346">
        <f t="shared" si="35"/>
        <v>0</v>
      </c>
      <c r="AJ346" s="351">
        <f t="shared" si="36"/>
        <v>0</v>
      </c>
    </row>
    <row r="347" spans="1:36" hidden="1">
      <c r="A347" s="165">
        <f>'Conveyor Downtime (new)'!A345</f>
        <v>0</v>
      </c>
      <c r="B347" s="346"/>
      <c r="C347" s="346"/>
      <c r="D347" s="346"/>
      <c r="E347" s="346"/>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f t="shared" ref="AI347:AI369" si="41">SUM(B347:AH347)</f>
        <v>0</v>
      </c>
      <c r="AJ347" s="351">
        <f t="shared" si="36"/>
        <v>0</v>
      </c>
    </row>
    <row r="348" spans="1:36" hidden="1">
      <c r="A348" s="165">
        <f>'Conveyor Downtime (new)'!A346</f>
        <v>0</v>
      </c>
      <c r="AI348">
        <f t="shared" si="41"/>
        <v>0</v>
      </c>
      <c r="AJ348" s="351">
        <f t="shared" si="36"/>
        <v>0</v>
      </c>
    </row>
    <row r="349" spans="1:36" hidden="1">
      <c r="A349" s="165">
        <f>'Conveyor Downtime (new)'!A347</f>
        <v>0</v>
      </c>
      <c r="B349" s="346"/>
      <c r="C349" s="346"/>
      <c r="D349" s="346"/>
      <c r="E349" s="346"/>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f t="shared" si="41"/>
        <v>0</v>
      </c>
      <c r="AJ349" s="351">
        <f t="shared" si="36"/>
        <v>0</v>
      </c>
    </row>
    <row r="350" spans="1:36" hidden="1">
      <c r="A350" s="165">
        <f>'Conveyor Downtime (new)'!A348</f>
        <v>0</v>
      </c>
      <c r="AI350">
        <f t="shared" si="41"/>
        <v>0</v>
      </c>
      <c r="AJ350" s="351">
        <f t="shared" si="36"/>
        <v>0</v>
      </c>
    </row>
    <row r="351" spans="1:36" hidden="1">
      <c r="A351" s="165">
        <f>'Conveyor Downtime (new)'!A349</f>
        <v>0</v>
      </c>
      <c r="B351" s="346"/>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f t="shared" si="41"/>
        <v>0</v>
      </c>
      <c r="AJ351" s="351">
        <f t="shared" si="36"/>
        <v>0</v>
      </c>
    </row>
    <row r="352" spans="1:36" hidden="1">
      <c r="A352" s="165">
        <f>'Conveyor Downtime (new)'!A350</f>
        <v>0</v>
      </c>
      <c r="AI352">
        <f t="shared" si="41"/>
        <v>0</v>
      </c>
      <c r="AJ352" s="351">
        <f t="shared" si="36"/>
        <v>0</v>
      </c>
    </row>
    <row r="353" spans="1:36">
      <c r="A353" s="165"/>
      <c r="B353" s="346"/>
      <c r="C353" s="346"/>
      <c r="D353" s="346"/>
      <c r="E353" s="346"/>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f t="shared" si="41"/>
        <v>0</v>
      </c>
      <c r="AJ353" s="351">
        <f t="shared" si="36"/>
        <v>0</v>
      </c>
    </row>
    <row r="354" spans="1:36">
      <c r="A354" s="165"/>
      <c r="AI354">
        <f t="shared" si="41"/>
        <v>0</v>
      </c>
      <c r="AJ354" s="351">
        <f t="shared" si="36"/>
        <v>0</v>
      </c>
    </row>
    <row r="355" spans="1:36" hidden="1">
      <c r="A355" s="165"/>
      <c r="B355" s="346"/>
      <c r="C355" s="346"/>
      <c r="D355" s="346"/>
      <c r="E355" s="346"/>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f t="shared" si="41"/>
        <v>0</v>
      </c>
      <c r="AJ355" s="351">
        <f t="shared" si="36"/>
        <v>0</v>
      </c>
    </row>
    <row r="356" spans="1:36" hidden="1">
      <c r="A356" s="165"/>
      <c r="AI356">
        <f t="shared" si="41"/>
        <v>0</v>
      </c>
      <c r="AJ356" s="351">
        <f t="shared" si="36"/>
        <v>0</v>
      </c>
    </row>
    <row r="357" spans="1:36" hidden="1">
      <c r="A357" s="165"/>
      <c r="B357" s="346"/>
      <c r="C357" s="346"/>
      <c r="D357" s="346"/>
      <c r="E357" s="346"/>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f t="shared" si="41"/>
        <v>0</v>
      </c>
      <c r="AJ357" s="351">
        <f t="shared" si="36"/>
        <v>0</v>
      </c>
    </row>
    <row r="358" spans="1:36" hidden="1">
      <c r="A358" s="165"/>
      <c r="AI358">
        <f t="shared" si="41"/>
        <v>0</v>
      </c>
      <c r="AJ358" s="351">
        <f t="shared" si="36"/>
        <v>0</v>
      </c>
    </row>
    <row r="359" spans="1:36" hidden="1">
      <c r="A359" s="165"/>
      <c r="B359" s="346"/>
      <c r="C359" s="346"/>
      <c r="D359" s="346"/>
      <c r="E359" s="346"/>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f t="shared" si="41"/>
        <v>0</v>
      </c>
      <c r="AJ359" s="351">
        <f t="shared" si="36"/>
        <v>0</v>
      </c>
    </row>
    <row r="360" spans="1:36" hidden="1">
      <c r="A360" s="165"/>
      <c r="AI360">
        <f t="shared" si="41"/>
        <v>0</v>
      </c>
      <c r="AJ360" s="351">
        <f t="shared" si="36"/>
        <v>0</v>
      </c>
    </row>
    <row r="361" spans="1:36" hidden="1">
      <c r="A361" s="165"/>
      <c r="B361" s="346"/>
      <c r="C361" s="346"/>
      <c r="D361" s="346"/>
      <c r="E361" s="346"/>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f t="shared" si="41"/>
        <v>0</v>
      </c>
      <c r="AJ361" s="351">
        <f t="shared" si="36"/>
        <v>0</v>
      </c>
    </row>
    <row r="362" spans="1:36" hidden="1">
      <c r="A362" s="165"/>
      <c r="AI362">
        <f t="shared" si="41"/>
        <v>0</v>
      </c>
      <c r="AJ362" s="351">
        <f t="shared" si="36"/>
        <v>0</v>
      </c>
    </row>
    <row r="363" spans="1:36" hidden="1">
      <c r="A363" s="165"/>
      <c r="B363" s="346"/>
      <c r="C363" s="346"/>
      <c r="D363" s="346"/>
      <c r="E363" s="346"/>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f t="shared" si="41"/>
        <v>0</v>
      </c>
      <c r="AJ363" s="351">
        <f t="shared" si="36"/>
        <v>0</v>
      </c>
    </row>
    <row r="364" spans="1:36" hidden="1">
      <c r="A364" s="165"/>
      <c r="AI364">
        <f t="shared" si="41"/>
        <v>0</v>
      </c>
      <c r="AJ364" s="351">
        <f t="shared" si="36"/>
        <v>0</v>
      </c>
    </row>
    <row r="365" spans="1:36" hidden="1">
      <c r="A365" s="165"/>
      <c r="B365" s="346"/>
      <c r="C365" s="346"/>
      <c r="D365" s="346"/>
      <c r="E365" s="346"/>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f t="shared" si="41"/>
        <v>0</v>
      </c>
      <c r="AJ365" s="351">
        <f t="shared" si="36"/>
        <v>0</v>
      </c>
    </row>
    <row r="366" spans="1:36" hidden="1">
      <c r="A366" s="165"/>
      <c r="AI366">
        <f t="shared" si="41"/>
        <v>0</v>
      </c>
      <c r="AJ366" s="351">
        <f t="shared" si="36"/>
        <v>0</v>
      </c>
    </row>
    <row r="367" spans="1:36" hidden="1">
      <c r="A367" s="165"/>
      <c r="B367" s="346"/>
      <c r="C367" s="346"/>
      <c r="D367" s="346"/>
      <c r="E367" s="346"/>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f t="shared" si="41"/>
        <v>0</v>
      </c>
      <c r="AJ367" s="351">
        <f t="shared" si="36"/>
        <v>0</v>
      </c>
    </row>
    <row r="368" spans="1:36" hidden="1">
      <c r="A368" s="165"/>
      <c r="AI368">
        <f t="shared" si="41"/>
        <v>0</v>
      </c>
      <c r="AJ368" s="351">
        <f t="shared" si="36"/>
        <v>0</v>
      </c>
    </row>
    <row r="369" spans="1:36" hidden="1">
      <c r="A369" s="165"/>
      <c r="B369" s="346"/>
      <c r="C369" s="346"/>
      <c r="D369" s="346"/>
      <c r="E369" s="346"/>
      <c r="F369" s="346"/>
      <c r="G369" s="346"/>
      <c r="H369" s="346"/>
      <c r="I369" s="346"/>
      <c r="J369" s="346"/>
      <c r="K369" s="346"/>
      <c r="L369" s="346"/>
      <c r="M369" s="346"/>
      <c r="N369" s="346"/>
      <c r="O369" s="346"/>
      <c r="P369" s="346"/>
      <c r="Q369" s="346"/>
      <c r="R369" s="346"/>
      <c r="S369" s="346"/>
      <c r="T369" s="346"/>
      <c r="U369" s="346"/>
      <c r="V369" s="346"/>
      <c r="W369" s="346"/>
      <c r="X369" s="346"/>
      <c r="Y369" s="346"/>
      <c r="Z369" s="346"/>
      <c r="AA369" s="346"/>
      <c r="AB369" s="346"/>
      <c r="AC369" s="346"/>
      <c r="AD369" s="346"/>
      <c r="AE369" s="346"/>
      <c r="AF369" s="346"/>
      <c r="AG369" s="346"/>
      <c r="AH369" s="346"/>
      <c r="AI369">
        <f t="shared" si="41"/>
        <v>0</v>
      </c>
      <c r="AJ369" s="351">
        <f t="shared" si="36"/>
        <v>0</v>
      </c>
    </row>
    <row r="370" spans="1:36" ht="15">
      <c r="A370" s="347" t="s">
        <v>113</v>
      </c>
      <c r="B370" s="347">
        <f t="shared" ref="B370:AI370" si="42">SUM(B310:B369)</f>
        <v>0</v>
      </c>
      <c r="C370" s="347">
        <f t="shared" si="42"/>
        <v>12</v>
      </c>
      <c r="D370" s="347">
        <f t="shared" si="42"/>
        <v>0</v>
      </c>
      <c r="E370" s="347">
        <f t="shared" si="42"/>
        <v>0</v>
      </c>
      <c r="F370" s="347">
        <f t="shared" si="42"/>
        <v>0</v>
      </c>
      <c r="G370" s="347">
        <f t="shared" si="42"/>
        <v>0</v>
      </c>
      <c r="H370" s="347">
        <f t="shared" si="42"/>
        <v>0</v>
      </c>
      <c r="I370" s="347">
        <f t="shared" si="42"/>
        <v>44</v>
      </c>
      <c r="J370" s="347">
        <f t="shared" si="42"/>
        <v>0</v>
      </c>
      <c r="K370" s="347">
        <f t="shared" si="42"/>
        <v>29</v>
      </c>
      <c r="L370" s="347">
        <f t="shared" si="42"/>
        <v>0</v>
      </c>
      <c r="M370" s="347">
        <f t="shared" si="42"/>
        <v>0</v>
      </c>
      <c r="N370" s="347">
        <f t="shared" si="42"/>
        <v>41</v>
      </c>
      <c r="O370" s="347">
        <f t="shared" si="42"/>
        <v>57</v>
      </c>
      <c r="P370" s="347">
        <f t="shared" si="42"/>
        <v>0</v>
      </c>
      <c r="Q370" s="347">
        <f t="shared" si="42"/>
        <v>0</v>
      </c>
      <c r="R370" s="347">
        <f t="shared" si="42"/>
        <v>0</v>
      </c>
      <c r="S370" s="347">
        <f t="shared" si="42"/>
        <v>0</v>
      </c>
      <c r="T370" s="347">
        <f t="shared" si="42"/>
        <v>20</v>
      </c>
      <c r="U370" s="347">
        <f t="shared" si="42"/>
        <v>19</v>
      </c>
      <c r="V370" s="347">
        <f t="shared" si="42"/>
        <v>0</v>
      </c>
      <c r="W370" s="347">
        <f t="shared" si="42"/>
        <v>0</v>
      </c>
      <c r="X370" s="347">
        <f t="shared" si="42"/>
        <v>0</v>
      </c>
      <c r="Y370" s="347">
        <f t="shared" si="42"/>
        <v>14</v>
      </c>
      <c r="Z370" s="347">
        <f t="shared" si="42"/>
        <v>0</v>
      </c>
      <c r="AA370" s="347">
        <f t="shared" si="42"/>
        <v>11</v>
      </c>
      <c r="AB370" s="347">
        <f t="shared" si="42"/>
        <v>0</v>
      </c>
      <c r="AC370" s="347">
        <f t="shared" si="42"/>
        <v>0</v>
      </c>
      <c r="AD370" s="347">
        <f t="shared" si="42"/>
        <v>0</v>
      </c>
      <c r="AE370" s="347">
        <f t="shared" si="42"/>
        <v>0</v>
      </c>
      <c r="AF370" s="347">
        <f t="shared" si="42"/>
        <v>0</v>
      </c>
      <c r="AG370" s="347">
        <f t="shared" si="42"/>
        <v>0</v>
      </c>
      <c r="AH370" s="347">
        <f t="shared" si="42"/>
        <v>0</v>
      </c>
      <c r="AI370" s="347">
        <f t="shared" si="42"/>
        <v>247</v>
      </c>
      <c r="AJ370" s="375"/>
    </row>
    <row r="371" spans="1:36" ht="15.75" thickBot="1">
      <c r="A371" s="348" t="s">
        <v>174</v>
      </c>
      <c r="B371" s="348">
        <f t="shared" ref="B371:K371" si="43">B370/$AI370</f>
        <v>0</v>
      </c>
      <c r="C371" s="348">
        <f t="shared" si="43"/>
        <v>4.8582995951417005E-2</v>
      </c>
      <c r="D371" s="348">
        <f t="shared" si="43"/>
        <v>0</v>
      </c>
      <c r="E371" s="348">
        <f t="shared" si="43"/>
        <v>0</v>
      </c>
      <c r="F371" s="348">
        <f t="shared" si="43"/>
        <v>0</v>
      </c>
      <c r="G371" s="348">
        <f t="shared" si="43"/>
        <v>0</v>
      </c>
      <c r="H371" s="348">
        <f t="shared" si="43"/>
        <v>0</v>
      </c>
      <c r="I371" s="348">
        <f t="shared" si="43"/>
        <v>0.17813765182186234</v>
      </c>
      <c r="J371" s="348">
        <f t="shared" si="43"/>
        <v>0</v>
      </c>
      <c r="K371" s="348">
        <f t="shared" si="43"/>
        <v>0.11740890688259109</v>
      </c>
      <c r="L371" s="348">
        <f t="shared" ref="L371:Q371" si="44">L370/$AI370</f>
        <v>0</v>
      </c>
      <c r="M371" s="348">
        <f t="shared" si="44"/>
        <v>0</v>
      </c>
      <c r="N371" s="348">
        <f t="shared" si="44"/>
        <v>0.16599190283400811</v>
      </c>
      <c r="O371" s="348">
        <f t="shared" si="44"/>
        <v>0.23076923076923078</v>
      </c>
      <c r="P371" s="348">
        <f t="shared" si="44"/>
        <v>0</v>
      </c>
      <c r="Q371" s="348">
        <f t="shared" si="44"/>
        <v>0</v>
      </c>
      <c r="R371" s="348">
        <f t="shared" ref="R371:AB371" si="45">R370/$AI370</f>
        <v>0</v>
      </c>
      <c r="S371" s="348">
        <f t="shared" si="45"/>
        <v>0</v>
      </c>
      <c r="T371" s="348">
        <f t="shared" si="45"/>
        <v>8.0971659919028341E-2</v>
      </c>
      <c r="U371" s="348">
        <f t="shared" si="45"/>
        <v>7.6923076923076927E-2</v>
      </c>
      <c r="V371" s="348">
        <f t="shared" si="45"/>
        <v>0</v>
      </c>
      <c r="W371" s="348">
        <f t="shared" si="45"/>
        <v>0</v>
      </c>
      <c r="X371" s="348">
        <f t="shared" si="45"/>
        <v>0</v>
      </c>
      <c r="Y371" s="348">
        <f t="shared" si="45"/>
        <v>5.6680161943319839E-2</v>
      </c>
      <c r="Z371" s="348">
        <f t="shared" si="45"/>
        <v>0</v>
      </c>
      <c r="AA371" s="348">
        <f t="shared" si="45"/>
        <v>4.4534412955465584E-2</v>
      </c>
      <c r="AB371" s="348">
        <f t="shared" si="45"/>
        <v>0</v>
      </c>
      <c r="AC371" s="348">
        <f t="shared" ref="AC371:AH371" si="46">AC370/$AI370</f>
        <v>0</v>
      </c>
      <c r="AD371" s="348">
        <f t="shared" si="46"/>
        <v>0</v>
      </c>
      <c r="AE371" s="348">
        <f t="shared" si="46"/>
        <v>0</v>
      </c>
      <c r="AF371" s="348">
        <f t="shared" si="46"/>
        <v>0</v>
      </c>
      <c r="AG371" s="348">
        <f t="shared" si="46"/>
        <v>0</v>
      </c>
      <c r="AH371" s="348">
        <f t="shared" si="46"/>
        <v>0</v>
      </c>
      <c r="AI371" s="376"/>
      <c r="AJ371" s="376"/>
    </row>
    <row r="373" spans="1:36">
      <c r="A373" s="165">
        <f>'Conveyor Downtime (new)'!A372</f>
        <v>46204</v>
      </c>
      <c r="B373" s="346"/>
      <c r="C373" s="346"/>
      <c r="D373" s="346"/>
      <c r="E373" s="346"/>
      <c r="F373" s="346"/>
      <c r="G373" s="346"/>
      <c r="H373" s="346"/>
      <c r="I373" s="346"/>
      <c r="J373" s="346"/>
      <c r="K373" s="346"/>
      <c r="L373" s="346"/>
      <c r="M373" s="346"/>
      <c r="N373" s="346"/>
      <c r="O373" s="346">
        <f>4+4</f>
        <v>8</v>
      </c>
      <c r="P373" s="346"/>
      <c r="Q373" s="346"/>
      <c r="R373" s="346"/>
      <c r="S373" s="346"/>
      <c r="T373" s="346"/>
      <c r="U373" s="346">
        <f>2+1+2+2+2+1+1</f>
        <v>11</v>
      </c>
      <c r="V373" s="346"/>
      <c r="W373" s="346"/>
      <c r="X373" s="346"/>
      <c r="Y373" s="346"/>
      <c r="Z373" s="346"/>
      <c r="AA373" s="346"/>
      <c r="AB373" s="346"/>
      <c r="AC373" s="346"/>
      <c r="AD373" s="346"/>
      <c r="AE373" s="346"/>
      <c r="AF373" s="346"/>
      <c r="AG373" s="346"/>
      <c r="AH373" s="346"/>
      <c r="AI373">
        <f t="shared" ref="AI373:AI403" si="47">SUM(B373:AH373)</f>
        <v>19</v>
      </c>
      <c r="AJ373" s="351">
        <f>AI373/$AI$184</f>
        <v>2.2093023255813953E-2</v>
      </c>
    </row>
    <row r="374" spans="1:36">
      <c r="A374" s="165">
        <f>'Conveyor Downtime (new)'!A373</f>
        <v>46204</v>
      </c>
      <c r="T374">
        <f>7</f>
        <v>7</v>
      </c>
      <c r="U374">
        <f>2+2</f>
        <v>4</v>
      </c>
      <c r="AI374">
        <f t="shared" si="47"/>
        <v>11</v>
      </c>
      <c r="AJ374" s="351">
        <f t="shared" ref="AJ374:AJ429" si="48">AI374/$AI$184</f>
        <v>1.2790697674418604E-2</v>
      </c>
    </row>
    <row r="375" spans="1:36">
      <c r="A375" s="165">
        <f>'Conveyor Downtime (new)'!A374</f>
        <v>46205</v>
      </c>
      <c r="B375" s="346"/>
      <c r="C375" s="346"/>
      <c r="D375" s="346"/>
      <c r="E375" s="346"/>
      <c r="F375" s="346"/>
      <c r="G375" s="346"/>
      <c r="H375" s="346"/>
      <c r="I375" s="346"/>
      <c r="J375" s="346"/>
      <c r="K375" s="346"/>
      <c r="L375" s="346"/>
      <c r="M375" s="346"/>
      <c r="N375" s="346"/>
      <c r="O375" s="346"/>
      <c r="P375" s="346"/>
      <c r="Q375" s="346"/>
      <c r="R375" s="346"/>
      <c r="S375" s="346"/>
      <c r="T375" s="346"/>
      <c r="U375" s="346">
        <f>2+4</f>
        <v>6</v>
      </c>
      <c r="V375" s="346"/>
      <c r="W375" s="346"/>
      <c r="X375" s="346"/>
      <c r="Y375" s="346"/>
      <c r="Z375" s="346"/>
      <c r="AA375" s="346"/>
      <c r="AB375" s="346"/>
      <c r="AC375" s="346"/>
      <c r="AD375" s="346"/>
      <c r="AE375" s="346">
        <v>26</v>
      </c>
      <c r="AF375" s="346"/>
      <c r="AG375" s="346"/>
      <c r="AH375" s="346"/>
      <c r="AI375">
        <f t="shared" si="47"/>
        <v>32</v>
      </c>
      <c r="AJ375" s="351">
        <f t="shared" si="48"/>
        <v>3.7209302325581395E-2</v>
      </c>
    </row>
    <row r="376" spans="1:36">
      <c r="A376" s="165">
        <f>'Conveyor Downtime (new)'!A375</f>
        <v>46205</v>
      </c>
      <c r="O376">
        <f>3</f>
        <v>3</v>
      </c>
      <c r="U376">
        <f>2</f>
        <v>2</v>
      </c>
      <c r="AI376">
        <f t="shared" si="47"/>
        <v>5</v>
      </c>
      <c r="AJ376" s="351">
        <f t="shared" si="48"/>
        <v>5.8139534883720929E-3</v>
      </c>
    </row>
    <row r="377" spans="1:36">
      <c r="A377" s="165">
        <f>'Conveyor Downtime (new)'!A376</f>
        <v>46205</v>
      </c>
      <c r="B377" s="346"/>
      <c r="C377" s="346"/>
      <c r="D377" s="346"/>
      <c r="E377" s="346"/>
      <c r="F377" s="346"/>
      <c r="G377" s="346"/>
      <c r="H377" s="346"/>
      <c r="I377" s="346"/>
      <c r="J377" s="346"/>
      <c r="K377" s="346"/>
      <c r="L377" s="346"/>
      <c r="M377" s="346"/>
      <c r="N377" s="346"/>
      <c r="O377" s="346">
        <f>6+4+3+9</f>
        <v>22</v>
      </c>
      <c r="P377" s="346"/>
      <c r="Q377" s="346"/>
      <c r="R377" s="346"/>
      <c r="S377" s="346"/>
      <c r="T377" s="346"/>
      <c r="U377" s="346">
        <v>2</v>
      </c>
      <c r="V377" s="346"/>
      <c r="W377" s="346"/>
      <c r="X377" s="346"/>
      <c r="Y377" s="346">
        <f>3+2+2+2</f>
        <v>9</v>
      </c>
      <c r="Z377" s="346"/>
      <c r="AA377" s="346"/>
      <c r="AB377" s="346"/>
      <c r="AC377" s="346"/>
      <c r="AD377" s="346"/>
      <c r="AE377" s="346"/>
      <c r="AF377" s="346"/>
      <c r="AG377" s="346"/>
      <c r="AH377" s="346"/>
      <c r="AI377">
        <f t="shared" si="47"/>
        <v>33</v>
      </c>
      <c r="AJ377" s="351">
        <f t="shared" si="48"/>
        <v>3.8372093023255817E-2</v>
      </c>
    </row>
    <row r="378" spans="1:36">
      <c r="A378" s="165">
        <f>'Conveyor Downtime (new)'!A377</f>
        <v>46206</v>
      </c>
      <c r="O378">
        <f>3</f>
        <v>3</v>
      </c>
      <c r="AI378">
        <f t="shared" si="47"/>
        <v>3</v>
      </c>
      <c r="AJ378" s="351">
        <f t="shared" si="48"/>
        <v>3.4883720930232558E-3</v>
      </c>
    </row>
    <row r="379" spans="1:36">
      <c r="A379" s="165">
        <f>'Conveyor Downtime (new)'!A378</f>
        <v>46206</v>
      </c>
      <c r="Y379">
        <f>2+3</f>
        <v>5</v>
      </c>
      <c r="AI379">
        <f t="shared" si="47"/>
        <v>5</v>
      </c>
      <c r="AJ379" s="351">
        <f t="shared" si="48"/>
        <v>5.8139534883720929E-3</v>
      </c>
    </row>
    <row r="380" spans="1:36">
      <c r="A380" s="165">
        <f>'Conveyor Downtime (new)'!A379</f>
        <v>46209</v>
      </c>
      <c r="B380" s="346"/>
      <c r="C380" s="346"/>
      <c r="D380" s="346"/>
      <c r="E380" s="346"/>
      <c r="F380" s="346"/>
      <c r="G380" s="346"/>
      <c r="H380" s="346"/>
      <c r="I380" s="346"/>
      <c r="J380" s="346"/>
      <c r="K380" s="346"/>
      <c r="L380" s="346"/>
      <c r="M380" s="346"/>
      <c r="N380" s="346">
        <f>4+4</f>
        <v>8</v>
      </c>
      <c r="O380" s="346">
        <f>3</f>
        <v>3</v>
      </c>
      <c r="P380" s="346"/>
      <c r="Q380" s="346"/>
      <c r="R380" s="346"/>
      <c r="S380" s="346"/>
      <c r="T380" s="346"/>
      <c r="U380" s="346">
        <f>2</f>
        <v>2</v>
      </c>
      <c r="V380" s="346"/>
      <c r="W380" s="346"/>
      <c r="X380" s="346"/>
      <c r="Y380" s="346"/>
      <c r="Z380" s="346"/>
      <c r="AA380" s="346"/>
      <c r="AB380" s="346"/>
      <c r="AC380" s="346"/>
      <c r="AD380" s="346"/>
      <c r="AE380" s="346"/>
      <c r="AF380" s="346"/>
      <c r="AG380" s="346"/>
      <c r="AH380" s="346"/>
      <c r="AI380">
        <f t="shared" si="47"/>
        <v>13</v>
      </c>
      <c r="AJ380" s="351">
        <f t="shared" si="48"/>
        <v>1.5116279069767442E-2</v>
      </c>
    </row>
    <row r="381" spans="1:36">
      <c r="A381" s="165">
        <f>'Conveyor Downtime (new)'!A380</f>
        <v>46210</v>
      </c>
      <c r="AA381">
        <f>3</f>
        <v>3</v>
      </c>
      <c r="AI381">
        <f t="shared" si="47"/>
        <v>3</v>
      </c>
      <c r="AJ381" s="351">
        <f t="shared" si="48"/>
        <v>3.4883720930232558E-3</v>
      </c>
    </row>
    <row r="382" spans="1:36">
      <c r="A382" s="165">
        <f>'Conveyor Downtime (new)'!A381</f>
        <v>46210</v>
      </c>
      <c r="B382" s="346"/>
      <c r="C382" s="346"/>
      <c r="D382" s="346"/>
      <c r="E382" s="346"/>
      <c r="F382" s="346"/>
      <c r="G382" s="346"/>
      <c r="H382" s="346"/>
      <c r="I382" s="346"/>
      <c r="J382" s="346"/>
      <c r="K382" s="346"/>
      <c r="L382" s="346"/>
      <c r="M382" s="346"/>
      <c r="N382" s="346"/>
      <c r="O382" s="346">
        <f>7+4</f>
        <v>11</v>
      </c>
      <c r="P382" s="346"/>
      <c r="Q382" s="346"/>
      <c r="R382" s="346"/>
      <c r="S382" s="346"/>
      <c r="T382" s="346"/>
      <c r="U382" s="346"/>
      <c r="V382" s="346"/>
      <c r="W382" s="346"/>
      <c r="X382" s="346"/>
      <c r="Y382" s="346"/>
      <c r="Z382" s="346"/>
      <c r="AA382" s="346"/>
      <c r="AB382" s="346"/>
      <c r="AC382" s="346"/>
      <c r="AD382" s="346"/>
      <c r="AE382" s="346"/>
      <c r="AF382" s="346"/>
      <c r="AG382" s="346"/>
      <c r="AH382" s="346"/>
      <c r="AI382">
        <f t="shared" si="47"/>
        <v>11</v>
      </c>
      <c r="AJ382" s="351">
        <f t="shared" si="48"/>
        <v>1.2790697674418604E-2</v>
      </c>
    </row>
    <row r="383" spans="1:36">
      <c r="A383" s="165">
        <f>'Conveyor Downtime (new)'!A382</f>
        <v>46211</v>
      </c>
      <c r="O383">
        <f>3+2</f>
        <v>5</v>
      </c>
      <c r="AI383">
        <f t="shared" si="47"/>
        <v>5</v>
      </c>
      <c r="AJ383" s="351">
        <f t="shared" si="48"/>
        <v>5.8139534883720929E-3</v>
      </c>
    </row>
    <row r="384" spans="1:36">
      <c r="A384" s="165">
        <f>'Conveyor Downtime (new)'!A383</f>
        <v>46211</v>
      </c>
      <c r="B384" s="346"/>
      <c r="C384" s="346"/>
      <c r="D384" s="346"/>
      <c r="E384" s="346"/>
      <c r="F384" s="346"/>
      <c r="G384" s="346"/>
      <c r="H384" s="346"/>
      <c r="I384" s="346"/>
      <c r="J384" s="346"/>
      <c r="K384" s="346"/>
      <c r="L384" s="346"/>
      <c r="M384" s="346"/>
      <c r="N384" s="346">
        <f>16+6+4</f>
        <v>26</v>
      </c>
      <c r="O384" s="346"/>
      <c r="P384" s="346"/>
      <c r="Q384" s="346"/>
      <c r="R384" s="346"/>
      <c r="S384" s="346"/>
      <c r="T384" s="346"/>
      <c r="U384" s="346"/>
      <c r="V384" s="346"/>
      <c r="W384" s="346"/>
      <c r="X384" s="346"/>
      <c r="Y384" s="346"/>
      <c r="Z384" s="346"/>
      <c r="AA384" s="346"/>
      <c r="AB384" s="346"/>
      <c r="AC384" s="346"/>
      <c r="AD384" s="346"/>
      <c r="AE384" s="346"/>
      <c r="AF384" s="346"/>
      <c r="AG384" s="346"/>
      <c r="AH384" s="346"/>
      <c r="AI384">
        <f t="shared" si="47"/>
        <v>26</v>
      </c>
      <c r="AJ384" s="351">
        <f t="shared" si="48"/>
        <v>3.0232558139534883E-2</v>
      </c>
    </row>
    <row r="385" spans="1:36">
      <c r="A385" s="165">
        <f>'Conveyor Downtime (new)'!A384</f>
        <v>46211</v>
      </c>
      <c r="N385">
        <f>1</f>
        <v>1</v>
      </c>
      <c r="AI385">
        <f t="shared" si="47"/>
        <v>1</v>
      </c>
      <c r="AJ385" s="351">
        <f t="shared" si="48"/>
        <v>1.1627906976744186E-3</v>
      </c>
    </row>
    <row r="386" spans="1:36">
      <c r="A386" s="165">
        <f>'Conveyor Downtime (new)'!A385</f>
        <v>46211</v>
      </c>
      <c r="B386" s="346"/>
      <c r="C386" s="346"/>
      <c r="D386" s="346"/>
      <c r="E386" s="346"/>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f t="shared" si="47"/>
        <v>0</v>
      </c>
      <c r="AJ386" s="351">
        <f t="shared" si="48"/>
        <v>0</v>
      </c>
    </row>
    <row r="387" spans="1:36" ht="13.5" customHeight="1">
      <c r="A387" s="165">
        <f>'Conveyor Downtime (new)'!A386</f>
        <v>46211</v>
      </c>
      <c r="AI387">
        <f t="shared" si="47"/>
        <v>0</v>
      </c>
      <c r="AJ387" s="351">
        <f t="shared" si="48"/>
        <v>0</v>
      </c>
    </row>
    <row r="388" spans="1:36">
      <c r="A388" s="165">
        <f>'Conveyor Downtime (new)'!A387</f>
        <v>46212</v>
      </c>
      <c r="B388" s="346"/>
      <c r="C388" s="346"/>
      <c r="D388" s="346"/>
      <c r="E388" s="346"/>
      <c r="F388" s="346"/>
      <c r="G388" s="346"/>
      <c r="H388" s="346"/>
      <c r="I388" s="346"/>
      <c r="J388" s="346"/>
      <c r="K388" s="346"/>
      <c r="L388" s="346"/>
      <c r="M388" s="346"/>
      <c r="N388" s="346"/>
      <c r="O388" s="346">
        <f>4+10+8+8</f>
        <v>30</v>
      </c>
      <c r="P388" s="346"/>
      <c r="Q388" s="346"/>
      <c r="R388" s="346"/>
      <c r="S388" s="346"/>
      <c r="T388" s="346"/>
      <c r="U388" s="346"/>
      <c r="V388" s="346"/>
      <c r="W388" s="346"/>
      <c r="X388" s="346"/>
      <c r="Y388" s="346"/>
      <c r="Z388" s="346"/>
      <c r="AA388" s="346">
        <f>5</f>
        <v>5</v>
      </c>
      <c r="AB388" s="346"/>
      <c r="AC388" s="346"/>
      <c r="AD388" s="346"/>
      <c r="AE388" s="346"/>
      <c r="AF388" s="346"/>
      <c r="AG388" s="346"/>
      <c r="AH388" s="346"/>
      <c r="AI388">
        <f t="shared" si="47"/>
        <v>35</v>
      </c>
      <c r="AJ388" s="351">
        <f t="shared" si="48"/>
        <v>4.0697674418604654E-2</v>
      </c>
    </row>
    <row r="389" spans="1:36">
      <c r="A389" s="165">
        <f>'Conveyor Downtime (new)'!A388</f>
        <v>46212</v>
      </c>
      <c r="O389">
        <f>6+2</f>
        <v>8</v>
      </c>
      <c r="AI389" s="77">
        <f t="shared" si="47"/>
        <v>8</v>
      </c>
      <c r="AJ389" s="351">
        <f t="shared" si="48"/>
        <v>9.3023255813953487E-3</v>
      </c>
    </row>
    <row r="390" spans="1:36">
      <c r="A390" s="165">
        <f>'Conveyor Downtime (new)'!A389</f>
        <v>46212</v>
      </c>
      <c r="B390" s="346"/>
      <c r="C390" s="346"/>
      <c r="D390" s="346"/>
      <c r="E390" s="346"/>
      <c r="F390" s="346"/>
      <c r="G390" s="346"/>
      <c r="H390" s="346"/>
      <c r="I390" s="346"/>
      <c r="J390" s="346"/>
      <c r="K390" s="346">
        <f>2</f>
        <v>2</v>
      </c>
      <c r="L390" s="346"/>
      <c r="M390" s="346"/>
      <c r="N390" s="346"/>
      <c r="O390" s="346"/>
      <c r="P390" s="346"/>
      <c r="Q390" s="346"/>
      <c r="R390" s="346"/>
      <c r="S390" s="346"/>
      <c r="T390" s="346"/>
      <c r="U390" s="346"/>
      <c r="V390" s="346"/>
      <c r="W390" s="346"/>
      <c r="X390" s="346"/>
      <c r="Y390" s="346"/>
      <c r="Z390" s="346"/>
      <c r="AA390" s="346"/>
      <c r="AB390" s="346"/>
      <c r="AC390" s="346"/>
      <c r="AD390" s="346"/>
      <c r="AE390" s="346"/>
      <c r="AF390" s="346"/>
      <c r="AG390" s="346"/>
      <c r="AH390" s="346"/>
      <c r="AI390">
        <f t="shared" si="47"/>
        <v>2</v>
      </c>
      <c r="AJ390" s="351">
        <f t="shared" si="48"/>
        <v>2.3255813953488372E-3</v>
      </c>
    </row>
    <row r="391" spans="1:36" ht="11.25" customHeight="1">
      <c r="A391" s="165">
        <f>'Conveyor Downtime (new)'!A390</f>
        <v>46213</v>
      </c>
      <c r="O391">
        <f>4+5+5</f>
        <v>14</v>
      </c>
      <c r="U391">
        <f>2</f>
        <v>2</v>
      </c>
      <c r="Y391">
        <f>2+2+2</f>
        <v>6</v>
      </c>
      <c r="AI391">
        <f t="shared" si="47"/>
        <v>22</v>
      </c>
      <c r="AJ391" s="351">
        <f t="shared" si="48"/>
        <v>2.5581395348837209E-2</v>
      </c>
    </row>
    <row r="392" spans="1:36">
      <c r="A392" s="165">
        <f>'Conveyor Downtime (new)'!A391</f>
        <v>46213</v>
      </c>
      <c r="B392" s="346"/>
      <c r="C392" s="346">
        <f>8+4+6</f>
        <v>18</v>
      </c>
      <c r="D392" s="346"/>
      <c r="E392" s="346"/>
      <c r="F392" s="346"/>
      <c r="G392" s="346"/>
      <c r="H392" s="346"/>
      <c r="I392" s="346"/>
      <c r="J392" s="346"/>
      <c r="K392" s="346"/>
      <c r="L392" s="346"/>
      <c r="M392" s="346"/>
      <c r="N392" s="346"/>
      <c r="O392" s="346">
        <f>5</f>
        <v>5</v>
      </c>
      <c r="P392" s="346"/>
      <c r="Q392" s="346"/>
      <c r="R392" s="346"/>
      <c r="S392" s="346"/>
      <c r="T392" s="346"/>
      <c r="U392" s="346"/>
      <c r="V392" s="346"/>
      <c r="W392" s="346"/>
      <c r="X392" s="346"/>
      <c r="Y392" s="346"/>
      <c r="Z392" s="346"/>
      <c r="AA392" s="346"/>
      <c r="AB392" s="346"/>
      <c r="AC392" s="346"/>
      <c r="AD392" s="346"/>
      <c r="AE392" s="346"/>
      <c r="AF392" s="346"/>
      <c r="AG392" s="346"/>
      <c r="AH392" s="346"/>
      <c r="AI392">
        <f t="shared" si="47"/>
        <v>23</v>
      </c>
      <c r="AJ392" s="351">
        <f t="shared" si="48"/>
        <v>2.6744186046511628E-2</v>
      </c>
    </row>
    <row r="393" spans="1:36">
      <c r="A393" s="165">
        <f>'Conveyor Downtime (new)'!A392</f>
        <v>46216</v>
      </c>
      <c r="U393">
        <f>2</f>
        <v>2</v>
      </c>
      <c r="AA393">
        <f>3</f>
        <v>3</v>
      </c>
      <c r="AI393">
        <f t="shared" si="47"/>
        <v>5</v>
      </c>
      <c r="AJ393" s="351">
        <f t="shared" si="48"/>
        <v>5.8139534883720929E-3</v>
      </c>
    </row>
    <row r="394" spans="1:36">
      <c r="A394" s="165">
        <f>'Conveyor Downtime (new)'!A393</f>
        <v>46216</v>
      </c>
      <c r="B394" s="346"/>
      <c r="C394" s="346"/>
      <c r="D394" s="346"/>
      <c r="E394" s="346"/>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f t="shared" si="47"/>
        <v>0</v>
      </c>
      <c r="AJ394" s="351">
        <f t="shared" si="48"/>
        <v>0</v>
      </c>
    </row>
    <row r="395" spans="1:36">
      <c r="A395" s="165">
        <f>'Conveyor Downtime (new)'!A394</f>
        <v>46217</v>
      </c>
      <c r="N395">
        <f>2</f>
        <v>2</v>
      </c>
      <c r="O395">
        <f>3+2+2+5+5+3+3</f>
        <v>23</v>
      </c>
      <c r="U395">
        <f>2+3+3</f>
        <v>8</v>
      </c>
      <c r="AA395">
        <f>4</f>
        <v>4</v>
      </c>
      <c r="AH395">
        <f>10+4+8+4</f>
        <v>26</v>
      </c>
      <c r="AI395">
        <f t="shared" si="47"/>
        <v>63</v>
      </c>
      <c r="AJ395" s="351">
        <f t="shared" si="48"/>
        <v>7.3255813953488375E-2</v>
      </c>
    </row>
    <row r="396" spans="1:36">
      <c r="A396" s="165">
        <f>'Conveyor Downtime (new)'!A395</f>
        <v>46218</v>
      </c>
      <c r="B396" s="346"/>
      <c r="C396" s="346"/>
      <c r="D396" s="346"/>
      <c r="E396" s="346"/>
      <c r="F396" s="346"/>
      <c r="G396" s="346"/>
      <c r="H396" s="346"/>
      <c r="I396" s="346"/>
      <c r="J396" s="346"/>
      <c r="K396" s="346"/>
      <c r="L396" s="346"/>
      <c r="M396" s="346"/>
      <c r="N396" s="346">
        <f>4+4</f>
        <v>8</v>
      </c>
      <c r="O396" s="346">
        <f>4+5</f>
        <v>9</v>
      </c>
      <c r="P396" s="346">
        <f>5+11</f>
        <v>16</v>
      </c>
      <c r="Q396" s="346"/>
      <c r="R396" s="346"/>
      <c r="S396" s="346"/>
      <c r="T396" s="346"/>
      <c r="U396" s="346"/>
      <c r="V396" s="346"/>
      <c r="W396" s="346"/>
      <c r="X396" s="346"/>
      <c r="Y396" s="346"/>
      <c r="Z396" s="346"/>
      <c r="AA396" s="346"/>
      <c r="AB396" s="346"/>
      <c r="AC396" s="346"/>
      <c r="AD396" s="346"/>
      <c r="AE396" s="346"/>
      <c r="AF396" s="346"/>
      <c r="AG396" s="346"/>
      <c r="AH396" s="346"/>
      <c r="AI396">
        <f t="shared" si="47"/>
        <v>33</v>
      </c>
      <c r="AJ396" s="351">
        <f t="shared" si="48"/>
        <v>3.8372093023255817E-2</v>
      </c>
    </row>
    <row r="397" spans="1:36">
      <c r="A397" s="165">
        <f>'Conveyor Downtime (new)'!A396</f>
        <v>46218</v>
      </c>
      <c r="O397">
        <f>4+4+2+3</f>
        <v>13</v>
      </c>
      <c r="U397">
        <f>3+2+2</f>
        <v>7</v>
      </c>
      <c r="AI397">
        <f t="shared" si="47"/>
        <v>20</v>
      </c>
      <c r="AJ397" s="351">
        <f t="shared" si="48"/>
        <v>2.3255813953488372E-2</v>
      </c>
    </row>
    <row r="398" spans="1:36">
      <c r="A398" s="165">
        <f>'Conveyor Downtime (new)'!A397</f>
        <v>46219</v>
      </c>
      <c r="B398" s="346"/>
      <c r="C398" s="346">
        <f>4+5</f>
        <v>9</v>
      </c>
      <c r="D398" s="346"/>
      <c r="E398" s="346"/>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f t="shared" si="47"/>
        <v>9</v>
      </c>
      <c r="AJ398" s="351">
        <f t="shared" si="48"/>
        <v>1.0465116279069767E-2</v>
      </c>
    </row>
    <row r="399" spans="1:36">
      <c r="A399" s="165">
        <f>'Conveyor Downtime (new)'!A398</f>
        <v>46219</v>
      </c>
      <c r="N399">
        <f>14</f>
        <v>14</v>
      </c>
      <c r="O399">
        <f>7</f>
        <v>7</v>
      </c>
      <c r="P399">
        <f>3+6</f>
        <v>9</v>
      </c>
      <c r="AI399">
        <f t="shared" si="47"/>
        <v>30</v>
      </c>
      <c r="AJ399" s="351">
        <f t="shared" si="48"/>
        <v>3.4883720930232558E-2</v>
      </c>
    </row>
    <row r="400" spans="1:36">
      <c r="A400" s="165">
        <f>'Conveyor Downtime (new)'!A399</f>
        <v>46219</v>
      </c>
      <c r="B400" s="346"/>
      <c r="C400" s="346"/>
      <c r="D400" s="346"/>
      <c r="E400" s="346"/>
      <c r="F400" s="346"/>
      <c r="G400" s="346"/>
      <c r="H400" s="346"/>
      <c r="I400" s="346"/>
      <c r="J400" s="346"/>
      <c r="K400" s="346"/>
      <c r="L400" s="346"/>
      <c r="M400" s="346"/>
      <c r="N400" s="346"/>
      <c r="O400" s="346"/>
      <c r="P400" s="346"/>
      <c r="Q400" s="346"/>
      <c r="R400" s="346"/>
      <c r="S400" s="346">
        <f>5+8</f>
        <v>13</v>
      </c>
      <c r="T400" s="346"/>
      <c r="U400" s="346"/>
      <c r="V400" s="346"/>
      <c r="W400" s="346"/>
      <c r="X400" s="346"/>
      <c r="Y400" s="346"/>
      <c r="Z400" s="346"/>
      <c r="AA400" s="346"/>
      <c r="AB400" s="346"/>
      <c r="AC400" s="346"/>
      <c r="AD400" s="346"/>
      <c r="AE400" s="346"/>
      <c r="AF400" s="346"/>
      <c r="AG400" s="346"/>
      <c r="AH400" s="346"/>
      <c r="AI400">
        <f t="shared" si="47"/>
        <v>13</v>
      </c>
      <c r="AJ400" s="351">
        <f t="shared" si="48"/>
        <v>1.5116279069767442E-2</v>
      </c>
    </row>
    <row r="401" spans="1:36">
      <c r="A401" s="165">
        <f>'Conveyor Downtime (new)'!A400</f>
        <v>46219</v>
      </c>
      <c r="M401">
        <f>6</f>
        <v>6</v>
      </c>
      <c r="AI401">
        <f t="shared" si="47"/>
        <v>6</v>
      </c>
      <c r="AJ401" s="351">
        <f t="shared" si="48"/>
        <v>6.9767441860465115E-3</v>
      </c>
    </row>
    <row r="402" spans="1:36">
      <c r="A402" s="165">
        <f>'Conveyor Downtime (new)'!A401</f>
        <v>46220</v>
      </c>
      <c r="B402" s="346"/>
      <c r="C402" s="346"/>
      <c r="D402" s="346"/>
      <c r="E402" s="346"/>
      <c r="F402" s="346"/>
      <c r="G402" s="346"/>
      <c r="H402" s="346"/>
      <c r="I402" s="346"/>
      <c r="J402" s="346"/>
      <c r="K402" s="346"/>
      <c r="L402" s="346"/>
      <c r="M402" s="346"/>
      <c r="N402" s="346"/>
      <c r="O402" s="346">
        <f>3+2</f>
        <v>5</v>
      </c>
      <c r="P402" s="346"/>
      <c r="Q402" s="346"/>
      <c r="R402" s="346"/>
      <c r="S402" s="346"/>
      <c r="T402" s="346"/>
      <c r="U402" s="346"/>
      <c r="V402" s="346"/>
      <c r="W402" s="346"/>
      <c r="X402" s="346"/>
      <c r="Y402" s="346"/>
      <c r="Z402" s="346"/>
      <c r="AA402" s="346"/>
      <c r="AB402" s="346"/>
      <c r="AC402" s="346"/>
      <c r="AD402" s="346"/>
      <c r="AE402" s="346"/>
      <c r="AF402" s="346"/>
      <c r="AG402" s="346"/>
      <c r="AH402" s="346"/>
      <c r="AI402">
        <f t="shared" si="47"/>
        <v>5</v>
      </c>
      <c r="AJ402" s="351">
        <f t="shared" si="48"/>
        <v>5.8139534883720929E-3</v>
      </c>
    </row>
    <row r="403" spans="1:36">
      <c r="A403" s="165">
        <f>'Conveyor Downtime (new)'!A402</f>
        <v>46220</v>
      </c>
      <c r="AI403">
        <f t="shared" si="47"/>
        <v>0</v>
      </c>
      <c r="AJ403" s="351">
        <f t="shared" si="48"/>
        <v>0</v>
      </c>
    </row>
    <row r="404" spans="1:36">
      <c r="A404" s="165">
        <f>'Conveyor Downtime (new)'!A403</f>
        <v>46223</v>
      </c>
      <c r="B404" s="346"/>
      <c r="C404" s="346">
        <f>20+60+28</f>
        <v>108</v>
      </c>
      <c r="D404" s="346"/>
      <c r="E404" s="346"/>
      <c r="F404" s="346"/>
      <c r="G404" s="346"/>
      <c r="H404" s="346"/>
      <c r="I404" s="346"/>
      <c r="J404" s="346"/>
      <c r="K404" s="346"/>
      <c r="L404" s="346"/>
      <c r="M404" s="346"/>
      <c r="N404" s="346"/>
      <c r="O404" s="346">
        <f>4+3+4+5</f>
        <v>16</v>
      </c>
      <c r="P404" s="346"/>
      <c r="Q404" s="346"/>
      <c r="R404" s="346"/>
      <c r="S404" s="346"/>
      <c r="T404" s="346"/>
      <c r="U404" s="346">
        <f>3+2+1+2</f>
        <v>8</v>
      </c>
      <c r="V404" s="346"/>
      <c r="W404" s="346"/>
      <c r="X404" s="346"/>
      <c r="Y404" s="346"/>
      <c r="Z404" s="346"/>
      <c r="AA404" s="346"/>
      <c r="AB404" s="346"/>
      <c r="AC404" s="346"/>
      <c r="AD404" s="346"/>
      <c r="AE404" s="346"/>
      <c r="AF404" s="346"/>
      <c r="AG404" s="346"/>
      <c r="AH404" s="346"/>
      <c r="AI404">
        <f t="shared" ref="AI404:AI429" si="49">SUM(B404:AH404)</f>
        <v>132</v>
      </c>
      <c r="AJ404" s="351">
        <f t="shared" si="48"/>
        <v>0.15348837209302327</v>
      </c>
    </row>
    <row r="405" spans="1:36">
      <c r="A405" s="165">
        <f>'Conveyor Downtime (new)'!A404</f>
        <v>46223</v>
      </c>
      <c r="AI405">
        <f t="shared" si="49"/>
        <v>0</v>
      </c>
      <c r="AJ405" s="351">
        <f t="shared" si="48"/>
        <v>0</v>
      </c>
    </row>
    <row r="406" spans="1:36">
      <c r="A406" s="165">
        <f>'Conveyor Downtime (new)'!A405</f>
        <v>46224</v>
      </c>
      <c r="B406" s="346"/>
      <c r="C406" s="346"/>
      <c r="D406" s="346"/>
      <c r="E406" s="346"/>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f t="shared" si="49"/>
        <v>0</v>
      </c>
      <c r="AJ406" s="351">
        <f t="shared" si="48"/>
        <v>0</v>
      </c>
    </row>
    <row r="407" spans="1:36">
      <c r="A407" s="165">
        <f>'Conveyor Downtime (new)'!A406</f>
        <v>46224</v>
      </c>
      <c r="O407">
        <v>3</v>
      </c>
      <c r="U407" s="346">
        <f>2+2</f>
        <v>4</v>
      </c>
      <c r="Y407">
        <v>2</v>
      </c>
      <c r="AI407">
        <f t="shared" si="49"/>
        <v>9</v>
      </c>
      <c r="AJ407" s="351">
        <f t="shared" si="48"/>
        <v>1.0465116279069767E-2</v>
      </c>
    </row>
    <row r="408" spans="1:36">
      <c r="A408" s="165">
        <f>'Conveyor Downtime (new)'!A407</f>
        <v>46224</v>
      </c>
      <c r="B408" s="346"/>
      <c r="C408" s="346"/>
      <c r="D408" s="346"/>
      <c r="E408" s="346"/>
      <c r="F408" s="346"/>
      <c r="G408" s="346"/>
      <c r="H408" s="346"/>
      <c r="I408" s="346"/>
      <c r="J408" s="346"/>
      <c r="K408" s="346"/>
      <c r="L408" s="346"/>
      <c r="M408" s="346"/>
      <c r="N408" s="346"/>
      <c r="O408" s="346"/>
      <c r="P408" s="346"/>
      <c r="Q408" s="346"/>
      <c r="R408" s="346"/>
      <c r="S408" s="346"/>
      <c r="T408" s="346"/>
      <c r="V408" s="346"/>
      <c r="W408" s="346"/>
      <c r="X408" s="346"/>
      <c r="Y408" s="346"/>
      <c r="Z408" s="346"/>
      <c r="AA408" s="346"/>
      <c r="AB408" s="346"/>
      <c r="AC408" s="346"/>
      <c r="AD408" s="346"/>
      <c r="AE408" s="346"/>
      <c r="AF408" s="346"/>
      <c r="AG408" s="346"/>
      <c r="AH408" s="346"/>
      <c r="AI408">
        <f t="shared" si="49"/>
        <v>0</v>
      </c>
      <c r="AJ408" s="351">
        <f t="shared" si="48"/>
        <v>0</v>
      </c>
    </row>
    <row r="409" spans="1:36">
      <c r="A409" s="165">
        <f>'Conveyor Downtime (new)'!A408</f>
        <v>46225</v>
      </c>
      <c r="U409" s="346"/>
      <c r="AI409">
        <f t="shared" si="49"/>
        <v>0</v>
      </c>
      <c r="AJ409" s="351">
        <f t="shared" si="48"/>
        <v>0</v>
      </c>
    </row>
    <row r="410" spans="1:36">
      <c r="A410" s="165">
        <f>'Conveyor Downtime (new)'!A409</f>
        <v>46225</v>
      </c>
      <c r="B410" s="346"/>
      <c r="C410" s="346"/>
      <c r="D410" s="346"/>
      <c r="E410" s="346"/>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f t="shared" si="49"/>
        <v>0</v>
      </c>
      <c r="AJ410" s="351">
        <f t="shared" si="48"/>
        <v>0</v>
      </c>
    </row>
    <row r="411" spans="1:36">
      <c r="A411" s="165">
        <f>'Conveyor Downtime (new)'!A410</f>
        <v>46226</v>
      </c>
      <c r="U411">
        <f>2</f>
        <v>2</v>
      </c>
      <c r="AI411">
        <f t="shared" si="49"/>
        <v>2</v>
      </c>
      <c r="AJ411" s="351">
        <f t="shared" si="48"/>
        <v>2.3255813953488372E-3</v>
      </c>
    </row>
    <row r="412" spans="1:36">
      <c r="A412" s="165">
        <f>'Conveyor Downtime (new)'!A411</f>
        <v>46226</v>
      </c>
      <c r="B412" s="346"/>
      <c r="C412" s="346"/>
      <c r="D412" s="346"/>
      <c r="E412" s="346"/>
      <c r="F412" s="346"/>
      <c r="G412" s="346"/>
      <c r="H412" s="346"/>
      <c r="I412" s="346"/>
      <c r="J412" s="346"/>
      <c r="K412" s="346"/>
      <c r="L412" s="346"/>
      <c r="M412" s="346"/>
      <c r="N412" s="346"/>
      <c r="O412" s="346">
        <f>4+3+4</f>
        <v>11</v>
      </c>
      <c r="P412" s="346"/>
      <c r="Q412" s="346"/>
      <c r="R412" s="346"/>
      <c r="S412" s="346"/>
      <c r="T412" s="346"/>
      <c r="U412" s="346"/>
      <c r="V412" s="346"/>
      <c r="W412" s="346"/>
      <c r="X412" s="346"/>
      <c r="Y412" s="346"/>
      <c r="Z412" s="346"/>
      <c r="AA412" s="346"/>
      <c r="AB412" s="346"/>
      <c r="AC412" s="346"/>
      <c r="AD412" s="346"/>
      <c r="AE412" s="346"/>
      <c r="AF412" s="346"/>
      <c r="AG412" s="346"/>
      <c r="AH412" s="346">
        <f>40+26</f>
        <v>66</v>
      </c>
      <c r="AI412">
        <f t="shared" si="49"/>
        <v>77</v>
      </c>
      <c r="AJ412" s="351">
        <f t="shared" si="48"/>
        <v>8.9534883720930228E-2</v>
      </c>
    </row>
    <row r="413" spans="1:36">
      <c r="A413" s="165">
        <f>'Conveyor Downtime (new)'!A412</f>
        <v>46227</v>
      </c>
      <c r="AI413">
        <f t="shared" si="49"/>
        <v>0</v>
      </c>
      <c r="AJ413" s="351">
        <f t="shared" si="48"/>
        <v>0</v>
      </c>
    </row>
    <row r="414" spans="1:36">
      <c r="A414" s="165">
        <f>'Conveyor Downtime (new)'!A413</f>
        <v>46227</v>
      </c>
      <c r="B414" s="346"/>
      <c r="C414" s="346"/>
      <c r="D414" s="346"/>
      <c r="E414" s="346"/>
      <c r="F414" s="346"/>
      <c r="G414" s="346"/>
      <c r="H414" s="346"/>
      <c r="I414" s="346"/>
      <c r="J414" s="346"/>
      <c r="K414" s="346"/>
      <c r="L414" s="346"/>
      <c r="M414" s="346"/>
      <c r="N414" s="346"/>
      <c r="O414" s="346"/>
      <c r="P414" s="346"/>
      <c r="Q414" s="346"/>
      <c r="R414" s="346"/>
      <c r="S414" s="346"/>
      <c r="T414" s="346"/>
      <c r="U414" s="346"/>
      <c r="V414" s="346">
        <f>53+60</f>
        <v>113</v>
      </c>
      <c r="W414" s="346"/>
      <c r="X414" s="346"/>
      <c r="Y414" s="346"/>
      <c r="Z414" s="346"/>
      <c r="AA414" s="346"/>
      <c r="AB414" s="346"/>
      <c r="AC414" s="346"/>
      <c r="AD414" s="346"/>
      <c r="AE414" s="346"/>
      <c r="AF414" s="346"/>
      <c r="AG414" s="346"/>
      <c r="AH414" s="346"/>
      <c r="AI414">
        <f t="shared" ref="AI414:AI419" si="50">SUM(B414:AH414)</f>
        <v>113</v>
      </c>
      <c r="AJ414" s="351">
        <f t="shared" ref="AJ414:AJ419" si="51">AI414/$AI$184</f>
        <v>0.1313953488372093</v>
      </c>
    </row>
    <row r="415" spans="1:36">
      <c r="A415" s="165">
        <f>'Conveyor Downtime (new)'!A414</f>
        <v>46230</v>
      </c>
      <c r="N415">
        <f>4+2+25+3</f>
        <v>34</v>
      </c>
      <c r="O415">
        <f>50+2+2+4</f>
        <v>58</v>
      </c>
      <c r="AI415">
        <f t="shared" si="50"/>
        <v>92</v>
      </c>
      <c r="AJ415" s="351">
        <f t="shared" si="51"/>
        <v>0.10697674418604651</v>
      </c>
    </row>
    <row r="416" spans="1:36">
      <c r="A416" s="165">
        <f>'Conveyor Downtime (new)'!A415</f>
        <v>46231</v>
      </c>
      <c r="B416" s="346"/>
      <c r="C416" s="346"/>
      <c r="D416" s="346"/>
      <c r="E416" s="346"/>
      <c r="F416" s="346"/>
      <c r="G416" s="346"/>
      <c r="H416" s="346"/>
      <c r="I416" s="346"/>
      <c r="J416" s="346"/>
      <c r="K416" s="346"/>
      <c r="L416" s="346"/>
      <c r="M416" s="346"/>
      <c r="O416" s="346"/>
      <c r="P416" s="346"/>
      <c r="Q416" s="346"/>
      <c r="R416" s="346"/>
      <c r="S416" s="346"/>
      <c r="T416" s="346"/>
      <c r="U416" s="346"/>
      <c r="V416" s="346"/>
      <c r="W416" s="346"/>
      <c r="X416" s="346"/>
      <c r="Y416" s="346"/>
      <c r="Z416" s="346"/>
      <c r="AA416" s="346">
        <f>2+3+3</f>
        <v>8</v>
      </c>
      <c r="AB416" s="346"/>
      <c r="AC416" s="346"/>
      <c r="AD416" s="346"/>
      <c r="AE416" s="346"/>
      <c r="AF416" s="346"/>
      <c r="AG416" s="346"/>
      <c r="AH416" s="346"/>
      <c r="AI416">
        <f t="shared" si="50"/>
        <v>8</v>
      </c>
      <c r="AJ416" s="351">
        <f t="shared" si="51"/>
        <v>9.3023255813953487E-3</v>
      </c>
    </row>
    <row r="417" spans="1:36">
      <c r="A417" s="165">
        <f>'Conveyor Downtime (new)'!A416</f>
        <v>46231</v>
      </c>
      <c r="H417">
        <f>2</f>
        <v>2</v>
      </c>
      <c r="N417">
        <f>6</f>
        <v>6</v>
      </c>
      <c r="U417">
        <v>2</v>
      </c>
      <c r="Y417">
        <v>3</v>
      </c>
      <c r="AI417">
        <f t="shared" si="50"/>
        <v>13</v>
      </c>
      <c r="AJ417" s="351">
        <f t="shared" si="51"/>
        <v>1.5116279069767442E-2</v>
      </c>
    </row>
    <row r="418" spans="1:36">
      <c r="A418" s="165">
        <f>'Conveyor Downtime (new)'!A417</f>
        <v>46232</v>
      </c>
      <c r="B418" s="346"/>
      <c r="C418" s="346"/>
      <c r="D418" s="346"/>
      <c r="E418" s="346"/>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c r="AE418" s="346"/>
      <c r="AF418" s="346"/>
      <c r="AG418" s="346"/>
      <c r="AH418" s="346"/>
      <c r="AI418">
        <f t="shared" si="50"/>
        <v>0</v>
      </c>
      <c r="AJ418" s="351">
        <f t="shared" si="51"/>
        <v>0</v>
      </c>
    </row>
    <row r="419" spans="1:36">
      <c r="A419" s="165">
        <f>'Conveyor Downtime (new)'!A418</f>
        <v>46232</v>
      </c>
      <c r="AI419">
        <f t="shared" si="50"/>
        <v>0</v>
      </c>
      <c r="AJ419" s="351">
        <f t="shared" si="51"/>
        <v>0</v>
      </c>
    </row>
    <row r="420" spans="1:36">
      <c r="A420" s="165">
        <f>'Conveyor Downtime (new)'!A419</f>
        <v>46232</v>
      </c>
      <c r="B420" s="346"/>
      <c r="C420" s="346"/>
      <c r="F420" s="346"/>
      <c r="G420" s="346"/>
      <c r="H420" s="346"/>
      <c r="I420" s="346"/>
      <c r="J420" s="346"/>
      <c r="K420" s="346"/>
      <c r="L420" s="346"/>
      <c r="M420" s="346"/>
      <c r="N420" s="346">
        <v>10</v>
      </c>
      <c r="O420" s="346">
        <v>4</v>
      </c>
      <c r="P420" s="346"/>
      <c r="Q420" s="346"/>
      <c r="R420" s="346"/>
      <c r="S420" s="346"/>
      <c r="T420" s="346"/>
      <c r="U420" s="346"/>
      <c r="V420" s="346"/>
      <c r="W420" s="346"/>
      <c r="X420" s="346"/>
      <c r="Y420" s="346"/>
      <c r="Z420" s="346"/>
      <c r="AA420" s="346"/>
      <c r="AB420" s="346"/>
      <c r="AC420" s="346"/>
      <c r="AD420" s="346"/>
      <c r="AE420" s="346"/>
      <c r="AF420" s="346"/>
      <c r="AG420" s="346"/>
      <c r="AH420" s="346"/>
      <c r="AI420">
        <f t="shared" si="49"/>
        <v>14</v>
      </c>
      <c r="AJ420" s="351">
        <f t="shared" si="48"/>
        <v>1.627906976744186E-2</v>
      </c>
    </row>
    <row r="421" spans="1:36">
      <c r="A421" s="165">
        <f>'Conveyor Downtime (new)'!A420</f>
        <v>46233</v>
      </c>
      <c r="B421" s="165">
        <f>'Conveyor Downtime (new)'!B420</f>
        <v>0</v>
      </c>
      <c r="C421" s="165">
        <f>'Conveyor Downtime (new)'!C420</f>
        <v>0</v>
      </c>
      <c r="AI421">
        <f t="shared" si="49"/>
        <v>0</v>
      </c>
      <c r="AJ421" s="351">
        <f t="shared" si="48"/>
        <v>0</v>
      </c>
    </row>
    <row r="422" spans="1:36">
      <c r="A422" s="165">
        <f>'Conveyor Downtime (new)'!A421</f>
        <v>46233</v>
      </c>
      <c r="B422" s="165">
        <f>'Conveyor Downtime (new)'!B421</f>
        <v>0</v>
      </c>
      <c r="C422" s="165">
        <f>'Conveyor Downtime (new)'!C421</f>
        <v>0</v>
      </c>
      <c r="F422" s="346"/>
      <c r="G422" s="346"/>
      <c r="H422" s="346"/>
      <c r="I422" s="346"/>
      <c r="J422" s="346"/>
      <c r="K422" s="346"/>
      <c r="L422" s="346"/>
      <c r="M422" s="346"/>
      <c r="N422">
        <f>15</f>
        <v>15</v>
      </c>
      <c r="O422">
        <f>3+4+3</f>
        <v>10</v>
      </c>
      <c r="P422" s="346"/>
      <c r="Q422" s="346"/>
      <c r="R422" s="346"/>
      <c r="S422" s="346"/>
      <c r="T422" s="346"/>
      <c r="U422" s="346"/>
      <c r="V422" s="346"/>
      <c r="W422" s="346"/>
      <c r="X422" s="346"/>
      <c r="Y422" s="346"/>
      <c r="Z422" s="346"/>
      <c r="AA422" s="346">
        <v>2</v>
      </c>
      <c r="AB422" s="346"/>
      <c r="AC422" s="346"/>
      <c r="AD422" s="346"/>
      <c r="AE422" s="346"/>
      <c r="AF422" s="346"/>
      <c r="AG422" s="346"/>
      <c r="AH422" s="346"/>
      <c r="AI422">
        <f t="shared" si="49"/>
        <v>27</v>
      </c>
      <c r="AJ422" s="351">
        <f t="shared" si="48"/>
        <v>3.1395348837209305E-2</v>
      </c>
    </row>
    <row r="423" spans="1:36">
      <c r="A423" s="165">
        <f>'Conveyor Downtime (new)'!A422</f>
        <v>46233</v>
      </c>
      <c r="N423" s="346"/>
      <c r="O423" s="346">
        <f>3+5+6</f>
        <v>14</v>
      </c>
      <c r="Y423">
        <f>4</f>
        <v>4</v>
      </c>
      <c r="AI423">
        <f t="shared" si="49"/>
        <v>18</v>
      </c>
      <c r="AJ423" s="351">
        <f t="shared" si="48"/>
        <v>2.0930232558139535E-2</v>
      </c>
    </row>
    <row r="424" spans="1:36">
      <c r="A424" s="165">
        <f>'Conveyor Downtime (new)'!A423</f>
        <v>46234</v>
      </c>
      <c r="B424" s="346"/>
      <c r="C424" s="346"/>
      <c r="F424" s="346"/>
      <c r="G424" s="346"/>
      <c r="H424" s="346"/>
      <c r="I424" s="346"/>
      <c r="J424" s="346"/>
      <c r="K424" s="346"/>
      <c r="L424" s="346"/>
      <c r="M424" s="346"/>
      <c r="N424" s="346"/>
      <c r="O424" s="346">
        <f>3+2+2+3+2</f>
        <v>12</v>
      </c>
      <c r="P424" s="346"/>
      <c r="Q424" s="346"/>
      <c r="R424" s="346"/>
      <c r="S424" s="346"/>
      <c r="T424" s="346"/>
      <c r="U424" s="346"/>
      <c r="V424" s="346"/>
      <c r="W424" s="346"/>
      <c r="X424" s="346"/>
      <c r="Y424" s="346">
        <f>3+2</f>
        <v>5</v>
      </c>
      <c r="Z424" s="346"/>
      <c r="AA424" s="346">
        <f>4</f>
        <v>4</v>
      </c>
      <c r="AB424" s="346"/>
      <c r="AC424" s="346"/>
      <c r="AD424" s="346"/>
      <c r="AE424" s="346"/>
      <c r="AF424" s="346"/>
      <c r="AG424" s="346"/>
      <c r="AH424" s="346"/>
      <c r="AI424">
        <f t="shared" si="49"/>
        <v>21</v>
      </c>
      <c r="AJ424" s="351">
        <f t="shared" si="48"/>
        <v>2.441860465116279E-2</v>
      </c>
    </row>
    <row r="425" spans="1:36">
      <c r="A425" s="165"/>
      <c r="AI425">
        <f t="shared" si="49"/>
        <v>0</v>
      </c>
      <c r="AJ425" s="351">
        <f t="shared" si="48"/>
        <v>0</v>
      </c>
    </row>
    <row r="426" spans="1:36">
      <c r="A426" s="165"/>
      <c r="B426" s="346"/>
      <c r="C426" s="346"/>
      <c r="D426" s="346"/>
      <c r="E426" s="346"/>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f t="shared" si="49"/>
        <v>0</v>
      </c>
      <c r="AJ426" s="351">
        <f t="shared" si="48"/>
        <v>0</v>
      </c>
    </row>
    <row r="427" spans="1:36">
      <c r="A427" s="165"/>
      <c r="AI427">
        <f t="shared" si="49"/>
        <v>0</v>
      </c>
      <c r="AJ427" s="351">
        <f t="shared" si="48"/>
        <v>0</v>
      </c>
    </row>
    <row r="428" spans="1:36">
      <c r="A428" s="165"/>
      <c r="B428" s="346"/>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f t="shared" si="49"/>
        <v>0</v>
      </c>
      <c r="AJ428" s="351">
        <f t="shared" si="48"/>
        <v>0</v>
      </c>
    </row>
    <row r="429" spans="1:36">
      <c r="A429" s="165"/>
      <c r="AI429">
        <f t="shared" si="49"/>
        <v>0</v>
      </c>
      <c r="AJ429" s="351">
        <f t="shared" si="48"/>
        <v>0</v>
      </c>
    </row>
    <row r="430" spans="1:36" ht="15">
      <c r="A430" s="347" t="s">
        <v>113</v>
      </c>
      <c r="B430" s="347">
        <f>SUM(B373:B429)</f>
        <v>0</v>
      </c>
      <c r="C430" s="347">
        <f t="shared" ref="C430:AI430" si="52">SUM(C373:C429)</f>
        <v>135</v>
      </c>
      <c r="D430" s="347">
        <f t="shared" si="52"/>
        <v>0</v>
      </c>
      <c r="E430" s="347">
        <f t="shared" si="52"/>
        <v>0</v>
      </c>
      <c r="F430" s="347">
        <f t="shared" si="52"/>
        <v>0</v>
      </c>
      <c r="G430" s="347">
        <f t="shared" si="52"/>
        <v>0</v>
      </c>
      <c r="H430" s="347">
        <f t="shared" si="52"/>
        <v>2</v>
      </c>
      <c r="I430" s="347">
        <f t="shared" si="52"/>
        <v>0</v>
      </c>
      <c r="J430" s="347">
        <f t="shared" si="52"/>
        <v>0</v>
      </c>
      <c r="K430" s="347">
        <f t="shared" si="52"/>
        <v>2</v>
      </c>
      <c r="L430" s="347">
        <f t="shared" si="52"/>
        <v>0</v>
      </c>
      <c r="M430" s="347">
        <f t="shared" si="52"/>
        <v>6</v>
      </c>
      <c r="N430" s="347">
        <f t="shared" si="52"/>
        <v>124</v>
      </c>
      <c r="O430" s="347">
        <f t="shared" si="52"/>
        <v>297</v>
      </c>
      <c r="P430" s="347">
        <f t="shared" si="52"/>
        <v>25</v>
      </c>
      <c r="Q430" s="347">
        <f t="shared" si="52"/>
        <v>0</v>
      </c>
      <c r="R430" s="347">
        <f t="shared" si="52"/>
        <v>0</v>
      </c>
      <c r="S430" s="347">
        <f t="shared" si="52"/>
        <v>13</v>
      </c>
      <c r="T430" s="347">
        <f t="shared" si="52"/>
        <v>7</v>
      </c>
      <c r="U430" s="347">
        <f t="shared" si="52"/>
        <v>62</v>
      </c>
      <c r="V430" s="347">
        <f t="shared" si="52"/>
        <v>113</v>
      </c>
      <c r="W430" s="347">
        <f t="shared" si="52"/>
        <v>0</v>
      </c>
      <c r="X430" s="347">
        <f t="shared" si="52"/>
        <v>0</v>
      </c>
      <c r="Y430" s="347">
        <f t="shared" si="52"/>
        <v>34</v>
      </c>
      <c r="Z430" s="347">
        <f t="shared" si="52"/>
        <v>0</v>
      </c>
      <c r="AA430" s="347">
        <f t="shared" si="52"/>
        <v>29</v>
      </c>
      <c r="AB430" s="347">
        <f t="shared" si="52"/>
        <v>0</v>
      </c>
      <c r="AC430" s="347">
        <f t="shared" si="52"/>
        <v>0</v>
      </c>
      <c r="AD430" s="347">
        <f t="shared" si="52"/>
        <v>0</v>
      </c>
      <c r="AE430" s="347">
        <f t="shared" si="52"/>
        <v>26</v>
      </c>
      <c r="AF430" s="347">
        <f t="shared" si="52"/>
        <v>0</v>
      </c>
      <c r="AG430" s="347">
        <f t="shared" si="52"/>
        <v>0</v>
      </c>
      <c r="AH430" s="347">
        <f t="shared" si="52"/>
        <v>92</v>
      </c>
      <c r="AI430" s="347">
        <f t="shared" si="52"/>
        <v>967</v>
      </c>
      <c r="AJ430" s="375"/>
    </row>
    <row r="431" spans="1:36" ht="15.75" thickBot="1">
      <c r="A431" s="348" t="s">
        <v>174</v>
      </c>
      <c r="B431" s="348">
        <f>B430/$AI430</f>
        <v>0</v>
      </c>
      <c r="C431" s="348">
        <f t="shared" ref="C431:AH431" si="53">C430/$AI430</f>
        <v>0.13960703205791106</v>
      </c>
      <c r="D431" s="348">
        <f t="shared" si="53"/>
        <v>0</v>
      </c>
      <c r="E431" s="348">
        <f t="shared" si="53"/>
        <v>0</v>
      </c>
      <c r="F431" s="348">
        <f t="shared" si="53"/>
        <v>0</v>
      </c>
      <c r="G431" s="348">
        <f t="shared" si="53"/>
        <v>0</v>
      </c>
      <c r="H431" s="348">
        <f t="shared" si="53"/>
        <v>2.0682523267838678E-3</v>
      </c>
      <c r="I431" s="348">
        <f t="shared" si="53"/>
        <v>0</v>
      </c>
      <c r="J431" s="348">
        <f t="shared" si="53"/>
        <v>0</v>
      </c>
      <c r="K431" s="348">
        <f t="shared" si="53"/>
        <v>2.0682523267838678E-3</v>
      </c>
      <c r="L431" s="348">
        <f t="shared" si="53"/>
        <v>0</v>
      </c>
      <c r="M431" s="348">
        <f t="shared" si="53"/>
        <v>6.2047569803516025E-3</v>
      </c>
      <c r="N431" s="348">
        <f t="shared" si="53"/>
        <v>0.1282316442605998</v>
      </c>
      <c r="O431" s="348">
        <f t="shared" si="53"/>
        <v>0.30713547052740436</v>
      </c>
      <c r="P431" s="348">
        <f t="shared" si="53"/>
        <v>2.5853154084798345E-2</v>
      </c>
      <c r="Q431" s="348">
        <f t="shared" si="53"/>
        <v>0</v>
      </c>
      <c r="R431" s="348">
        <f t="shared" si="53"/>
        <v>0</v>
      </c>
      <c r="S431" s="348">
        <f t="shared" si="53"/>
        <v>1.344364012409514E-2</v>
      </c>
      <c r="T431" s="348">
        <f t="shared" si="53"/>
        <v>7.2388831437435368E-3</v>
      </c>
      <c r="U431" s="348">
        <f t="shared" si="53"/>
        <v>6.4115822130299899E-2</v>
      </c>
      <c r="V431" s="348">
        <f t="shared" si="53"/>
        <v>0.11685625646328852</v>
      </c>
      <c r="W431" s="348">
        <f t="shared" si="53"/>
        <v>0</v>
      </c>
      <c r="X431" s="348">
        <f t="shared" si="53"/>
        <v>0</v>
      </c>
      <c r="Y431" s="348">
        <f t="shared" si="53"/>
        <v>3.5160289555325748E-2</v>
      </c>
      <c r="Z431" s="348">
        <f t="shared" si="53"/>
        <v>0</v>
      </c>
      <c r="AA431" s="348">
        <f t="shared" si="53"/>
        <v>2.9989658738366079E-2</v>
      </c>
      <c r="AB431" s="348">
        <f t="shared" si="53"/>
        <v>0</v>
      </c>
      <c r="AC431" s="348">
        <f t="shared" si="53"/>
        <v>0</v>
      </c>
      <c r="AD431" s="348">
        <f t="shared" si="53"/>
        <v>0</v>
      </c>
      <c r="AE431" s="348">
        <f t="shared" si="53"/>
        <v>2.688728024819028E-2</v>
      </c>
      <c r="AF431" s="348">
        <f t="shared" si="53"/>
        <v>0</v>
      </c>
      <c r="AG431" s="348">
        <f t="shared" si="53"/>
        <v>0</v>
      </c>
      <c r="AH431" s="348">
        <f t="shared" si="53"/>
        <v>9.5139607032057913E-2</v>
      </c>
      <c r="AI431" s="376"/>
      <c r="AJ431" s="376"/>
    </row>
    <row r="435" spans="1:36">
      <c r="A435" s="165">
        <f>'Conveyor Downtime (new)'!A433</f>
        <v>46237</v>
      </c>
      <c r="B435" s="346"/>
      <c r="C435" s="346"/>
      <c r="D435" s="346"/>
      <c r="E435" s="346"/>
      <c r="F435" s="346"/>
      <c r="G435" s="346"/>
      <c r="H435" s="346"/>
      <c r="I435" s="346"/>
      <c r="J435" s="346"/>
      <c r="K435" s="346"/>
      <c r="L435" s="346"/>
      <c r="M435" s="346"/>
      <c r="N435" s="346">
        <f>6+7+5</f>
        <v>18</v>
      </c>
      <c r="O435" s="346">
        <f>4</f>
        <v>4</v>
      </c>
      <c r="P435" s="346">
        <f>20+55+5</f>
        <v>80</v>
      </c>
      <c r="Q435" s="346"/>
      <c r="R435" s="346"/>
      <c r="S435" s="346"/>
      <c r="T435" s="346"/>
      <c r="U435" s="346">
        <v>1</v>
      </c>
      <c r="V435" s="346"/>
      <c r="W435" s="346"/>
      <c r="X435" s="346"/>
      <c r="Y435" s="346"/>
      <c r="Z435" s="346"/>
      <c r="AA435" s="346"/>
      <c r="AB435" s="346"/>
      <c r="AC435" s="346"/>
      <c r="AD435" s="346"/>
      <c r="AE435" s="346"/>
      <c r="AF435" s="346"/>
      <c r="AG435" s="346"/>
      <c r="AH435" s="346"/>
      <c r="AI435">
        <f t="shared" ref="AI435:AI467" si="54">SUM(B435:AH435)</f>
        <v>103</v>
      </c>
      <c r="AJ435" s="351">
        <f>AI435/$AI$184</f>
        <v>0.11976744186046512</v>
      </c>
    </row>
    <row r="436" spans="1:36">
      <c r="A436" s="165">
        <f>'Conveyor Downtime (new)'!A434</f>
        <v>46238</v>
      </c>
      <c r="O436">
        <f>3+2+2</f>
        <v>7</v>
      </c>
      <c r="U436">
        <f>3+3+2</f>
        <v>8</v>
      </c>
      <c r="AA436">
        <f>2</f>
        <v>2</v>
      </c>
      <c r="AI436">
        <f t="shared" si="54"/>
        <v>17</v>
      </c>
      <c r="AJ436" s="360">
        <f t="shared" ref="AJ436:AJ490" si="55">AI436/$AI$184</f>
        <v>1.9767441860465116E-2</v>
      </c>
    </row>
    <row r="437" spans="1:36">
      <c r="A437" s="165">
        <f>'Conveyor Downtime (new)'!A435</f>
        <v>46239</v>
      </c>
      <c r="B437" s="346"/>
      <c r="C437" s="346"/>
      <c r="D437" s="346"/>
      <c r="E437" s="346"/>
      <c r="F437" s="346"/>
      <c r="G437" s="346"/>
      <c r="H437" s="346"/>
      <c r="I437" s="346"/>
      <c r="J437" s="346"/>
      <c r="K437" s="346"/>
      <c r="L437" s="346"/>
      <c r="M437" s="346"/>
      <c r="N437" s="346"/>
      <c r="O437" s="346">
        <f>2+4+3</f>
        <v>9</v>
      </c>
      <c r="P437" s="346"/>
      <c r="Q437" s="346"/>
      <c r="R437" s="346"/>
      <c r="S437" s="346"/>
      <c r="T437" s="346"/>
      <c r="U437" s="346">
        <f>2+2+3</f>
        <v>7</v>
      </c>
      <c r="V437" s="346"/>
      <c r="W437" s="346"/>
      <c r="X437" s="346"/>
      <c r="Y437" s="346"/>
      <c r="Z437" s="346"/>
      <c r="AA437" s="346"/>
      <c r="AB437" s="346"/>
      <c r="AC437" s="346"/>
      <c r="AD437" s="346"/>
      <c r="AE437" s="346"/>
      <c r="AF437" s="346"/>
      <c r="AG437" s="346"/>
      <c r="AH437" s="346"/>
      <c r="AI437">
        <f t="shared" si="54"/>
        <v>16</v>
      </c>
      <c r="AJ437" s="351">
        <f t="shared" si="55"/>
        <v>1.8604651162790697E-2</v>
      </c>
    </row>
    <row r="438" spans="1:36">
      <c r="A438" s="165">
        <f>'Conveyor Downtime (new)'!A436</f>
        <v>46239</v>
      </c>
      <c r="O438">
        <f>2+2+3+2</f>
        <v>9</v>
      </c>
      <c r="X438">
        <f>1+2</f>
        <v>3</v>
      </c>
      <c r="Y438">
        <f>1</f>
        <v>1</v>
      </c>
      <c r="AA438">
        <f>2</f>
        <v>2</v>
      </c>
      <c r="AI438">
        <f t="shared" si="54"/>
        <v>15</v>
      </c>
      <c r="AJ438" s="351">
        <f t="shared" si="55"/>
        <v>1.7441860465116279E-2</v>
      </c>
    </row>
    <row r="439" spans="1:36">
      <c r="A439" s="165">
        <f>'Conveyor Downtime (new)'!A437</f>
        <v>46239</v>
      </c>
      <c r="B439" s="346"/>
      <c r="C439" s="346"/>
      <c r="D439" s="346"/>
      <c r="E439" s="346"/>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s="346"/>
      <c r="AE439" s="346"/>
      <c r="AF439" s="346"/>
      <c r="AG439" s="346"/>
      <c r="AH439" s="346"/>
      <c r="AI439">
        <f t="shared" si="54"/>
        <v>0</v>
      </c>
      <c r="AJ439" s="351">
        <f t="shared" si="55"/>
        <v>0</v>
      </c>
    </row>
    <row r="440" spans="1:36">
      <c r="A440" s="165">
        <f>'Conveyor Downtime (new)'!A438</f>
        <v>46240</v>
      </c>
      <c r="I440">
        <f>2</f>
        <v>2</v>
      </c>
      <c r="O440">
        <f>5+2+3+6+4+4</f>
        <v>24</v>
      </c>
      <c r="U440">
        <f>2+3+2+2</f>
        <v>9</v>
      </c>
      <c r="AA440">
        <f>2</f>
        <v>2</v>
      </c>
      <c r="AI440">
        <f t="shared" si="54"/>
        <v>37</v>
      </c>
      <c r="AJ440" s="351">
        <f t="shared" si="55"/>
        <v>4.3023255813953491E-2</v>
      </c>
    </row>
    <row r="441" spans="1:36">
      <c r="A441" s="165">
        <f>'Conveyor Downtime (new)'!A439</f>
        <v>46241</v>
      </c>
      <c r="B441" s="346"/>
      <c r="C441" s="346"/>
      <c r="D441" s="346"/>
      <c r="E441" s="346"/>
      <c r="F441" s="346"/>
      <c r="G441" s="346"/>
      <c r="H441" s="346"/>
      <c r="I441" s="346"/>
      <c r="J441" s="346"/>
      <c r="K441" s="346"/>
      <c r="L441" s="346"/>
      <c r="M441" s="346"/>
      <c r="N441" s="346"/>
      <c r="O441" s="346">
        <f>4+3+2+3+5</f>
        <v>17</v>
      </c>
      <c r="P441" s="346"/>
      <c r="Q441" s="346"/>
      <c r="R441" s="346"/>
      <c r="S441" s="346"/>
      <c r="T441" s="346"/>
      <c r="U441" s="346">
        <f>2</f>
        <v>2</v>
      </c>
      <c r="V441" s="346"/>
      <c r="W441" s="346"/>
      <c r="X441" s="346"/>
      <c r="Y441" s="346">
        <f>2+2+3</f>
        <v>7</v>
      </c>
      <c r="Z441" s="346"/>
      <c r="AA441" s="346"/>
      <c r="AB441" s="346"/>
      <c r="AC441" s="346"/>
      <c r="AD441" s="346"/>
      <c r="AE441" s="346"/>
      <c r="AF441" s="346"/>
      <c r="AG441" s="346"/>
      <c r="AH441" s="346"/>
      <c r="AI441">
        <f t="shared" si="54"/>
        <v>26</v>
      </c>
      <c r="AJ441" s="351">
        <f t="shared" si="55"/>
        <v>3.0232558139534883E-2</v>
      </c>
    </row>
    <row r="442" spans="1:36">
      <c r="A442" s="165">
        <f>'Conveyor Downtime (new)'!A440</f>
        <v>46241</v>
      </c>
      <c r="O442">
        <v>6</v>
      </c>
      <c r="AI442">
        <f t="shared" si="54"/>
        <v>6</v>
      </c>
      <c r="AJ442" s="351">
        <f t="shared" si="55"/>
        <v>6.9767441860465115E-3</v>
      </c>
    </row>
    <row r="443" spans="1:36">
      <c r="A443" s="165">
        <f>'Conveyor Downtime (new)'!A441</f>
        <v>46246</v>
      </c>
      <c r="B443" s="346"/>
      <c r="C443" s="346"/>
      <c r="D443" s="346"/>
      <c r="E443" s="346"/>
      <c r="F443" s="346"/>
      <c r="G443" s="346"/>
      <c r="H443" s="346"/>
      <c r="I443" s="346"/>
      <c r="J443" s="346"/>
      <c r="K443" s="346"/>
      <c r="L443" s="346"/>
      <c r="M443" s="346"/>
      <c r="N443" s="346">
        <f>3+9</f>
        <v>12</v>
      </c>
      <c r="O443" s="346">
        <f>5</f>
        <v>5</v>
      </c>
      <c r="P443" s="346"/>
      <c r="Q443" s="346"/>
      <c r="R443" s="346"/>
      <c r="S443" s="346"/>
      <c r="T443" s="346"/>
      <c r="U443" s="346"/>
      <c r="V443" s="346"/>
      <c r="W443" s="346"/>
      <c r="X443" s="346"/>
      <c r="Y443" s="346"/>
      <c r="Z443" s="346"/>
      <c r="AA443" s="346"/>
      <c r="AB443" s="346"/>
      <c r="AC443" s="346"/>
      <c r="AD443" s="346"/>
      <c r="AE443" s="346"/>
      <c r="AF443" s="346"/>
      <c r="AG443" s="346"/>
      <c r="AH443" s="346"/>
      <c r="AI443">
        <f t="shared" si="54"/>
        <v>17</v>
      </c>
      <c r="AJ443" s="351">
        <f t="shared" si="55"/>
        <v>1.9767441860465116E-2</v>
      </c>
    </row>
    <row r="444" spans="1:36">
      <c r="A444" s="165">
        <f>'Conveyor Downtime (new)'!A442</f>
        <v>46247</v>
      </c>
      <c r="O444">
        <f>4</f>
        <v>4</v>
      </c>
      <c r="AI444">
        <f t="shared" si="54"/>
        <v>4</v>
      </c>
      <c r="AJ444" s="351">
        <f t="shared" si="55"/>
        <v>4.6511627906976744E-3</v>
      </c>
    </row>
    <row r="445" spans="1:36">
      <c r="A445" s="165">
        <f>'Conveyor Downtime (new)'!A443</f>
        <v>46247</v>
      </c>
      <c r="B445" s="346"/>
      <c r="C445" s="346"/>
      <c r="D445" s="346"/>
      <c r="E445" s="346"/>
      <c r="F445" s="346"/>
      <c r="G445" s="346"/>
      <c r="H445" s="346"/>
      <c r="I445" s="346"/>
      <c r="J445" s="346"/>
      <c r="K445" s="346"/>
      <c r="L445" s="346"/>
      <c r="M445" s="346"/>
      <c r="N445" s="346"/>
      <c r="O445" s="346"/>
      <c r="P445" s="346"/>
      <c r="Q445" s="346"/>
      <c r="R445" s="346"/>
      <c r="S445" s="346"/>
      <c r="T445" s="346"/>
      <c r="U445" s="346">
        <f>2+2+2</f>
        <v>6</v>
      </c>
      <c r="V445" s="346"/>
      <c r="W445" s="346"/>
      <c r="X445" s="346"/>
      <c r="Y445" s="346"/>
      <c r="Z445" s="346"/>
      <c r="AA445" s="346"/>
      <c r="AB445" s="346"/>
      <c r="AC445" s="346"/>
      <c r="AD445" s="346"/>
      <c r="AE445" s="346"/>
      <c r="AF445" s="346"/>
      <c r="AG445" s="346"/>
      <c r="AH445" s="346"/>
      <c r="AI445">
        <f t="shared" si="54"/>
        <v>6</v>
      </c>
      <c r="AJ445" s="351">
        <f t="shared" si="55"/>
        <v>6.9767441860465115E-3</v>
      </c>
    </row>
    <row r="446" spans="1:36">
      <c r="A446" s="165">
        <f>'Conveyor Downtime (new)'!A444</f>
        <v>46247</v>
      </c>
      <c r="C446">
        <f>4</f>
        <v>4</v>
      </c>
      <c r="O446">
        <v>5</v>
      </c>
      <c r="Y446">
        <v>3</v>
      </c>
      <c r="AI446">
        <f t="shared" si="54"/>
        <v>12</v>
      </c>
      <c r="AJ446" s="351">
        <f t="shared" si="55"/>
        <v>1.3953488372093023E-2</v>
      </c>
    </row>
    <row r="447" spans="1:36">
      <c r="A447" s="165">
        <f>'Conveyor Downtime (new)'!A445</f>
        <v>46248</v>
      </c>
      <c r="B447" s="346"/>
      <c r="C447" s="346"/>
      <c r="D447" s="346"/>
      <c r="E447" s="346"/>
      <c r="F447" s="346"/>
      <c r="G447" s="346"/>
      <c r="H447" s="346"/>
      <c r="I447" s="346"/>
      <c r="J447" s="346"/>
      <c r="K447" s="346"/>
      <c r="L447" s="346"/>
      <c r="M447" s="346"/>
      <c r="N447" s="346"/>
      <c r="O447" s="346">
        <f>2+5+5+3+8+6</f>
        <v>29</v>
      </c>
      <c r="P447" s="346"/>
      <c r="Q447" s="346"/>
      <c r="R447" s="346"/>
      <c r="S447" s="346"/>
      <c r="T447" s="346"/>
      <c r="U447" s="346"/>
      <c r="V447" s="346"/>
      <c r="W447" s="346"/>
      <c r="X447" s="346"/>
      <c r="Y447" s="346"/>
      <c r="Z447" s="346"/>
      <c r="AA447" s="346"/>
      <c r="AB447" s="346"/>
      <c r="AC447" s="346"/>
      <c r="AD447" s="346"/>
      <c r="AE447" s="346"/>
      <c r="AF447" s="346"/>
      <c r="AG447" s="346"/>
      <c r="AH447" s="346"/>
      <c r="AI447">
        <f t="shared" si="54"/>
        <v>29</v>
      </c>
      <c r="AJ447" s="351">
        <f t="shared" si="55"/>
        <v>3.3720930232558143E-2</v>
      </c>
    </row>
    <row r="448" spans="1:36">
      <c r="A448" s="165">
        <f>'Conveyor Downtime (new)'!A446</f>
        <v>46248</v>
      </c>
      <c r="AI448">
        <f t="shared" si="54"/>
        <v>0</v>
      </c>
      <c r="AJ448" s="351">
        <f t="shared" si="55"/>
        <v>0</v>
      </c>
    </row>
    <row r="449" spans="1:36">
      <c r="A449" s="165">
        <f>'Conveyor Downtime (new)'!A447</f>
        <v>46251</v>
      </c>
      <c r="B449" s="346"/>
      <c r="C449" s="346"/>
      <c r="D449" s="346"/>
      <c r="E449" s="346"/>
      <c r="F449" s="346"/>
      <c r="G449" s="346"/>
      <c r="H449" s="346"/>
      <c r="I449" s="346"/>
      <c r="J449" s="346"/>
      <c r="K449" s="346"/>
      <c r="L449" s="346"/>
      <c r="M449" s="346"/>
      <c r="N449" s="346"/>
      <c r="O449" s="346"/>
      <c r="P449" s="346"/>
      <c r="Q449" s="346"/>
      <c r="R449" s="346"/>
      <c r="S449" s="346"/>
      <c r="T449" s="346"/>
      <c r="U449" s="346"/>
      <c r="V449" s="346"/>
      <c r="W449" s="346"/>
      <c r="X449" s="346"/>
      <c r="Y449" s="346">
        <f>3</f>
        <v>3</v>
      </c>
      <c r="Z449" s="346"/>
      <c r="AA449" s="346"/>
      <c r="AB449" s="346"/>
      <c r="AC449" s="346"/>
      <c r="AD449" s="346"/>
      <c r="AE449" s="346"/>
      <c r="AF449" s="346"/>
      <c r="AG449" s="346"/>
      <c r="AH449" s="346"/>
      <c r="AI449">
        <f t="shared" si="54"/>
        <v>3</v>
      </c>
      <c r="AJ449" s="351">
        <f t="shared" si="55"/>
        <v>3.4883720930232558E-3</v>
      </c>
    </row>
    <row r="450" spans="1:36">
      <c r="A450" s="165">
        <f>'Conveyor Downtime (new)'!A448</f>
        <v>46251</v>
      </c>
      <c r="D450">
        <f>10</f>
        <v>10</v>
      </c>
      <c r="T450">
        <f>10</f>
        <v>10</v>
      </c>
      <c r="AI450">
        <f t="shared" si="54"/>
        <v>20</v>
      </c>
      <c r="AJ450" s="351">
        <f t="shared" si="55"/>
        <v>2.3255813953488372E-2</v>
      </c>
    </row>
    <row r="451" spans="1:36">
      <c r="A451" s="165">
        <f>'Conveyor Downtime (new)'!A449</f>
        <v>46252</v>
      </c>
      <c r="B451" s="346"/>
      <c r="C451" s="346">
        <f>60+15</f>
        <v>75</v>
      </c>
      <c r="D451" s="346"/>
      <c r="E451" s="346"/>
      <c r="F451" s="346"/>
      <c r="G451" s="346"/>
      <c r="H451" s="346"/>
      <c r="I451" s="346"/>
      <c r="J451" s="346"/>
      <c r="K451" s="346"/>
      <c r="L451" s="346"/>
      <c r="M451" s="346"/>
      <c r="N451" s="346"/>
      <c r="O451" s="346"/>
      <c r="P451" s="346"/>
      <c r="Q451" s="346"/>
      <c r="R451" s="346"/>
      <c r="S451" s="346"/>
      <c r="T451" s="346"/>
      <c r="U451" s="346"/>
      <c r="V451" s="346"/>
      <c r="W451" s="346"/>
      <c r="X451" s="346"/>
      <c r="Y451" s="346">
        <f>2</f>
        <v>2</v>
      </c>
      <c r="Z451" s="346"/>
      <c r="AA451" s="346"/>
      <c r="AB451" s="346"/>
      <c r="AC451" s="346"/>
      <c r="AD451" s="346"/>
      <c r="AE451" s="346"/>
      <c r="AF451" s="346"/>
      <c r="AG451" s="346"/>
      <c r="AH451" s="346"/>
      <c r="AI451">
        <f t="shared" si="54"/>
        <v>77</v>
      </c>
      <c r="AJ451" s="351">
        <f t="shared" si="55"/>
        <v>8.9534883720930228E-2</v>
      </c>
    </row>
    <row r="452" spans="1:36">
      <c r="A452" s="165">
        <f>'Conveyor Downtime (new)'!A450</f>
        <v>46252</v>
      </c>
      <c r="O452">
        <f>3+3+2</f>
        <v>8</v>
      </c>
      <c r="U452">
        <f>2</f>
        <v>2</v>
      </c>
      <c r="AI452">
        <f t="shared" si="54"/>
        <v>10</v>
      </c>
      <c r="AJ452" s="351">
        <f t="shared" si="55"/>
        <v>1.1627906976744186E-2</v>
      </c>
    </row>
    <row r="453" spans="1:36">
      <c r="A453" s="165">
        <f>'Conveyor Downtime (new)'!A451</f>
        <v>46253</v>
      </c>
      <c r="B453" s="346"/>
      <c r="C453" s="346"/>
      <c r="D453" s="346"/>
      <c r="E453" s="346"/>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f t="shared" si="54"/>
        <v>0</v>
      </c>
      <c r="AJ453" s="351">
        <f t="shared" si="55"/>
        <v>0</v>
      </c>
    </row>
    <row r="454" spans="1:36">
      <c r="A454" s="165">
        <f>'Conveyor Downtime (new)'!A452</f>
        <v>46253</v>
      </c>
      <c r="O454">
        <f>4</f>
        <v>4</v>
      </c>
      <c r="AI454">
        <f t="shared" si="54"/>
        <v>4</v>
      </c>
      <c r="AJ454" s="351">
        <f t="shared" si="55"/>
        <v>4.6511627906976744E-3</v>
      </c>
    </row>
    <row r="455" spans="1:36">
      <c r="A455" s="165">
        <f>'Conveyor Downtime (new)'!A453</f>
        <v>46254</v>
      </c>
      <c r="B455" s="346"/>
      <c r="C455" s="346"/>
      <c r="D455" s="346"/>
      <c r="E455" s="346"/>
      <c r="F455" s="346"/>
      <c r="G455" s="346"/>
      <c r="H455" s="346"/>
      <c r="I455" s="346"/>
      <c r="J455" s="346"/>
      <c r="K455" s="346"/>
      <c r="L455" s="346"/>
      <c r="M455" s="346"/>
      <c r="N455" s="346"/>
      <c r="O455" s="346">
        <f>6</f>
        <v>6</v>
      </c>
      <c r="P455" s="346"/>
      <c r="Q455" s="346"/>
      <c r="R455" s="346"/>
      <c r="S455" s="346"/>
      <c r="T455" s="346"/>
      <c r="U455" s="346"/>
      <c r="V455" s="346"/>
      <c r="W455" s="346"/>
      <c r="X455" s="346"/>
      <c r="Y455" s="346"/>
      <c r="Z455" s="346"/>
      <c r="AA455" s="346"/>
      <c r="AB455" s="346"/>
      <c r="AC455" s="346"/>
      <c r="AD455" s="346"/>
      <c r="AE455" s="346"/>
      <c r="AF455" s="346"/>
      <c r="AG455" s="346"/>
      <c r="AH455" s="346"/>
      <c r="AI455">
        <f t="shared" si="54"/>
        <v>6</v>
      </c>
      <c r="AJ455" s="351">
        <f t="shared" si="55"/>
        <v>6.9767441860465115E-3</v>
      </c>
    </row>
    <row r="456" spans="1:36">
      <c r="A456" s="165">
        <f>'Conveyor Downtime (new)'!A454</f>
        <v>46254</v>
      </c>
      <c r="K456">
        <v>4</v>
      </c>
      <c r="AI456">
        <f t="shared" si="54"/>
        <v>4</v>
      </c>
      <c r="AJ456" s="351">
        <f t="shared" si="55"/>
        <v>4.6511627906976744E-3</v>
      </c>
    </row>
    <row r="457" spans="1:36">
      <c r="A457" s="165">
        <f>'Conveyor Downtime (new)'!A455</f>
        <v>46258</v>
      </c>
      <c r="B457" s="346"/>
      <c r="C457" s="346"/>
      <c r="D457" s="346"/>
      <c r="E457" s="346"/>
      <c r="F457" s="346"/>
      <c r="G457" s="346"/>
      <c r="H457" s="346"/>
      <c r="I457" s="346"/>
      <c r="J457" s="346"/>
      <c r="K457" s="346"/>
      <c r="L457" s="346"/>
      <c r="M457" s="346"/>
      <c r="N457" s="346"/>
      <c r="O457" s="346"/>
      <c r="P457" s="346"/>
      <c r="Q457" s="346"/>
      <c r="R457" s="346"/>
      <c r="S457" s="346"/>
      <c r="T457" s="346"/>
      <c r="U457" s="346"/>
      <c r="V457" s="346"/>
      <c r="W457" s="346"/>
      <c r="X457" s="346"/>
      <c r="Y457" s="346">
        <f>2</f>
        <v>2</v>
      </c>
      <c r="Z457" s="346"/>
      <c r="AA457" s="346"/>
      <c r="AB457" s="346"/>
      <c r="AC457" s="346"/>
      <c r="AD457" s="346"/>
      <c r="AE457" s="346"/>
      <c r="AF457" s="346"/>
      <c r="AG457" s="346"/>
      <c r="AH457" s="346"/>
      <c r="AI457">
        <f t="shared" si="54"/>
        <v>2</v>
      </c>
      <c r="AJ457" s="351">
        <f t="shared" si="55"/>
        <v>2.3255813953488372E-3</v>
      </c>
    </row>
    <row r="458" spans="1:36">
      <c r="A458" s="165">
        <f>'Conveyor Downtime (new)'!A456</f>
        <v>46258</v>
      </c>
      <c r="AI458">
        <f t="shared" si="54"/>
        <v>0</v>
      </c>
      <c r="AJ458" s="351">
        <f t="shared" si="55"/>
        <v>0</v>
      </c>
    </row>
    <row r="459" spans="1:36">
      <c r="A459" s="165">
        <f>'Conveyor Downtime (new)'!A457</f>
        <v>46259</v>
      </c>
      <c r="B459" s="346"/>
      <c r="C459" s="346"/>
      <c r="D459" s="346"/>
      <c r="E459" s="346"/>
      <c r="F459" s="346"/>
      <c r="G459" s="346"/>
      <c r="H459" s="346"/>
      <c r="I459" s="346"/>
      <c r="J459" s="346"/>
      <c r="K459" s="346"/>
      <c r="L459" s="346"/>
      <c r="M459" s="346"/>
      <c r="N459" s="346"/>
      <c r="O459" s="346">
        <f>2</f>
        <v>2</v>
      </c>
      <c r="P459" s="346"/>
      <c r="Q459" s="346"/>
      <c r="R459" s="346"/>
      <c r="S459" s="346"/>
      <c r="T459" s="346"/>
      <c r="U459" s="346">
        <f>2+1+2+3</f>
        <v>8</v>
      </c>
      <c r="V459" s="346"/>
      <c r="W459" s="346"/>
      <c r="X459" s="346"/>
      <c r="Y459" s="346">
        <v>2</v>
      </c>
      <c r="Z459" s="346"/>
      <c r="AA459" s="346"/>
      <c r="AB459" s="346"/>
      <c r="AC459" s="346"/>
      <c r="AD459" s="346"/>
      <c r="AE459" s="346"/>
      <c r="AF459" s="346"/>
      <c r="AG459" s="346"/>
      <c r="AH459" s="346"/>
      <c r="AI459">
        <f t="shared" si="54"/>
        <v>12</v>
      </c>
      <c r="AJ459" s="351">
        <f t="shared" si="55"/>
        <v>1.3953488372093023E-2</v>
      </c>
    </row>
    <row r="460" spans="1:36">
      <c r="A460" s="165">
        <f>'Conveyor Downtime (new)'!A458</f>
        <v>46259</v>
      </c>
      <c r="B460" s="346"/>
      <c r="C460" s="346"/>
      <c r="D460" s="346"/>
      <c r="E460" s="346"/>
      <c r="F460" s="346"/>
      <c r="G460" s="346"/>
      <c r="H460" s="346"/>
      <c r="I460" s="346"/>
      <c r="J460" s="346"/>
      <c r="K460" s="346"/>
      <c r="L460" s="346"/>
      <c r="M460" s="346"/>
      <c r="N460" s="346">
        <v>2</v>
      </c>
      <c r="O460" s="346">
        <v>2</v>
      </c>
      <c r="P460" s="346"/>
      <c r="Q460" s="346"/>
      <c r="R460" s="346"/>
      <c r="S460" s="346"/>
      <c r="T460" s="346"/>
      <c r="U460" s="346"/>
      <c r="V460" s="346"/>
      <c r="W460" s="346"/>
      <c r="X460" s="346"/>
      <c r="Y460" s="346"/>
      <c r="Z460" s="346"/>
      <c r="AA460" s="346"/>
      <c r="AB460" s="346"/>
      <c r="AC460" s="346"/>
      <c r="AD460" s="346"/>
      <c r="AE460" s="346"/>
      <c r="AF460" s="346"/>
      <c r="AG460" s="346"/>
      <c r="AH460" s="346"/>
      <c r="AI460">
        <f t="shared" si="54"/>
        <v>4</v>
      </c>
      <c r="AJ460" s="351">
        <f t="shared" si="55"/>
        <v>4.6511627906976744E-3</v>
      </c>
    </row>
    <row r="461" spans="1:36">
      <c r="A461" s="165">
        <f>'Conveyor Downtime (new)'!A459</f>
        <v>46260</v>
      </c>
      <c r="G461">
        <f>18+5</f>
        <v>23</v>
      </c>
      <c r="I461">
        <f>28</f>
        <v>28</v>
      </c>
      <c r="O461">
        <f>4+8+4+11+4+2+4+2+3+4</f>
        <v>46</v>
      </c>
      <c r="U461">
        <f>2+3+2+2+1+1+2+2+1</f>
        <v>16</v>
      </c>
      <c r="AI461">
        <f t="shared" si="54"/>
        <v>113</v>
      </c>
      <c r="AJ461" s="351">
        <f t="shared" si="55"/>
        <v>0.1313953488372093</v>
      </c>
    </row>
    <row r="462" spans="1:36">
      <c r="A462" s="165">
        <f>'Conveyor Downtime (new)'!A460</f>
        <v>46260</v>
      </c>
      <c r="B462" s="346"/>
      <c r="C462" s="346"/>
      <c r="D462" s="346"/>
      <c r="E462" s="346"/>
      <c r="F462" s="346"/>
      <c r="G462" s="346"/>
      <c r="H462" s="346"/>
      <c r="I462" s="346"/>
      <c r="J462" s="346"/>
      <c r="K462" s="346"/>
      <c r="L462" s="346"/>
      <c r="M462" s="346"/>
      <c r="N462" s="346"/>
      <c r="O462" s="346">
        <f>4</f>
        <v>4</v>
      </c>
      <c r="P462" s="346"/>
      <c r="Q462" s="346"/>
      <c r="R462" s="346"/>
      <c r="S462" s="346"/>
      <c r="T462" s="346"/>
      <c r="U462" s="346"/>
      <c r="V462" s="346"/>
      <c r="W462" s="346"/>
      <c r="X462" s="346"/>
      <c r="Y462" s="346"/>
      <c r="Z462" s="346"/>
      <c r="AA462" s="346"/>
      <c r="AB462" s="346"/>
      <c r="AC462" s="346"/>
      <c r="AD462" s="346"/>
      <c r="AE462" s="346"/>
      <c r="AF462" s="346"/>
      <c r="AG462" s="346"/>
      <c r="AH462" s="346"/>
      <c r="AI462">
        <f t="shared" si="54"/>
        <v>4</v>
      </c>
      <c r="AJ462" s="351">
        <f t="shared" si="55"/>
        <v>4.6511627906976744E-3</v>
      </c>
    </row>
    <row r="463" spans="1:36">
      <c r="A463" s="165">
        <f>'Conveyor Downtime (new)'!A461</f>
        <v>46261</v>
      </c>
      <c r="O463">
        <f>3+2</f>
        <v>5</v>
      </c>
      <c r="U463">
        <v>1</v>
      </c>
      <c r="AI463">
        <f t="shared" si="54"/>
        <v>6</v>
      </c>
      <c r="AJ463" s="351">
        <f t="shared" si="55"/>
        <v>6.9767441860465115E-3</v>
      </c>
    </row>
    <row r="464" spans="1:36">
      <c r="A464" s="165">
        <f>'Conveyor Downtime (new)'!A462</f>
        <v>46261</v>
      </c>
      <c r="B464" s="346"/>
      <c r="C464" s="346"/>
      <c r="D464" s="346"/>
      <c r="E464" s="346"/>
      <c r="F464" s="346"/>
      <c r="G464" s="346"/>
      <c r="H464" s="346"/>
      <c r="I464" s="346"/>
      <c r="J464" s="346"/>
      <c r="K464" s="346"/>
      <c r="L464" s="346"/>
      <c r="M464" s="346"/>
      <c r="N464" s="346"/>
      <c r="O464" s="346"/>
      <c r="P464" s="346"/>
      <c r="Q464" s="346"/>
      <c r="R464" s="346"/>
      <c r="S464" s="346"/>
      <c r="T464" s="346"/>
      <c r="U464" s="346">
        <f>2</f>
        <v>2</v>
      </c>
      <c r="V464" s="346"/>
      <c r="W464" s="346"/>
      <c r="X464" s="346"/>
      <c r="Y464" s="346"/>
      <c r="Z464" s="346"/>
      <c r="AA464" s="346"/>
      <c r="AB464" s="346"/>
      <c r="AC464" s="346"/>
      <c r="AD464" s="346"/>
      <c r="AE464" s="346"/>
      <c r="AF464" s="346"/>
      <c r="AG464" s="346"/>
      <c r="AH464" s="346"/>
      <c r="AI464">
        <f t="shared" si="54"/>
        <v>2</v>
      </c>
      <c r="AJ464" s="351">
        <f t="shared" si="55"/>
        <v>2.3255813953488372E-3</v>
      </c>
    </row>
    <row r="465" spans="1:36">
      <c r="A465" s="165">
        <f>'Conveyor Downtime (new)'!A463</f>
        <v>46261</v>
      </c>
      <c r="C465">
        <f>7+2</f>
        <v>9</v>
      </c>
      <c r="U465">
        <v>2</v>
      </c>
      <c r="AI465">
        <f t="shared" si="54"/>
        <v>11</v>
      </c>
      <c r="AJ465" s="351">
        <f t="shared" si="55"/>
        <v>1.2790697674418604E-2</v>
      </c>
    </row>
    <row r="466" spans="1:36">
      <c r="A466" s="165">
        <f>'Conveyor Downtime (new)'!A464</f>
        <v>46262</v>
      </c>
      <c r="B466" s="346"/>
      <c r="C466" s="346">
        <v>2</v>
      </c>
      <c r="D466" s="346"/>
      <c r="E466" s="346"/>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f t="shared" si="54"/>
        <v>2</v>
      </c>
      <c r="AJ466" s="351">
        <f t="shared" si="55"/>
        <v>2.3255813953488372E-3</v>
      </c>
    </row>
    <row r="467" spans="1:36">
      <c r="A467" s="165">
        <f>'Conveyor Downtime (new)'!A465</f>
        <v>46262</v>
      </c>
      <c r="AI467">
        <f t="shared" si="54"/>
        <v>0</v>
      </c>
      <c r="AJ467" s="351">
        <f t="shared" si="55"/>
        <v>0</v>
      </c>
    </row>
    <row r="468" spans="1:36">
      <c r="A468" s="165">
        <f>'Conveyor Downtime (new)'!A466</f>
        <v>46262</v>
      </c>
      <c r="B468" s="346"/>
      <c r="C468" s="346"/>
      <c r="D468" s="346"/>
      <c r="E468" s="346"/>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s="346"/>
      <c r="AE468" s="346"/>
      <c r="AF468" s="346"/>
      <c r="AG468" s="346"/>
      <c r="AH468" s="346"/>
      <c r="AI468">
        <f t="shared" ref="AI468:AI490" si="56">SUM(B468:AH468)</f>
        <v>0</v>
      </c>
      <c r="AJ468" s="351">
        <f t="shared" si="55"/>
        <v>0</v>
      </c>
    </row>
    <row r="469" spans="1:36">
      <c r="A469" s="165">
        <f>'Conveyor Downtime (new)'!A467</f>
        <v>46262</v>
      </c>
      <c r="U469">
        <f>2+2+2+2</f>
        <v>8</v>
      </c>
      <c r="AI469">
        <f t="shared" si="56"/>
        <v>8</v>
      </c>
      <c r="AJ469" s="351">
        <f t="shared" si="55"/>
        <v>9.3023255813953487E-3</v>
      </c>
    </row>
    <row r="470" spans="1:36">
      <c r="A470" s="165">
        <f>'Conveyor Downtime (new)'!A468</f>
        <v>46265</v>
      </c>
      <c r="B470" s="346"/>
      <c r="C470" s="346"/>
      <c r="D470" s="346"/>
      <c r="E470" s="346"/>
      <c r="F470" s="346"/>
      <c r="G470" s="346"/>
      <c r="H470" s="346"/>
      <c r="I470" s="346"/>
      <c r="J470" s="346"/>
      <c r="K470" s="346"/>
      <c r="L470" s="346"/>
      <c r="M470" s="346"/>
      <c r="N470" s="346"/>
      <c r="O470" s="346">
        <f>4</f>
        <v>4</v>
      </c>
      <c r="P470" s="346"/>
      <c r="Q470" s="346"/>
      <c r="R470" s="346"/>
      <c r="S470" s="346"/>
      <c r="T470" s="346"/>
      <c r="U470" s="346">
        <f>2</f>
        <v>2</v>
      </c>
      <c r="V470" s="346"/>
      <c r="W470" s="346"/>
      <c r="X470" s="346"/>
      <c r="Y470" s="346"/>
      <c r="Z470" s="346"/>
      <c r="AA470" s="346"/>
      <c r="AB470" s="346"/>
      <c r="AC470" s="346"/>
      <c r="AD470" s="346"/>
      <c r="AE470" s="346"/>
      <c r="AF470" s="346"/>
      <c r="AG470" s="346"/>
      <c r="AH470" s="346"/>
      <c r="AI470">
        <f t="shared" si="56"/>
        <v>6</v>
      </c>
      <c r="AJ470" s="351">
        <f t="shared" si="55"/>
        <v>6.9767441860465115E-3</v>
      </c>
    </row>
    <row r="471" spans="1:36">
      <c r="A471" s="165">
        <f>'Conveyor Downtime (new)'!A469</f>
        <v>0</v>
      </c>
      <c r="AI471">
        <f t="shared" si="56"/>
        <v>0</v>
      </c>
      <c r="AJ471" s="351">
        <f t="shared" si="55"/>
        <v>0</v>
      </c>
    </row>
    <row r="472" spans="1:36">
      <c r="A472" s="165"/>
      <c r="B472" s="346"/>
      <c r="C472" s="346"/>
      <c r="D472" s="346"/>
      <c r="E472" s="346"/>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s="346"/>
      <c r="AE472" s="346"/>
      <c r="AF472" s="346"/>
      <c r="AG472" s="346"/>
      <c r="AH472" s="346"/>
      <c r="AI472">
        <f t="shared" si="56"/>
        <v>0</v>
      </c>
      <c r="AJ472" s="351">
        <f t="shared" si="55"/>
        <v>0</v>
      </c>
    </row>
    <row r="473" spans="1:36">
      <c r="A473" s="165"/>
      <c r="AI473">
        <f t="shared" si="56"/>
        <v>0</v>
      </c>
      <c r="AJ473" s="351">
        <f t="shared" si="55"/>
        <v>0</v>
      </c>
    </row>
    <row r="474" spans="1:36">
      <c r="A474" s="165"/>
      <c r="B474" s="346"/>
      <c r="C474" s="346"/>
      <c r="D474" s="346"/>
      <c r="E474" s="346"/>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f t="shared" si="56"/>
        <v>0</v>
      </c>
      <c r="AJ474" s="351">
        <f t="shared" si="55"/>
        <v>0</v>
      </c>
    </row>
    <row r="475" spans="1:36">
      <c r="A475" s="165"/>
      <c r="U475" s="363"/>
      <c r="AI475">
        <f t="shared" si="56"/>
        <v>0</v>
      </c>
      <c r="AJ475" s="351">
        <f t="shared" si="55"/>
        <v>0</v>
      </c>
    </row>
    <row r="476" spans="1:36">
      <c r="A476" s="165"/>
      <c r="B476" s="346"/>
      <c r="C476" s="346"/>
      <c r="D476" s="346"/>
      <c r="E476" s="346"/>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s="346"/>
      <c r="AE476" s="346"/>
      <c r="AF476" s="346"/>
      <c r="AG476" s="346"/>
      <c r="AH476" s="346"/>
      <c r="AI476">
        <f t="shared" si="56"/>
        <v>0</v>
      </c>
      <c r="AJ476" s="351">
        <f t="shared" si="55"/>
        <v>0</v>
      </c>
    </row>
    <row r="477" spans="1:36">
      <c r="A477" s="165"/>
      <c r="AI477">
        <f t="shared" si="56"/>
        <v>0</v>
      </c>
      <c r="AJ477" s="351">
        <f t="shared" si="55"/>
        <v>0</v>
      </c>
    </row>
    <row r="478" spans="1:36">
      <c r="A478" s="165"/>
      <c r="B478" s="346"/>
      <c r="C478" s="346"/>
      <c r="D478" s="346"/>
      <c r="E478" s="346"/>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s="346"/>
      <c r="AE478" s="346"/>
      <c r="AF478" s="346"/>
      <c r="AG478" s="346"/>
      <c r="AH478" s="346"/>
      <c r="AI478">
        <f t="shared" si="56"/>
        <v>0</v>
      </c>
      <c r="AJ478" s="351">
        <f t="shared" si="55"/>
        <v>0</v>
      </c>
    </row>
    <row r="479" spans="1:36">
      <c r="A479" s="165"/>
      <c r="AI479">
        <f t="shared" si="56"/>
        <v>0</v>
      </c>
      <c r="AJ479" s="351">
        <f t="shared" si="55"/>
        <v>0</v>
      </c>
    </row>
    <row r="480" spans="1:36">
      <c r="A480" s="165"/>
      <c r="B480" s="346"/>
      <c r="C480" s="346"/>
      <c r="D480" s="346"/>
      <c r="E480" s="346"/>
      <c r="F480" s="346"/>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f t="shared" si="56"/>
        <v>0</v>
      </c>
      <c r="AJ480" s="351">
        <f t="shared" si="55"/>
        <v>0</v>
      </c>
    </row>
    <row r="481" spans="1:36">
      <c r="A481" s="165"/>
      <c r="AI481">
        <f t="shared" si="56"/>
        <v>0</v>
      </c>
      <c r="AJ481" s="351">
        <f t="shared" si="55"/>
        <v>0</v>
      </c>
    </row>
    <row r="482" spans="1:36">
      <c r="A482" s="165"/>
      <c r="B482" s="346"/>
      <c r="C482" s="346"/>
      <c r="D482" s="346"/>
      <c r="E482" s="346"/>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f t="shared" si="56"/>
        <v>0</v>
      </c>
      <c r="AJ482" s="351">
        <f t="shared" si="55"/>
        <v>0</v>
      </c>
    </row>
    <row r="483" spans="1:36">
      <c r="A483" s="165"/>
      <c r="AI483">
        <f t="shared" si="56"/>
        <v>0</v>
      </c>
      <c r="AJ483" s="351">
        <f t="shared" si="55"/>
        <v>0</v>
      </c>
    </row>
    <row r="484" spans="1:36">
      <c r="A484" s="165"/>
      <c r="B484" s="346"/>
      <c r="C484" s="346"/>
      <c r="D484" s="346"/>
      <c r="E484" s="346"/>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f t="shared" si="56"/>
        <v>0</v>
      </c>
      <c r="AJ484" s="351">
        <f t="shared" si="55"/>
        <v>0</v>
      </c>
    </row>
    <row r="485" spans="1:36">
      <c r="A485" s="165"/>
      <c r="AI485">
        <f t="shared" si="56"/>
        <v>0</v>
      </c>
      <c r="AJ485" s="351">
        <f t="shared" si="55"/>
        <v>0</v>
      </c>
    </row>
    <row r="486" spans="1:36">
      <c r="A486" s="165"/>
      <c r="B486" s="346"/>
      <c r="C486" s="346"/>
      <c r="D486" s="346"/>
      <c r="E486" s="346"/>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f t="shared" si="56"/>
        <v>0</v>
      </c>
      <c r="AJ486" s="351">
        <f t="shared" si="55"/>
        <v>0</v>
      </c>
    </row>
    <row r="487" spans="1:36">
      <c r="A487" s="165"/>
      <c r="AI487">
        <f t="shared" si="56"/>
        <v>0</v>
      </c>
      <c r="AJ487" s="351">
        <f t="shared" si="55"/>
        <v>0</v>
      </c>
    </row>
    <row r="488" spans="1:36">
      <c r="A488" s="165"/>
      <c r="B488" s="346"/>
      <c r="C488" s="346"/>
      <c r="D488" s="346"/>
      <c r="E488" s="346"/>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f t="shared" si="56"/>
        <v>0</v>
      </c>
      <c r="AJ488" s="351">
        <f t="shared" si="55"/>
        <v>0</v>
      </c>
    </row>
    <row r="489" spans="1:36" ht="12" customHeight="1">
      <c r="A489" s="165"/>
      <c r="AI489">
        <f t="shared" si="56"/>
        <v>0</v>
      </c>
      <c r="AJ489" s="351">
        <f t="shared" si="55"/>
        <v>0</v>
      </c>
    </row>
    <row r="490" spans="1:36">
      <c r="A490" s="165"/>
      <c r="B490" s="346"/>
      <c r="C490" s="346"/>
      <c r="D490" s="346"/>
      <c r="E490" s="346"/>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f t="shared" si="56"/>
        <v>0</v>
      </c>
      <c r="AJ490" s="351">
        <f t="shared" si="55"/>
        <v>0</v>
      </c>
    </row>
    <row r="491" spans="1:36" ht="15">
      <c r="A491" s="347" t="s">
        <v>113</v>
      </c>
      <c r="B491" s="347">
        <f t="shared" ref="B491:AH491" si="57">SUM(B435:B490)</f>
        <v>0</v>
      </c>
      <c r="C491" s="347">
        <f t="shared" si="57"/>
        <v>90</v>
      </c>
      <c r="D491" s="347">
        <f t="shared" si="57"/>
        <v>10</v>
      </c>
      <c r="E491" s="347">
        <f t="shared" si="57"/>
        <v>0</v>
      </c>
      <c r="F491" s="347">
        <f t="shared" si="57"/>
        <v>0</v>
      </c>
      <c r="G491" s="347">
        <f t="shared" si="57"/>
        <v>23</v>
      </c>
      <c r="H491" s="347">
        <f t="shared" si="57"/>
        <v>0</v>
      </c>
      <c r="I491" s="347">
        <f t="shared" si="57"/>
        <v>30</v>
      </c>
      <c r="J491" s="347">
        <f t="shared" si="57"/>
        <v>0</v>
      </c>
      <c r="K491" s="347">
        <f t="shared" si="57"/>
        <v>4</v>
      </c>
      <c r="L491" s="347">
        <f t="shared" si="57"/>
        <v>0</v>
      </c>
      <c r="M491" s="347">
        <f t="shared" si="57"/>
        <v>0</v>
      </c>
      <c r="N491" s="347">
        <f t="shared" si="57"/>
        <v>32</v>
      </c>
      <c r="O491" s="347">
        <f t="shared" si="57"/>
        <v>200</v>
      </c>
      <c r="P491" s="347">
        <f t="shared" si="57"/>
        <v>80</v>
      </c>
      <c r="Q491" s="347">
        <f t="shared" si="57"/>
        <v>0</v>
      </c>
      <c r="R491" s="347">
        <f t="shared" si="57"/>
        <v>0</v>
      </c>
      <c r="S491" s="347">
        <f t="shared" si="57"/>
        <v>0</v>
      </c>
      <c r="T491" s="347">
        <f t="shared" si="57"/>
        <v>10</v>
      </c>
      <c r="U491" s="347">
        <f t="shared" si="57"/>
        <v>74</v>
      </c>
      <c r="V491" s="347">
        <f t="shared" si="57"/>
        <v>0</v>
      </c>
      <c r="W491" s="347">
        <f t="shared" si="57"/>
        <v>0</v>
      </c>
      <c r="X491" s="347">
        <f t="shared" si="57"/>
        <v>3</v>
      </c>
      <c r="Y491" s="347">
        <f t="shared" si="57"/>
        <v>20</v>
      </c>
      <c r="Z491" s="347">
        <f t="shared" si="57"/>
        <v>0</v>
      </c>
      <c r="AA491" s="347">
        <f t="shared" si="57"/>
        <v>6</v>
      </c>
      <c r="AB491" s="347">
        <f t="shared" si="57"/>
        <v>0</v>
      </c>
      <c r="AC491" s="347">
        <f t="shared" si="57"/>
        <v>0</v>
      </c>
      <c r="AD491" s="347">
        <f t="shared" si="57"/>
        <v>0</v>
      </c>
      <c r="AE491" s="347">
        <f t="shared" si="57"/>
        <v>0</v>
      </c>
      <c r="AF491" s="347">
        <f t="shared" si="57"/>
        <v>0</v>
      </c>
      <c r="AG491" s="347">
        <f t="shared" si="57"/>
        <v>0</v>
      </c>
      <c r="AH491" s="347">
        <f t="shared" si="57"/>
        <v>0</v>
      </c>
      <c r="AI491" s="347">
        <f>SUM(AI435:AI490)</f>
        <v>582</v>
      </c>
      <c r="AJ491" s="375"/>
    </row>
    <row r="492" spans="1:36" ht="15.75" thickBot="1">
      <c r="A492" s="348" t="s">
        <v>174</v>
      </c>
      <c r="B492" s="348">
        <f t="shared" ref="B492:R492" si="58">B491/$AI491</f>
        <v>0</v>
      </c>
      <c r="C492" s="348">
        <f t="shared" si="58"/>
        <v>0.15463917525773196</v>
      </c>
      <c r="D492" s="348">
        <f t="shared" si="58"/>
        <v>1.7182130584192441E-2</v>
      </c>
      <c r="E492" s="348">
        <f t="shared" si="58"/>
        <v>0</v>
      </c>
      <c r="F492" s="348">
        <f t="shared" si="58"/>
        <v>0</v>
      </c>
      <c r="G492" s="348">
        <f t="shared" si="58"/>
        <v>3.951890034364261E-2</v>
      </c>
      <c r="H492" s="348">
        <f t="shared" si="58"/>
        <v>0</v>
      </c>
      <c r="I492" s="348">
        <f t="shared" si="58"/>
        <v>5.1546391752577317E-2</v>
      </c>
      <c r="J492" s="348">
        <f t="shared" si="58"/>
        <v>0</v>
      </c>
      <c r="K492" s="348">
        <f t="shared" si="58"/>
        <v>6.8728522336769758E-3</v>
      </c>
      <c r="L492" s="348">
        <f t="shared" si="58"/>
        <v>0</v>
      </c>
      <c r="M492" s="348">
        <f t="shared" si="58"/>
        <v>0</v>
      </c>
      <c r="N492" s="348">
        <f t="shared" si="58"/>
        <v>5.4982817869415807E-2</v>
      </c>
      <c r="O492" s="348">
        <f t="shared" si="58"/>
        <v>0.3436426116838488</v>
      </c>
      <c r="P492" s="348">
        <f t="shared" si="58"/>
        <v>0.13745704467353953</v>
      </c>
      <c r="Q492" s="348">
        <f t="shared" si="58"/>
        <v>0</v>
      </c>
      <c r="R492" s="348">
        <f t="shared" si="58"/>
        <v>0</v>
      </c>
      <c r="S492" s="348">
        <f t="shared" ref="S492:AB492" si="59">S491/$AI491</f>
        <v>0</v>
      </c>
      <c r="T492" s="348">
        <f t="shared" si="59"/>
        <v>1.7182130584192441E-2</v>
      </c>
      <c r="U492" s="348">
        <f t="shared" si="59"/>
        <v>0.12714776632302405</v>
      </c>
      <c r="V492" s="348">
        <f t="shared" si="59"/>
        <v>0</v>
      </c>
      <c r="W492" s="348">
        <f t="shared" si="59"/>
        <v>0</v>
      </c>
      <c r="X492" s="348">
        <f t="shared" si="59"/>
        <v>5.1546391752577319E-3</v>
      </c>
      <c r="Y492" s="348">
        <f t="shared" si="59"/>
        <v>3.4364261168384883E-2</v>
      </c>
      <c r="Z492" s="348">
        <f t="shared" si="59"/>
        <v>0</v>
      </c>
      <c r="AA492" s="348">
        <f t="shared" si="59"/>
        <v>1.0309278350515464E-2</v>
      </c>
      <c r="AB492" s="348">
        <f t="shared" si="59"/>
        <v>0</v>
      </c>
      <c r="AC492" s="348">
        <f t="shared" ref="AC492:AH492" si="60">AC491/$AI491</f>
        <v>0</v>
      </c>
      <c r="AD492" s="348">
        <f t="shared" si="60"/>
        <v>0</v>
      </c>
      <c r="AE492" s="348">
        <f t="shared" si="60"/>
        <v>0</v>
      </c>
      <c r="AF492" s="348">
        <f t="shared" si="60"/>
        <v>0</v>
      </c>
      <c r="AG492" s="348">
        <f t="shared" si="60"/>
        <v>0</v>
      </c>
      <c r="AH492" s="348">
        <f t="shared" si="60"/>
        <v>0</v>
      </c>
      <c r="AI492" s="376"/>
      <c r="AJ492" s="376"/>
    </row>
    <row r="495" spans="1:36">
      <c r="A495" s="165">
        <f>'Conveyor Downtime (new)'!A494</f>
        <v>46266</v>
      </c>
      <c r="B495" s="346"/>
      <c r="C495" s="346"/>
      <c r="D495" s="346"/>
      <c r="E495" s="346"/>
      <c r="F495" s="346"/>
      <c r="G495" s="346"/>
      <c r="H495" s="346"/>
      <c r="I495" s="346"/>
      <c r="J495" s="346"/>
      <c r="K495" s="346"/>
      <c r="L495" s="346"/>
      <c r="M495" s="346"/>
      <c r="N495" s="346"/>
      <c r="O495" s="346">
        <f>3</f>
        <v>3</v>
      </c>
      <c r="P495" s="346"/>
      <c r="Q495" s="346"/>
      <c r="R495" s="346"/>
      <c r="S495" s="346"/>
      <c r="T495" s="346"/>
      <c r="U495" s="346">
        <v>3</v>
      </c>
      <c r="V495" s="346"/>
      <c r="W495" s="346"/>
      <c r="X495" s="346"/>
      <c r="Y495" s="346"/>
      <c r="Z495" s="346"/>
      <c r="AA495" s="346"/>
      <c r="AB495" s="346"/>
      <c r="AC495" s="346"/>
      <c r="AD495" s="346"/>
      <c r="AE495" s="346"/>
      <c r="AF495" s="346"/>
      <c r="AG495" s="346"/>
      <c r="AH495" s="346"/>
      <c r="AI495">
        <f t="shared" ref="AI495:AI501" si="61">SUM(B495:AH495)</f>
        <v>6</v>
      </c>
      <c r="AJ495" s="351">
        <f>AI495/$AI$184</f>
        <v>6.9767441860465115E-3</v>
      </c>
    </row>
    <row r="496" spans="1:36">
      <c r="A496" s="165">
        <f>'Conveyor Downtime (new)'!A495</f>
        <v>46266</v>
      </c>
      <c r="AI496">
        <f t="shared" si="61"/>
        <v>0</v>
      </c>
      <c r="AJ496" s="351">
        <f t="shared" ref="AJ496:AJ552" si="62">AI496/$AI$184</f>
        <v>0</v>
      </c>
    </row>
    <row r="497" spans="1:36">
      <c r="A497" s="165">
        <f>'Conveyor Downtime (new)'!A496</f>
        <v>46267</v>
      </c>
      <c r="B497" s="346"/>
      <c r="C497" s="346"/>
      <c r="D497" s="346"/>
      <c r="E497" s="346"/>
      <c r="F497" s="346"/>
      <c r="G497" s="346"/>
      <c r="H497" s="346"/>
      <c r="I497" s="346"/>
      <c r="J497" s="346"/>
      <c r="K497" s="346"/>
      <c r="L497" s="346"/>
      <c r="M497" s="346"/>
      <c r="N497" s="346"/>
      <c r="O497" s="346">
        <v>4</v>
      </c>
      <c r="P497" s="346"/>
      <c r="Q497" s="346"/>
      <c r="R497" s="346"/>
      <c r="S497" s="346"/>
      <c r="T497" s="346"/>
      <c r="U497" s="346"/>
      <c r="V497" s="346"/>
      <c r="W497" s="346"/>
      <c r="X497" s="346"/>
      <c r="Y497" s="346">
        <v>2</v>
      </c>
      <c r="Z497" s="346"/>
      <c r="AA497" s="346"/>
      <c r="AB497" s="346"/>
      <c r="AC497" s="346"/>
      <c r="AD497" s="346"/>
      <c r="AE497" s="346"/>
      <c r="AF497" s="346"/>
      <c r="AG497" s="346"/>
      <c r="AH497" s="346"/>
      <c r="AI497">
        <f t="shared" si="61"/>
        <v>6</v>
      </c>
      <c r="AJ497" s="351">
        <f t="shared" si="62"/>
        <v>6.9767441860465115E-3</v>
      </c>
    </row>
    <row r="498" spans="1:36">
      <c r="A498" s="165">
        <f>'Conveyor Downtime (new)'!A497</f>
        <v>46267</v>
      </c>
      <c r="O498">
        <f>6</f>
        <v>6</v>
      </c>
      <c r="AI498">
        <f t="shared" si="61"/>
        <v>6</v>
      </c>
      <c r="AJ498" s="351">
        <f t="shared" si="62"/>
        <v>6.9767441860465115E-3</v>
      </c>
    </row>
    <row r="499" spans="1:36">
      <c r="A499" s="165">
        <f>'Conveyor Downtime (new)'!A498</f>
        <v>46267</v>
      </c>
      <c r="B499" s="346"/>
      <c r="C499" s="346"/>
      <c r="D499" s="346"/>
      <c r="E499" s="346"/>
      <c r="F499" s="346"/>
      <c r="G499" s="346"/>
      <c r="H499" s="346"/>
      <c r="I499" s="346"/>
      <c r="J499" s="346"/>
      <c r="K499" s="346"/>
      <c r="L499" s="346"/>
      <c r="M499" s="346"/>
      <c r="N499" s="346"/>
      <c r="O499" s="346"/>
      <c r="P499" s="346"/>
      <c r="Q499" s="346"/>
      <c r="R499" s="346"/>
      <c r="S499" s="346"/>
      <c r="T499" s="346"/>
      <c r="U499" s="346">
        <f>3</f>
        <v>3</v>
      </c>
      <c r="V499" s="346"/>
      <c r="W499" s="346"/>
      <c r="X499" s="346"/>
      <c r="Y499" s="346">
        <v>3</v>
      </c>
      <c r="Z499" s="346"/>
      <c r="AA499" s="346">
        <f>3</f>
        <v>3</v>
      </c>
      <c r="AB499" s="346"/>
      <c r="AC499" s="346"/>
      <c r="AD499" s="346"/>
      <c r="AE499" s="346"/>
      <c r="AF499" s="346"/>
      <c r="AG499" s="346"/>
      <c r="AH499" s="346"/>
      <c r="AI499">
        <f t="shared" si="61"/>
        <v>9</v>
      </c>
      <c r="AJ499" s="351">
        <f t="shared" si="62"/>
        <v>1.0465116279069767E-2</v>
      </c>
    </row>
    <row r="500" spans="1:36">
      <c r="A500" s="165">
        <f>'Conveyor Downtime (new)'!A499</f>
        <v>46268</v>
      </c>
      <c r="L500">
        <f>9</f>
        <v>9</v>
      </c>
      <c r="Y500">
        <f>2</f>
        <v>2</v>
      </c>
      <c r="AI500">
        <f t="shared" si="61"/>
        <v>11</v>
      </c>
      <c r="AJ500" s="351">
        <f t="shared" si="62"/>
        <v>1.2790697674418604E-2</v>
      </c>
    </row>
    <row r="501" spans="1:36">
      <c r="A501" s="165">
        <f>'Conveyor Downtime (new)'!A500</f>
        <v>46268</v>
      </c>
      <c r="B501" s="346"/>
      <c r="C501" s="346"/>
      <c r="D501" s="346"/>
      <c r="E501" s="346"/>
      <c r="F501" s="346"/>
      <c r="G501" s="346"/>
      <c r="H501" s="346"/>
      <c r="I501" s="346"/>
      <c r="J501" s="346"/>
      <c r="K501" s="346"/>
      <c r="L501" s="346"/>
      <c r="M501" s="346"/>
      <c r="N501" s="346"/>
      <c r="O501" s="346">
        <f>3+4</f>
        <v>7</v>
      </c>
      <c r="P501" s="346"/>
      <c r="Q501" s="346"/>
      <c r="R501" s="346"/>
      <c r="S501" s="346"/>
      <c r="T501" s="346"/>
      <c r="U501" s="346"/>
      <c r="V501" s="346"/>
      <c r="W501" s="346"/>
      <c r="X501" s="346"/>
      <c r="Y501" s="346"/>
      <c r="Z501" s="346"/>
      <c r="AA501" s="346"/>
      <c r="AB501" s="346"/>
      <c r="AC501" s="346"/>
      <c r="AD501" s="346"/>
      <c r="AE501" s="346"/>
      <c r="AF501" s="346"/>
      <c r="AG501" s="346"/>
      <c r="AH501" s="346"/>
      <c r="AI501">
        <f t="shared" si="61"/>
        <v>7</v>
      </c>
      <c r="AJ501" s="351">
        <f t="shared" si="62"/>
        <v>8.1395348837209301E-3</v>
      </c>
    </row>
    <row r="502" spans="1:36">
      <c r="A502" s="165">
        <f>'Conveyor Downtime (new)'!A501</f>
        <v>46268</v>
      </c>
      <c r="Y502" s="346">
        <f>4+2+1+2</f>
        <v>9</v>
      </c>
      <c r="AI502">
        <f t="shared" ref="AI502:AI552" si="63">SUM(B502:AH502)</f>
        <v>9</v>
      </c>
      <c r="AJ502" s="351">
        <f t="shared" si="62"/>
        <v>1.0465116279069767E-2</v>
      </c>
    </row>
    <row r="503" spans="1:36">
      <c r="A503" s="165">
        <f>'Conveyor Downtime (new)'!A502</f>
        <v>46269</v>
      </c>
      <c r="B503" s="346"/>
      <c r="C503" s="346"/>
      <c r="D503" s="346"/>
      <c r="E503" s="346"/>
      <c r="F503" s="346"/>
      <c r="G503" s="346"/>
      <c r="H503" s="346"/>
      <c r="I503" s="346"/>
      <c r="J503" s="346"/>
      <c r="K503" s="346"/>
      <c r="L503" s="346"/>
      <c r="M503" s="346"/>
      <c r="N503" s="346"/>
      <c r="O503" s="346"/>
      <c r="P503" s="346"/>
      <c r="Q503" s="346"/>
      <c r="R503" s="346"/>
      <c r="S503" s="346"/>
      <c r="T503" s="346"/>
      <c r="U503" s="346"/>
      <c r="V503" s="346"/>
      <c r="W503" s="346"/>
      <c r="X503" s="346"/>
      <c r="Y503" s="346"/>
      <c r="Z503" s="346"/>
      <c r="AA503" s="346"/>
      <c r="AB503" s="346"/>
      <c r="AC503" s="346"/>
      <c r="AD503" s="346"/>
      <c r="AE503" s="346"/>
      <c r="AF503" s="346"/>
      <c r="AG503" s="346"/>
      <c r="AH503" s="346"/>
      <c r="AI503">
        <f t="shared" si="63"/>
        <v>0</v>
      </c>
      <c r="AJ503" s="351">
        <f t="shared" si="62"/>
        <v>0</v>
      </c>
    </row>
    <row r="504" spans="1:36">
      <c r="A504" s="165">
        <f>'Conveyor Downtime (new)'!A503</f>
        <v>46273</v>
      </c>
      <c r="AC504">
        <f>3</f>
        <v>3</v>
      </c>
      <c r="AI504">
        <f t="shared" si="63"/>
        <v>3</v>
      </c>
      <c r="AJ504" s="351">
        <f t="shared" si="62"/>
        <v>3.4883720930232558E-3</v>
      </c>
    </row>
    <row r="505" spans="1:36">
      <c r="A505" s="165">
        <f>'Conveyor Downtime (new)'!A504</f>
        <v>46274</v>
      </c>
      <c r="B505" s="346"/>
      <c r="C505" s="346"/>
      <c r="D505" s="346"/>
      <c r="E505" s="346"/>
      <c r="F505" s="346"/>
      <c r="G505" s="346"/>
      <c r="H505" s="346"/>
      <c r="I505" s="346"/>
      <c r="J505" s="346"/>
      <c r="K505" s="346"/>
      <c r="L505" s="346"/>
      <c r="M505" s="346"/>
      <c r="N505" s="346"/>
      <c r="O505" s="346">
        <f>4</f>
        <v>4</v>
      </c>
      <c r="P505" s="346"/>
      <c r="Q505" s="346"/>
      <c r="R505" s="346"/>
      <c r="S505" s="346"/>
      <c r="T505" s="346"/>
      <c r="U505" s="346">
        <f>2+2+2</f>
        <v>6</v>
      </c>
      <c r="V505" s="346"/>
      <c r="W505" s="346"/>
      <c r="X505" s="346"/>
      <c r="Y505" s="346">
        <f>2</f>
        <v>2</v>
      </c>
      <c r="Z505" s="346"/>
      <c r="AA505" s="346"/>
      <c r="AB505" s="346"/>
      <c r="AC505" s="346"/>
      <c r="AD505" s="346"/>
      <c r="AE505" s="346"/>
      <c r="AF505" s="346"/>
      <c r="AG505" s="346"/>
      <c r="AH505" s="346"/>
      <c r="AI505">
        <f t="shared" si="63"/>
        <v>12</v>
      </c>
      <c r="AJ505" s="351">
        <f t="shared" si="62"/>
        <v>1.3953488372093023E-2</v>
      </c>
    </row>
    <row r="506" spans="1:36">
      <c r="A506" s="165">
        <f>'Conveyor Downtime (new)'!A505</f>
        <v>46275</v>
      </c>
      <c r="C506">
        <f>3+7</f>
        <v>10</v>
      </c>
      <c r="U506">
        <f>2+3+4</f>
        <v>9</v>
      </c>
      <c r="Y506">
        <f>2+2+2+2+2+2</f>
        <v>12</v>
      </c>
      <c r="AA506">
        <f>2+2+2</f>
        <v>6</v>
      </c>
      <c r="AI506">
        <f t="shared" si="63"/>
        <v>37</v>
      </c>
      <c r="AJ506" s="351">
        <f t="shared" si="62"/>
        <v>4.3023255813953491E-2</v>
      </c>
    </row>
    <row r="507" spans="1:36">
      <c r="A507" s="165">
        <f>'Conveyor Downtime (new)'!A506</f>
        <v>46276</v>
      </c>
      <c r="B507" s="346"/>
      <c r="C507" s="346"/>
      <c r="D507" s="346"/>
      <c r="E507" s="346"/>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f t="shared" si="63"/>
        <v>0</v>
      </c>
      <c r="AJ507" s="351">
        <f t="shared" si="62"/>
        <v>0</v>
      </c>
    </row>
    <row r="508" spans="1:36">
      <c r="A508" s="165">
        <f>'Conveyor Downtime (new)'!A507</f>
        <v>46276</v>
      </c>
      <c r="C508">
        <f>8</f>
        <v>8</v>
      </c>
      <c r="K508">
        <f>2</f>
        <v>2</v>
      </c>
      <c r="O508">
        <f>8</f>
        <v>8</v>
      </c>
      <c r="U508">
        <f>2+2</f>
        <v>4</v>
      </c>
      <c r="AI508">
        <f t="shared" si="63"/>
        <v>22</v>
      </c>
      <c r="AJ508" s="351">
        <f t="shared" si="62"/>
        <v>2.5581395348837209E-2</v>
      </c>
    </row>
    <row r="509" spans="1:36">
      <c r="A509" s="165">
        <f>'Conveyor Downtime (new)'!A508</f>
        <v>46279</v>
      </c>
      <c r="B509" s="346"/>
      <c r="C509" s="346"/>
      <c r="D509" s="346"/>
      <c r="E509" s="346"/>
      <c r="F509" s="346"/>
      <c r="G509" s="346"/>
      <c r="H509" s="346"/>
      <c r="I509" s="346"/>
      <c r="J509" s="346"/>
      <c r="K509" s="346"/>
      <c r="L509" s="346"/>
      <c r="M509" s="346"/>
      <c r="N509" s="346"/>
      <c r="O509" s="346"/>
      <c r="P509" s="346"/>
      <c r="Q509" s="346"/>
      <c r="R509" s="346"/>
      <c r="S509" s="346"/>
      <c r="T509" s="346"/>
      <c r="U509" s="346">
        <f>2+2</f>
        <v>4</v>
      </c>
      <c r="V509" s="346"/>
      <c r="W509" s="346"/>
      <c r="X509" s="346"/>
      <c r="Y509" s="346"/>
      <c r="Z509" s="346"/>
      <c r="AA509" s="346"/>
      <c r="AB509" s="346"/>
      <c r="AC509" s="346"/>
      <c r="AD509" s="346"/>
      <c r="AE509" s="346"/>
      <c r="AF509" s="346"/>
      <c r="AG509" s="346"/>
      <c r="AH509" s="346"/>
      <c r="AI509">
        <f t="shared" si="63"/>
        <v>4</v>
      </c>
      <c r="AJ509" s="351">
        <f t="shared" si="62"/>
        <v>4.6511627906976744E-3</v>
      </c>
    </row>
    <row r="510" spans="1:36">
      <c r="A510" s="165">
        <f>'Conveyor Downtime (new)'!A509</f>
        <v>46279</v>
      </c>
      <c r="O510">
        <v>2</v>
      </c>
      <c r="U510">
        <f>2+3+2</f>
        <v>7</v>
      </c>
      <c r="Y510">
        <f>2</f>
        <v>2</v>
      </c>
      <c r="AA510">
        <f>2</f>
        <v>2</v>
      </c>
      <c r="AI510">
        <f t="shared" ref="AI510:AI518" si="64">SUM(B510:AH510)</f>
        <v>13</v>
      </c>
      <c r="AJ510" s="351">
        <f t="shared" ref="AJ510:AJ518" si="65">AI510/$AI$184</f>
        <v>1.5116279069767442E-2</v>
      </c>
    </row>
    <row r="511" spans="1:36">
      <c r="A511" s="165">
        <f>'Conveyor Downtime (new)'!A510</f>
        <v>46280</v>
      </c>
      <c r="B511" s="346"/>
      <c r="C511" s="346"/>
      <c r="D511" s="346"/>
      <c r="E511" s="346"/>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f t="shared" si="64"/>
        <v>0</v>
      </c>
      <c r="AJ511" s="351">
        <f t="shared" si="65"/>
        <v>0</v>
      </c>
    </row>
    <row r="512" spans="1:36">
      <c r="A512" s="165">
        <f>'Conveyor Downtime (new)'!A511</f>
        <v>46280</v>
      </c>
      <c r="Y512">
        <f>2</f>
        <v>2</v>
      </c>
      <c r="AI512">
        <f t="shared" si="64"/>
        <v>2</v>
      </c>
      <c r="AJ512" s="351">
        <f t="shared" si="65"/>
        <v>2.3255813953488372E-3</v>
      </c>
    </row>
    <row r="513" spans="1:36">
      <c r="A513" s="165">
        <f>'Conveyor Downtime (new)'!A512</f>
        <v>46281</v>
      </c>
      <c r="B513" s="346"/>
      <c r="C513" s="346"/>
      <c r="D513" s="346"/>
      <c r="E513" s="346"/>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f t="shared" si="64"/>
        <v>0</v>
      </c>
      <c r="AJ513" s="351">
        <f t="shared" si="65"/>
        <v>0</v>
      </c>
    </row>
    <row r="514" spans="1:36" ht="15" customHeight="1">
      <c r="A514" s="165">
        <f>'Conveyor Downtime (new)'!A513</f>
        <v>46281</v>
      </c>
      <c r="I514">
        <f>2</f>
        <v>2</v>
      </c>
      <c r="AA514">
        <v>2</v>
      </c>
      <c r="AI514">
        <f t="shared" si="64"/>
        <v>4</v>
      </c>
      <c r="AJ514" s="351">
        <f t="shared" si="65"/>
        <v>4.6511627906976744E-3</v>
      </c>
    </row>
    <row r="515" spans="1:36">
      <c r="A515" s="165">
        <f>'Conveyor Downtime (new)'!A514</f>
        <v>46282</v>
      </c>
      <c r="B515" s="346"/>
      <c r="C515" s="346"/>
      <c r="D515" s="346"/>
      <c r="E515" s="346"/>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f t="shared" si="64"/>
        <v>0</v>
      </c>
      <c r="AJ515" s="351">
        <f t="shared" si="65"/>
        <v>0</v>
      </c>
    </row>
    <row r="516" spans="1:36">
      <c r="A516" s="165">
        <f>'Conveyor Downtime (new)'!A515</f>
        <v>46282</v>
      </c>
      <c r="V516">
        <f>25</f>
        <v>25</v>
      </c>
      <c r="AE516">
        <f>4+60+60</f>
        <v>124</v>
      </c>
      <c r="AI516">
        <f t="shared" si="64"/>
        <v>149</v>
      </c>
      <c r="AJ516" s="351">
        <f t="shared" si="65"/>
        <v>0.17325581395348838</v>
      </c>
    </row>
    <row r="517" spans="1:36">
      <c r="A517" s="165">
        <f>'Conveyor Downtime (new)'!A516</f>
        <v>46282</v>
      </c>
      <c r="B517" s="346"/>
      <c r="C517" s="346"/>
      <c r="D517" s="346"/>
      <c r="E517" s="346"/>
      <c r="F517" s="346"/>
      <c r="G517" s="346"/>
      <c r="H517" s="346"/>
      <c r="I517" s="346"/>
      <c r="J517" s="346"/>
      <c r="K517" s="346"/>
      <c r="L517" s="346"/>
      <c r="M517" s="346"/>
      <c r="N517" s="346">
        <f>10</f>
        <v>10</v>
      </c>
      <c r="O517" s="346"/>
      <c r="P517" s="346"/>
      <c r="Q517" s="346"/>
      <c r="R517" s="346"/>
      <c r="S517" s="346"/>
      <c r="T517" s="346"/>
      <c r="U517" s="346"/>
      <c r="V517" s="346"/>
      <c r="W517" s="346"/>
      <c r="X517" s="346"/>
      <c r="Y517" s="346">
        <f>3+4+2+2+1</f>
        <v>12</v>
      </c>
      <c r="Z517" s="346"/>
      <c r="AA517" s="346"/>
      <c r="AB517" s="346"/>
      <c r="AC517" s="346"/>
      <c r="AD517" s="346"/>
      <c r="AE517" s="346"/>
      <c r="AF517" s="346"/>
      <c r="AG517" s="346"/>
      <c r="AH517" s="346"/>
      <c r="AI517">
        <f t="shared" si="64"/>
        <v>22</v>
      </c>
      <c r="AJ517" s="351">
        <f t="shared" si="65"/>
        <v>2.5581395348837209E-2</v>
      </c>
    </row>
    <row r="518" spans="1:36">
      <c r="A518" s="165">
        <f>'Conveyor Downtime (new)'!A517</f>
        <v>46283</v>
      </c>
      <c r="O518">
        <f>3+10</f>
        <v>13</v>
      </c>
      <c r="AI518">
        <f t="shared" si="64"/>
        <v>13</v>
      </c>
      <c r="AJ518" s="351">
        <f t="shared" si="65"/>
        <v>1.5116279069767442E-2</v>
      </c>
    </row>
    <row r="519" spans="1:36">
      <c r="A519" s="165">
        <f>'Conveyor Downtime (new)'!A518</f>
        <v>46283</v>
      </c>
      <c r="B519" s="346"/>
      <c r="C519" s="346"/>
      <c r="D519" s="346"/>
      <c r="E519" s="346"/>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f t="shared" si="63"/>
        <v>0</v>
      </c>
      <c r="AJ519" s="351">
        <f t="shared" si="62"/>
        <v>0</v>
      </c>
    </row>
    <row r="520" spans="1:36">
      <c r="A520" s="165">
        <f>'Conveyor Downtime (new)'!A519</f>
        <v>46283</v>
      </c>
      <c r="AI520">
        <f t="shared" si="63"/>
        <v>0</v>
      </c>
      <c r="AJ520" s="351">
        <f t="shared" si="62"/>
        <v>0</v>
      </c>
    </row>
    <row r="521" spans="1:36">
      <c r="A521" s="165">
        <f>'Conveyor Downtime (new)'!A520</f>
        <v>46286</v>
      </c>
      <c r="B521" s="346"/>
      <c r="C521" s="346">
        <f>5</f>
        <v>5</v>
      </c>
      <c r="D521" s="346"/>
      <c r="E521" s="346"/>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f t="shared" si="63"/>
        <v>5</v>
      </c>
      <c r="AJ521" s="351">
        <f t="shared" si="62"/>
        <v>5.8139534883720929E-3</v>
      </c>
    </row>
    <row r="522" spans="1:36">
      <c r="A522" s="165">
        <f>'Conveyor Downtime (new)'!A521</f>
        <v>46286</v>
      </c>
      <c r="B522" s="346"/>
      <c r="C522" s="346"/>
      <c r="D522" s="346"/>
      <c r="E522" s="346"/>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f t="shared" si="63"/>
        <v>0</v>
      </c>
      <c r="AJ522" s="351">
        <f t="shared" si="62"/>
        <v>0</v>
      </c>
    </row>
    <row r="523" spans="1:36">
      <c r="A523" s="165">
        <f>'Conveyor Downtime (new)'!A522</f>
        <v>46287</v>
      </c>
      <c r="C523">
        <v>4</v>
      </c>
      <c r="O523" s="363"/>
      <c r="U523">
        <f>2</f>
        <v>2</v>
      </c>
      <c r="AI523">
        <f t="shared" si="63"/>
        <v>6</v>
      </c>
      <c r="AJ523" s="351">
        <f t="shared" si="62"/>
        <v>6.9767441860465115E-3</v>
      </c>
    </row>
    <row r="524" spans="1:36">
      <c r="A524" s="165">
        <f>'Conveyor Downtime (new)'!A523</f>
        <v>46288</v>
      </c>
      <c r="B524" s="346"/>
      <c r="C524" s="346"/>
      <c r="D524" s="346"/>
      <c r="E524" s="346"/>
      <c r="F524" s="346"/>
      <c r="G524" s="346"/>
      <c r="H524" s="346"/>
      <c r="I524" s="346"/>
      <c r="J524" s="346"/>
      <c r="K524" s="346"/>
      <c r="L524" s="346"/>
      <c r="M524" s="346"/>
      <c r="N524" s="346"/>
      <c r="O524" s="346">
        <f>4</f>
        <v>4</v>
      </c>
      <c r="P524" s="346"/>
      <c r="Q524" s="346"/>
      <c r="R524" s="346"/>
      <c r="S524" s="346"/>
      <c r="T524" s="346"/>
      <c r="U524" s="346"/>
      <c r="V524" s="346"/>
      <c r="W524" s="346"/>
      <c r="X524" s="346"/>
      <c r="Y524" s="346"/>
      <c r="Z524" s="346"/>
      <c r="AA524" s="346"/>
      <c r="AB524" s="346"/>
      <c r="AC524" s="346"/>
      <c r="AD524" s="346"/>
      <c r="AE524" s="346"/>
      <c r="AF524" s="346"/>
      <c r="AG524" s="346"/>
      <c r="AH524" s="346"/>
      <c r="AI524">
        <f t="shared" si="63"/>
        <v>4</v>
      </c>
      <c r="AJ524" s="351">
        <f t="shared" si="62"/>
        <v>4.6511627906976744E-3</v>
      </c>
    </row>
    <row r="525" spans="1:36">
      <c r="A525" s="165">
        <f>'Conveyor Downtime (new)'!A524</f>
        <v>46288</v>
      </c>
      <c r="AI525">
        <f t="shared" si="63"/>
        <v>0</v>
      </c>
      <c r="AJ525" s="351">
        <f t="shared" si="62"/>
        <v>0</v>
      </c>
    </row>
    <row r="526" spans="1:36">
      <c r="A526" s="165">
        <f>'Conveyor Downtime (new)'!A525</f>
        <v>46289</v>
      </c>
      <c r="B526" s="346"/>
      <c r="C526" s="346"/>
      <c r="D526" s="346"/>
      <c r="E526" s="346"/>
      <c r="F526" s="346"/>
      <c r="G526" s="346"/>
      <c r="H526" s="346"/>
      <c r="I526" s="346"/>
      <c r="J526" s="346"/>
      <c r="K526" s="346"/>
      <c r="L526" s="346"/>
      <c r="M526" s="346"/>
      <c r="N526" s="346"/>
      <c r="O526" s="346"/>
      <c r="P526" s="346"/>
      <c r="Q526" s="346"/>
      <c r="R526" s="346"/>
      <c r="S526" s="346">
        <f>4+3+4+3</f>
        <v>14</v>
      </c>
      <c r="T526" s="346"/>
      <c r="U526" s="346"/>
      <c r="V526" s="346"/>
      <c r="W526" s="346"/>
      <c r="X526" s="346"/>
      <c r="Y526" s="346"/>
      <c r="Z526" s="346"/>
      <c r="AA526" s="346"/>
      <c r="AB526" s="346"/>
      <c r="AC526" s="346"/>
      <c r="AD526" s="346"/>
      <c r="AE526" s="346"/>
      <c r="AF526" s="346"/>
      <c r="AG526" s="346"/>
      <c r="AH526" s="346"/>
      <c r="AI526">
        <f t="shared" si="63"/>
        <v>14</v>
      </c>
      <c r="AJ526" s="351">
        <f t="shared" si="62"/>
        <v>1.627906976744186E-2</v>
      </c>
    </row>
    <row r="527" spans="1:36" ht="13.5" customHeight="1">
      <c r="A527" s="165">
        <f>'Conveyor Downtime (new)'!A526</f>
        <v>46290</v>
      </c>
      <c r="AI527">
        <f t="shared" si="63"/>
        <v>0</v>
      </c>
      <c r="AJ527" s="351">
        <f t="shared" si="62"/>
        <v>0</v>
      </c>
    </row>
    <row r="528" spans="1:36">
      <c r="A528" s="165">
        <f>'Conveyor Downtime (new)'!A527</f>
        <v>46290</v>
      </c>
      <c r="B528" s="346"/>
      <c r="C528" s="346"/>
      <c r="D528" s="346"/>
      <c r="E528" s="346"/>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f t="shared" si="63"/>
        <v>0</v>
      </c>
      <c r="AJ528" s="351">
        <f t="shared" si="62"/>
        <v>0</v>
      </c>
    </row>
    <row r="529" spans="1:36">
      <c r="A529" s="165">
        <f>'Conveyor Downtime (new)'!A528</f>
        <v>46293</v>
      </c>
      <c r="AI529">
        <f t="shared" si="63"/>
        <v>0</v>
      </c>
      <c r="AJ529" s="351">
        <f t="shared" si="62"/>
        <v>0</v>
      </c>
    </row>
    <row r="530" spans="1:36">
      <c r="A530" s="165">
        <f>'Conveyor Downtime (new)'!A529</f>
        <v>46294</v>
      </c>
      <c r="B530" s="346"/>
      <c r="C530" s="346"/>
      <c r="D530" s="346"/>
      <c r="E530" s="346"/>
      <c r="F530" s="346"/>
      <c r="G530" s="346"/>
      <c r="H530" s="346"/>
      <c r="I530" s="346"/>
      <c r="J530" s="346"/>
      <c r="K530" s="346"/>
      <c r="L530" s="346"/>
      <c r="M530" s="346"/>
      <c r="N530" s="346"/>
      <c r="O530" s="346">
        <f>4+4</f>
        <v>8</v>
      </c>
      <c r="P530" s="346"/>
      <c r="Q530" s="346"/>
      <c r="R530" s="346"/>
      <c r="S530" s="346"/>
      <c r="T530" s="346"/>
      <c r="U530" s="346"/>
      <c r="V530" s="346"/>
      <c r="W530" s="346"/>
      <c r="X530" s="346"/>
      <c r="Y530" s="346"/>
      <c r="Z530" s="346"/>
      <c r="AA530" s="346"/>
      <c r="AB530" s="346"/>
      <c r="AC530" s="346"/>
      <c r="AD530" s="346"/>
      <c r="AE530" s="346"/>
      <c r="AF530" s="346"/>
      <c r="AG530" s="346"/>
      <c r="AH530" s="346"/>
      <c r="AI530">
        <f t="shared" si="63"/>
        <v>8</v>
      </c>
      <c r="AJ530" s="351">
        <f t="shared" si="62"/>
        <v>9.3023255813953487E-3</v>
      </c>
    </row>
    <row r="531" spans="1:36">
      <c r="A531" s="165">
        <f>'Conveyor Downtime (new)'!A530</f>
        <v>46294</v>
      </c>
      <c r="O531">
        <v>3</v>
      </c>
      <c r="AI531">
        <f t="shared" si="63"/>
        <v>3</v>
      </c>
      <c r="AJ531" s="351">
        <f t="shared" si="62"/>
        <v>3.4883720930232558E-3</v>
      </c>
    </row>
    <row r="532" spans="1:36">
      <c r="A532" s="165">
        <f>'Conveyor Downtime (new)'!A531</f>
        <v>46295</v>
      </c>
      <c r="B532" s="346"/>
      <c r="C532" s="346"/>
      <c r="D532" s="346"/>
      <c r="E532" s="346"/>
      <c r="F532" s="346"/>
      <c r="G532" s="346"/>
      <c r="H532" s="346"/>
      <c r="I532" s="346"/>
      <c r="J532" s="346"/>
      <c r="K532" s="346"/>
      <c r="L532" s="346"/>
      <c r="M532" s="346"/>
      <c r="N532" s="346"/>
      <c r="O532" s="346">
        <f>4</f>
        <v>4</v>
      </c>
      <c r="P532" s="346"/>
      <c r="Q532" s="346"/>
      <c r="R532" s="346"/>
      <c r="S532" s="346"/>
      <c r="T532" s="346"/>
      <c r="U532" s="346">
        <f>2+3</f>
        <v>5</v>
      </c>
      <c r="V532" s="346"/>
      <c r="W532" s="346"/>
      <c r="X532" s="346"/>
      <c r="Y532" s="346"/>
      <c r="Z532" s="346"/>
      <c r="AA532" s="346"/>
      <c r="AB532" s="346"/>
      <c r="AC532" s="346"/>
      <c r="AD532" s="346"/>
      <c r="AE532" s="346"/>
      <c r="AF532" s="346"/>
      <c r="AG532" s="346"/>
      <c r="AH532" s="346"/>
      <c r="AI532">
        <f t="shared" si="63"/>
        <v>9</v>
      </c>
      <c r="AJ532" s="351">
        <f t="shared" si="62"/>
        <v>1.0465116279069767E-2</v>
      </c>
    </row>
    <row r="533" spans="1:36">
      <c r="A533" s="165">
        <f>'Conveyor Downtime (new)'!A532</f>
        <v>46295</v>
      </c>
      <c r="AD533">
        <f>2</f>
        <v>2</v>
      </c>
      <c r="AI533">
        <f t="shared" si="63"/>
        <v>2</v>
      </c>
      <c r="AJ533" s="351">
        <f t="shared" si="62"/>
        <v>2.3255813953488372E-3</v>
      </c>
    </row>
    <row r="534" spans="1:36">
      <c r="A534" s="165">
        <f>'Conveyor Downtime (new)'!A533</f>
        <v>0</v>
      </c>
      <c r="B534" s="346"/>
      <c r="C534" s="346"/>
      <c r="D534" s="346"/>
      <c r="E534" s="346"/>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f t="shared" si="63"/>
        <v>0</v>
      </c>
      <c r="AJ534" s="351">
        <f t="shared" si="62"/>
        <v>0</v>
      </c>
    </row>
    <row r="535" spans="1:36">
      <c r="A535" s="165">
        <f>'Conveyor Downtime (new)'!A534</f>
        <v>0</v>
      </c>
      <c r="AI535">
        <f t="shared" si="63"/>
        <v>0</v>
      </c>
      <c r="AJ535" s="351">
        <f t="shared" si="62"/>
        <v>0</v>
      </c>
    </row>
    <row r="536" spans="1:36">
      <c r="A536" s="165"/>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f t="shared" si="63"/>
        <v>0</v>
      </c>
      <c r="AJ536" s="351">
        <f t="shared" si="62"/>
        <v>0</v>
      </c>
    </row>
    <row r="537" spans="1:36">
      <c r="A537" s="165"/>
      <c r="AI537">
        <f t="shared" si="63"/>
        <v>0</v>
      </c>
      <c r="AJ537" s="351">
        <f t="shared" si="62"/>
        <v>0</v>
      </c>
    </row>
    <row r="538" spans="1:36">
      <c r="A538" s="165"/>
      <c r="AI538">
        <f t="shared" si="63"/>
        <v>0</v>
      </c>
      <c r="AJ538" s="351">
        <f t="shared" si="62"/>
        <v>0</v>
      </c>
    </row>
    <row r="539" spans="1:36">
      <c r="A539" s="165"/>
      <c r="AI539">
        <f t="shared" si="63"/>
        <v>0</v>
      </c>
      <c r="AJ539" s="351">
        <f t="shared" si="62"/>
        <v>0</v>
      </c>
    </row>
    <row r="540" spans="1:36">
      <c r="A540" s="165"/>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f t="shared" si="63"/>
        <v>0</v>
      </c>
      <c r="AJ540" s="351">
        <f t="shared" si="62"/>
        <v>0</v>
      </c>
    </row>
    <row r="541" spans="1:36">
      <c r="A541" s="165"/>
      <c r="AI541">
        <f t="shared" si="63"/>
        <v>0</v>
      </c>
      <c r="AJ541" s="351">
        <f t="shared" si="62"/>
        <v>0</v>
      </c>
    </row>
    <row r="542" spans="1:36">
      <c r="A542" s="165"/>
      <c r="B542" s="346"/>
      <c r="C542" s="346"/>
      <c r="D542" s="346"/>
      <c r="E542" s="346"/>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f t="shared" si="63"/>
        <v>0</v>
      </c>
      <c r="AJ542" s="351">
        <f t="shared" si="62"/>
        <v>0</v>
      </c>
    </row>
    <row r="543" spans="1:36">
      <c r="A543" s="165"/>
      <c r="AI543">
        <f t="shared" si="63"/>
        <v>0</v>
      </c>
      <c r="AJ543" s="351">
        <f t="shared" si="62"/>
        <v>0</v>
      </c>
    </row>
    <row r="544" spans="1:36">
      <c r="A544" s="165"/>
      <c r="B544" s="346"/>
      <c r="C544" s="346"/>
      <c r="D544" s="346"/>
      <c r="E544" s="346"/>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f t="shared" si="63"/>
        <v>0</v>
      </c>
      <c r="AJ544" s="351">
        <f t="shared" si="62"/>
        <v>0</v>
      </c>
    </row>
    <row r="545" spans="1:36">
      <c r="A545" s="165"/>
      <c r="AI545">
        <f t="shared" si="63"/>
        <v>0</v>
      </c>
      <c r="AJ545" s="351">
        <f t="shared" si="62"/>
        <v>0</v>
      </c>
    </row>
    <row r="546" spans="1:36">
      <c r="A546" s="165"/>
      <c r="B546" s="346"/>
      <c r="C546" s="346"/>
      <c r="D546" s="346"/>
      <c r="E546" s="346"/>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f t="shared" si="63"/>
        <v>0</v>
      </c>
      <c r="AJ546" s="351">
        <f t="shared" si="62"/>
        <v>0</v>
      </c>
    </row>
    <row r="547" spans="1:36">
      <c r="A547" s="165"/>
      <c r="AI547">
        <f t="shared" si="63"/>
        <v>0</v>
      </c>
      <c r="AJ547" s="351">
        <f t="shared" si="62"/>
        <v>0</v>
      </c>
    </row>
    <row r="548" spans="1:36">
      <c r="A548" s="165"/>
      <c r="B548" s="346"/>
      <c r="C548" s="346"/>
      <c r="D548" s="346"/>
      <c r="E548" s="346"/>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f t="shared" si="63"/>
        <v>0</v>
      </c>
      <c r="AJ548" s="351">
        <f t="shared" si="62"/>
        <v>0</v>
      </c>
    </row>
    <row r="549" spans="1:36">
      <c r="A549" s="165"/>
      <c r="AI549">
        <f t="shared" si="63"/>
        <v>0</v>
      </c>
      <c r="AJ549" s="351">
        <f t="shared" si="62"/>
        <v>0</v>
      </c>
    </row>
    <row r="550" spans="1:36">
      <c r="A550" s="165"/>
      <c r="B550" s="346"/>
      <c r="C550" s="346"/>
      <c r="D550" s="346"/>
      <c r="E550" s="346"/>
      <c r="F550" s="346"/>
      <c r="G550" s="346"/>
      <c r="H550" s="346"/>
      <c r="I550" s="346"/>
      <c r="J550" s="346"/>
      <c r="K550" s="346"/>
      <c r="L550" s="346"/>
      <c r="M550" s="346"/>
      <c r="N550" s="346"/>
      <c r="O550" s="346"/>
      <c r="P550" s="346"/>
      <c r="Q550" s="346"/>
      <c r="R550" s="346"/>
      <c r="S550" s="346"/>
      <c r="T550" s="346"/>
      <c r="U550" s="346"/>
      <c r="V550" s="346"/>
      <c r="W550" s="346"/>
      <c r="X550" s="346"/>
      <c r="Y550" s="346"/>
      <c r="Z550" s="346"/>
      <c r="AA550" s="346"/>
      <c r="AB550" s="346"/>
      <c r="AC550" s="346"/>
      <c r="AD550" s="346"/>
      <c r="AE550" s="346"/>
      <c r="AF550" s="346"/>
      <c r="AG550" s="346"/>
      <c r="AH550" s="346"/>
      <c r="AI550">
        <f t="shared" si="63"/>
        <v>0</v>
      </c>
      <c r="AJ550" s="351">
        <f t="shared" si="62"/>
        <v>0</v>
      </c>
    </row>
    <row r="551" spans="1:36">
      <c r="A551" s="165"/>
      <c r="AI551">
        <f t="shared" si="63"/>
        <v>0</v>
      </c>
      <c r="AJ551" s="351">
        <f t="shared" si="62"/>
        <v>0</v>
      </c>
    </row>
    <row r="552" spans="1:36">
      <c r="A552" s="165"/>
      <c r="B552" s="346"/>
      <c r="C552" s="346"/>
      <c r="D552" s="346"/>
      <c r="E552" s="346"/>
      <c r="F552" s="346"/>
      <c r="G552" s="346"/>
      <c r="H552" s="346"/>
      <c r="I552" s="346"/>
      <c r="J552" s="346"/>
      <c r="K552" s="346"/>
      <c r="L552" s="346"/>
      <c r="M552" s="346"/>
      <c r="N552" s="346"/>
      <c r="O552" s="346"/>
      <c r="P552" s="346"/>
      <c r="Q552" s="346"/>
      <c r="R552" s="346"/>
      <c r="S552" s="346"/>
      <c r="T552" s="346"/>
      <c r="U552" s="346"/>
      <c r="V552" s="346"/>
      <c r="W552" s="346"/>
      <c r="X552" s="346"/>
      <c r="Y552" s="346"/>
      <c r="Z552" s="346"/>
      <c r="AA552" s="346"/>
      <c r="AB552" s="346"/>
      <c r="AC552" s="346"/>
      <c r="AD552" s="346"/>
      <c r="AE552" s="346"/>
      <c r="AF552" s="346"/>
      <c r="AG552" s="346"/>
      <c r="AH552" s="346"/>
      <c r="AI552">
        <f t="shared" si="63"/>
        <v>0</v>
      </c>
      <c r="AJ552" s="351">
        <f t="shared" si="62"/>
        <v>0</v>
      </c>
    </row>
    <row r="553" spans="1:36" ht="15">
      <c r="A553" s="347" t="s">
        <v>113</v>
      </c>
      <c r="B553" s="347">
        <f t="shared" ref="B553:AH553" si="66">SUM(B495:B552)</f>
        <v>0</v>
      </c>
      <c r="C553" s="347">
        <f t="shared" si="66"/>
        <v>27</v>
      </c>
      <c r="D553" s="347">
        <f t="shared" si="66"/>
        <v>0</v>
      </c>
      <c r="E553" s="347">
        <f t="shared" si="66"/>
        <v>0</v>
      </c>
      <c r="F553" s="347">
        <f t="shared" si="66"/>
        <v>0</v>
      </c>
      <c r="G553" s="347">
        <f t="shared" si="66"/>
        <v>0</v>
      </c>
      <c r="H553" s="347">
        <f t="shared" si="66"/>
        <v>0</v>
      </c>
      <c r="I553" s="347">
        <f t="shared" si="66"/>
        <v>2</v>
      </c>
      <c r="J553" s="347">
        <f t="shared" si="66"/>
        <v>0</v>
      </c>
      <c r="K553" s="347">
        <f t="shared" si="66"/>
        <v>2</v>
      </c>
      <c r="L553" s="347">
        <f t="shared" si="66"/>
        <v>9</v>
      </c>
      <c r="M553" s="347">
        <f t="shared" si="66"/>
        <v>0</v>
      </c>
      <c r="N553" s="347">
        <f t="shared" si="66"/>
        <v>10</v>
      </c>
      <c r="O553" s="347">
        <f t="shared" si="66"/>
        <v>66</v>
      </c>
      <c r="P553" s="347">
        <f t="shared" si="66"/>
        <v>0</v>
      </c>
      <c r="Q553" s="347">
        <f t="shared" si="66"/>
        <v>0</v>
      </c>
      <c r="R553" s="347">
        <f t="shared" si="66"/>
        <v>0</v>
      </c>
      <c r="S553" s="347">
        <f t="shared" si="66"/>
        <v>14</v>
      </c>
      <c r="T553" s="347">
        <f t="shared" si="66"/>
        <v>0</v>
      </c>
      <c r="U553" s="347">
        <f t="shared" si="66"/>
        <v>43</v>
      </c>
      <c r="V553" s="347">
        <f t="shared" si="66"/>
        <v>25</v>
      </c>
      <c r="W553" s="347">
        <f t="shared" si="66"/>
        <v>0</v>
      </c>
      <c r="X553" s="347">
        <f t="shared" si="66"/>
        <v>0</v>
      </c>
      <c r="Y553" s="347">
        <f t="shared" si="66"/>
        <v>46</v>
      </c>
      <c r="Z553" s="347">
        <f t="shared" si="66"/>
        <v>0</v>
      </c>
      <c r="AA553" s="347">
        <f t="shared" si="66"/>
        <v>13</v>
      </c>
      <c r="AB553" s="347">
        <f t="shared" si="66"/>
        <v>0</v>
      </c>
      <c r="AC553" s="347">
        <f t="shared" si="66"/>
        <v>3</v>
      </c>
      <c r="AD553" s="347">
        <f t="shared" si="66"/>
        <v>2</v>
      </c>
      <c r="AE553" s="347">
        <f t="shared" si="66"/>
        <v>124</v>
      </c>
      <c r="AF553" s="347">
        <f t="shared" si="66"/>
        <v>0</v>
      </c>
      <c r="AG553" s="347">
        <f t="shared" si="66"/>
        <v>0</v>
      </c>
      <c r="AH553" s="347">
        <f t="shared" si="66"/>
        <v>0</v>
      </c>
      <c r="AI553" s="347">
        <f>SUM(AI495:AI552)</f>
        <v>386</v>
      </c>
      <c r="AJ553" s="375"/>
    </row>
    <row r="554" spans="1:36" ht="15.75" thickBot="1">
      <c r="A554" s="348" t="s">
        <v>174</v>
      </c>
      <c r="B554" s="348">
        <f t="shared" ref="B554:AH554" si="67">B553/$AI553</f>
        <v>0</v>
      </c>
      <c r="C554" s="348">
        <f t="shared" si="67"/>
        <v>6.9948186528497408E-2</v>
      </c>
      <c r="D554" s="348">
        <f t="shared" si="67"/>
        <v>0</v>
      </c>
      <c r="E554" s="348">
        <f t="shared" si="67"/>
        <v>0</v>
      </c>
      <c r="F554" s="348">
        <f t="shared" si="67"/>
        <v>0</v>
      </c>
      <c r="G554" s="348">
        <f t="shared" si="67"/>
        <v>0</v>
      </c>
      <c r="H554" s="348">
        <f t="shared" si="67"/>
        <v>0</v>
      </c>
      <c r="I554" s="348">
        <f t="shared" si="67"/>
        <v>5.1813471502590676E-3</v>
      </c>
      <c r="J554" s="348">
        <f t="shared" si="67"/>
        <v>0</v>
      </c>
      <c r="K554" s="348">
        <f t="shared" si="67"/>
        <v>5.1813471502590676E-3</v>
      </c>
      <c r="L554" s="348">
        <f t="shared" si="67"/>
        <v>2.3316062176165803E-2</v>
      </c>
      <c r="M554" s="348">
        <f t="shared" si="67"/>
        <v>0</v>
      </c>
      <c r="N554" s="348">
        <f t="shared" si="67"/>
        <v>2.5906735751295335E-2</v>
      </c>
      <c r="O554" s="348">
        <f t="shared" si="67"/>
        <v>0.17098445595854922</v>
      </c>
      <c r="P554" s="348">
        <f t="shared" si="67"/>
        <v>0</v>
      </c>
      <c r="Q554" s="348">
        <f t="shared" si="67"/>
        <v>0</v>
      </c>
      <c r="R554" s="348">
        <f t="shared" si="67"/>
        <v>0</v>
      </c>
      <c r="S554" s="348">
        <f t="shared" si="67"/>
        <v>3.6269430051813469E-2</v>
      </c>
      <c r="T554" s="348">
        <f t="shared" si="67"/>
        <v>0</v>
      </c>
      <c r="U554" s="348">
        <f t="shared" si="67"/>
        <v>0.11139896373056994</v>
      </c>
      <c r="V554" s="348">
        <f t="shared" si="67"/>
        <v>6.4766839378238336E-2</v>
      </c>
      <c r="W554" s="348">
        <f t="shared" si="67"/>
        <v>0</v>
      </c>
      <c r="X554" s="348">
        <f t="shared" si="67"/>
        <v>0</v>
      </c>
      <c r="Y554" s="348">
        <f t="shared" si="67"/>
        <v>0.11917098445595854</v>
      </c>
      <c r="Z554" s="348">
        <f t="shared" si="67"/>
        <v>0</v>
      </c>
      <c r="AA554" s="348">
        <f t="shared" si="67"/>
        <v>3.367875647668394E-2</v>
      </c>
      <c r="AB554" s="348">
        <f t="shared" si="67"/>
        <v>0</v>
      </c>
      <c r="AC554" s="348">
        <f t="shared" si="67"/>
        <v>7.7720207253886009E-3</v>
      </c>
      <c r="AD554" s="348">
        <f t="shared" si="67"/>
        <v>5.1813471502590676E-3</v>
      </c>
      <c r="AE554" s="348">
        <f t="shared" si="67"/>
        <v>0.32124352331606215</v>
      </c>
      <c r="AF554" s="348">
        <f t="shared" si="67"/>
        <v>0</v>
      </c>
      <c r="AG554" s="348">
        <f t="shared" si="67"/>
        <v>0</v>
      </c>
      <c r="AH554" s="348">
        <f t="shared" si="67"/>
        <v>0</v>
      </c>
      <c r="AI554" s="376"/>
      <c r="AJ554" s="376"/>
    </row>
    <row r="558" spans="1:36">
      <c r="A558" s="165">
        <f>'Conveyor Downtime (new)'!A556</f>
        <v>46296</v>
      </c>
      <c r="B558" s="346"/>
      <c r="C558" s="346"/>
      <c r="D558" s="346"/>
      <c r="E558" s="346"/>
      <c r="F558" s="346"/>
      <c r="G558" s="346"/>
      <c r="H558" s="346"/>
      <c r="I558" s="346"/>
      <c r="J558" s="346"/>
      <c r="K558" s="346"/>
      <c r="L558" s="346"/>
      <c r="M558" s="346"/>
      <c r="N558" s="346"/>
      <c r="O558" s="346">
        <f>4</f>
        <v>4</v>
      </c>
      <c r="P558" s="346"/>
      <c r="Q558" s="346"/>
      <c r="R558" s="346"/>
      <c r="S558" s="346"/>
      <c r="T558" s="346"/>
      <c r="U558" s="346"/>
      <c r="V558" s="346"/>
      <c r="W558" s="346"/>
      <c r="X558" s="346"/>
      <c r="Y558" s="346"/>
      <c r="Z558" s="346"/>
      <c r="AA558" s="346"/>
      <c r="AB558" s="346"/>
      <c r="AC558" s="346"/>
      <c r="AD558" s="346"/>
      <c r="AE558" s="346"/>
      <c r="AF558" s="346"/>
      <c r="AG558" s="346"/>
      <c r="AH558" s="346"/>
      <c r="AI558">
        <f t="shared" ref="AI558:AI589" si="68">SUM(B558:AH558)</f>
        <v>4</v>
      </c>
      <c r="AJ558" s="351">
        <f>AI558/$AI$184</f>
        <v>4.6511627906976744E-3</v>
      </c>
    </row>
    <row r="559" spans="1:36">
      <c r="A559" s="165">
        <f>'Conveyor Downtime (new)'!A557</f>
        <v>0</v>
      </c>
      <c r="AA559" s="77"/>
      <c r="AI559">
        <f t="shared" si="68"/>
        <v>0</v>
      </c>
      <c r="AJ559" s="351">
        <f t="shared" ref="AJ559:AJ612" si="69">AI559/$AI$184</f>
        <v>0</v>
      </c>
    </row>
    <row r="560" spans="1:36">
      <c r="A560" s="165">
        <f>'Conveyor Downtime (new)'!A558</f>
        <v>0</v>
      </c>
      <c r="B560" s="346"/>
      <c r="C560" s="346"/>
      <c r="D560" s="346"/>
      <c r="E560" s="346"/>
      <c r="F560" s="346"/>
      <c r="G560" s="346"/>
      <c r="H560" s="346"/>
      <c r="I560" s="346"/>
      <c r="J560" s="346"/>
      <c r="K560" s="346"/>
      <c r="L560" s="346"/>
      <c r="M560" s="346"/>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f t="shared" si="68"/>
        <v>0</v>
      </c>
      <c r="AJ560" s="351">
        <f t="shared" si="69"/>
        <v>0</v>
      </c>
    </row>
    <row r="561" spans="1:36">
      <c r="A561" s="165">
        <f>'Conveyor Downtime (new)'!A559</f>
        <v>0</v>
      </c>
      <c r="AI561">
        <f t="shared" si="68"/>
        <v>0</v>
      </c>
      <c r="AJ561" s="351">
        <f t="shared" si="69"/>
        <v>0</v>
      </c>
    </row>
    <row r="562" spans="1:36">
      <c r="A562" s="165">
        <f>'Conveyor Downtime (new)'!A560</f>
        <v>0</v>
      </c>
      <c r="B562" s="77"/>
      <c r="C562" s="346"/>
      <c r="D562" s="346"/>
      <c r="E562" s="346"/>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f t="shared" si="68"/>
        <v>0</v>
      </c>
      <c r="AJ562" s="351">
        <f t="shared" si="69"/>
        <v>0</v>
      </c>
    </row>
    <row r="563" spans="1:36">
      <c r="A563" s="165">
        <f>'Conveyor Downtime (new)'!A561</f>
        <v>0</v>
      </c>
      <c r="AI563">
        <f t="shared" si="68"/>
        <v>0</v>
      </c>
      <c r="AJ563" s="351">
        <f t="shared" si="69"/>
        <v>0</v>
      </c>
    </row>
    <row r="564" spans="1:36">
      <c r="A564" s="165">
        <f>'Conveyor Downtime (new)'!A562</f>
        <v>0</v>
      </c>
      <c r="B564" s="346"/>
      <c r="C564" s="346"/>
      <c r="D564" s="346"/>
      <c r="E564" s="346"/>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f t="shared" si="68"/>
        <v>0</v>
      </c>
      <c r="AJ564" s="351">
        <f t="shared" si="69"/>
        <v>0</v>
      </c>
    </row>
    <row r="565" spans="1:36">
      <c r="A565" s="165">
        <f>'Conveyor Downtime (new)'!A563</f>
        <v>0</v>
      </c>
      <c r="AI565">
        <f t="shared" si="68"/>
        <v>0</v>
      </c>
      <c r="AJ565" s="351">
        <f t="shared" si="69"/>
        <v>0</v>
      </c>
    </row>
    <row r="566" spans="1:36">
      <c r="A566" s="165">
        <f>'Conveyor Downtime (new)'!A564</f>
        <v>0</v>
      </c>
      <c r="B566" s="346"/>
      <c r="C566" s="346"/>
      <c r="D566" s="346"/>
      <c r="E566" s="346"/>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f t="shared" si="68"/>
        <v>0</v>
      </c>
      <c r="AJ566" s="351">
        <f t="shared" si="69"/>
        <v>0</v>
      </c>
    </row>
    <row r="567" spans="1:36">
      <c r="A567" s="165">
        <f>'Conveyor Downtime (new)'!A565</f>
        <v>0</v>
      </c>
      <c r="AI567">
        <f t="shared" si="68"/>
        <v>0</v>
      </c>
      <c r="AJ567" s="351">
        <f t="shared" si="69"/>
        <v>0</v>
      </c>
    </row>
    <row r="568" spans="1:36">
      <c r="A568" s="165">
        <f>'Conveyor Downtime (new)'!A566</f>
        <v>0</v>
      </c>
      <c r="B568" s="346"/>
      <c r="C568" s="346"/>
      <c r="D568" s="346"/>
      <c r="E568" s="346"/>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f t="shared" si="68"/>
        <v>0</v>
      </c>
      <c r="AJ568" s="351">
        <f t="shared" si="69"/>
        <v>0</v>
      </c>
    </row>
    <row r="569" spans="1:36">
      <c r="A569" s="165">
        <f>'Conveyor Downtime (new)'!A567</f>
        <v>0</v>
      </c>
      <c r="AI569">
        <f t="shared" si="68"/>
        <v>0</v>
      </c>
      <c r="AJ569" s="351">
        <f t="shared" si="69"/>
        <v>0</v>
      </c>
    </row>
    <row r="570" spans="1:36">
      <c r="A570" s="165">
        <f>'[3]Conveyor Downtime (new)'!A566</f>
        <v>45937</v>
      </c>
      <c r="B570" s="346"/>
      <c r="C570" s="346"/>
      <c r="D570" s="346"/>
      <c r="E570" s="346"/>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f t="shared" si="68"/>
        <v>0</v>
      </c>
      <c r="AJ570" s="351">
        <f t="shared" si="69"/>
        <v>0</v>
      </c>
    </row>
    <row r="571" spans="1:36">
      <c r="A571" s="165">
        <f>'Conveyor Downtime (new)'!A569</f>
        <v>0</v>
      </c>
      <c r="AI571">
        <f t="shared" si="68"/>
        <v>0</v>
      </c>
      <c r="AJ571" s="351">
        <f t="shared" si="69"/>
        <v>0</v>
      </c>
    </row>
    <row r="572" spans="1:36">
      <c r="A572" s="165">
        <f>'Conveyor Downtime (new)'!A570</f>
        <v>0</v>
      </c>
      <c r="B572" s="346"/>
      <c r="C572" s="346"/>
      <c r="D572" s="346"/>
      <c r="E572" s="346"/>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346"/>
      <c r="AC572" s="346"/>
      <c r="AD572" s="346"/>
      <c r="AE572" s="346"/>
      <c r="AF572" s="346"/>
      <c r="AG572" s="346"/>
      <c r="AH572" s="346"/>
      <c r="AI572">
        <f t="shared" si="68"/>
        <v>0</v>
      </c>
      <c r="AJ572" s="351">
        <f t="shared" si="69"/>
        <v>0</v>
      </c>
    </row>
    <row r="573" spans="1:36">
      <c r="A573" s="165">
        <f>'Conveyor Downtime (new)'!A571</f>
        <v>0</v>
      </c>
      <c r="AI573">
        <f t="shared" si="68"/>
        <v>0</v>
      </c>
      <c r="AJ573" s="351">
        <f t="shared" si="69"/>
        <v>0</v>
      </c>
    </row>
    <row r="574" spans="1:36">
      <c r="A574" s="165">
        <f>'Conveyor Downtime (new)'!A572</f>
        <v>0</v>
      </c>
      <c r="B574" s="346"/>
      <c r="C574" s="346"/>
      <c r="D574" s="346"/>
      <c r="E574" s="346"/>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f t="shared" si="68"/>
        <v>0</v>
      </c>
      <c r="AJ574" s="351">
        <f t="shared" si="69"/>
        <v>0</v>
      </c>
    </row>
    <row r="575" spans="1:36">
      <c r="A575" s="165">
        <f>'Conveyor Downtime (new)'!A573</f>
        <v>0</v>
      </c>
      <c r="AI575">
        <f t="shared" si="68"/>
        <v>0</v>
      </c>
      <c r="AJ575" s="351">
        <f t="shared" si="69"/>
        <v>0</v>
      </c>
    </row>
    <row r="576" spans="1:36">
      <c r="A576" s="165">
        <f>'Conveyor Downtime (new)'!A574</f>
        <v>0</v>
      </c>
      <c r="B576" s="346"/>
      <c r="C576" s="346"/>
      <c r="D576" s="346"/>
      <c r="E576" s="346"/>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f t="shared" si="68"/>
        <v>0</v>
      </c>
      <c r="AJ576" s="351">
        <f t="shared" si="69"/>
        <v>0</v>
      </c>
    </row>
    <row r="577" spans="1:36">
      <c r="A577" s="165">
        <f>'Conveyor Downtime (new)'!A575</f>
        <v>0</v>
      </c>
      <c r="AI577">
        <f t="shared" si="68"/>
        <v>0</v>
      </c>
      <c r="AJ577" s="351">
        <f t="shared" si="69"/>
        <v>0</v>
      </c>
    </row>
    <row r="578" spans="1:36">
      <c r="A578" s="165">
        <f>'Conveyor Downtime (new)'!A576</f>
        <v>0</v>
      </c>
      <c r="B578" s="346"/>
      <c r="C578" s="346"/>
      <c r="D578" s="346"/>
      <c r="E578" s="346"/>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f t="shared" si="68"/>
        <v>0</v>
      </c>
      <c r="AJ578" s="351">
        <f t="shared" si="69"/>
        <v>0</v>
      </c>
    </row>
    <row r="579" spans="1:36">
      <c r="A579" s="165">
        <f>'Conveyor Downtime (new)'!A577</f>
        <v>0</v>
      </c>
      <c r="AI579">
        <f t="shared" si="68"/>
        <v>0</v>
      </c>
      <c r="AJ579" s="351">
        <f t="shared" si="69"/>
        <v>0</v>
      </c>
    </row>
    <row r="580" spans="1:36">
      <c r="A580" s="165">
        <f>'Conveyor Downtime (new)'!A578</f>
        <v>0</v>
      </c>
      <c r="B580" s="346"/>
      <c r="C580" s="346"/>
      <c r="D580" s="346"/>
      <c r="E580" s="346"/>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f t="shared" si="68"/>
        <v>0</v>
      </c>
      <c r="AJ580" s="351">
        <f t="shared" si="69"/>
        <v>0</v>
      </c>
    </row>
    <row r="581" spans="1:36">
      <c r="A581" s="165">
        <f>'Conveyor Downtime (new)'!A579</f>
        <v>0</v>
      </c>
      <c r="AI581">
        <f t="shared" si="68"/>
        <v>0</v>
      </c>
      <c r="AJ581" s="351">
        <f t="shared" si="69"/>
        <v>0</v>
      </c>
    </row>
    <row r="582" spans="1:36" ht="11.25" customHeight="1">
      <c r="A582" s="165">
        <f>'Conveyor Downtime (new)'!A580</f>
        <v>0</v>
      </c>
      <c r="B582" s="346"/>
      <c r="C582" s="346"/>
      <c r="D582" s="346"/>
      <c r="E582" s="346"/>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f t="shared" si="68"/>
        <v>0</v>
      </c>
      <c r="AJ582" s="351">
        <f t="shared" si="69"/>
        <v>0</v>
      </c>
    </row>
    <row r="583" spans="1:36">
      <c r="A583" s="165">
        <f>'Conveyor Downtime (new)'!A581</f>
        <v>0</v>
      </c>
      <c r="AI583">
        <f t="shared" si="68"/>
        <v>0</v>
      </c>
      <c r="AJ583" s="351">
        <f t="shared" si="69"/>
        <v>0</v>
      </c>
    </row>
    <row r="584" spans="1:36" ht="13.5" customHeight="1">
      <c r="A584" s="165">
        <f>'Conveyor Downtime (new)'!A582</f>
        <v>0</v>
      </c>
      <c r="B584" s="346"/>
      <c r="C584" s="346"/>
      <c r="D584" s="346"/>
      <c r="E584" s="346"/>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f t="shared" si="68"/>
        <v>0</v>
      </c>
      <c r="AJ584" s="351">
        <f t="shared" si="69"/>
        <v>0</v>
      </c>
    </row>
    <row r="585" spans="1:36">
      <c r="A585" s="165">
        <f>'Conveyor Downtime (new)'!A583</f>
        <v>0</v>
      </c>
      <c r="AI585">
        <f t="shared" si="68"/>
        <v>0</v>
      </c>
      <c r="AJ585" s="351">
        <f t="shared" si="69"/>
        <v>0</v>
      </c>
    </row>
    <row r="586" spans="1:36">
      <c r="A586" s="165">
        <f>'Conveyor Downtime (new)'!A584</f>
        <v>0</v>
      </c>
      <c r="B586" s="346"/>
      <c r="C586" s="346"/>
      <c r="D586" s="346"/>
      <c r="E586" s="346"/>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f t="shared" si="68"/>
        <v>0</v>
      </c>
      <c r="AJ586" s="351">
        <f t="shared" si="69"/>
        <v>0</v>
      </c>
    </row>
    <row r="587" spans="1:36">
      <c r="A587" s="165">
        <f>'Conveyor Downtime (new)'!A585</f>
        <v>0</v>
      </c>
      <c r="AI587">
        <f t="shared" si="68"/>
        <v>0</v>
      </c>
      <c r="AJ587" s="351">
        <f t="shared" si="69"/>
        <v>0</v>
      </c>
    </row>
    <row r="588" spans="1:36">
      <c r="A588" s="165">
        <f>'Conveyor Downtime (new)'!A586</f>
        <v>0</v>
      </c>
      <c r="B588" s="346"/>
      <c r="C588" s="346"/>
      <c r="D588" s="346"/>
      <c r="E588" s="346"/>
      <c r="F588" s="346"/>
      <c r="G588" s="346"/>
      <c r="H588" s="346"/>
      <c r="I588" s="346"/>
      <c r="J588" s="346"/>
      <c r="K588" s="346"/>
      <c r="L588" s="346"/>
      <c r="M588" s="346"/>
      <c r="N588" s="346"/>
      <c r="O588" s="346"/>
      <c r="P588" s="346"/>
      <c r="Q588" s="346"/>
      <c r="R588" s="346"/>
      <c r="S588" s="346"/>
      <c r="T588" s="346"/>
      <c r="U588" s="346"/>
      <c r="V588" s="346"/>
      <c r="W588" s="346"/>
      <c r="X588" s="346"/>
      <c r="Y588" s="346"/>
      <c r="Z588" s="346"/>
      <c r="AA588" s="346"/>
      <c r="AB588" s="346"/>
      <c r="AC588" s="346"/>
      <c r="AD588" s="346"/>
      <c r="AE588" s="346"/>
      <c r="AF588" s="346"/>
      <c r="AG588" s="346"/>
      <c r="AH588" s="346"/>
      <c r="AI588">
        <f t="shared" si="68"/>
        <v>0</v>
      </c>
      <c r="AJ588" s="351">
        <f t="shared" si="69"/>
        <v>0</v>
      </c>
    </row>
    <row r="589" spans="1:36">
      <c r="A589" s="165">
        <f>'Conveyor Downtime (new)'!A587</f>
        <v>0</v>
      </c>
      <c r="AI589">
        <f t="shared" si="68"/>
        <v>0</v>
      </c>
      <c r="AJ589" s="351">
        <f t="shared" si="69"/>
        <v>0</v>
      </c>
    </row>
    <row r="590" spans="1:36">
      <c r="A590" s="165">
        <f>'Conveyor Downtime (new)'!A588</f>
        <v>0</v>
      </c>
      <c r="B590" s="346"/>
      <c r="C590" s="346"/>
      <c r="D590" s="346"/>
      <c r="E590" s="346"/>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f t="shared" ref="AI590:AI612" si="70">SUM(B590:AH590)</f>
        <v>0</v>
      </c>
      <c r="AJ590" s="351">
        <f t="shared" si="69"/>
        <v>0</v>
      </c>
    </row>
    <row r="591" spans="1:36">
      <c r="A591" s="165">
        <f>'Conveyor Downtime (new)'!A589</f>
        <v>0</v>
      </c>
      <c r="AI591">
        <f t="shared" si="70"/>
        <v>0</v>
      </c>
      <c r="AJ591" s="351">
        <f t="shared" si="69"/>
        <v>0</v>
      </c>
    </row>
    <row r="592" spans="1:36">
      <c r="A592" s="165">
        <f>'Conveyor Downtime (new)'!A590</f>
        <v>0</v>
      </c>
      <c r="B592" s="346"/>
      <c r="C592" s="346"/>
      <c r="D592" s="346"/>
      <c r="E592" s="346"/>
      <c r="F592" s="346"/>
      <c r="G592" s="346"/>
      <c r="H592" s="346"/>
      <c r="I592" s="346"/>
      <c r="J592" s="346"/>
      <c r="K592" s="346"/>
      <c r="L592" s="346"/>
      <c r="M592" s="346"/>
      <c r="N592" s="346"/>
      <c r="O592" s="377"/>
      <c r="P592" s="346"/>
      <c r="Q592" s="346"/>
      <c r="R592" s="346"/>
      <c r="S592" s="346"/>
      <c r="T592" s="346"/>
      <c r="U592" s="377"/>
      <c r="V592" s="346"/>
      <c r="W592" s="346"/>
      <c r="X592" s="346"/>
      <c r="Y592" s="346"/>
      <c r="Z592" s="346"/>
      <c r="AA592" s="346"/>
      <c r="AB592" s="346"/>
      <c r="AC592" s="346"/>
      <c r="AD592" s="346"/>
      <c r="AE592" s="346"/>
      <c r="AF592" s="346"/>
      <c r="AG592" s="346"/>
      <c r="AH592" s="346"/>
      <c r="AI592">
        <f t="shared" si="70"/>
        <v>0</v>
      </c>
      <c r="AJ592" s="351">
        <f t="shared" si="69"/>
        <v>0</v>
      </c>
    </row>
    <row r="593" spans="1:36">
      <c r="A593" s="165">
        <f>'Conveyor Downtime (new)'!A591</f>
        <v>0</v>
      </c>
      <c r="AI593">
        <f t="shared" si="70"/>
        <v>0</v>
      </c>
      <c r="AJ593" s="351">
        <f t="shared" si="69"/>
        <v>0</v>
      </c>
    </row>
    <row r="594" spans="1:36">
      <c r="A594" s="165">
        <f>'Conveyor Downtime (new)'!A592</f>
        <v>0</v>
      </c>
      <c r="B594" s="346"/>
      <c r="C594" s="346"/>
      <c r="D594" s="346"/>
      <c r="E594" s="346"/>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f t="shared" si="70"/>
        <v>0</v>
      </c>
      <c r="AJ594" s="351">
        <f t="shared" si="69"/>
        <v>0</v>
      </c>
    </row>
    <row r="595" spans="1:36">
      <c r="A595" s="165">
        <f>'Conveyor Downtime (new)'!A593</f>
        <v>0</v>
      </c>
      <c r="AI595">
        <f t="shared" si="70"/>
        <v>0</v>
      </c>
      <c r="AJ595" s="351">
        <f t="shared" si="69"/>
        <v>0</v>
      </c>
    </row>
    <row r="596" spans="1:36">
      <c r="A596" s="165">
        <f>'Conveyor Downtime (new)'!A594</f>
        <v>0</v>
      </c>
      <c r="B596" s="346"/>
      <c r="C596" s="346"/>
      <c r="D596" s="346"/>
      <c r="E596" s="346"/>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f t="shared" si="70"/>
        <v>0</v>
      </c>
      <c r="AJ596" s="351">
        <f t="shared" si="69"/>
        <v>0</v>
      </c>
    </row>
    <row r="597" spans="1:36">
      <c r="A597" s="165">
        <f>'Conveyor Downtime (new)'!A595</f>
        <v>0</v>
      </c>
      <c r="O597" s="358"/>
      <c r="AI597">
        <f t="shared" si="70"/>
        <v>0</v>
      </c>
      <c r="AJ597" s="351">
        <f t="shared" si="69"/>
        <v>0</v>
      </c>
    </row>
    <row r="598" spans="1:36">
      <c r="A598" s="165">
        <f>'Conveyor Downtime (new)'!A596</f>
        <v>0</v>
      </c>
      <c r="B598" s="346"/>
      <c r="C598" s="346"/>
      <c r="D598" s="346"/>
      <c r="E598" s="346"/>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f t="shared" si="70"/>
        <v>0</v>
      </c>
      <c r="AJ598" s="351">
        <f t="shared" si="69"/>
        <v>0</v>
      </c>
    </row>
    <row r="599" spans="1:36">
      <c r="A599" s="165">
        <f>'Conveyor Downtime (new)'!A597</f>
        <v>0</v>
      </c>
      <c r="AI599">
        <f t="shared" si="70"/>
        <v>0</v>
      </c>
      <c r="AJ599" s="351">
        <f t="shared" si="69"/>
        <v>0</v>
      </c>
    </row>
    <row r="600" spans="1:36">
      <c r="A600" s="165">
        <f>'Conveyor Downtime (new)'!A598</f>
        <v>0</v>
      </c>
      <c r="B600" s="346"/>
      <c r="C600" s="346"/>
      <c r="D600" s="346"/>
      <c r="E600" s="346"/>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f t="shared" si="70"/>
        <v>0</v>
      </c>
      <c r="AJ600" s="351">
        <f t="shared" si="69"/>
        <v>0</v>
      </c>
    </row>
    <row r="601" spans="1:36">
      <c r="A601" s="165">
        <f>'Conveyor Downtime (new)'!A599</f>
        <v>0</v>
      </c>
      <c r="AI601">
        <f t="shared" si="70"/>
        <v>0</v>
      </c>
      <c r="AJ601" s="351">
        <f t="shared" si="69"/>
        <v>0</v>
      </c>
    </row>
    <row r="602" spans="1:36">
      <c r="A602" s="165">
        <f>'Conveyor Downtime (new)'!A600</f>
        <v>0</v>
      </c>
      <c r="B602" s="346"/>
      <c r="C602" s="346"/>
      <c r="D602" s="346"/>
      <c r="E602" s="346"/>
      <c r="F602" s="346"/>
      <c r="G602" s="346"/>
      <c r="H602" s="346"/>
      <c r="I602" s="346"/>
      <c r="J602" s="346"/>
      <c r="K602" s="346"/>
      <c r="L602" s="346"/>
      <c r="M602" s="346"/>
      <c r="N602" s="346"/>
      <c r="O602" s="501"/>
      <c r="P602" s="346"/>
      <c r="Q602" s="346"/>
      <c r="R602" s="346"/>
      <c r="S602" s="346"/>
      <c r="T602" s="346"/>
      <c r="U602" s="346"/>
      <c r="V602" s="346"/>
      <c r="W602" s="346"/>
      <c r="X602" s="346"/>
      <c r="Y602" s="346"/>
      <c r="Z602" s="346"/>
      <c r="AA602" s="346"/>
      <c r="AB602" s="346"/>
      <c r="AC602" s="346"/>
      <c r="AD602" s="346"/>
      <c r="AE602" s="346"/>
      <c r="AF602" s="346"/>
      <c r="AG602" s="346"/>
      <c r="AH602" s="346"/>
      <c r="AI602">
        <f t="shared" si="70"/>
        <v>0</v>
      </c>
      <c r="AJ602" s="351">
        <f t="shared" si="69"/>
        <v>0</v>
      </c>
    </row>
    <row r="603" spans="1:36">
      <c r="A603" s="165">
        <f>'Conveyor Downtime (new)'!A601</f>
        <v>0</v>
      </c>
      <c r="AI603">
        <f t="shared" si="70"/>
        <v>0</v>
      </c>
      <c r="AJ603" s="351">
        <f t="shared" si="69"/>
        <v>0</v>
      </c>
    </row>
    <row r="604" spans="1:36">
      <c r="A604" s="165">
        <f>'Conveyor Downtime (new)'!A602</f>
        <v>0</v>
      </c>
      <c r="B604" s="346"/>
      <c r="C604" s="346"/>
      <c r="D604" s="346"/>
      <c r="E604" s="346"/>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f t="shared" si="70"/>
        <v>0</v>
      </c>
      <c r="AJ604" s="351">
        <f t="shared" si="69"/>
        <v>0</v>
      </c>
    </row>
    <row r="605" spans="1:36">
      <c r="A605" s="165">
        <f>'Conveyor Downtime (new)'!A603</f>
        <v>0</v>
      </c>
      <c r="AI605">
        <f t="shared" si="70"/>
        <v>0</v>
      </c>
      <c r="AJ605" s="351">
        <f t="shared" si="69"/>
        <v>0</v>
      </c>
    </row>
    <row r="606" spans="1:36">
      <c r="A606" s="165">
        <f>'Conveyor Downtime (new)'!A604</f>
        <v>0</v>
      </c>
      <c r="B606" s="346"/>
      <c r="C606" s="346"/>
      <c r="D606" s="346"/>
      <c r="E606" s="346"/>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f t="shared" si="70"/>
        <v>0</v>
      </c>
      <c r="AJ606" s="351">
        <f t="shared" si="69"/>
        <v>0</v>
      </c>
    </row>
    <row r="607" spans="1:36">
      <c r="A607" s="165">
        <f>'Conveyor Downtime (new)'!A605</f>
        <v>0</v>
      </c>
      <c r="AI607">
        <f t="shared" si="70"/>
        <v>0</v>
      </c>
      <c r="AJ607" s="351">
        <f t="shared" si="69"/>
        <v>0</v>
      </c>
    </row>
    <row r="608" spans="1:36">
      <c r="A608" s="165">
        <f>'Conveyor Downtime (new)'!A606</f>
        <v>0</v>
      </c>
      <c r="B608" s="346"/>
      <c r="C608" s="346"/>
      <c r="D608" s="346"/>
      <c r="E608" s="346"/>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f t="shared" si="70"/>
        <v>0</v>
      </c>
      <c r="AJ608" s="351">
        <f t="shared" si="69"/>
        <v>0</v>
      </c>
    </row>
    <row r="609" spans="1:36">
      <c r="A609" s="165">
        <f>'Conveyor Downtime (new)'!A607</f>
        <v>0</v>
      </c>
      <c r="O609" s="77"/>
      <c r="AI609">
        <f t="shared" si="70"/>
        <v>0</v>
      </c>
      <c r="AJ609" s="351">
        <f t="shared" si="69"/>
        <v>0</v>
      </c>
    </row>
    <row r="610" spans="1:36">
      <c r="A610" s="165">
        <f>'Conveyor Downtime (new)'!A608</f>
        <v>0</v>
      </c>
      <c r="B610" s="346"/>
      <c r="C610" s="346"/>
      <c r="D610" s="346"/>
      <c r="E610" s="346"/>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f t="shared" si="70"/>
        <v>0</v>
      </c>
      <c r="AJ610" s="351">
        <f t="shared" si="69"/>
        <v>0</v>
      </c>
    </row>
    <row r="611" spans="1:36">
      <c r="A611" s="165">
        <f>'Conveyor Downtime (new)'!A609</f>
        <v>0</v>
      </c>
      <c r="AI611">
        <f t="shared" si="70"/>
        <v>0</v>
      </c>
      <c r="AJ611" s="351">
        <f t="shared" si="69"/>
        <v>0</v>
      </c>
    </row>
    <row r="612" spans="1:36">
      <c r="A612" s="165"/>
      <c r="B612" s="346"/>
      <c r="C612" s="346"/>
      <c r="D612" s="346"/>
      <c r="E612" s="346"/>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f t="shared" si="70"/>
        <v>0</v>
      </c>
      <c r="AJ612" s="351">
        <f t="shared" si="69"/>
        <v>0</v>
      </c>
    </row>
    <row r="613" spans="1:36" ht="15">
      <c r="A613" s="347" t="s">
        <v>113</v>
      </c>
      <c r="B613" s="347">
        <f t="shared" ref="B613:AH613" si="71">SUM(B558:B612)</f>
        <v>0</v>
      </c>
      <c r="C613" s="347">
        <f t="shared" si="71"/>
        <v>0</v>
      </c>
      <c r="D613" s="347">
        <f t="shared" si="71"/>
        <v>0</v>
      </c>
      <c r="E613" s="347">
        <f t="shared" si="71"/>
        <v>0</v>
      </c>
      <c r="F613" s="347">
        <f t="shared" si="71"/>
        <v>0</v>
      </c>
      <c r="G613" s="347">
        <f t="shared" si="71"/>
        <v>0</v>
      </c>
      <c r="H613" s="347">
        <f t="shared" si="71"/>
        <v>0</v>
      </c>
      <c r="I613" s="347">
        <f t="shared" si="71"/>
        <v>0</v>
      </c>
      <c r="J613" s="347">
        <f t="shared" si="71"/>
        <v>0</v>
      </c>
      <c r="K613" s="347">
        <f t="shared" si="71"/>
        <v>0</v>
      </c>
      <c r="L613" s="347">
        <f t="shared" si="71"/>
        <v>0</v>
      </c>
      <c r="M613" s="347">
        <f t="shared" si="71"/>
        <v>0</v>
      </c>
      <c r="N613" s="347">
        <f t="shared" si="71"/>
        <v>0</v>
      </c>
      <c r="O613" s="347">
        <f t="shared" si="71"/>
        <v>4</v>
      </c>
      <c r="P613" s="347">
        <f t="shared" si="71"/>
        <v>0</v>
      </c>
      <c r="Q613" s="347">
        <f t="shared" si="71"/>
        <v>0</v>
      </c>
      <c r="R613" s="347">
        <f t="shared" si="71"/>
        <v>0</v>
      </c>
      <c r="S613" s="347">
        <f t="shared" si="71"/>
        <v>0</v>
      </c>
      <c r="T613" s="347">
        <f t="shared" si="71"/>
        <v>0</v>
      </c>
      <c r="U613" s="347">
        <f t="shared" si="71"/>
        <v>0</v>
      </c>
      <c r="V613" s="347">
        <f t="shared" si="71"/>
        <v>0</v>
      </c>
      <c r="W613" s="347">
        <f t="shared" si="71"/>
        <v>0</v>
      </c>
      <c r="X613" s="347">
        <f t="shared" si="71"/>
        <v>0</v>
      </c>
      <c r="Y613" s="347">
        <f t="shared" si="71"/>
        <v>0</v>
      </c>
      <c r="Z613" s="347">
        <f t="shared" si="71"/>
        <v>0</v>
      </c>
      <c r="AA613" s="347">
        <f t="shared" si="71"/>
        <v>0</v>
      </c>
      <c r="AB613" s="347">
        <f t="shared" si="71"/>
        <v>0</v>
      </c>
      <c r="AC613" s="347">
        <f t="shared" si="71"/>
        <v>0</v>
      </c>
      <c r="AD613" s="347">
        <f t="shared" si="71"/>
        <v>0</v>
      </c>
      <c r="AE613" s="347">
        <f t="shared" si="71"/>
        <v>0</v>
      </c>
      <c r="AF613" s="347">
        <f t="shared" si="71"/>
        <v>0</v>
      </c>
      <c r="AG613" s="347">
        <f t="shared" si="71"/>
        <v>0</v>
      </c>
      <c r="AH613" s="347">
        <f t="shared" si="71"/>
        <v>0</v>
      </c>
      <c r="AI613" s="347">
        <f>SUM(AI558:AI612)</f>
        <v>4</v>
      </c>
      <c r="AJ613" s="375"/>
    </row>
    <row r="614" spans="1:36" ht="15.75" thickBot="1">
      <c r="A614" s="348" t="s">
        <v>174</v>
      </c>
      <c r="B614" s="348">
        <f t="shared" ref="B614:AB614" si="72">B613/$AI613</f>
        <v>0</v>
      </c>
      <c r="C614" s="348">
        <f t="shared" si="72"/>
        <v>0</v>
      </c>
      <c r="D614" s="348">
        <f t="shared" si="72"/>
        <v>0</v>
      </c>
      <c r="E614" s="348">
        <f t="shared" si="72"/>
        <v>0</v>
      </c>
      <c r="F614" s="348">
        <f t="shared" si="72"/>
        <v>0</v>
      </c>
      <c r="G614" s="348">
        <f t="shared" si="72"/>
        <v>0</v>
      </c>
      <c r="H614" s="348">
        <f t="shared" si="72"/>
        <v>0</v>
      </c>
      <c r="I614" s="348">
        <f t="shared" si="72"/>
        <v>0</v>
      </c>
      <c r="J614" s="348">
        <f t="shared" si="72"/>
        <v>0</v>
      </c>
      <c r="K614" s="348">
        <f t="shared" si="72"/>
        <v>0</v>
      </c>
      <c r="L614" s="348">
        <f t="shared" si="72"/>
        <v>0</v>
      </c>
      <c r="M614" s="348">
        <f t="shared" si="72"/>
        <v>0</v>
      </c>
      <c r="N614" s="348">
        <f t="shared" si="72"/>
        <v>0</v>
      </c>
      <c r="O614" s="348">
        <f t="shared" si="72"/>
        <v>1</v>
      </c>
      <c r="P614" s="348">
        <f t="shared" si="72"/>
        <v>0</v>
      </c>
      <c r="Q614" s="348">
        <f t="shared" si="72"/>
        <v>0</v>
      </c>
      <c r="R614" s="348">
        <f t="shared" si="72"/>
        <v>0</v>
      </c>
      <c r="S614" s="348">
        <f t="shared" si="72"/>
        <v>0</v>
      </c>
      <c r="T614" s="348">
        <f t="shared" si="72"/>
        <v>0</v>
      </c>
      <c r="U614" s="348">
        <f t="shared" si="72"/>
        <v>0</v>
      </c>
      <c r="V614" s="348">
        <f t="shared" si="72"/>
        <v>0</v>
      </c>
      <c r="W614" s="348">
        <f t="shared" si="72"/>
        <v>0</v>
      </c>
      <c r="X614" s="348">
        <f t="shared" si="72"/>
        <v>0</v>
      </c>
      <c r="Y614" s="348">
        <f t="shared" si="72"/>
        <v>0</v>
      </c>
      <c r="Z614" s="348">
        <f t="shared" si="72"/>
        <v>0</v>
      </c>
      <c r="AA614" s="348">
        <f t="shared" si="72"/>
        <v>0</v>
      </c>
      <c r="AB614" s="348">
        <f t="shared" si="72"/>
        <v>0</v>
      </c>
      <c r="AC614" s="348">
        <f t="shared" ref="AC614:AH614" si="73">AC613/$AI613</f>
        <v>0</v>
      </c>
      <c r="AD614" s="348">
        <f t="shared" si="73"/>
        <v>0</v>
      </c>
      <c r="AE614" s="348">
        <f t="shared" si="73"/>
        <v>0</v>
      </c>
      <c r="AF614" s="348">
        <f t="shared" si="73"/>
        <v>0</v>
      </c>
      <c r="AG614" s="348">
        <f t="shared" si="73"/>
        <v>0</v>
      </c>
      <c r="AH614" s="348">
        <f t="shared" si="73"/>
        <v>0</v>
      </c>
      <c r="AI614" s="376"/>
      <c r="AJ614" s="376"/>
    </row>
    <row r="615" spans="1:36" ht="13.5" customHeight="1"/>
    <row r="617" spans="1:36" ht="18.75" customHeight="1"/>
    <row r="618" spans="1:36">
      <c r="A618" s="165">
        <f>'Conveyor Downtime (new)'!A617</f>
        <v>0</v>
      </c>
      <c r="B618" s="346"/>
      <c r="C618" s="346"/>
      <c r="D618" s="346"/>
      <c r="E618" s="346"/>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f t="shared" ref="AI618:AI650" si="74">SUM(B618:AH618)</f>
        <v>0</v>
      </c>
      <c r="AJ618" s="351">
        <f>AI618/$AI$184</f>
        <v>0</v>
      </c>
    </row>
    <row r="619" spans="1:36">
      <c r="A619" s="165">
        <f>'Conveyor Downtime (new)'!A618</f>
        <v>0</v>
      </c>
      <c r="AI619">
        <f t="shared" si="74"/>
        <v>0</v>
      </c>
      <c r="AJ619" s="351">
        <f t="shared" ref="AJ619:AJ673" si="75">AI619/$AI$184</f>
        <v>0</v>
      </c>
    </row>
    <row r="620" spans="1:36">
      <c r="A620" s="165">
        <f>'Conveyor Downtime (new)'!A619</f>
        <v>0</v>
      </c>
      <c r="B620" s="346"/>
      <c r="C620" s="346"/>
      <c r="D620" s="346"/>
      <c r="E620" s="346"/>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f t="shared" si="74"/>
        <v>0</v>
      </c>
      <c r="AJ620" s="351">
        <f t="shared" si="75"/>
        <v>0</v>
      </c>
    </row>
    <row r="621" spans="1:36">
      <c r="A621" s="165">
        <f>'Conveyor Downtime (new)'!A620</f>
        <v>0</v>
      </c>
      <c r="AI621">
        <f t="shared" si="74"/>
        <v>0</v>
      </c>
      <c r="AJ621" s="351">
        <f t="shared" si="75"/>
        <v>0</v>
      </c>
    </row>
    <row r="622" spans="1:36">
      <c r="A622" s="165">
        <f>'Conveyor Downtime (new)'!A621</f>
        <v>0</v>
      </c>
      <c r="B622" s="346"/>
      <c r="C622" s="346"/>
      <c r="D622" s="346"/>
      <c r="E622" s="346"/>
      <c r="F622" s="346"/>
      <c r="G622" s="346"/>
      <c r="H622" s="346"/>
      <c r="I622" s="346"/>
      <c r="J622" s="346"/>
      <c r="K622" s="346"/>
      <c r="L622" s="346"/>
      <c r="M622" s="346"/>
      <c r="N622" s="346"/>
      <c r="O622" s="346"/>
      <c r="P622" s="346"/>
      <c r="Q622" s="346"/>
      <c r="R622" s="346"/>
      <c r="S622" s="346"/>
      <c r="T622" s="346"/>
      <c r="U622" s="346"/>
      <c r="V622" s="346"/>
      <c r="W622" s="346"/>
      <c r="X622" s="346"/>
      <c r="Y622" s="346"/>
      <c r="Z622" s="346"/>
      <c r="AA622" s="346"/>
      <c r="AB622" s="346"/>
      <c r="AC622" s="346"/>
      <c r="AD622" s="346"/>
      <c r="AE622" s="346"/>
      <c r="AF622" s="346"/>
      <c r="AG622" s="346"/>
      <c r="AH622" s="346"/>
      <c r="AI622">
        <f t="shared" si="74"/>
        <v>0</v>
      </c>
      <c r="AJ622" s="351">
        <f t="shared" si="75"/>
        <v>0</v>
      </c>
    </row>
    <row r="623" spans="1:36">
      <c r="A623" s="165">
        <f>'Conveyor Downtime (new)'!A622</f>
        <v>0</v>
      </c>
      <c r="AI623">
        <f t="shared" si="74"/>
        <v>0</v>
      </c>
      <c r="AJ623" s="351">
        <f t="shared" si="75"/>
        <v>0</v>
      </c>
    </row>
    <row r="624" spans="1:36">
      <c r="A624" s="165">
        <f>'Conveyor Downtime (new)'!A623</f>
        <v>0</v>
      </c>
      <c r="B624" s="346"/>
      <c r="C624" s="346"/>
      <c r="D624" s="346"/>
      <c r="E624" s="346"/>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f t="shared" si="74"/>
        <v>0</v>
      </c>
      <c r="AJ624" s="351">
        <f t="shared" si="75"/>
        <v>0</v>
      </c>
    </row>
    <row r="625" spans="1:36">
      <c r="A625" s="165">
        <f>'Conveyor Downtime (new)'!A624</f>
        <v>0</v>
      </c>
      <c r="AI625">
        <f t="shared" si="74"/>
        <v>0</v>
      </c>
      <c r="AJ625" s="351">
        <f t="shared" si="75"/>
        <v>0</v>
      </c>
    </row>
    <row r="626" spans="1:36" ht="14.1" customHeight="1">
      <c r="A626" s="165">
        <f>'Conveyor Downtime (new)'!A625</f>
        <v>0</v>
      </c>
      <c r="B626" s="346"/>
      <c r="C626" s="346"/>
      <c r="D626" s="346"/>
      <c r="E626" s="346"/>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f t="shared" si="74"/>
        <v>0</v>
      </c>
      <c r="AJ626" s="351">
        <f t="shared" si="75"/>
        <v>0</v>
      </c>
    </row>
    <row r="627" spans="1:36">
      <c r="A627" s="165">
        <f>'Conveyor Downtime (new)'!A626</f>
        <v>0</v>
      </c>
      <c r="AI627">
        <f t="shared" si="74"/>
        <v>0</v>
      </c>
      <c r="AJ627" s="351">
        <f t="shared" si="75"/>
        <v>0</v>
      </c>
    </row>
    <row r="628" spans="1:36" ht="14.1" customHeight="1">
      <c r="A628" s="165">
        <f>'Conveyor Downtime (new)'!A627</f>
        <v>0</v>
      </c>
      <c r="B628" s="346"/>
      <c r="C628" s="346"/>
      <c r="D628" s="346"/>
      <c r="E628" s="346"/>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f t="shared" si="74"/>
        <v>0</v>
      </c>
      <c r="AJ628" s="351">
        <f t="shared" si="75"/>
        <v>0</v>
      </c>
    </row>
    <row r="629" spans="1:36">
      <c r="A629" s="165">
        <f>'Conveyor Downtime (new)'!A628</f>
        <v>0</v>
      </c>
      <c r="AI629">
        <f t="shared" si="74"/>
        <v>0</v>
      </c>
      <c r="AJ629" s="351">
        <f t="shared" si="75"/>
        <v>0</v>
      </c>
    </row>
    <row r="630" spans="1:36">
      <c r="A630" s="165">
        <f>'Conveyor Downtime (new)'!A629</f>
        <v>0</v>
      </c>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f t="shared" si="74"/>
        <v>0</v>
      </c>
      <c r="AJ630" s="351">
        <f t="shared" si="75"/>
        <v>0</v>
      </c>
    </row>
    <row r="631" spans="1:36">
      <c r="A631" s="165">
        <f>'Conveyor Downtime (new)'!A630</f>
        <v>0</v>
      </c>
      <c r="AI631">
        <f t="shared" si="74"/>
        <v>0</v>
      </c>
      <c r="AJ631" s="351">
        <f t="shared" si="75"/>
        <v>0</v>
      </c>
    </row>
    <row r="632" spans="1:36">
      <c r="A632" s="165">
        <f>'Conveyor Downtime (new)'!A631</f>
        <v>0</v>
      </c>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f t="shared" si="74"/>
        <v>0</v>
      </c>
      <c r="AJ632" s="351">
        <f t="shared" si="75"/>
        <v>0</v>
      </c>
    </row>
    <row r="633" spans="1:36" ht="13.5" customHeight="1">
      <c r="A633" s="165">
        <f>'Conveyor Downtime (new)'!A632</f>
        <v>0</v>
      </c>
      <c r="AI633">
        <f t="shared" si="74"/>
        <v>0</v>
      </c>
      <c r="AJ633" s="351">
        <f t="shared" si="75"/>
        <v>0</v>
      </c>
    </row>
    <row r="634" spans="1:36">
      <c r="A634" s="165">
        <f>'Conveyor Downtime (new)'!A633</f>
        <v>0</v>
      </c>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f t="shared" si="74"/>
        <v>0</v>
      </c>
      <c r="AJ634" s="351">
        <f t="shared" si="75"/>
        <v>0</v>
      </c>
    </row>
    <row r="635" spans="1:36">
      <c r="A635" s="165">
        <f>'Conveyor Downtime (new)'!A634</f>
        <v>0</v>
      </c>
      <c r="AI635">
        <f t="shared" si="74"/>
        <v>0</v>
      </c>
      <c r="AJ635" s="351">
        <f t="shared" si="75"/>
        <v>0</v>
      </c>
    </row>
    <row r="636" spans="1:36">
      <c r="A636" s="165">
        <f>'Conveyor Downtime (new)'!A635</f>
        <v>0</v>
      </c>
      <c r="B636" s="346"/>
      <c r="C636" s="346"/>
      <c r="D636" s="346"/>
      <c r="E636" s="346"/>
      <c r="F636" s="346"/>
      <c r="G636" s="346"/>
      <c r="H636" s="346"/>
      <c r="I636" s="346"/>
      <c r="J636" s="346"/>
      <c r="K636" s="346"/>
      <c r="L636" s="346"/>
      <c r="M636" s="346"/>
      <c r="N636" s="346"/>
      <c r="O636" s="346"/>
      <c r="P636" s="346"/>
      <c r="Q636" s="346"/>
      <c r="R636" s="346"/>
      <c r="S636" s="346"/>
      <c r="T636" s="346"/>
      <c r="U636" s="346"/>
      <c r="V636" s="346"/>
      <c r="W636" s="346"/>
      <c r="X636" s="346"/>
      <c r="Y636" s="346"/>
      <c r="Z636" s="346"/>
      <c r="AA636" s="346"/>
      <c r="AB636" s="346"/>
      <c r="AC636" s="346"/>
      <c r="AD636" s="346"/>
      <c r="AE636" s="346"/>
      <c r="AF636" s="346"/>
      <c r="AG636" s="346"/>
      <c r="AH636" s="346"/>
      <c r="AI636">
        <f t="shared" si="74"/>
        <v>0</v>
      </c>
      <c r="AJ636" s="351">
        <f t="shared" si="75"/>
        <v>0</v>
      </c>
    </row>
    <row r="637" spans="1:36" ht="12" customHeight="1">
      <c r="A637" s="165">
        <f>'Conveyor Downtime (new)'!A636</f>
        <v>0</v>
      </c>
      <c r="B637" s="346"/>
      <c r="C637" s="346"/>
      <c r="D637" s="346"/>
      <c r="E637" s="346"/>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s="346"/>
      <c r="AE637" s="346"/>
      <c r="AF637" s="346"/>
      <c r="AG637" s="346"/>
      <c r="AH637" s="346"/>
      <c r="AI637">
        <f t="shared" si="74"/>
        <v>0</v>
      </c>
      <c r="AJ637" s="351">
        <f t="shared" si="75"/>
        <v>0</v>
      </c>
    </row>
    <row r="638" spans="1:36">
      <c r="A638" s="165">
        <f>'Conveyor Downtime (new)'!A637</f>
        <v>0</v>
      </c>
      <c r="AI638">
        <f t="shared" si="74"/>
        <v>0</v>
      </c>
      <c r="AJ638" s="351">
        <f t="shared" si="75"/>
        <v>0</v>
      </c>
    </row>
    <row r="639" spans="1:36">
      <c r="A639" s="165">
        <f>'Conveyor Downtime (new)'!A638</f>
        <v>0</v>
      </c>
      <c r="B639" s="346"/>
      <c r="C639" s="346"/>
      <c r="D639" s="346"/>
      <c r="E639" s="346"/>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s="346"/>
      <c r="AE639" s="346"/>
      <c r="AF639" s="346"/>
      <c r="AG639" s="346"/>
      <c r="AH639" s="346"/>
      <c r="AI639">
        <f t="shared" si="74"/>
        <v>0</v>
      </c>
      <c r="AJ639" s="351">
        <f t="shared" si="75"/>
        <v>0</v>
      </c>
    </row>
    <row r="640" spans="1:36">
      <c r="A640" s="165">
        <f>'Conveyor Downtime (new)'!A639</f>
        <v>0</v>
      </c>
      <c r="AI640">
        <f t="shared" si="74"/>
        <v>0</v>
      </c>
      <c r="AJ640" s="351">
        <f t="shared" si="75"/>
        <v>0</v>
      </c>
    </row>
    <row r="641" spans="1:36">
      <c r="A641" s="165">
        <f>'Conveyor Downtime (new)'!A640</f>
        <v>0</v>
      </c>
      <c r="B641" s="346"/>
      <c r="C641" s="346"/>
      <c r="D641" s="346"/>
      <c r="E641" s="346"/>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s="346"/>
      <c r="AE641" s="346"/>
      <c r="AF641" s="346"/>
      <c r="AG641" s="346"/>
      <c r="AH641" s="346"/>
      <c r="AI641">
        <f t="shared" si="74"/>
        <v>0</v>
      </c>
      <c r="AJ641" s="351">
        <f t="shared" si="75"/>
        <v>0</v>
      </c>
    </row>
    <row r="642" spans="1:36">
      <c r="A642" s="165">
        <f>'Conveyor Downtime (new)'!A641</f>
        <v>0</v>
      </c>
      <c r="AI642">
        <f t="shared" si="74"/>
        <v>0</v>
      </c>
      <c r="AJ642" s="351">
        <f t="shared" si="75"/>
        <v>0</v>
      </c>
    </row>
    <row r="643" spans="1:36">
      <c r="A643" s="165">
        <f>'Conveyor Downtime (new)'!A642</f>
        <v>0</v>
      </c>
      <c r="B643" s="346"/>
      <c r="C643" s="346"/>
      <c r="D643" s="346"/>
      <c r="E643" s="346"/>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s="346"/>
      <c r="AE643" s="346"/>
      <c r="AF643" s="346"/>
      <c r="AG643" s="346"/>
      <c r="AH643" s="346"/>
      <c r="AI643">
        <f t="shared" si="74"/>
        <v>0</v>
      </c>
      <c r="AJ643" s="351">
        <f t="shared" si="75"/>
        <v>0</v>
      </c>
    </row>
    <row r="644" spans="1:36">
      <c r="A644" s="165">
        <f>'Conveyor Downtime (new)'!A643</f>
        <v>0</v>
      </c>
      <c r="AI644">
        <f t="shared" si="74"/>
        <v>0</v>
      </c>
      <c r="AJ644" s="351">
        <f t="shared" si="75"/>
        <v>0</v>
      </c>
    </row>
    <row r="645" spans="1:36">
      <c r="A645" s="165">
        <f>'Conveyor Downtime (new)'!A644</f>
        <v>0</v>
      </c>
      <c r="B645" s="346"/>
      <c r="C645" s="346"/>
      <c r="D645" s="346"/>
      <c r="E645" s="346"/>
      <c r="F645" s="346"/>
      <c r="G645" s="346"/>
      <c r="H645" s="346"/>
      <c r="I645" s="346"/>
      <c r="J645" s="346"/>
      <c r="L645" s="346"/>
      <c r="M645" s="346"/>
      <c r="N645" s="346"/>
      <c r="O645" s="346"/>
      <c r="P645" s="346"/>
      <c r="Q645" s="346"/>
      <c r="R645" s="346"/>
      <c r="S645" s="346"/>
      <c r="T645" s="346"/>
      <c r="U645" s="346"/>
      <c r="V645" s="346"/>
      <c r="W645" s="346"/>
      <c r="X645" s="346"/>
      <c r="Y645" s="346"/>
      <c r="Z645" s="346"/>
      <c r="AA645" s="346"/>
      <c r="AB645" s="346"/>
      <c r="AC645" s="346"/>
      <c r="AD645" s="346"/>
      <c r="AE645" s="346"/>
      <c r="AF645" s="346"/>
      <c r="AG645" s="346"/>
      <c r="AH645" s="346"/>
      <c r="AI645">
        <f t="shared" si="74"/>
        <v>0</v>
      </c>
      <c r="AJ645" s="351">
        <f t="shared" si="75"/>
        <v>0</v>
      </c>
    </row>
    <row r="646" spans="1:36">
      <c r="A646" s="165">
        <f>'Conveyor Downtime (new)'!A645</f>
        <v>0</v>
      </c>
      <c r="AI646">
        <f t="shared" si="74"/>
        <v>0</v>
      </c>
      <c r="AJ646" s="351">
        <f t="shared" si="75"/>
        <v>0</v>
      </c>
    </row>
    <row r="647" spans="1:36">
      <c r="A647" s="165">
        <f>'Conveyor Downtime (new)'!A646</f>
        <v>0</v>
      </c>
      <c r="B647" s="346"/>
      <c r="C647" s="346"/>
      <c r="D647" s="346"/>
      <c r="E647" s="346"/>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s="346"/>
      <c r="AE647" s="346"/>
      <c r="AF647" s="346"/>
      <c r="AG647" s="346"/>
      <c r="AH647" s="346"/>
      <c r="AI647">
        <f t="shared" si="74"/>
        <v>0</v>
      </c>
      <c r="AJ647" s="351">
        <f t="shared" si="75"/>
        <v>0</v>
      </c>
    </row>
    <row r="648" spans="1:36">
      <c r="A648" s="165">
        <f>'Conveyor Downtime (new)'!A647</f>
        <v>0</v>
      </c>
      <c r="AI648">
        <f t="shared" si="74"/>
        <v>0</v>
      </c>
      <c r="AJ648" s="351">
        <f t="shared" si="75"/>
        <v>0</v>
      </c>
    </row>
    <row r="649" spans="1:36">
      <c r="A649" s="165">
        <f>'Conveyor Downtime (new)'!A648</f>
        <v>0</v>
      </c>
      <c r="B649" s="346"/>
      <c r="C649" s="346"/>
      <c r="D649" s="346"/>
      <c r="E649" s="346"/>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s="346"/>
      <c r="AE649" s="346"/>
      <c r="AF649" s="346"/>
      <c r="AG649" s="346"/>
      <c r="AH649" s="346"/>
      <c r="AI649">
        <f t="shared" si="74"/>
        <v>0</v>
      </c>
      <c r="AJ649" s="351">
        <f t="shared" si="75"/>
        <v>0</v>
      </c>
    </row>
    <row r="650" spans="1:36">
      <c r="A650" s="165">
        <f>'Conveyor Downtime (new)'!A649</f>
        <v>0</v>
      </c>
      <c r="H650" s="77"/>
      <c r="AI650">
        <f t="shared" si="74"/>
        <v>0</v>
      </c>
      <c r="AJ650" s="351">
        <f t="shared" si="75"/>
        <v>0</v>
      </c>
    </row>
    <row r="651" spans="1:36">
      <c r="A651" s="165">
        <f>'Conveyor Downtime (new)'!A650</f>
        <v>0</v>
      </c>
      <c r="B651" s="346"/>
      <c r="C651" s="346"/>
      <c r="D651" s="346"/>
      <c r="E651" s="346"/>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s="346"/>
      <c r="AE651" s="346"/>
      <c r="AF651" s="346"/>
      <c r="AG651" s="346"/>
      <c r="AH651" s="346"/>
      <c r="AI651">
        <f t="shared" ref="AI651:AI673" si="76">SUM(B651:AH651)</f>
        <v>0</v>
      </c>
      <c r="AJ651" s="351">
        <f t="shared" si="75"/>
        <v>0</v>
      </c>
    </row>
    <row r="652" spans="1:36">
      <c r="A652" s="165">
        <f>'Conveyor Downtime (new)'!A651</f>
        <v>0</v>
      </c>
      <c r="AI652">
        <f t="shared" si="76"/>
        <v>0</v>
      </c>
      <c r="AJ652" s="351">
        <f t="shared" si="75"/>
        <v>0</v>
      </c>
    </row>
    <row r="653" spans="1:36">
      <c r="A653" s="165">
        <f>'Conveyor Downtime (new)'!A652</f>
        <v>0</v>
      </c>
      <c r="B653" s="346"/>
      <c r="C653" s="346"/>
      <c r="D653" s="346"/>
      <c r="E653" s="346"/>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s="346"/>
      <c r="AE653" s="346"/>
      <c r="AF653" s="346"/>
      <c r="AG653" s="346"/>
      <c r="AH653" s="346"/>
      <c r="AI653">
        <f t="shared" si="76"/>
        <v>0</v>
      </c>
      <c r="AJ653" s="351">
        <f t="shared" si="75"/>
        <v>0</v>
      </c>
    </row>
    <row r="654" spans="1:36">
      <c r="A654" s="165">
        <f>'Conveyor Downtime (new)'!A653</f>
        <v>0</v>
      </c>
      <c r="AI654">
        <f t="shared" si="76"/>
        <v>0</v>
      </c>
      <c r="AJ654" s="351">
        <f t="shared" si="75"/>
        <v>0</v>
      </c>
    </row>
    <row r="655" spans="1:36">
      <c r="A655" s="165">
        <f>'Conveyor Downtime (new)'!A654</f>
        <v>0</v>
      </c>
      <c r="B655" s="346"/>
      <c r="C655" s="346"/>
      <c r="D655" s="346"/>
      <c r="E655" s="346"/>
      <c r="F655" s="346"/>
      <c r="G655" s="346"/>
      <c r="H655" s="346"/>
      <c r="I655" s="346"/>
      <c r="J655" s="346"/>
      <c r="K655" s="346"/>
      <c r="L655" s="346"/>
      <c r="M655" s="346"/>
      <c r="N655" s="346"/>
      <c r="O655" s="346"/>
      <c r="P655" s="346"/>
      <c r="Q655" s="346"/>
      <c r="R655" s="346"/>
      <c r="S655" s="346"/>
      <c r="T655" s="346"/>
      <c r="U655" s="346"/>
      <c r="V655" s="346"/>
      <c r="W655" s="346"/>
      <c r="X655" s="346"/>
      <c r="Y655" s="346"/>
      <c r="Z655" s="346"/>
      <c r="AA655" s="346"/>
      <c r="AB655" s="346"/>
      <c r="AC655" s="346"/>
      <c r="AD655" s="346"/>
      <c r="AE655" s="346"/>
      <c r="AF655" s="346"/>
      <c r="AG655" s="346"/>
      <c r="AH655" s="346"/>
      <c r="AI655">
        <f t="shared" si="76"/>
        <v>0</v>
      </c>
      <c r="AJ655" s="351">
        <f t="shared" si="75"/>
        <v>0</v>
      </c>
    </row>
    <row r="656" spans="1:36">
      <c r="A656" s="165">
        <f>'Conveyor Downtime (new)'!A655</f>
        <v>0</v>
      </c>
      <c r="AI656">
        <f t="shared" si="76"/>
        <v>0</v>
      </c>
      <c r="AJ656" s="351">
        <f t="shared" si="75"/>
        <v>0</v>
      </c>
    </row>
    <row r="657" spans="1:36">
      <c r="A657" s="165">
        <f>'Conveyor Downtime (new)'!A656</f>
        <v>0</v>
      </c>
      <c r="B657" s="346"/>
      <c r="C657" s="346"/>
      <c r="D657" s="346"/>
      <c r="E657" s="346"/>
      <c r="F657" s="346"/>
      <c r="G657" s="346"/>
      <c r="H657" s="346"/>
      <c r="I657" s="346"/>
      <c r="J657" s="346"/>
      <c r="K657" s="346"/>
      <c r="L657" s="346"/>
      <c r="M657" s="346"/>
      <c r="N657" s="346"/>
      <c r="O657" s="346"/>
      <c r="P657" s="346"/>
      <c r="Q657" s="346"/>
      <c r="R657" s="346"/>
      <c r="S657" s="346"/>
      <c r="T657" s="346"/>
      <c r="U657" s="346"/>
      <c r="V657" s="346"/>
      <c r="W657" s="346"/>
      <c r="X657" s="346"/>
      <c r="Y657" s="346"/>
      <c r="Z657" s="346"/>
      <c r="AA657" s="346"/>
      <c r="AB657" s="346"/>
      <c r="AC657" s="346"/>
      <c r="AD657" s="346"/>
      <c r="AE657" s="346"/>
      <c r="AF657" s="346"/>
      <c r="AG657" s="346"/>
      <c r="AH657" s="346"/>
      <c r="AI657">
        <f t="shared" si="76"/>
        <v>0</v>
      </c>
      <c r="AJ657" s="351">
        <f t="shared" si="75"/>
        <v>0</v>
      </c>
    </row>
    <row r="658" spans="1:36">
      <c r="A658" s="165">
        <f>'Conveyor Downtime (new)'!A657</f>
        <v>0</v>
      </c>
      <c r="AI658">
        <f t="shared" si="76"/>
        <v>0</v>
      </c>
      <c r="AJ658" s="351">
        <f t="shared" si="75"/>
        <v>0</v>
      </c>
    </row>
    <row r="659" spans="1:36">
      <c r="A659" s="165">
        <f>'Conveyor Downtime (new)'!A658</f>
        <v>0</v>
      </c>
      <c r="B659" s="346"/>
      <c r="C659" s="346"/>
      <c r="D659" s="346"/>
      <c r="E659" s="346"/>
      <c r="F659" s="346"/>
      <c r="G659" s="346"/>
      <c r="H659" s="346"/>
      <c r="I659" s="346"/>
      <c r="J659" s="346"/>
      <c r="K659" s="346"/>
      <c r="L659" s="346"/>
      <c r="M659" s="346"/>
      <c r="N659" s="346"/>
      <c r="O659" s="346"/>
      <c r="P659" s="346"/>
      <c r="Q659" s="346"/>
      <c r="R659" s="346"/>
      <c r="S659" s="346"/>
      <c r="T659" s="346"/>
      <c r="U659" s="346"/>
      <c r="V659" s="346"/>
      <c r="W659" s="346"/>
      <c r="X659" s="346"/>
      <c r="Y659" s="346"/>
      <c r="Z659" s="346"/>
      <c r="AA659" s="346"/>
      <c r="AB659" s="346"/>
      <c r="AC659" s="346"/>
      <c r="AD659" s="346"/>
      <c r="AE659" s="346"/>
      <c r="AF659" s="346"/>
      <c r="AG659" s="346"/>
      <c r="AH659" s="346"/>
      <c r="AI659">
        <f t="shared" si="76"/>
        <v>0</v>
      </c>
      <c r="AJ659" s="351">
        <f t="shared" si="75"/>
        <v>0</v>
      </c>
    </row>
    <row r="660" spans="1:36">
      <c r="A660" s="165">
        <f>'Conveyor Downtime (new)'!A659</f>
        <v>0</v>
      </c>
      <c r="AI660">
        <f t="shared" si="76"/>
        <v>0</v>
      </c>
      <c r="AJ660" s="351">
        <f t="shared" si="75"/>
        <v>0</v>
      </c>
    </row>
    <row r="661" spans="1:36">
      <c r="A661" s="165">
        <f>'Conveyor Downtime (new)'!A660</f>
        <v>0</v>
      </c>
      <c r="B661" s="346"/>
      <c r="C661" s="346"/>
      <c r="D661" s="346"/>
      <c r="E661" s="346"/>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s="346"/>
      <c r="AE661" s="346"/>
      <c r="AF661" s="346"/>
      <c r="AG661" s="346"/>
      <c r="AH661" s="346"/>
      <c r="AI661">
        <f t="shared" si="76"/>
        <v>0</v>
      </c>
      <c r="AJ661" s="351">
        <f t="shared" si="75"/>
        <v>0</v>
      </c>
    </row>
    <row r="662" spans="1:36">
      <c r="A662" s="165">
        <f>'Conveyor Downtime (new)'!A661</f>
        <v>0</v>
      </c>
      <c r="AI662">
        <f t="shared" si="76"/>
        <v>0</v>
      </c>
      <c r="AJ662" s="351">
        <f t="shared" si="75"/>
        <v>0</v>
      </c>
    </row>
    <row r="663" spans="1:36">
      <c r="A663" s="165">
        <f>'Conveyor Downtime (new)'!A662</f>
        <v>0</v>
      </c>
      <c r="B663" s="346"/>
      <c r="C663" s="346"/>
      <c r="D663" s="346"/>
      <c r="E663" s="346"/>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s="346"/>
      <c r="AE663" s="346"/>
      <c r="AF663" s="346"/>
      <c r="AG663" s="346"/>
      <c r="AH663" s="346"/>
      <c r="AI663">
        <f t="shared" si="76"/>
        <v>0</v>
      </c>
      <c r="AJ663" s="351">
        <f t="shared" si="75"/>
        <v>0</v>
      </c>
    </row>
    <row r="664" spans="1:36">
      <c r="A664" s="165">
        <f>'Conveyor Downtime (new)'!A663</f>
        <v>0</v>
      </c>
      <c r="AI664">
        <f t="shared" si="76"/>
        <v>0</v>
      </c>
      <c r="AJ664" s="351">
        <f t="shared" si="75"/>
        <v>0</v>
      </c>
    </row>
    <row r="665" spans="1:36">
      <c r="A665" s="165">
        <f>'Conveyor Downtime (new)'!A664</f>
        <v>0</v>
      </c>
      <c r="B665" s="346"/>
      <c r="C665" s="346"/>
      <c r="D665" s="346"/>
      <c r="E665" s="346"/>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s="346"/>
      <c r="AE665" s="346"/>
      <c r="AF665" s="346"/>
      <c r="AG665" s="346"/>
      <c r="AH665" s="346"/>
      <c r="AI665">
        <f t="shared" si="76"/>
        <v>0</v>
      </c>
      <c r="AJ665" s="351">
        <f t="shared" si="75"/>
        <v>0</v>
      </c>
    </row>
    <row r="666" spans="1:36">
      <c r="A666" s="165">
        <f>'Conveyor Downtime (new)'!A665</f>
        <v>0</v>
      </c>
      <c r="AI666">
        <f t="shared" si="76"/>
        <v>0</v>
      </c>
      <c r="AJ666" s="351">
        <f t="shared" si="75"/>
        <v>0</v>
      </c>
    </row>
    <row r="667" spans="1:36">
      <c r="A667" s="165">
        <f>'Conveyor Downtime (new)'!A666</f>
        <v>0</v>
      </c>
      <c r="B667" s="346"/>
      <c r="C667" s="346"/>
      <c r="D667" s="346"/>
      <c r="E667" s="346"/>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s="346"/>
      <c r="AE667" s="346"/>
      <c r="AF667" s="346"/>
      <c r="AG667" s="346"/>
      <c r="AH667" s="346"/>
      <c r="AI667">
        <f t="shared" si="76"/>
        <v>0</v>
      </c>
      <c r="AJ667" s="351">
        <f t="shared" si="75"/>
        <v>0</v>
      </c>
    </row>
    <row r="668" spans="1:36">
      <c r="A668" s="165">
        <f>'Conveyor Downtime (new)'!A667</f>
        <v>0</v>
      </c>
      <c r="AI668">
        <f t="shared" si="76"/>
        <v>0</v>
      </c>
      <c r="AJ668" s="351">
        <f t="shared" si="75"/>
        <v>0</v>
      </c>
    </row>
    <row r="669" spans="1:36">
      <c r="A669" s="165">
        <f>'Conveyor Downtime (new)'!A668</f>
        <v>0</v>
      </c>
      <c r="B669" s="346"/>
      <c r="C669" s="346"/>
      <c r="D669" s="346"/>
      <c r="E669" s="346"/>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s="346"/>
      <c r="AE669" s="346"/>
      <c r="AF669" s="346"/>
      <c r="AG669" s="346"/>
      <c r="AH669" s="346"/>
      <c r="AI669">
        <f t="shared" si="76"/>
        <v>0</v>
      </c>
      <c r="AJ669" s="351">
        <f t="shared" si="75"/>
        <v>0</v>
      </c>
    </row>
    <row r="670" spans="1:36">
      <c r="A670" s="165">
        <f>'Conveyor Downtime (new)'!A669</f>
        <v>0</v>
      </c>
      <c r="AI670">
        <f t="shared" si="76"/>
        <v>0</v>
      </c>
      <c r="AJ670" s="351">
        <f t="shared" si="75"/>
        <v>0</v>
      </c>
    </row>
    <row r="671" spans="1:36">
      <c r="A671" s="165"/>
      <c r="B671" s="346"/>
      <c r="C671" s="346"/>
      <c r="D671" s="346"/>
      <c r="E671" s="346"/>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s="346"/>
      <c r="AE671" s="346"/>
      <c r="AF671" s="346"/>
      <c r="AG671" s="346"/>
      <c r="AH671" s="346"/>
      <c r="AI671">
        <f t="shared" si="76"/>
        <v>0</v>
      </c>
      <c r="AJ671" s="351">
        <f t="shared" si="75"/>
        <v>0</v>
      </c>
    </row>
    <row r="672" spans="1:36">
      <c r="A672" s="165"/>
      <c r="AI672">
        <f t="shared" si="76"/>
        <v>0</v>
      </c>
      <c r="AJ672" s="351">
        <f t="shared" si="75"/>
        <v>0</v>
      </c>
    </row>
    <row r="673" spans="1:36">
      <c r="A673" s="165"/>
      <c r="B673" s="346"/>
      <c r="C673" s="346"/>
      <c r="D673" s="346"/>
      <c r="E673" s="346"/>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s="346"/>
      <c r="AE673" s="346"/>
      <c r="AF673" s="346"/>
      <c r="AG673" s="346"/>
      <c r="AH673" s="346"/>
      <c r="AI673">
        <f t="shared" si="76"/>
        <v>0</v>
      </c>
      <c r="AJ673" s="351">
        <f t="shared" si="75"/>
        <v>0</v>
      </c>
    </row>
    <row r="674" spans="1:36" ht="15">
      <c r="A674" s="347" t="s">
        <v>113</v>
      </c>
      <c r="B674" s="347">
        <f t="shared" ref="B674:AH674" si="77">SUM(B618:B673)</f>
        <v>0</v>
      </c>
      <c r="C674" s="347">
        <f t="shared" si="77"/>
        <v>0</v>
      </c>
      <c r="D674" s="347">
        <f t="shared" si="77"/>
        <v>0</v>
      </c>
      <c r="E674" s="347">
        <f t="shared" si="77"/>
        <v>0</v>
      </c>
      <c r="F674" s="347">
        <f t="shared" si="77"/>
        <v>0</v>
      </c>
      <c r="G674" s="347">
        <f t="shared" si="77"/>
        <v>0</v>
      </c>
      <c r="H674" s="347">
        <f t="shared" si="77"/>
        <v>0</v>
      </c>
      <c r="I674" s="347">
        <f t="shared" si="77"/>
        <v>0</v>
      </c>
      <c r="J674" s="347">
        <f t="shared" si="77"/>
        <v>0</v>
      </c>
      <c r="K674" s="347">
        <f t="shared" si="77"/>
        <v>0</v>
      </c>
      <c r="L674" s="347">
        <f t="shared" si="77"/>
        <v>0</v>
      </c>
      <c r="M674" s="347">
        <f t="shared" si="77"/>
        <v>0</v>
      </c>
      <c r="N674" s="347">
        <f t="shared" si="77"/>
        <v>0</v>
      </c>
      <c r="O674" s="347">
        <f t="shared" si="77"/>
        <v>0</v>
      </c>
      <c r="P674" s="347">
        <f t="shared" si="77"/>
        <v>0</v>
      </c>
      <c r="Q674" s="347">
        <f t="shared" si="77"/>
        <v>0</v>
      </c>
      <c r="R674" s="347">
        <f t="shared" si="77"/>
        <v>0</v>
      </c>
      <c r="S674" s="347">
        <f t="shared" si="77"/>
        <v>0</v>
      </c>
      <c r="T674" s="347">
        <f t="shared" si="77"/>
        <v>0</v>
      </c>
      <c r="U674" s="347">
        <f t="shared" si="77"/>
        <v>0</v>
      </c>
      <c r="V674" s="347">
        <f t="shared" si="77"/>
        <v>0</v>
      </c>
      <c r="W674" s="347">
        <f t="shared" si="77"/>
        <v>0</v>
      </c>
      <c r="X674" s="347">
        <f t="shared" si="77"/>
        <v>0</v>
      </c>
      <c r="Y674" s="347">
        <f t="shared" si="77"/>
        <v>0</v>
      </c>
      <c r="Z674" s="347">
        <f t="shared" si="77"/>
        <v>0</v>
      </c>
      <c r="AA674" s="347">
        <f t="shared" si="77"/>
        <v>0</v>
      </c>
      <c r="AB674" s="347">
        <f t="shared" si="77"/>
        <v>0</v>
      </c>
      <c r="AC674" s="347">
        <f t="shared" si="77"/>
        <v>0</v>
      </c>
      <c r="AD674" s="347">
        <f t="shared" si="77"/>
        <v>0</v>
      </c>
      <c r="AE674" s="347">
        <f t="shared" si="77"/>
        <v>0</v>
      </c>
      <c r="AF674" s="347">
        <f t="shared" si="77"/>
        <v>0</v>
      </c>
      <c r="AG674" s="347">
        <f t="shared" si="77"/>
        <v>0</v>
      </c>
      <c r="AH674" s="347">
        <f t="shared" si="77"/>
        <v>0</v>
      </c>
      <c r="AI674" s="347">
        <f>SUM(AI618:AI673)</f>
        <v>0</v>
      </c>
      <c r="AJ674" s="375"/>
    </row>
    <row r="675" spans="1:36" ht="15.75" thickBot="1">
      <c r="A675" s="348" t="s">
        <v>174</v>
      </c>
      <c r="B675" s="348" t="e">
        <f t="shared" ref="B675:P675" si="78">B674/$AI674</f>
        <v>#DIV/0!</v>
      </c>
      <c r="C675" s="348" t="e">
        <f t="shared" si="78"/>
        <v>#DIV/0!</v>
      </c>
      <c r="D675" s="348" t="e">
        <f t="shared" si="78"/>
        <v>#DIV/0!</v>
      </c>
      <c r="E675" s="348" t="e">
        <f t="shared" si="78"/>
        <v>#DIV/0!</v>
      </c>
      <c r="F675" s="348" t="e">
        <f t="shared" si="78"/>
        <v>#DIV/0!</v>
      </c>
      <c r="G675" s="348" t="e">
        <f t="shared" si="78"/>
        <v>#DIV/0!</v>
      </c>
      <c r="H675" s="348" t="e">
        <f t="shared" si="78"/>
        <v>#DIV/0!</v>
      </c>
      <c r="I675" s="348" t="e">
        <f t="shared" si="78"/>
        <v>#DIV/0!</v>
      </c>
      <c r="J675" s="348" t="e">
        <f t="shared" si="78"/>
        <v>#DIV/0!</v>
      </c>
      <c r="K675" s="348" t="e">
        <f t="shared" si="78"/>
        <v>#DIV/0!</v>
      </c>
      <c r="L675" s="348" t="e">
        <f t="shared" si="78"/>
        <v>#DIV/0!</v>
      </c>
      <c r="M675" s="348" t="e">
        <f t="shared" si="78"/>
        <v>#DIV/0!</v>
      </c>
      <c r="N675" s="348" t="e">
        <f t="shared" si="78"/>
        <v>#DIV/0!</v>
      </c>
      <c r="O675" s="348" t="e">
        <f t="shared" si="78"/>
        <v>#DIV/0!</v>
      </c>
      <c r="P675" s="348" t="e">
        <f t="shared" si="78"/>
        <v>#DIV/0!</v>
      </c>
      <c r="Q675" s="348"/>
      <c r="R675" s="348" t="e">
        <f t="shared" ref="R675:AB675" si="79">R674/$AI674</f>
        <v>#DIV/0!</v>
      </c>
      <c r="S675" s="348" t="e">
        <f t="shared" si="79"/>
        <v>#DIV/0!</v>
      </c>
      <c r="T675" s="348" t="e">
        <f t="shared" si="79"/>
        <v>#DIV/0!</v>
      </c>
      <c r="U675" s="348" t="e">
        <f t="shared" si="79"/>
        <v>#DIV/0!</v>
      </c>
      <c r="V675" s="348" t="e">
        <f t="shared" si="79"/>
        <v>#DIV/0!</v>
      </c>
      <c r="W675" s="348" t="e">
        <f t="shared" si="79"/>
        <v>#DIV/0!</v>
      </c>
      <c r="X675" s="348" t="e">
        <f t="shared" si="79"/>
        <v>#DIV/0!</v>
      </c>
      <c r="Y675" s="348" t="e">
        <f t="shared" si="79"/>
        <v>#DIV/0!</v>
      </c>
      <c r="Z675" s="348" t="e">
        <f t="shared" si="79"/>
        <v>#DIV/0!</v>
      </c>
      <c r="AA675" s="348" t="e">
        <f t="shared" si="79"/>
        <v>#DIV/0!</v>
      </c>
      <c r="AB675" s="348" t="e">
        <f t="shared" si="79"/>
        <v>#DIV/0!</v>
      </c>
      <c r="AC675" s="348" t="e">
        <f t="shared" ref="AC675:AF675" si="80">AC674/$AI674</f>
        <v>#DIV/0!</v>
      </c>
      <c r="AD675" s="348" t="e">
        <f t="shared" si="80"/>
        <v>#DIV/0!</v>
      </c>
      <c r="AE675" s="348" t="e">
        <f t="shared" si="80"/>
        <v>#DIV/0!</v>
      </c>
      <c r="AF675" s="348" t="e">
        <f t="shared" si="80"/>
        <v>#DIV/0!</v>
      </c>
      <c r="AG675" s="348" t="e">
        <f>AG674/$AI674</f>
        <v>#DIV/0!</v>
      </c>
      <c r="AH675" s="348" t="e">
        <f>AH674/$AI674</f>
        <v>#DIV/0!</v>
      </c>
      <c r="AI675" s="376"/>
      <c r="AJ675" s="376"/>
    </row>
    <row r="679" spans="1:36" hidden="1">
      <c r="A679" s="165">
        <f>'Conveyor Downtime (new)'!A678</f>
        <v>0</v>
      </c>
      <c r="B679" s="346"/>
      <c r="C679" s="346"/>
      <c r="D679" s="346"/>
      <c r="E679" s="346"/>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s="346"/>
      <c r="AE679" s="346"/>
      <c r="AF679" s="346"/>
      <c r="AG679" s="346"/>
      <c r="AH679" s="346"/>
      <c r="AI679">
        <f t="shared" ref="AI679:AI698" si="81">SUM(B679:AH679)</f>
        <v>0</v>
      </c>
      <c r="AJ679" s="351">
        <f>AI679/$AI$184</f>
        <v>0</v>
      </c>
    </row>
    <row r="680" spans="1:36" hidden="1">
      <c r="A680" s="165">
        <f>'Conveyor Downtime (new)'!A679</f>
        <v>0</v>
      </c>
      <c r="AI680">
        <f t="shared" si="81"/>
        <v>0</v>
      </c>
      <c r="AJ680" s="351">
        <f t="shared" ref="AJ680:AJ734" si="82">AI680/$AI$184</f>
        <v>0</v>
      </c>
    </row>
    <row r="681" spans="1:36" hidden="1">
      <c r="A681" s="165">
        <f>'Conveyor Downtime (new)'!A680</f>
        <v>0</v>
      </c>
      <c r="B681" s="346"/>
      <c r="C681" s="346"/>
      <c r="D681" s="346"/>
      <c r="E681" s="346"/>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s="346"/>
      <c r="AE681" s="346"/>
      <c r="AF681" s="346"/>
      <c r="AG681" s="346"/>
      <c r="AH681" s="346"/>
      <c r="AI681">
        <f t="shared" si="81"/>
        <v>0</v>
      </c>
      <c r="AJ681" s="351">
        <f t="shared" si="82"/>
        <v>0</v>
      </c>
    </row>
    <row r="682" spans="1:36" hidden="1">
      <c r="A682" s="165">
        <f>'Conveyor Downtime (new)'!A681</f>
        <v>0</v>
      </c>
      <c r="AI682">
        <f t="shared" si="81"/>
        <v>0</v>
      </c>
      <c r="AJ682" s="351">
        <f t="shared" si="82"/>
        <v>0</v>
      </c>
    </row>
    <row r="683" spans="1:36" hidden="1">
      <c r="A683" s="165">
        <f>'Conveyor Downtime (new)'!A682</f>
        <v>0</v>
      </c>
      <c r="B683" s="346"/>
      <c r="C683" s="346"/>
      <c r="D683" s="346"/>
      <c r="E683" s="346"/>
      <c r="F683" s="346"/>
      <c r="G683" s="346"/>
      <c r="H683" s="346"/>
      <c r="I683" s="346"/>
      <c r="J683" s="346"/>
      <c r="K683" s="346"/>
      <c r="L683" s="346"/>
      <c r="M683" s="346"/>
      <c r="N683" s="346"/>
      <c r="O683" s="346"/>
      <c r="P683" s="346"/>
      <c r="Q683" s="346"/>
      <c r="R683" s="346"/>
      <c r="S683" s="346"/>
      <c r="T683" s="346"/>
      <c r="U683" s="346"/>
      <c r="V683" s="346"/>
      <c r="W683" s="346"/>
      <c r="X683" s="346"/>
      <c r="Z683" s="346"/>
      <c r="AA683" s="346"/>
      <c r="AB683" s="346"/>
      <c r="AC683" s="346"/>
      <c r="AD683" s="346"/>
      <c r="AE683" s="346"/>
      <c r="AF683" s="346"/>
      <c r="AG683" s="346"/>
      <c r="AH683" s="346"/>
      <c r="AI683">
        <f t="shared" si="81"/>
        <v>0</v>
      </c>
      <c r="AJ683" s="351">
        <f t="shared" si="82"/>
        <v>0</v>
      </c>
    </row>
    <row r="684" spans="1:36" hidden="1">
      <c r="A684" s="165">
        <f>'Conveyor Downtime (new)'!A683</f>
        <v>0</v>
      </c>
      <c r="AI684">
        <f t="shared" si="81"/>
        <v>0</v>
      </c>
      <c r="AJ684" s="351">
        <f t="shared" si="82"/>
        <v>0</v>
      </c>
    </row>
    <row r="685" spans="1:36" hidden="1">
      <c r="A685" s="165">
        <f>'Conveyor Downtime (new)'!A684</f>
        <v>0</v>
      </c>
      <c r="B685" s="346"/>
      <c r="C685" s="346"/>
      <c r="D685" s="346"/>
      <c r="E685" s="346"/>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s="346"/>
      <c r="AE685" s="346"/>
      <c r="AF685" s="346"/>
      <c r="AG685" s="346"/>
      <c r="AH685" s="346"/>
      <c r="AI685">
        <f t="shared" si="81"/>
        <v>0</v>
      </c>
      <c r="AJ685" s="351">
        <f t="shared" si="82"/>
        <v>0</v>
      </c>
    </row>
    <row r="686" spans="1:36" hidden="1">
      <c r="A686" s="165">
        <f>'Conveyor Downtime (new)'!A685</f>
        <v>0</v>
      </c>
      <c r="AI686">
        <f t="shared" si="81"/>
        <v>0</v>
      </c>
      <c r="AJ686" s="351">
        <f t="shared" si="82"/>
        <v>0</v>
      </c>
    </row>
    <row r="687" spans="1:36" hidden="1">
      <c r="A687" s="165">
        <f>'Conveyor Downtime (new)'!A686</f>
        <v>0</v>
      </c>
      <c r="B687" s="346"/>
      <c r="C687" s="346"/>
      <c r="D687" s="346"/>
      <c r="E687" s="346"/>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s="346"/>
      <c r="AE687" s="346"/>
      <c r="AF687" s="346"/>
      <c r="AG687" s="346"/>
      <c r="AH687" s="346"/>
      <c r="AI687">
        <f t="shared" si="81"/>
        <v>0</v>
      </c>
      <c r="AJ687" s="351">
        <f t="shared" si="82"/>
        <v>0</v>
      </c>
    </row>
    <row r="688" spans="1:36" hidden="1">
      <c r="A688" s="165">
        <f>'Conveyor Downtime (new)'!A687</f>
        <v>0</v>
      </c>
      <c r="AI688">
        <f t="shared" si="81"/>
        <v>0</v>
      </c>
      <c r="AJ688" s="351">
        <f t="shared" si="82"/>
        <v>0</v>
      </c>
    </row>
    <row r="689" spans="1:36" hidden="1">
      <c r="A689" s="165">
        <f>'Conveyor Downtime (new)'!A688</f>
        <v>0</v>
      </c>
      <c r="B689" s="346"/>
      <c r="C689" s="346"/>
      <c r="D689" s="346"/>
      <c r="E689" s="346"/>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s="346"/>
      <c r="AE689" s="346"/>
      <c r="AF689" s="346"/>
      <c r="AG689" s="346"/>
      <c r="AH689" s="346"/>
      <c r="AI689">
        <f t="shared" si="81"/>
        <v>0</v>
      </c>
      <c r="AJ689" s="351">
        <f t="shared" si="82"/>
        <v>0</v>
      </c>
    </row>
    <row r="690" spans="1:36" hidden="1">
      <c r="A690" s="165">
        <f>'Conveyor Downtime (new)'!A689</f>
        <v>0</v>
      </c>
      <c r="AI690">
        <f t="shared" si="81"/>
        <v>0</v>
      </c>
      <c r="AJ690" s="351">
        <f t="shared" si="82"/>
        <v>0</v>
      </c>
    </row>
    <row r="691" spans="1:36" hidden="1">
      <c r="A691" s="165">
        <f>'Conveyor Downtime (new)'!A690</f>
        <v>0</v>
      </c>
      <c r="B691" s="346"/>
      <c r="C691" s="346"/>
      <c r="D691" s="346"/>
      <c r="E691" s="346"/>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s="346"/>
      <c r="AE691" s="346"/>
      <c r="AF691" s="346"/>
      <c r="AG691" s="346"/>
      <c r="AH691" s="346"/>
      <c r="AI691">
        <f t="shared" si="81"/>
        <v>0</v>
      </c>
      <c r="AJ691" s="351">
        <f t="shared" si="82"/>
        <v>0</v>
      </c>
    </row>
    <row r="692" spans="1:36" hidden="1">
      <c r="A692" s="165">
        <f>'Conveyor Downtime (new)'!A691</f>
        <v>0</v>
      </c>
      <c r="AI692">
        <f t="shared" si="81"/>
        <v>0</v>
      </c>
      <c r="AJ692" s="351">
        <f t="shared" si="82"/>
        <v>0</v>
      </c>
    </row>
    <row r="693" spans="1:36" hidden="1">
      <c r="A693" s="165">
        <f>'Conveyor Downtime (new)'!A692</f>
        <v>0</v>
      </c>
      <c r="B693" s="346"/>
      <c r="C693" s="346"/>
      <c r="D693" s="346"/>
      <c r="E693" s="346"/>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s="346"/>
      <c r="AE693" s="346"/>
      <c r="AF693" s="346"/>
      <c r="AG693" s="346"/>
      <c r="AH693" s="346"/>
      <c r="AI693">
        <f t="shared" si="81"/>
        <v>0</v>
      </c>
      <c r="AJ693" s="351">
        <f t="shared" si="82"/>
        <v>0</v>
      </c>
    </row>
    <row r="694" spans="1:36" hidden="1">
      <c r="A694" s="165">
        <f>'Conveyor Downtime (new)'!A693</f>
        <v>0</v>
      </c>
      <c r="AI694">
        <f t="shared" si="81"/>
        <v>0</v>
      </c>
      <c r="AJ694" s="351">
        <f t="shared" si="82"/>
        <v>0</v>
      </c>
    </row>
    <row r="695" spans="1:36" hidden="1">
      <c r="A695" s="165">
        <f>'Conveyor Downtime (new)'!A694</f>
        <v>0</v>
      </c>
      <c r="B695" s="346"/>
      <c r="C695" s="346"/>
      <c r="D695" s="346"/>
      <c r="E695" s="346"/>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s="346"/>
      <c r="AE695" s="346"/>
      <c r="AF695" s="346"/>
      <c r="AG695" s="346"/>
      <c r="AH695" s="346"/>
      <c r="AI695">
        <f t="shared" si="81"/>
        <v>0</v>
      </c>
      <c r="AJ695" s="351">
        <f t="shared" si="82"/>
        <v>0</v>
      </c>
    </row>
    <row r="696" spans="1:36" hidden="1">
      <c r="A696" s="165">
        <f>'Conveyor Downtime (new)'!A695</f>
        <v>0</v>
      </c>
      <c r="C696" s="77"/>
      <c r="AI696">
        <f t="shared" si="81"/>
        <v>0</v>
      </c>
      <c r="AJ696" s="351">
        <f t="shared" si="82"/>
        <v>0</v>
      </c>
    </row>
    <row r="697" spans="1:36" hidden="1">
      <c r="A697" s="165">
        <f>'Conveyor Downtime (new)'!A696</f>
        <v>0</v>
      </c>
      <c r="B697" s="346"/>
      <c r="C697" s="346"/>
      <c r="D697" s="346"/>
      <c r="E697" s="346"/>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s="346"/>
      <c r="AE697" s="346"/>
      <c r="AF697" s="346"/>
      <c r="AG697" s="346"/>
      <c r="AH697" s="346"/>
      <c r="AI697">
        <f t="shared" si="81"/>
        <v>0</v>
      </c>
      <c r="AJ697" s="351">
        <f t="shared" si="82"/>
        <v>0</v>
      </c>
    </row>
    <row r="698" spans="1:36" hidden="1">
      <c r="A698" s="165">
        <f>'Conveyor Downtime (new)'!A697</f>
        <v>0</v>
      </c>
      <c r="AI698">
        <f t="shared" si="81"/>
        <v>0</v>
      </c>
      <c r="AJ698" s="351">
        <f t="shared" si="82"/>
        <v>0</v>
      </c>
    </row>
    <row r="699" spans="1:36" hidden="1">
      <c r="A699" s="165">
        <f>'Conveyor Downtime (new)'!A698</f>
        <v>0</v>
      </c>
      <c r="B699" s="346"/>
      <c r="C699" s="346"/>
      <c r="D699" s="346"/>
      <c r="E699" s="346"/>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s="346"/>
      <c r="AE699" s="346"/>
      <c r="AF699" s="346"/>
      <c r="AG699" s="346"/>
      <c r="AH699" s="346"/>
      <c r="AI699">
        <f t="shared" ref="AI699:AI711" si="83">SUM(B699:AH699)</f>
        <v>0</v>
      </c>
      <c r="AJ699" s="351">
        <f t="shared" si="82"/>
        <v>0</v>
      </c>
    </row>
    <row r="700" spans="1:36" hidden="1">
      <c r="A700" s="165">
        <f>'Conveyor Downtime (new)'!A699</f>
        <v>0</v>
      </c>
      <c r="AI700">
        <f t="shared" si="83"/>
        <v>0</v>
      </c>
      <c r="AJ700" s="351">
        <f t="shared" si="82"/>
        <v>0</v>
      </c>
    </row>
    <row r="701" spans="1:36" hidden="1">
      <c r="A701" s="165">
        <f>'Conveyor Downtime (new)'!A700</f>
        <v>0</v>
      </c>
      <c r="B701" s="346"/>
      <c r="C701" s="346"/>
      <c r="D701" s="346"/>
      <c r="E701" s="346"/>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s="346"/>
      <c r="AE701" s="346"/>
      <c r="AF701" s="346"/>
      <c r="AG701" s="346"/>
      <c r="AH701" s="346"/>
      <c r="AI701">
        <f t="shared" si="83"/>
        <v>0</v>
      </c>
      <c r="AJ701" s="351">
        <f t="shared" si="82"/>
        <v>0</v>
      </c>
    </row>
    <row r="702" spans="1:36" hidden="1">
      <c r="A702" s="165">
        <f>'Conveyor Downtime (new)'!A701</f>
        <v>0</v>
      </c>
      <c r="AI702">
        <f t="shared" si="83"/>
        <v>0</v>
      </c>
      <c r="AJ702" s="351">
        <f t="shared" si="82"/>
        <v>0</v>
      </c>
    </row>
    <row r="703" spans="1:36" hidden="1">
      <c r="A703" s="165">
        <f>'Conveyor Downtime (new)'!A702</f>
        <v>0</v>
      </c>
      <c r="B703" s="346"/>
      <c r="C703" s="346"/>
      <c r="D703" s="346"/>
      <c r="E703" s="346"/>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s="346"/>
      <c r="AE703" s="346"/>
      <c r="AF703" s="346"/>
      <c r="AG703" s="346"/>
      <c r="AH703" s="346"/>
      <c r="AI703">
        <f t="shared" si="83"/>
        <v>0</v>
      </c>
      <c r="AJ703" s="351">
        <f t="shared" si="82"/>
        <v>0</v>
      </c>
    </row>
    <row r="704" spans="1:36" hidden="1">
      <c r="A704" s="165">
        <f>'Conveyor Downtime (new)'!A703</f>
        <v>0</v>
      </c>
      <c r="AI704">
        <f t="shared" si="83"/>
        <v>0</v>
      </c>
      <c r="AJ704" s="351">
        <f t="shared" si="82"/>
        <v>0</v>
      </c>
    </row>
    <row r="705" spans="1:36" hidden="1">
      <c r="A705" s="165">
        <f>'Conveyor Downtime (new)'!A704</f>
        <v>0</v>
      </c>
      <c r="B705" s="346"/>
      <c r="C705" s="346"/>
      <c r="D705" s="346"/>
      <c r="E705" s="346"/>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s="346"/>
      <c r="AE705" s="346"/>
      <c r="AF705" s="346"/>
      <c r="AG705" s="346"/>
      <c r="AH705" s="346"/>
      <c r="AI705">
        <f t="shared" si="83"/>
        <v>0</v>
      </c>
      <c r="AJ705" s="351">
        <f t="shared" si="82"/>
        <v>0</v>
      </c>
    </row>
    <row r="706" spans="1:36" hidden="1">
      <c r="A706" s="165">
        <f>'Conveyor Downtime (new)'!A705</f>
        <v>0</v>
      </c>
      <c r="AI706">
        <f t="shared" si="83"/>
        <v>0</v>
      </c>
      <c r="AJ706" s="351">
        <f t="shared" si="82"/>
        <v>0</v>
      </c>
    </row>
    <row r="707" spans="1:36" hidden="1">
      <c r="A707" s="165">
        <f>'Conveyor Downtime (new)'!A706</f>
        <v>0</v>
      </c>
      <c r="B707" s="346"/>
      <c r="C707" s="346"/>
      <c r="D707" s="346"/>
      <c r="E707" s="346"/>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s="346"/>
      <c r="AE707" s="346"/>
      <c r="AF707" s="346"/>
      <c r="AG707" s="346"/>
      <c r="AH707" s="346"/>
      <c r="AI707">
        <f t="shared" si="83"/>
        <v>0</v>
      </c>
      <c r="AJ707" s="351">
        <f t="shared" si="82"/>
        <v>0</v>
      </c>
    </row>
    <row r="708" spans="1:36" hidden="1">
      <c r="A708" s="165">
        <f>'Conveyor Downtime (new)'!A707</f>
        <v>0</v>
      </c>
      <c r="AI708">
        <f t="shared" si="83"/>
        <v>0</v>
      </c>
      <c r="AJ708" s="351">
        <f t="shared" si="82"/>
        <v>0</v>
      </c>
    </row>
    <row r="709" spans="1:36" hidden="1">
      <c r="A709" s="165">
        <f>'Conveyor Downtime (new)'!A708</f>
        <v>0</v>
      </c>
      <c r="B709" s="346"/>
      <c r="C709" s="346"/>
      <c r="D709" s="346"/>
      <c r="E709" s="346"/>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s="346"/>
      <c r="AE709" s="346"/>
      <c r="AF709" s="346"/>
      <c r="AG709" s="346"/>
      <c r="AH709" s="346"/>
      <c r="AI709">
        <f t="shared" si="83"/>
        <v>0</v>
      </c>
      <c r="AJ709" s="351">
        <f t="shared" si="82"/>
        <v>0</v>
      </c>
    </row>
    <row r="710" spans="1:36" hidden="1">
      <c r="A710" s="165">
        <f>'Conveyor Downtime (new)'!A709</f>
        <v>0</v>
      </c>
      <c r="AD710" s="363"/>
      <c r="AI710">
        <f t="shared" si="83"/>
        <v>0</v>
      </c>
      <c r="AJ710" s="351">
        <f t="shared" si="82"/>
        <v>0</v>
      </c>
    </row>
    <row r="711" spans="1:36" hidden="1">
      <c r="A711" s="165">
        <f>'Conveyor Downtime (new)'!A710</f>
        <v>0</v>
      </c>
      <c r="B711" s="346"/>
      <c r="C711" s="346"/>
      <c r="D711" s="346"/>
      <c r="E711" s="346"/>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s="346"/>
      <c r="AE711" s="346"/>
      <c r="AF711" s="346"/>
      <c r="AG711" s="346"/>
      <c r="AH711" s="346"/>
      <c r="AI711">
        <f t="shared" si="83"/>
        <v>0</v>
      </c>
      <c r="AJ711" s="351">
        <f t="shared" si="82"/>
        <v>0</v>
      </c>
    </row>
    <row r="712" spans="1:36" hidden="1">
      <c r="A712" s="165">
        <f>'Conveyor Downtime (new)'!A711</f>
        <v>0</v>
      </c>
      <c r="AI712">
        <f t="shared" ref="AI712:AI734" si="84">SUM(B712:AH712)</f>
        <v>0</v>
      </c>
      <c r="AJ712" s="351">
        <f t="shared" si="82"/>
        <v>0</v>
      </c>
    </row>
    <row r="713" spans="1:36" hidden="1">
      <c r="A713" s="165">
        <f>'Conveyor Downtime (new)'!A712</f>
        <v>0</v>
      </c>
      <c r="B713" s="346"/>
      <c r="C713" s="346"/>
      <c r="D713" s="346"/>
      <c r="E713" s="346"/>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s="346"/>
      <c r="AE713" s="346"/>
      <c r="AF713" s="346"/>
      <c r="AG713" s="346"/>
      <c r="AH713" s="346"/>
      <c r="AI713">
        <f t="shared" si="84"/>
        <v>0</v>
      </c>
      <c r="AJ713" s="351">
        <f t="shared" si="82"/>
        <v>0</v>
      </c>
    </row>
    <row r="714" spans="1:36" hidden="1">
      <c r="A714" s="165">
        <f>'Conveyor Downtime (new)'!A713</f>
        <v>0</v>
      </c>
      <c r="AI714">
        <f t="shared" si="84"/>
        <v>0</v>
      </c>
      <c r="AJ714" s="351">
        <f t="shared" si="82"/>
        <v>0</v>
      </c>
    </row>
    <row r="715" spans="1:36" hidden="1">
      <c r="A715" s="165">
        <f>'Conveyor Downtime (new)'!A714</f>
        <v>0</v>
      </c>
      <c r="B715" s="346"/>
      <c r="C715" s="346"/>
      <c r="D715" s="346"/>
      <c r="E715" s="346"/>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s="346"/>
      <c r="AE715" s="346"/>
      <c r="AF715" s="346"/>
      <c r="AG715" s="346"/>
      <c r="AH715" s="346"/>
      <c r="AI715">
        <f t="shared" si="84"/>
        <v>0</v>
      </c>
      <c r="AJ715" s="351">
        <f t="shared" si="82"/>
        <v>0</v>
      </c>
    </row>
    <row r="716" spans="1:36" hidden="1">
      <c r="A716" s="165">
        <f>'Conveyor Downtime (new)'!A715</f>
        <v>0</v>
      </c>
      <c r="AI716">
        <f t="shared" si="84"/>
        <v>0</v>
      </c>
      <c r="AJ716" s="351">
        <f t="shared" si="82"/>
        <v>0</v>
      </c>
    </row>
    <row r="717" spans="1:36" hidden="1">
      <c r="A717" s="165">
        <f>'Conveyor Downtime (new)'!A716</f>
        <v>0</v>
      </c>
      <c r="B717" s="346"/>
      <c r="C717" s="346"/>
      <c r="D717" s="346"/>
      <c r="E717" s="346"/>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s="346"/>
      <c r="AE717" s="346"/>
      <c r="AF717" s="346"/>
      <c r="AG717" s="346"/>
      <c r="AH717" s="346"/>
      <c r="AI717">
        <f t="shared" si="84"/>
        <v>0</v>
      </c>
      <c r="AJ717" s="351">
        <f t="shared" si="82"/>
        <v>0</v>
      </c>
    </row>
    <row r="718" spans="1:36" hidden="1">
      <c r="A718" s="165">
        <f>'Conveyor Downtime (new)'!A717</f>
        <v>0</v>
      </c>
      <c r="AI718">
        <f t="shared" si="84"/>
        <v>0</v>
      </c>
      <c r="AJ718" s="351">
        <f t="shared" si="82"/>
        <v>0</v>
      </c>
    </row>
    <row r="719" spans="1:36" hidden="1">
      <c r="A719" s="165">
        <f>'Conveyor Downtime (new)'!A718</f>
        <v>0</v>
      </c>
      <c r="B719" s="346"/>
      <c r="C719" s="346"/>
      <c r="D719" s="346"/>
      <c r="E719" s="346"/>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s="346"/>
      <c r="AE719" s="346"/>
      <c r="AF719" s="346"/>
      <c r="AG719" s="346"/>
      <c r="AH719" s="346"/>
      <c r="AI719">
        <f t="shared" si="84"/>
        <v>0</v>
      </c>
      <c r="AJ719" s="351">
        <f t="shared" si="82"/>
        <v>0</v>
      </c>
    </row>
    <row r="720" spans="1:36" hidden="1">
      <c r="A720" s="165">
        <f>'Conveyor Downtime (new)'!A719</f>
        <v>0</v>
      </c>
      <c r="AI720">
        <f t="shared" si="84"/>
        <v>0</v>
      </c>
      <c r="AJ720" s="351">
        <f t="shared" si="82"/>
        <v>0</v>
      </c>
    </row>
    <row r="721" spans="1:36" hidden="1">
      <c r="A721" s="165">
        <f>'Conveyor Downtime (new)'!A720</f>
        <v>0</v>
      </c>
      <c r="B721" s="346"/>
      <c r="C721" s="346"/>
      <c r="D721" s="346"/>
      <c r="E721" s="346"/>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s="346"/>
      <c r="AE721" s="346"/>
      <c r="AF721" s="346"/>
      <c r="AG721" s="346"/>
      <c r="AH721" s="346"/>
      <c r="AI721">
        <f t="shared" si="84"/>
        <v>0</v>
      </c>
      <c r="AJ721" s="351">
        <f t="shared" si="82"/>
        <v>0</v>
      </c>
    </row>
    <row r="722" spans="1:36" hidden="1">
      <c r="A722" s="165">
        <f>'Conveyor Downtime (new)'!A721</f>
        <v>0</v>
      </c>
      <c r="AI722">
        <f t="shared" si="84"/>
        <v>0</v>
      </c>
      <c r="AJ722" s="351">
        <f t="shared" si="82"/>
        <v>0</v>
      </c>
    </row>
    <row r="723" spans="1:36" hidden="1">
      <c r="A723" s="165">
        <f>'Conveyor Downtime (new)'!A722</f>
        <v>0</v>
      </c>
      <c r="B723" s="346"/>
      <c r="C723" s="346"/>
      <c r="D723" s="346"/>
      <c r="E723" s="346"/>
      <c r="F723" s="346"/>
      <c r="G723" s="346"/>
      <c r="H723" s="346"/>
      <c r="I723" s="346"/>
      <c r="J723" s="346"/>
      <c r="K723" s="346"/>
      <c r="L723" s="346"/>
      <c r="M723" s="346"/>
      <c r="N723" s="346"/>
      <c r="O723" s="346"/>
      <c r="P723" s="346"/>
      <c r="Q723" s="346"/>
      <c r="R723" s="346"/>
      <c r="S723" s="346"/>
      <c r="T723" s="346"/>
      <c r="U723" s="346"/>
      <c r="V723" s="346"/>
      <c r="W723" s="346"/>
      <c r="X723" s="346"/>
      <c r="Y723" s="346"/>
      <c r="Z723" s="346"/>
      <c r="AA723" s="346"/>
      <c r="AB723" s="346"/>
      <c r="AC723" s="346"/>
      <c r="AD723" s="346"/>
      <c r="AE723" s="346"/>
      <c r="AF723" s="346"/>
      <c r="AG723" s="346"/>
      <c r="AH723" s="346"/>
      <c r="AI723">
        <f t="shared" si="84"/>
        <v>0</v>
      </c>
      <c r="AJ723" s="351">
        <f t="shared" si="82"/>
        <v>0</v>
      </c>
    </row>
    <row r="724" spans="1:36" hidden="1">
      <c r="A724" s="165">
        <f>'Conveyor Downtime (new)'!A723</f>
        <v>0</v>
      </c>
      <c r="AI724">
        <f t="shared" si="84"/>
        <v>0</v>
      </c>
      <c r="AJ724" s="351">
        <f t="shared" si="82"/>
        <v>0</v>
      </c>
    </row>
    <row r="725" spans="1:36" hidden="1">
      <c r="A725" s="165">
        <f>'Conveyor Downtime (new)'!A724</f>
        <v>0</v>
      </c>
      <c r="B725" s="346"/>
      <c r="C725" s="346"/>
      <c r="D725" s="346"/>
      <c r="E725" s="346"/>
      <c r="F725" s="346"/>
      <c r="G725" s="346"/>
      <c r="H725" s="346"/>
      <c r="I725" s="346"/>
      <c r="J725" s="346"/>
      <c r="K725" s="346"/>
      <c r="L725" s="346"/>
      <c r="M725" s="346"/>
      <c r="N725" s="346"/>
      <c r="O725" s="346"/>
      <c r="P725" s="346"/>
      <c r="Q725" s="346"/>
      <c r="R725" s="346"/>
      <c r="S725" s="346"/>
      <c r="T725" s="346"/>
      <c r="U725" s="346"/>
      <c r="V725" s="346"/>
      <c r="W725" s="346"/>
      <c r="X725" s="346"/>
      <c r="Y725" s="346"/>
      <c r="Z725" s="346"/>
      <c r="AA725" s="346"/>
      <c r="AB725" s="346"/>
      <c r="AC725" s="346"/>
      <c r="AD725" s="346"/>
      <c r="AE725" s="346"/>
      <c r="AF725" s="346"/>
      <c r="AG725" s="346"/>
      <c r="AH725" s="346"/>
      <c r="AI725">
        <f t="shared" si="84"/>
        <v>0</v>
      </c>
      <c r="AJ725" s="351">
        <f t="shared" si="82"/>
        <v>0</v>
      </c>
    </row>
    <row r="726" spans="1:36" hidden="1">
      <c r="A726" s="165">
        <f>'Conveyor Downtime (new)'!A725</f>
        <v>0</v>
      </c>
      <c r="AI726">
        <f t="shared" si="84"/>
        <v>0</v>
      </c>
      <c r="AJ726" s="351">
        <f t="shared" si="82"/>
        <v>0</v>
      </c>
    </row>
    <row r="727" spans="1:36" hidden="1">
      <c r="A727" s="165">
        <f>'Conveyor Downtime (new)'!A726</f>
        <v>0</v>
      </c>
      <c r="B727" s="346"/>
      <c r="C727" s="346"/>
      <c r="D727" s="346"/>
      <c r="E727" s="346"/>
      <c r="F727" s="346"/>
      <c r="G727" s="346"/>
      <c r="H727" s="346"/>
      <c r="I727" s="346"/>
      <c r="J727" s="346"/>
      <c r="K727" s="346"/>
      <c r="L727" s="346"/>
      <c r="M727" s="346"/>
      <c r="N727" s="346"/>
      <c r="O727" s="346"/>
      <c r="P727" s="346"/>
      <c r="Q727" s="346"/>
      <c r="R727" s="346"/>
      <c r="S727" s="346"/>
      <c r="T727" s="346"/>
      <c r="U727" s="346"/>
      <c r="V727" s="346"/>
      <c r="W727" s="346"/>
      <c r="X727" s="346"/>
      <c r="Y727" s="346"/>
      <c r="Z727" s="346"/>
      <c r="AA727" s="346"/>
      <c r="AB727" s="346"/>
      <c r="AC727" s="346"/>
      <c r="AD727" s="346"/>
      <c r="AE727" s="346"/>
      <c r="AF727" s="346"/>
      <c r="AG727" s="346"/>
      <c r="AH727" s="346"/>
      <c r="AI727">
        <f t="shared" si="84"/>
        <v>0</v>
      </c>
      <c r="AJ727" s="351">
        <f t="shared" si="82"/>
        <v>0</v>
      </c>
    </row>
    <row r="728" spans="1:36" hidden="1">
      <c r="A728" s="165">
        <f>'Conveyor Downtime (new)'!A727</f>
        <v>0</v>
      </c>
      <c r="AI728">
        <f t="shared" si="84"/>
        <v>0</v>
      </c>
      <c r="AJ728" s="351">
        <f t="shared" si="82"/>
        <v>0</v>
      </c>
    </row>
    <row r="729" spans="1:36" hidden="1">
      <c r="A729" s="165">
        <f>'Conveyor Downtime (new)'!A728</f>
        <v>0</v>
      </c>
      <c r="B729" s="346"/>
      <c r="C729" s="346"/>
      <c r="D729" s="346"/>
      <c r="E729" s="346"/>
      <c r="F729" s="346"/>
      <c r="G729" s="346"/>
      <c r="H729" s="346"/>
      <c r="I729" s="346"/>
      <c r="J729" s="346"/>
      <c r="K729" s="346"/>
      <c r="L729" s="346"/>
      <c r="M729" s="346"/>
      <c r="N729" s="346"/>
      <c r="O729" s="346"/>
      <c r="P729" s="346"/>
      <c r="Q729" s="346"/>
      <c r="R729" s="346"/>
      <c r="S729" s="346"/>
      <c r="T729" s="346"/>
      <c r="U729" s="346"/>
      <c r="V729" s="346"/>
      <c r="W729" s="346"/>
      <c r="X729" s="346"/>
      <c r="Y729" s="346"/>
      <c r="Z729" s="346"/>
      <c r="AA729" s="346"/>
      <c r="AB729" s="346"/>
      <c r="AC729" s="346"/>
      <c r="AD729" s="346"/>
      <c r="AE729" s="346"/>
      <c r="AF729" s="346"/>
      <c r="AG729" s="346"/>
      <c r="AH729" s="346"/>
      <c r="AI729">
        <f t="shared" si="84"/>
        <v>0</v>
      </c>
      <c r="AJ729" s="351">
        <f t="shared" si="82"/>
        <v>0</v>
      </c>
    </row>
    <row r="730" spans="1:36" hidden="1">
      <c r="A730" s="165">
        <f>'Conveyor Downtime (new)'!A729</f>
        <v>0</v>
      </c>
      <c r="AI730">
        <f t="shared" si="84"/>
        <v>0</v>
      </c>
      <c r="AJ730" s="351">
        <f t="shared" si="82"/>
        <v>0</v>
      </c>
    </row>
    <row r="731" spans="1:36" hidden="1">
      <c r="A731" s="165">
        <f>'Conveyor Downtime (new)'!A730</f>
        <v>0</v>
      </c>
      <c r="B731" s="346"/>
      <c r="C731" s="346"/>
      <c r="D731" s="346"/>
      <c r="E731" s="346"/>
      <c r="F731" s="346"/>
      <c r="G731" s="346"/>
      <c r="H731" s="346"/>
      <c r="I731" s="346"/>
      <c r="J731" s="346"/>
      <c r="K731" s="346"/>
      <c r="L731" s="346"/>
      <c r="M731" s="346"/>
      <c r="N731" s="346"/>
      <c r="O731" s="346"/>
      <c r="P731" s="346"/>
      <c r="Q731" s="346"/>
      <c r="R731" s="346"/>
      <c r="S731" s="346"/>
      <c r="T731" s="346"/>
      <c r="U731" s="346"/>
      <c r="V731" s="346"/>
      <c r="W731" s="346"/>
      <c r="X731" s="346"/>
      <c r="Y731" s="346"/>
      <c r="Z731" s="346"/>
      <c r="AA731" s="346"/>
      <c r="AB731" s="346"/>
      <c r="AC731" s="346"/>
      <c r="AD731" s="346"/>
      <c r="AE731" s="346"/>
      <c r="AF731" s="346"/>
      <c r="AG731" s="346"/>
      <c r="AH731" s="346"/>
      <c r="AI731">
        <f t="shared" si="84"/>
        <v>0</v>
      </c>
      <c r="AJ731" s="351">
        <f t="shared" si="82"/>
        <v>0</v>
      </c>
    </row>
    <row r="732" spans="1:36" hidden="1">
      <c r="A732" s="165"/>
      <c r="B732" s="346"/>
      <c r="C732" s="346"/>
      <c r="D732" s="346"/>
      <c r="E732" s="346"/>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f t="shared" si="84"/>
        <v>0</v>
      </c>
      <c r="AJ732" s="351">
        <f t="shared" si="82"/>
        <v>0</v>
      </c>
    </row>
    <row r="733" spans="1:36" hidden="1">
      <c r="A733" s="165"/>
      <c r="AI733">
        <f t="shared" si="84"/>
        <v>0</v>
      </c>
      <c r="AJ733" s="351">
        <f t="shared" si="82"/>
        <v>0</v>
      </c>
    </row>
    <row r="734" spans="1:36" hidden="1">
      <c r="A734" s="165"/>
      <c r="B734" s="346"/>
      <c r="C734" s="346"/>
      <c r="D734" s="346"/>
      <c r="E734" s="346"/>
      <c r="F734" s="346"/>
      <c r="G734" s="346"/>
      <c r="H734" s="346"/>
      <c r="I734" s="346"/>
      <c r="J734" s="346"/>
      <c r="K734" s="346"/>
      <c r="L734" s="346"/>
      <c r="M734" s="346"/>
      <c r="N734" s="346"/>
      <c r="O734" s="346"/>
      <c r="P734" s="346"/>
      <c r="Q734" s="346"/>
      <c r="R734" s="346"/>
      <c r="S734" s="346"/>
      <c r="T734" s="346"/>
      <c r="U734" s="346"/>
      <c r="V734" s="346"/>
      <c r="W734" s="346"/>
      <c r="X734" s="346"/>
      <c r="Y734" s="346"/>
      <c r="Z734" s="346"/>
      <c r="AA734" s="346"/>
      <c r="AB734" s="346"/>
      <c r="AC734" s="346"/>
      <c r="AD734" s="346"/>
      <c r="AE734" s="346"/>
      <c r="AF734" s="346"/>
      <c r="AG734" s="346"/>
      <c r="AH734" s="346"/>
      <c r="AI734">
        <f t="shared" si="84"/>
        <v>0</v>
      </c>
      <c r="AJ734" s="351">
        <f t="shared" si="82"/>
        <v>0</v>
      </c>
    </row>
    <row r="735" spans="1:36" ht="15" hidden="1">
      <c r="A735" s="347" t="s">
        <v>113</v>
      </c>
      <c r="B735" s="347">
        <f>SUM(B678:B734)</f>
        <v>0</v>
      </c>
      <c r="C735" s="347">
        <f t="shared" ref="C735:AI735" si="85">SUM(C678:C734)</f>
        <v>0</v>
      </c>
      <c r="D735" s="347">
        <f t="shared" si="85"/>
        <v>0</v>
      </c>
      <c r="E735" s="347">
        <f t="shared" si="85"/>
        <v>0</v>
      </c>
      <c r="F735" s="347">
        <f t="shared" si="85"/>
        <v>0</v>
      </c>
      <c r="G735" s="347">
        <f t="shared" si="85"/>
        <v>0</v>
      </c>
      <c r="H735" s="347">
        <f t="shared" si="85"/>
        <v>0</v>
      </c>
      <c r="I735" s="347">
        <f t="shared" si="85"/>
        <v>0</v>
      </c>
      <c r="J735" s="347">
        <f t="shared" si="85"/>
        <v>0</v>
      </c>
      <c r="K735" s="347">
        <f t="shared" si="85"/>
        <v>0</v>
      </c>
      <c r="L735" s="347">
        <f t="shared" si="85"/>
        <v>0</v>
      </c>
      <c r="M735" s="347">
        <f t="shared" si="85"/>
        <v>0</v>
      </c>
      <c r="N735" s="347">
        <f t="shared" si="85"/>
        <v>0</v>
      </c>
      <c r="O735" s="347">
        <f t="shared" si="85"/>
        <v>0</v>
      </c>
      <c r="P735" s="347">
        <f t="shared" si="85"/>
        <v>0</v>
      </c>
      <c r="Q735" s="347">
        <f t="shared" si="85"/>
        <v>0</v>
      </c>
      <c r="R735" s="347">
        <f t="shared" si="85"/>
        <v>0</v>
      </c>
      <c r="S735" s="347">
        <f t="shared" si="85"/>
        <v>0</v>
      </c>
      <c r="T735" s="347">
        <f t="shared" si="85"/>
        <v>0</v>
      </c>
      <c r="U735" s="347">
        <f t="shared" si="85"/>
        <v>0</v>
      </c>
      <c r="V735" s="347">
        <f t="shared" si="85"/>
        <v>0</v>
      </c>
      <c r="W735" s="347">
        <f t="shared" si="85"/>
        <v>0</v>
      </c>
      <c r="X735" s="347">
        <f t="shared" si="85"/>
        <v>0</v>
      </c>
      <c r="Y735" s="347">
        <f t="shared" si="85"/>
        <v>0</v>
      </c>
      <c r="Z735" s="347">
        <f t="shared" si="85"/>
        <v>0</v>
      </c>
      <c r="AA735" s="347">
        <f t="shared" si="85"/>
        <v>0</v>
      </c>
      <c r="AB735" s="347">
        <f t="shared" si="85"/>
        <v>0</v>
      </c>
      <c r="AC735" s="347">
        <f t="shared" si="85"/>
        <v>0</v>
      </c>
      <c r="AD735" s="347">
        <f t="shared" si="85"/>
        <v>0</v>
      </c>
      <c r="AE735" s="347">
        <f t="shared" si="85"/>
        <v>0</v>
      </c>
      <c r="AF735" s="347">
        <f t="shared" si="85"/>
        <v>0</v>
      </c>
      <c r="AG735" s="347">
        <f t="shared" si="85"/>
        <v>0</v>
      </c>
      <c r="AH735" s="347">
        <f t="shared" si="85"/>
        <v>0</v>
      </c>
      <c r="AI735" s="347">
        <f t="shared" si="85"/>
        <v>0</v>
      </c>
      <c r="AJ735" s="375"/>
    </row>
    <row r="736" spans="1:36" ht="15.75" hidden="1" thickBot="1">
      <c r="A736" s="348" t="s">
        <v>174</v>
      </c>
      <c r="B736" s="348" t="e">
        <f t="shared" ref="B736:P736" si="86">B735/$AI735</f>
        <v>#DIV/0!</v>
      </c>
      <c r="C736" s="348" t="e">
        <f t="shared" si="86"/>
        <v>#DIV/0!</v>
      </c>
      <c r="D736" s="348" t="e">
        <f t="shared" si="86"/>
        <v>#DIV/0!</v>
      </c>
      <c r="E736" s="348" t="e">
        <f t="shared" si="86"/>
        <v>#DIV/0!</v>
      </c>
      <c r="F736" s="348" t="e">
        <f t="shared" si="86"/>
        <v>#DIV/0!</v>
      </c>
      <c r="G736" s="348" t="e">
        <f t="shared" si="86"/>
        <v>#DIV/0!</v>
      </c>
      <c r="H736" s="348" t="e">
        <f t="shared" si="86"/>
        <v>#DIV/0!</v>
      </c>
      <c r="I736" s="348" t="e">
        <f t="shared" si="86"/>
        <v>#DIV/0!</v>
      </c>
      <c r="J736" s="348" t="e">
        <f t="shared" si="86"/>
        <v>#DIV/0!</v>
      </c>
      <c r="K736" s="348" t="e">
        <f t="shared" si="86"/>
        <v>#DIV/0!</v>
      </c>
      <c r="L736" s="348" t="e">
        <f t="shared" si="86"/>
        <v>#DIV/0!</v>
      </c>
      <c r="M736" s="348" t="e">
        <f t="shared" si="86"/>
        <v>#DIV/0!</v>
      </c>
      <c r="N736" s="348" t="e">
        <f t="shared" si="86"/>
        <v>#DIV/0!</v>
      </c>
      <c r="O736" s="348" t="e">
        <f t="shared" si="86"/>
        <v>#DIV/0!</v>
      </c>
      <c r="P736" s="348" t="e">
        <f t="shared" si="86"/>
        <v>#DIV/0!</v>
      </c>
      <c r="Q736" s="348"/>
      <c r="R736" s="348" t="e">
        <f t="shared" ref="R736:AB736" si="87">R735/$AI735</f>
        <v>#DIV/0!</v>
      </c>
      <c r="S736" s="348" t="e">
        <f t="shared" si="87"/>
        <v>#DIV/0!</v>
      </c>
      <c r="T736" s="348" t="e">
        <f t="shared" si="87"/>
        <v>#DIV/0!</v>
      </c>
      <c r="U736" s="348" t="e">
        <f t="shared" si="87"/>
        <v>#DIV/0!</v>
      </c>
      <c r="V736" s="348" t="e">
        <f t="shared" si="87"/>
        <v>#DIV/0!</v>
      </c>
      <c r="W736" s="348" t="e">
        <f t="shared" si="87"/>
        <v>#DIV/0!</v>
      </c>
      <c r="X736" s="348" t="e">
        <f t="shared" si="87"/>
        <v>#DIV/0!</v>
      </c>
      <c r="Y736" s="348" t="e">
        <f t="shared" si="87"/>
        <v>#DIV/0!</v>
      </c>
      <c r="Z736" s="348" t="e">
        <f t="shared" si="87"/>
        <v>#DIV/0!</v>
      </c>
      <c r="AA736" s="348" t="e">
        <f t="shared" si="87"/>
        <v>#DIV/0!</v>
      </c>
      <c r="AB736" s="348" t="e">
        <f t="shared" si="87"/>
        <v>#DIV/0!</v>
      </c>
      <c r="AC736" s="348" t="e">
        <f t="shared" ref="AC736:AH736" si="88">AC735/$AI735</f>
        <v>#DIV/0!</v>
      </c>
      <c r="AD736" s="348" t="e">
        <f t="shared" si="88"/>
        <v>#DIV/0!</v>
      </c>
      <c r="AE736" s="348" t="e">
        <f t="shared" si="88"/>
        <v>#DIV/0!</v>
      </c>
      <c r="AF736" s="348" t="e">
        <f t="shared" si="88"/>
        <v>#DIV/0!</v>
      </c>
      <c r="AG736" s="348" t="e">
        <f t="shared" si="88"/>
        <v>#DIV/0!</v>
      </c>
      <c r="AH736" s="348" t="e">
        <f t="shared" si="88"/>
        <v>#DIV/0!</v>
      </c>
      <c r="AI736" s="376"/>
      <c r="AJ736" s="376"/>
    </row>
    <row r="739" spans="1:41" s="184" customFormat="1" ht="15">
      <c r="A739" s="519" t="s">
        <v>173</v>
      </c>
      <c r="B739" s="519">
        <f t="shared" ref="B739:AI739" si="89">SUM(B67,B121,B184,B245,B305,B370,B430,B491,B553,B613,B674,B735)</f>
        <v>12</v>
      </c>
      <c r="C739" s="519">
        <f t="shared" si="89"/>
        <v>350</v>
      </c>
      <c r="D739" s="519">
        <f t="shared" si="89"/>
        <v>20</v>
      </c>
      <c r="E739" s="519">
        <f t="shared" si="89"/>
        <v>0</v>
      </c>
      <c r="F739" s="519">
        <f t="shared" si="89"/>
        <v>29</v>
      </c>
      <c r="G739" s="519">
        <f t="shared" si="89"/>
        <v>33</v>
      </c>
      <c r="H739" s="519">
        <f t="shared" si="89"/>
        <v>2</v>
      </c>
      <c r="I739" s="519">
        <f t="shared" si="89"/>
        <v>84</v>
      </c>
      <c r="J739" s="519">
        <f t="shared" si="89"/>
        <v>0</v>
      </c>
      <c r="K739" s="519">
        <f t="shared" si="89"/>
        <v>642</v>
      </c>
      <c r="L739" s="519">
        <f t="shared" si="89"/>
        <v>21</v>
      </c>
      <c r="M739" s="519">
        <f t="shared" si="89"/>
        <v>10</v>
      </c>
      <c r="N739" s="519">
        <f t="shared" si="89"/>
        <v>498</v>
      </c>
      <c r="O739" s="519">
        <f t="shared" si="89"/>
        <v>1673</v>
      </c>
      <c r="P739" s="519">
        <f t="shared" si="89"/>
        <v>161</v>
      </c>
      <c r="Q739" s="519">
        <f t="shared" si="89"/>
        <v>0</v>
      </c>
      <c r="R739" s="519">
        <f t="shared" si="89"/>
        <v>3</v>
      </c>
      <c r="S739" s="519">
        <f t="shared" si="89"/>
        <v>106</v>
      </c>
      <c r="T739" s="519">
        <f t="shared" si="89"/>
        <v>185</v>
      </c>
      <c r="U739" s="519">
        <f t="shared" si="89"/>
        <v>657</v>
      </c>
      <c r="V739" s="519">
        <f t="shared" si="89"/>
        <v>1017</v>
      </c>
      <c r="W739" s="519">
        <f t="shared" si="89"/>
        <v>112</v>
      </c>
      <c r="X739" s="519">
        <f t="shared" si="89"/>
        <v>14</v>
      </c>
      <c r="Y739" s="519">
        <f t="shared" si="89"/>
        <v>386</v>
      </c>
      <c r="Z739" s="519">
        <f t="shared" si="89"/>
        <v>37</v>
      </c>
      <c r="AA739" s="519">
        <f t="shared" si="89"/>
        <v>91</v>
      </c>
      <c r="AB739" s="519">
        <f t="shared" si="89"/>
        <v>0</v>
      </c>
      <c r="AC739" s="519">
        <f t="shared" si="89"/>
        <v>3</v>
      </c>
      <c r="AD739" s="519">
        <f t="shared" si="89"/>
        <v>8</v>
      </c>
      <c r="AE739" s="519">
        <f t="shared" si="89"/>
        <v>593</v>
      </c>
      <c r="AF739" s="519">
        <f t="shared" si="89"/>
        <v>0</v>
      </c>
      <c r="AG739" s="519">
        <f t="shared" si="89"/>
        <v>4</v>
      </c>
      <c r="AH739" s="519">
        <f t="shared" si="89"/>
        <v>97</v>
      </c>
      <c r="AI739" s="519">
        <f t="shared" si="89"/>
        <v>6848</v>
      </c>
      <c r="AJ739" s="519"/>
      <c r="AK739" s="519"/>
      <c r="AL739" s="519"/>
      <c r="AM739" s="519"/>
      <c r="AN739" s="519"/>
      <c r="AO739" s="519"/>
    </row>
    <row r="740" spans="1:41" s="184" customFormat="1" ht="15.75" thickBot="1">
      <c r="A740" s="521" t="s">
        <v>43</v>
      </c>
      <c r="B740" s="521">
        <f t="shared" ref="B740:AG740" si="90">B739/$AI739</f>
        <v>1.7523364485981308E-3</v>
      </c>
      <c r="C740" s="521">
        <f t="shared" si="90"/>
        <v>5.1109813084112152E-2</v>
      </c>
      <c r="D740" s="521">
        <f t="shared" si="90"/>
        <v>2.9205607476635513E-3</v>
      </c>
      <c r="E740" s="521">
        <f t="shared" si="90"/>
        <v>0</v>
      </c>
      <c r="F740" s="521">
        <f t="shared" si="90"/>
        <v>4.2348130841121491E-3</v>
      </c>
      <c r="G740" s="521">
        <f t="shared" si="90"/>
        <v>4.8189252336448595E-3</v>
      </c>
      <c r="H740" s="521">
        <f t="shared" si="90"/>
        <v>2.9205607476635512E-4</v>
      </c>
      <c r="I740" s="521">
        <f t="shared" si="90"/>
        <v>1.2266355140186916E-2</v>
      </c>
      <c r="J740" s="521">
        <f t="shared" si="90"/>
        <v>0</v>
      </c>
      <c r="K740" s="521">
        <f t="shared" si="90"/>
        <v>9.375E-2</v>
      </c>
      <c r="L740" s="521">
        <f t="shared" si="90"/>
        <v>3.0665887850467289E-3</v>
      </c>
      <c r="M740" s="521">
        <f t="shared" si="90"/>
        <v>1.4602803738317756E-3</v>
      </c>
      <c r="N740" s="521">
        <f t="shared" si="90"/>
        <v>7.2721962616822428E-2</v>
      </c>
      <c r="O740" s="521">
        <f t="shared" si="90"/>
        <v>0.24430490654205608</v>
      </c>
      <c r="P740" s="521">
        <f t="shared" si="90"/>
        <v>2.351051401869159E-2</v>
      </c>
      <c r="Q740" s="521">
        <f t="shared" si="90"/>
        <v>0</v>
      </c>
      <c r="R740" s="521">
        <f t="shared" si="90"/>
        <v>4.380841121495327E-4</v>
      </c>
      <c r="S740" s="521">
        <f t="shared" si="90"/>
        <v>1.5478971962616822E-2</v>
      </c>
      <c r="T740" s="521">
        <f t="shared" si="90"/>
        <v>2.7015186915887852E-2</v>
      </c>
      <c r="U740" s="521">
        <f t="shared" si="90"/>
        <v>9.5940420560747669E-2</v>
      </c>
      <c r="V740" s="521">
        <f t="shared" si="90"/>
        <v>0.14851051401869159</v>
      </c>
      <c r="W740" s="521">
        <f t="shared" si="90"/>
        <v>1.6355140186915886E-2</v>
      </c>
      <c r="X740" s="521">
        <f t="shared" si="90"/>
        <v>2.0443925233644858E-3</v>
      </c>
      <c r="Y740" s="521">
        <f t="shared" si="90"/>
        <v>5.6366822429906545E-2</v>
      </c>
      <c r="Z740" s="521">
        <f t="shared" si="90"/>
        <v>5.4030373831775698E-3</v>
      </c>
      <c r="AA740" s="521">
        <f t="shared" si="90"/>
        <v>1.3288551401869159E-2</v>
      </c>
      <c r="AB740" s="521">
        <f t="shared" si="90"/>
        <v>0</v>
      </c>
      <c r="AC740" s="521">
        <f t="shared" si="90"/>
        <v>4.380841121495327E-4</v>
      </c>
      <c r="AD740" s="521">
        <f t="shared" si="90"/>
        <v>1.1682242990654205E-3</v>
      </c>
      <c r="AE740" s="521">
        <f t="shared" si="90"/>
        <v>8.6594626168224303E-2</v>
      </c>
      <c r="AF740" s="521">
        <f t="shared" si="90"/>
        <v>0</v>
      </c>
      <c r="AG740" s="521">
        <f t="shared" si="90"/>
        <v>5.8411214953271024E-4</v>
      </c>
      <c r="AH740" s="521">
        <f>AH739/$AI739</f>
        <v>1.4164719626168224E-2</v>
      </c>
      <c r="AI740" s="521"/>
      <c r="AJ740" s="521"/>
      <c r="AK740" s="523"/>
      <c r="AL740" s="523"/>
      <c r="AM740" s="523"/>
      <c r="AO740" s="522"/>
    </row>
  </sheetData>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tabColor rgb="FF5EEF53"/>
  </sheetPr>
  <dimension ref="A2:AO734"/>
  <sheetViews>
    <sheetView zoomScale="91" zoomScaleNormal="91" workbookViewId="0">
      <pane xSplit="1" ySplit="3" topLeftCell="B552" activePane="bottomRight" state="frozen"/>
      <selection pane="topRight"/>
      <selection pane="bottomLeft"/>
      <selection pane="bottomRight" activeCell="B531" sqref="B531"/>
    </sheetView>
  </sheetViews>
  <sheetFormatPr defaultColWidth="9" defaultRowHeight="12.75"/>
  <cols>
    <col min="1" max="1" width="10.42578125" customWidth="1"/>
    <col min="2" max="2" width="14.42578125" customWidth="1"/>
    <col min="3" max="4" width="10.42578125" customWidth="1"/>
    <col min="5" max="5" width="11.5703125" customWidth="1"/>
    <col min="6" max="6" width="9.5703125" customWidth="1"/>
    <col min="7" max="8" width="10.42578125" customWidth="1"/>
    <col min="9" max="10" width="11" customWidth="1"/>
    <col min="11" max="11" width="9.140625" customWidth="1"/>
    <col min="12" max="13" width="10.42578125" customWidth="1"/>
    <col min="14" max="14" width="13.42578125" customWidth="1"/>
    <col min="15" max="15" width="9.42578125" customWidth="1"/>
    <col min="16" max="16" width="10.140625" customWidth="1"/>
    <col min="17" max="18" width="9.42578125" customWidth="1"/>
    <col min="19" max="19" width="11.42578125" customWidth="1"/>
    <col min="20" max="23" width="15" customWidth="1"/>
    <col min="24" max="24" width="12.5703125" customWidth="1"/>
    <col min="25" max="25" width="11.5703125" customWidth="1"/>
    <col min="26" max="26" width="15" customWidth="1"/>
    <col min="27" max="27" width="10.85546875" customWidth="1"/>
    <col min="28" max="28" width="13.42578125" customWidth="1"/>
    <col min="29" max="29" width="14.42578125" customWidth="1"/>
    <col min="30" max="30" width="8.5703125" customWidth="1"/>
    <col min="31" max="31" width="10.42578125" customWidth="1"/>
    <col min="32" max="32" width="14" customWidth="1"/>
    <col min="33" max="33" width="14.42578125" customWidth="1"/>
    <col min="34" max="34" width="11.42578125" customWidth="1"/>
    <col min="35" max="35" width="9.5703125" customWidth="1"/>
    <col min="36" max="36" width="11.42578125" customWidth="1"/>
  </cols>
  <sheetData>
    <row r="2" spans="1:39" ht="15">
      <c r="B2" s="644" t="s">
        <v>175</v>
      </c>
      <c r="C2" s="644"/>
      <c r="D2" s="644"/>
      <c r="E2" s="644"/>
      <c r="F2" s="644"/>
      <c r="G2" s="644"/>
      <c r="H2" s="644"/>
      <c r="I2" s="644"/>
      <c r="J2" s="644"/>
      <c r="K2" s="644"/>
      <c r="L2" s="644"/>
      <c r="M2" s="644"/>
      <c r="N2" s="644"/>
      <c r="O2" s="644"/>
      <c r="P2" s="644"/>
      <c r="Q2" s="644"/>
      <c r="R2" s="644"/>
      <c r="S2" s="644"/>
      <c r="T2" s="644"/>
      <c r="U2" s="644"/>
      <c r="V2" s="644"/>
      <c r="W2" s="644"/>
      <c r="X2" s="644"/>
      <c r="Y2" s="644"/>
      <c r="Z2" s="644"/>
      <c r="AA2" s="644"/>
      <c r="AB2" s="644"/>
      <c r="AC2" s="644"/>
      <c r="AD2" s="644"/>
      <c r="AE2" s="644"/>
      <c r="AF2" s="644"/>
      <c r="AG2" s="644"/>
      <c r="AH2" s="644"/>
      <c r="AI2" s="644"/>
      <c r="AJ2" s="644"/>
    </row>
    <row r="3" spans="1:39" ht="51.75">
      <c r="A3" s="279" t="s">
        <v>81</v>
      </c>
      <c r="B3" s="393" t="s">
        <v>176</v>
      </c>
      <c r="C3" s="344" t="s">
        <v>177</v>
      </c>
      <c r="D3" s="344" t="s">
        <v>178</v>
      </c>
      <c r="E3" s="344" t="s">
        <v>179</v>
      </c>
      <c r="F3" s="509" t="s">
        <v>180</v>
      </c>
      <c r="G3" s="344" t="s">
        <v>181</v>
      </c>
      <c r="H3" s="344" t="s">
        <v>182</v>
      </c>
      <c r="I3" s="394" t="s">
        <v>183</v>
      </c>
      <c r="J3" s="394" t="s">
        <v>184</v>
      </c>
      <c r="K3" s="344" t="s">
        <v>185</v>
      </c>
      <c r="L3" s="344" t="s">
        <v>186</v>
      </c>
      <c r="M3" s="344" t="s">
        <v>187</v>
      </c>
      <c r="N3" s="395" t="s">
        <v>188</v>
      </c>
      <c r="O3" s="187" t="s">
        <v>189</v>
      </c>
      <c r="P3" s="349" t="s">
        <v>190</v>
      </c>
      <c r="Q3" s="344" t="s">
        <v>191</v>
      </c>
      <c r="R3" s="344" t="s">
        <v>192</v>
      </c>
      <c r="S3" s="344" t="s">
        <v>193</v>
      </c>
      <c r="T3" s="396" t="s">
        <v>194</v>
      </c>
      <c r="U3" s="344" t="s">
        <v>195</v>
      </c>
      <c r="V3" s="344" t="s">
        <v>196</v>
      </c>
      <c r="W3" s="344" t="s">
        <v>197</v>
      </c>
      <c r="X3" s="344" t="s">
        <v>198</v>
      </c>
      <c r="Y3" s="344" t="s">
        <v>199</v>
      </c>
      <c r="Z3" s="367" t="s">
        <v>469</v>
      </c>
      <c r="AA3" s="344" t="s">
        <v>200</v>
      </c>
      <c r="AB3" s="344" t="s">
        <v>201</v>
      </c>
      <c r="AC3" s="344" t="s">
        <v>202</v>
      </c>
      <c r="AD3" s="344" t="s">
        <v>203</v>
      </c>
      <c r="AE3" s="344" t="s">
        <v>204</v>
      </c>
      <c r="AF3" s="344" t="s">
        <v>205</v>
      </c>
      <c r="AG3" s="344" t="s">
        <v>206</v>
      </c>
      <c r="AH3" s="394" t="s">
        <v>462</v>
      </c>
      <c r="AI3" s="349" t="s">
        <v>207</v>
      </c>
      <c r="AJ3" s="598" t="s">
        <v>208</v>
      </c>
    </row>
    <row r="4" spans="1:39" s="649" customFormat="1" ht="26.25">
      <c r="A4" s="648">
        <v>2026</v>
      </c>
    </row>
    <row r="5" spans="1:39">
      <c r="A5" s="165">
        <f>'Conveyor Downtime (new)'!A6</f>
        <v>46024</v>
      </c>
      <c r="B5" s="346"/>
      <c r="C5" s="346"/>
      <c r="D5" s="346"/>
      <c r="E5" s="346"/>
      <c r="F5" s="346"/>
      <c r="G5" s="346">
        <f>2</f>
        <v>2</v>
      </c>
      <c r="H5" s="346"/>
      <c r="I5" s="346"/>
      <c r="J5" s="346"/>
      <c r="K5" s="346"/>
      <c r="L5" s="346"/>
      <c r="M5" s="346"/>
      <c r="N5" s="346"/>
      <c r="O5" s="346"/>
      <c r="P5" s="346"/>
      <c r="Q5" s="346"/>
      <c r="R5" s="346"/>
      <c r="S5" s="346"/>
      <c r="T5" s="346"/>
      <c r="U5" s="346"/>
      <c r="V5" s="346"/>
      <c r="W5" s="346"/>
      <c r="X5" s="346"/>
      <c r="Y5" s="346">
        <f>32</f>
        <v>32</v>
      </c>
      <c r="Z5" s="346"/>
      <c r="AA5" s="346"/>
      <c r="AB5" s="346"/>
      <c r="AC5" s="346"/>
      <c r="AD5" s="346"/>
      <c r="AE5" s="346"/>
      <c r="AF5" s="346"/>
      <c r="AG5" s="346"/>
      <c r="AH5" s="346"/>
      <c r="AI5" s="346"/>
      <c r="AJ5" s="346"/>
      <c r="AK5">
        <f>SUM(B5:AJ5)</f>
        <v>34</v>
      </c>
      <c r="AL5" s="351">
        <f>AK5/$AK$62</f>
        <v>0.12274368231046931</v>
      </c>
    </row>
    <row r="6" spans="1:39">
      <c r="A6" s="165">
        <f>'Conveyor Downtime (new)'!A7</f>
        <v>46027</v>
      </c>
      <c r="AK6">
        <f t="shared" ref="AK6:AK61" si="0">SUM(B6:AJ6)</f>
        <v>0</v>
      </c>
      <c r="AL6" s="351">
        <f t="shared" ref="AL6:AL61" si="1">AK6/$AK$62</f>
        <v>0</v>
      </c>
    </row>
    <row r="7" spans="1:39">
      <c r="A7" s="165">
        <f>'Conveyor Downtime (new)'!A8</f>
        <v>46028</v>
      </c>
      <c r="B7" s="346"/>
      <c r="C7" s="346"/>
      <c r="D7" s="346"/>
      <c r="E7" s="346"/>
      <c r="F7" s="346"/>
      <c r="G7" s="346"/>
      <c r="H7" s="346"/>
      <c r="I7" s="346"/>
      <c r="J7" s="346"/>
      <c r="K7" s="346"/>
      <c r="L7" s="346"/>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f t="shared" si="0"/>
        <v>0</v>
      </c>
      <c r="AL7" s="351">
        <f t="shared" si="1"/>
        <v>0</v>
      </c>
    </row>
    <row r="8" spans="1:39">
      <c r="A8" s="165">
        <f>'Conveyor Downtime (new)'!A9</f>
        <v>46029</v>
      </c>
      <c r="AK8">
        <f t="shared" si="0"/>
        <v>0</v>
      </c>
      <c r="AL8" s="351">
        <f t="shared" si="1"/>
        <v>0</v>
      </c>
    </row>
    <row r="9" spans="1:39">
      <c r="A9" s="165">
        <f>'Conveyor Downtime (new)'!A10</f>
        <v>46030</v>
      </c>
      <c r="B9" s="346"/>
      <c r="C9" s="346"/>
      <c r="D9" s="346"/>
      <c r="E9" s="346"/>
      <c r="F9" s="346">
        <f>1</f>
        <v>1</v>
      </c>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f t="shared" si="0"/>
        <v>1</v>
      </c>
      <c r="AL9" s="351">
        <f t="shared" si="1"/>
        <v>3.6101083032490976E-3</v>
      </c>
    </row>
    <row r="10" spans="1:39">
      <c r="A10" s="165">
        <f>'Conveyor Downtime (new)'!A11</f>
        <v>46031</v>
      </c>
      <c r="F10">
        <f>1</f>
        <v>1</v>
      </c>
      <c r="AK10">
        <f t="shared" si="0"/>
        <v>1</v>
      </c>
      <c r="AL10" s="351">
        <f t="shared" si="1"/>
        <v>3.6101083032490976E-3</v>
      </c>
    </row>
    <row r="11" spans="1:39">
      <c r="A11" s="165">
        <f>'Conveyor Downtime (new)'!A12</f>
        <v>46031</v>
      </c>
      <c r="B11" s="346"/>
      <c r="C11" s="346"/>
      <c r="D11" s="346"/>
      <c r="E11" s="346"/>
      <c r="F11" s="346"/>
      <c r="G11" s="346"/>
      <c r="H11" s="346"/>
      <c r="I11" s="346"/>
      <c r="J11" s="346"/>
      <c r="K11" s="346"/>
      <c r="L11" s="346"/>
      <c r="M11" s="346"/>
      <c r="N11" s="346"/>
      <c r="O11" s="346"/>
      <c r="P11" s="346"/>
      <c r="Q11" s="346"/>
      <c r="R11" s="346"/>
      <c r="S11" s="346"/>
      <c r="T11" s="346"/>
      <c r="U11" s="346"/>
      <c r="V11" s="346"/>
      <c r="W11" s="346"/>
      <c r="X11" s="346"/>
      <c r="Y11" s="346"/>
      <c r="Z11" s="346"/>
      <c r="AA11" s="346"/>
      <c r="AB11" s="346"/>
      <c r="AC11" s="346"/>
      <c r="AD11" s="346"/>
      <c r="AE11" s="346"/>
      <c r="AF11" s="346"/>
      <c r="AG11" s="346"/>
      <c r="AH11" s="346"/>
      <c r="AI11" s="346"/>
      <c r="AJ11" s="346"/>
      <c r="AK11">
        <f t="shared" si="0"/>
        <v>0</v>
      </c>
      <c r="AL11" s="351">
        <f t="shared" si="1"/>
        <v>0</v>
      </c>
    </row>
    <row r="12" spans="1:39">
      <c r="A12" s="165">
        <f>'Conveyor Downtime (new)'!A13</f>
        <v>46032</v>
      </c>
      <c r="B12">
        <f>4</f>
        <v>4</v>
      </c>
      <c r="F12">
        <f>1</f>
        <v>1</v>
      </c>
      <c r="AE12">
        <f>9</f>
        <v>9</v>
      </c>
      <c r="AK12">
        <f t="shared" si="0"/>
        <v>14</v>
      </c>
      <c r="AL12" s="351">
        <f t="shared" si="1"/>
        <v>5.0541516245487361E-2</v>
      </c>
    </row>
    <row r="13" spans="1:39">
      <c r="A13" s="165">
        <f>'Conveyor Downtime (new)'!A14</f>
        <v>46034</v>
      </c>
      <c r="B13" s="346"/>
      <c r="C13" s="346"/>
      <c r="D13" s="346"/>
      <c r="E13" s="346"/>
      <c r="F13" s="346">
        <f>1</f>
        <v>1</v>
      </c>
      <c r="G13" s="346"/>
      <c r="H13" s="346"/>
      <c r="I13" s="346"/>
      <c r="J13" s="346"/>
      <c r="K13" s="346"/>
      <c r="L13" s="346"/>
      <c r="M13" s="346"/>
      <c r="N13" s="346"/>
      <c r="O13" s="346"/>
      <c r="P13" s="346"/>
      <c r="Q13" s="346"/>
      <c r="R13" s="346"/>
      <c r="S13" s="346"/>
      <c r="T13" s="346"/>
      <c r="U13" s="346"/>
      <c r="V13" s="346"/>
      <c r="W13" s="346">
        <f>4</f>
        <v>4</v>
      </c>
      <c r="X13" s="346"/>
      <c r="Y13" s="346"/>
      <c r="Z13" s="346"/>
      <c r="AA13" s="346"/>
      <c r="AB13" s="346"/>
      <c r="AC13" s="346"/>
      <c r="AD13" s="346"/>
      <c r="AE13" s="346"/>
      <c r="AF13" s="346">
        <f>3</f>
        <v>3</v>
      </c>
      <c r="AG13" s="346"/>
      <c r="AH13" s="346"/>
      <c r="AI13" s="346"/>
      <c r="AJ13" s="346"/>
      <c r="AK13">
        <f t="shared" si="0"/>
        <v>8</v>
      </c>
      <c r="AL13" s="351">
        <f t="shared" si="1"/>
        <v>2.8880866425992781E-2</v>
      </c>
    </row>
    <row r="14" spans="1:39">
      <c r="A14" s="165">
        <f>'Conveyor Downtime (new)'!A15</f>
        <v>46034</v>
      </c>
      <c r="F14">
        <f>1</f>
        <v>1</v>
      </c>
      <c r="AK14">
        <f t="shared" si="0"/>
        <v>1</v>
      </c>
      <c r="AL14" s="351">
        <f t="shared" si="1"/>
        <v>3.6101083032490976E-3</v>
      </c>
    </row>
    <row r="15" spans="1:39">
      <c r="A15" s="165">
        <f>'Conveyor Downtime (new)'!A16</f>
        <v>46034</v>
      </c>
      <c r="B15" s="346"/>
      <c r="C15" s="346"/>
      <c r="D15" s="346"/>
      <c r="E15" s="346"/>
      <c r="F15" s="346"/>
      <c r="G15" s="346"/>
      <c r="H15" s="346"/>
      <c r="I15" s="346"/>
      <c r="J15" s="346"/>
      <c r="K15" s="346"/>
      <c r="L15" s="346"/>
      <c r="M15" s="346"/>
      <c r="N15" s="346"/>
      <c r="O15" s="346"/>
      <c r="P15" s="346"/>
      <c r="Q15" s="346"/>
      <c r="R15" s="346"/>
      <c r="S15" s="346"/>
      <c r="T15" s="346"/>
      <c r="U15" s="346"/>
      <c r="V15" s="346"/>
      <c r="W15" s="346"/>
      <c r="X15" s="346"/>
      <c r="Y15" s="346"/>
      <c r="Z15" s="346"/>
      <c r="AA15" s="346"/>
      <c r="AB15" s="346"/>
      <c r="AC15" s="346"/>
      <c r="AD15" s="346"/>
      <c r="AE15" s="346"/>
      <c r="AF15" s="346"/>
      <c r="AG15" s="346"/>
      <c r="AH15" s="346"/>
      <c r="AI15" s="346"/>
      <c r="AJ15" s="346"/>
      <c r="AK15">
        <f t="shared" si="0"/>
        <v>0</v>
      </c>
      <c r="AL15" s="351">
        <f t="shared" si="1"/>
        <v>0</v>
      </c>
    </row>
    <row r="16" spans="1:39">
      <c r="A16" s="165">
        <f>'Conveyor Downtime (new)'!A17</f>
        <v>46035</v>
      </c>
      <c r="F16">
        <f>1+1+1</f>
        <v>3</v>
      </c>
      <c r="O16">
        <f>4</f>
        <v>4</v>
      </c>
      <c r="Z16">
        <f>15</f>
        <v>15</v>
      </c>
      <c r="AK16">
        <f t="shared" si="0"/>
        <v>22</v>
      </c>
      <c r="AL16" s="351">
        <f t="shared" si="1"/>
        <v>7.9422382671480149E-2</v>
      </c>
    </row>
    <row r="17" spans="1:38">
      <c r="A17" s="165">
        <f>'Conveyor Downtime (new)'!A18</f>
        <v>46035</v>
      </c>
      <c r="B17" s="346"/>
      <c r="C17" s="346"/>
      <c r="D17" s="346"/>
      <c r="E17" s="346"/>
      <c r="F17" s="346">
        <f>1+1</f>
        <v>2</v>
      </c>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f t="shared" si="0"/>
        <v>2</v>
      </c>
      <c r="AL17" s="351">
        <f t="shared" si="1"/>
        <v>7.2202166064981952E-3</v>
      </c>
    </row>
    <row r="18" spans="1:38">
      <c r="A18" s="165">
        <f>'Conveyor Downtime (new)'!A19</f>
        <v>46036</v>
      </c>
      <c r="F18">
        <f>1+1</f>
        <v>2</v>
      </c>
      <c r="P18">
        <v>4</v>
      </c>
      <c r="AK18">
        <f t="shared" si="0"/>
        <v>6</v>
      </c>
      <c r="AL18" s="351">
        <f t="shared" si="1"/>
        <v>2.1660649819494584E-2</v>
      </c>
    </row>
    <row r="19" spans="1:38">
      <c r="A19" s="165">
        <f>'Conveyor Downtime (new)'!A20</f>
        <v>46036</v>
      </c>
      <c r="B19" s="346">
        <f>10</f>
        <v>10</v>
      </c>
      <c r="C19" s="346"/>
      <c r="D19" s="346"/>
      <c r="E19" s="346"/>
      <c r="F19" s="346">
        <f>1+1+1</f>
        <v>3</v>
      </c>
      <c r="G19" s="346"/>
      <c r="H19" s="346"/>
      <c r="I19" s="346"/>
      <c r="J19" s="346"/>
      <c r="K19" s="346"/>
      <c r="L19" s="346"/>
      <c r="M19" s="346"/>
      <c r="N19" s="346"/>
      <c r="O19" s="346"/>
      <c r="P19" s="346"/>
      <c r="Q19" s="346"/>
      <c r="R19" s="346"/>
      <c r="S19" s="346"/>
      <c r="T19" s="346"/>
      <c r="U19" s="346"/>
      <c r="V19" s="346"/>
      <c r="W19" s="346"/>
      <c r="X19" s="346"/>
      <c r="Y19" s="346"/>
      <c r="Z19" s="346"/>
      <c r="AA19" s="346"/>
      <c r="AB19" s="346"/>
      <c r="AC19" s="346"/>
      <c r="AD19" s="346"/>
      <c r="AE19" s="346"/>
      <c r="AF19" s="346"/>
      <c r="AG19" s="346"/>
      <c r="AH19" s="346"/>
      <c r="AI19" s="346"/>
      <c r="AJ19" s="346"/>
      <c r="AK19">
        <f t="shared" si="0"/>
        <v>13</v>
      </c>
      <c r="AL19" s="351">
        <f t="shared" si="1"/>
        <v>4.6931407942238268E-2</v>
      </c>
    </row>
    <row r="20" spans="1:38">
      <c r="A20" s="165">
        <f>'Conveyor Downtime (new)'!A21</f>
        <v>46037</v>
      </c>
      <c r="B20">
        <f>3+2+2+3</f>
        <v>10</v>
      </c>
      <c r="F20">
        <f>1+1</f>
        <v>2</v>
      </c>
      <c r="AK20">
        <f t="shared" si="0"/>
        <v>12</v>
      </c>
      <c r="AL20" s="351">
        <f t="shared" si="1"/>
        <v>4.3321299638989168E-2</v>
      </c>
    </row>
    <row r="21" spans="1:38">
      <c r="A21" s="165">
        <f>'Conveyor Downtime (new)'!A22</f>
        <v>46037</v>
      </c>
      <c r="B21" s="346"/>
      <c r="C21" s="346"/>
      <c r="D21" s="346"/>
      <c r="E21" s="346"/>
      <c r="F21" s="346"/>
      <c r="G21" s="346"/>
      <c r="H21" s="346"/>
      <c r="I21" s="346"/>
      <c r="J21" s="346"/>
      <c r="K21" s="346"/>
      <c r="L21" s="346"/>
      <c r="M21" s="346"/>
      <c r="N21" s="346"/>
      <c r="O21" s="346"/>
      <c r="P21" s="346"/>
      <c r="Q21" s="346"/>
      <c r="R21" s="346"/>
      <c r="S21" s="346"/>
      <c r="T21" s="346"/>
      <c r="U21" s="346"/>
      <c r="V21" s="346"/>
      <c r="W21" s="346"/>
      <c r="X21" s="346"/>
      <c r="Y21" s="346"/>
      <c r="Z21" s="346"/>
      <c r="AA21" s="346"/>
      <c r="AB21" s="346"/>
      <c r="AC21" s="346"/>
      <c r="AD21" s="346">
        <f>15</f>
        <v>15</v>
      </c>
      <c r="AE21" s="346"/>
      <c r="AF21" s="346"/>
      <c r="AG21" s="346"/>
      <c r="AH21" s="346"/>
      <c r="AI21" s="346"/>
      <c r="AJ21" s="346"/>
      <c r="AK21">
        <f t="shared" si="0"/>
        <v>15</v>
      </c>
      <c r="AL21" s="351">
        <f t="shared" si="1"/>
        <v>5.4151624548736461E-2</v>
      </c>
    </row>
    <row r="22" spans="1:38">
      <c r="A22" s="165">
        <f>'Conveyor Downtime (new)'!A23</f>
        <v>46038</v>
      </c>
      <c r="B22">
        <f>3+4</f>
        <v>7</v>
      </c>
      <c r="F22">
        <f>1</f>
        <v>1</v>
      </c>
      <c r="AK22">
        <f t="shared" si="0"/>
        <v>8</v>
      </c>
      <c r="AL22" s="351">
        <f t="shared" si="1"/>
        <v>2.8880866425992781E-2</v>
      </c>
    </row>
    <row r="23" spans="1:38" ht="12" customHeight="1">
      <c r="A23" s="165">
        <f>'Conveyor Downtime (new)'!A24</f>
        <v>46038</v>
      </c>
      <c r="B23" s="346">
        <f>1+2+1+2</f>
        <v>6</v>
      </c>
      <c r="C23" s="346"/>
      <c r="D23" s="346"/>
      <c r="E23" s="346"/>
      <c r="F23" s="346">
        <f>1+1</f>
        <v>2</v>
      </c>
      <c r="G23" s="346"/>
      <c r="H23" s="346"/>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346"/>
      <c r="AH23" s="346"/>
      <c r="AI23" s="346"/>
      <c r="AJ23" s="346"/>
      <c r="AK23">
        <f t="shared" si="0"/>
        <v>8</v>
      </c>
      <c r="AL23" s="351">
        <f t="shared" si="1"/>
        <v>2.8880866425992781E-2</v>
      </c>
    </row>
    <row r="24" spans="1:38">
      <c r="A24" s="165">
        <f>'Conveyor Downtime (new)'!A25</f>
        <v>46041</v>
      </c>
      <c r="B24">
        <f>2+1+2+1</f>
        <v>6</v>
      </c>
      <c r="F24">
        <f>1+2+1</f>
        <v>4</v>
      </c>
      <c r="AK24">
        <f t="shared" si="0"/>
        <v>10</v>
      </c>
      <c r="AL24" s="351">
        <f t="shared" si="1"/>
        <v>3.6101083032490974E-2</v>
      </c>
    </row>
    <row r="25" spans="1:38">
      <c r="A25" s="165">
        <f>'Conveyor Downtime (new)'!A26</f>
        <v>46041</v>
      </c>
      <c r="B25" s="346">
        <f>1</f>
        <v>1</v>
      </c>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46"/>
      <c r="AH25" s="346"/>
      <c r="AI25" s="346"/>
      <c r="AJ25" s="346"/>
      <c r="AK25">
        <f t="shared" si="0"/>
        <v>1</v>
      </c>
      <c r="AL25" s="351">
        <f t="shared" si="1"/>
        <v>3.6101083032490976E-3</v>
      </c>
    </row>
    <row r="26" spans="1:38">
      <c r="A26" s="165">
        <f>'Conveyor Downtime (new)'!A27</f>
        <v>46042</v>
      </c>
      <c r="B26">
        <f>2+4</f>
        <v>6</v>
      </c>
      <c r="Z26">
        <f>3+60</f>
        <v>63</v>
      </c>
      <c r="AK26">
        <f t="shared" si="0"/>
        <v>69</v>
      </c>
      <c r="AL26" s="351">
        <f t="shared" si="1"/>
        <v>0.24909747292418771</v>
      </c>
    </row>
    <row r="27" spans="1:38">
      <c r="A27" s="165">
        <f>'Conveyor Downtime (new)'!A28</f>
        <v>46042</v>
      </c>
      <c r="B27" s="353">
        <f>1+1+1</f>
        <v>3</v>
      </c>
      <c r="C27" s="353"/>
      <c r="D27" s="353"/>
      <c r="E27" s="353"/>
      <c r="F27" s="353">
        <f>1+1</f>
        <v>2</v>
      </c>
      <c r="G27" s="353"/>
      <c r="H27" s="353"/>
      <c r="I27" s="353"/>
      <c r="J27" s="353"/>
      <c r="K27" s="353"/>
      <c r="L27" s="353"/>
      <c r="M27" s="353"/>
      <c r="N27" s="353"/>
      <c r="O27" s="353"/>
      <c r="P27" s="353"/>
      <c r="Q27" s="353"/>
      <c r="R27" s="353"/>
      <c r="S27" s="353"/>
      <c r="T27" s="353"/>
      <c r="U27" s="353"/>
      <c r="V27" s="353"/>
      <c r="W27" s="353"/>
      <c r="X27" s="353"/>
      <c r="Y27" s="353"/>
      <c r="Z27" s="353"/>
      <c r="AA27" s="353"/>
      <c r="AB27" s="353"/>
      <c r="AC27" s="353"/>
      <c r="AD27" s="353"/>
      <c r="AE27" s="353"/>
      <c r="AF27" s="353"/>
      <c r="AG27" s="353"/>
      <c r="AH27" s="353"/>
      <c r="AI27" s="353"/>
      <c r="AJ27" s="353"/>
      <c r="AK27">
        <f t="shared" si="0"/>
        <v>5</v>
      </c>
      <c r="AL27" s="351">
        <f t="shared" si="1"/>
        <v>1.8050541516245487E-2</v>
      </c>
    </row>
    <row r="28" spans="1:38">
      <c r="A28" s="165">
        <f>'Conveyor Downtime (new)'!A29</f>
        <v>46043</v>
      </c>
      <c r="B28" s="70"/>
      <c r="C28" s="70"/>
      <c r="D28" s="70"/>
      <c r="E28" s="70"/>
      <c r="F28" s="70"/>
      <c r="G28" s="70"/>
      <c r="H28" s="70"/>
      <c r="I28" s="70"/>
      <c r="J28" s="70"/>
      <c r="K28" s="70"/>
      <c r="L28" s="70"/>
      <c r="M28" s="70"/>
      <c r="N28" s="70"/>
      <c r="O28" s="70"/>
      <c r="P28" s="70"/>
      <c r="Q28" s="70"/>
      <c r="R28" s="70"/>
      <c r="S28" s="70"/>
      <c r="T28" s="70"/>
      <c r="U28" s="70"/>
      <c r="V28" s="70"/>
      <c r="W28" s="70"/>
      <c r="X28" s="70"/>
      <c r="Y28" s="70"/>
      <c r="Z28" s="70"/>
      <c r="AA28" s="70"/>
      <c r="AB28" s="70"/>
      <c r="AC28" s="70"/>
      <c r="AD28" s="70"/>
      <c r="AE28" s="70"/>
      <c r="AF28" s="70"/>
      <c r="AG28" s="70"/>
      <c r="AH28" s="70"/>
      <c r="AI28" s="70"/>
      <c r="AJ28" s="70"/>
      <c r="AK28">
        <f t="shared" si="0"/>
        <v>0</v>
      </c>
      <c r="AL28" s="351">
        <f t="shared" si="1"/>
        <v>0</v>
      </c>
    </row>
    <row r="29" spans="1:38">
      <c r="A29" s="165">
        <f>'Conveyor Downtime (new)'!A30</f>
        <v>46043</v>
      </c>
      <c r="B29" s="353"/>
      <c r="C29" s="353"/>
      <c r="D29" s="353"/>
      <c r="E29" s="353"/>
      <c r="F29" s="353"/>
      <c r="G29" s="353"/>
      <c r="H29" s="353"/>
      <c r="I29" s="353"/>
      <c r="J29" s="353"/>
      <c r="K29" s="353"/>
      <c r="L29" s="353"/>
      <c r="M29" s="353"/>
      <c r="N29" s="353"/>
      <c r="O29" s="353"/>
      <c r="P29" s="353"/>
      <c r="Q29" s="353"/>
      <c r="R29" s="353"/>
      <c r="S29" s="353"/>
      <c r="T29" s="353"/>
      <c r="U29" s="353"/>
      <c r="V29" s="353"/>
      <c r="W29" s="353"/>
      <c r="X29" s="353"/>
      <c r="Y29" s="353"/>
      <c r="Z29" s="353"/>
      <c r="AA29" s="353"/>
      <c r="AB29" s="353"/>
      <c r="AC29" s="353"/>
      <c r="AD29" s="353"/>
      <c r="AE29" s="353"/>
      <c r="AF29" s="353"/>
      <c r="AG29" s="353"/>
      <c r="AH29" s="353"/>
      <c r="AI29" s="353"/>
      <c r="AJ29" s="353"/>
      <c r="AK29">
        <f t="shared" si="0"/>
        <v>0</v>
      </c>
      <c r="AL29" s="351">
        <f t="shared" si="1"/>
        <v>0</v>
      </c>
    </row>
    <row r="30" spans="1:38">
      <c r="A30" s="165">
        <f>'Conveyor Downtime (new)'!A31</f>
        <v>46043</v>
      </c>
      <c r="B30" s="70"/>
      <c r="C30" s="70"/>
      <c r="D30" s="70"/>
      <c r="E30" s="70"/>
      <c r="F30" s="70"/>
      <c r="G30" s="70"/>
      <c r="H30" s="70"/>
      <c r="I30" s="70"/>
      <c r="J30" s="70"/>
      <c r="K30" s="70"/>
      <c r="L30" s="70"/>
      <c r="M30" s="70"/>
      <c r="N30" s="70"/>
      <c r="O30" s="70"/>
      <c r="P30" s="70"/>
      <c r="Q30" s="70"/>
      <c r="R30" s="70"/>
      <c r="S30" s="70"/>
      <c r="T30" s="70"/>
      <c r="U30" s="70"/>
      <c r="V30" s="70"/>
      <c r="W30" s="70"/>
      <c r="X30" s="70"/>
      <c r="Y30" s="70"/>
      <c r="Z30" s="70"/>
      <c r="AA30" s="70"/>
      <c r="AB30" s="70"/>
      <c r="AC30" s="70"/>
      <c r="AD30" s="70"/>
      <c r="AE30" s="70"/>
      <c r="AF30" s="70"/>
      <c r="AG30" s="70"/>
      <c r="AH30" s="70"/>
      <c r="AI30" s="70"/>
      <c r="AJ30" s="70"/>
      <c r="AK30">
        <f t="shared" si="0"/>
        <v>0</v>
      </c>
      <c r="AL30" s="351">
        <f t="shared" si="1"/>
        <v>0</v>
      </c>
    </row>
    <row r="31" spans="1:38">
      <c r="A31" s="165">
        <f>'Conveyor Downtime (new)'!A32</f>
        <v>46043</v>
      </c>
      <c r="B31" s="353"/>
      <c r="C31" s="353"/>
      <c r="D31" s="353"/>
      <c r="E31" s="353"/>
      <c r="F31" s="353"/>
      <c r="G31" s="353"/>
      <c r="H31" s="353"/>
      <c r="I31" s="353"/>
      <c r="J31" s="353"/>
      <c r="K31" s="353"/>
      <c r="L31" s="353"/>
      <c r="M31" s="353"/>
      <c r="N31" s="353"/>
      <c r="O31" s="353"/>
      <c r="P31" s="353"/>
      <c r="Q31" s="353"/>
      <c r="R31" s="353"/>
      <c r="S31" s="353"/>
      <c r="T31" s="353"/>
      <c r="U31" s="353"/>
      <c r="V31" s="353"/>
      <c r="W31" s="353"/>
      <c r="X31" s="353"/>
      <c r="Y31" s="353"/>
      <c r="Z31" s="353"/>
      <c r="AA31" s="353"/>
      <c r="AB31" s="353"/>
      <c r="AC31" s="353"/>
      <c r="AD31" s="353"/>
      <c r="AE31" s="353"/>
      <c r="AF31" s="353"/>
      <c r="AG31" s="353"/>
      <c r="AH31" s="353"/>
      <c r="AI31" s="353"/>
      <c r="AJ31" s="353"/>
      <c r="AK31">
        <f t="shared" si="0"/>
        <v>0</v>
      </c>
      <c r="AL31" s="351">
        <f t="shared" si="1"/>
        <v>0</v>
      </c>
    </row>
    <row r="32" spans="1:38">
      <c r="A32" s="165">
        <f>'Conveyor Downtime (new)'!A33</f>
        <v>46044</v>
      </c>
      <c r="B32" s="70"/>
      <c r="AK32">
        <f t="shared" si="0"/>
        <v>0</v>
      </c>
      <c r="AL32" s="351">
        <f t="shared" si="1"/>
        <v>0</v>
      </c>
    </row>
    <row r="33" spans="1:38">
      <c r="A33" s="165">
        <f>'Conveyor Downtime (new)'!A34</f>
        <v>46045</v>
      </c>
      <c r="B33" s="346"/>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346"/>
      <c r="AB33" s="346"/>
      <c r="AC33" s="346"/>
      <c r="AD33" s="353"/>
      <c r="AE33" s="346"/>
      <c r="AF33" s="346"/>
      <c r="AG33" s="346"/>
      <c r="AH33" s="346"/>
      <c r="AI33" s="346"/>
      <c r="AJ33" s="346"/>
      <c r="AK33">
        <f t="shared" si="0"/>
        <v>0</v>
      </c>
      <c r="AL33" s="351">
        <f t="shared" si="1"/>
        <v>0</v>
      </c>
    </row>
    <row r="34" spans="1:38">
      <c r="A34" s="165">
        <f>'Conveyor Downtime (new)'!A35</f>
        <v>46045</v>
      </c>
      <c r="AK34">
        <f t="shared" si="0"/>
        <v>0</v>
      </c>
      <c r="AL34" s="351">
        <f t="shared" si="1"/>
        <v>0</v>
      </c>
    </row>
    <row r="35" spans="1:38">
      <c r="A35" s="165">
        <f>'Conveyor Downtime (new)'!A36</f>
        <v>46045</v>
      </c>
      <c r="B35" s="346">
        <f>1</f>
        <v>1</v>
      </c>
      <c r="C35" s="346"/>
      <c r="D35" s="346"/>
      <c r="E35" s="346"/>
      <c r="F35" s="346"/>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46"/>
      <c r="AH35" s="346"/>
      <c r="AI35" s="346"/>
      <c r="AJ35" s="346"/>
      <c r="AK35">
        <f t="shared" si="0"/>
        <v>1</v>
      </c>
      <c r="AL35" s="351">
        <f t="shared" si="1"/>
        <v>3.6101083032490976E-3</v>
      </c>
    </row>
    <row r="36" spans="1:38">
      <c r="A36" s="165">
        <f>'Conveyor Downtime (new)'!A37</f>
        <v>46045</v>
      </c>
      <c r="C36">
        <f>2+3</f>
        <v>5</v>
      </c>
      <c r="AK36">
        <f t="shared" si="0"/>
        <v>5</v>
      </c>
      <c r="AL36" s="351">
        <f t="shared" si="1"/>
        <v>1.8050541516245487E-2</v>
      </c>
    </row>
    <row r="37" spans="1:38">
      <c r="A37" s="165">
        <f>'Conveyor Downtime (new)'!A38</f>
        <v>46048</v>
      </c>
      <c r="B37" s="346"/>
      <c r="C37" s="346"/>
      <c r="D37" s="346"/>
      <c r="E37" s="346"/>
      <c r="F37" s="346"/>
      <c r="G37" s="346"/>
      <c r="H37" s="346"/>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46"/>
      <c r="AK37">
        <f t="shared" si="0"/>
        <v>0</v>
      </c>
      <c r="AL37" s="351">
        <f t="shared" si="1"/>
        <v>0</v>
      </c>
    </row>
    <row r="38" spans="1:38">
      <c r="A38" s="165">
        <f>'Conveyor Downtime (new)'!A39</f>
        <v>46048</v>
      </c>
      <c r="AK38">
        <f t="shared" si="0"/>
        <v>0</v>
      </c>
      <c r="AL38" s="351">
        <f t="shared" si="1"/>
        <v>0</v>
      </c>
    </row>
    <row r="39" spans="1:38">
      <c r="A39" s="165">
        <f>'Conveyor Downtime (new)'!A40</f>
        <v>46049</v>
      </c>
      <c r="B39" s="346">
        <f>3</f>
        <v>3</v>
      </c>
      <c r="C39" s="346"/>
      <c r="D39" s="346"/>
      <c r="E39" s="346"/>
      <c r="F39" s="346">
        <f>1+1</f>
        <v>2</v>
      </c>
      <c r="G39" s="346"/>
      <c r="H39" s="346"/>
      <c r="I39" s="346"/>
      <c r="J39" s="346"/>
      <c r="K39" s="346"/>
      <c r="L39" s="346"/>
      <c r="M39" s="346"/>
      <c r="N39" s="346"/>
      <c r="O39" s="346"/>
      <c r="P39" s="346"/>
      <c r="Q39" s="346"/>
      <c r="R39" s="346"/>
      <c r="S39" s="346"/>
      <c r="T39" s="346">
        <f>5</f>
        <v>5</v>
      </c>
      <c r="U39" s="346"/>
      <c r="V39" s="346"/>
      <c r="W39" s="346"/>
      <c r="X39" s="346"/>
      <c r="Y39" s="346"/>
      <c r="Z39" s="346"/>
      <c r="AA39" s="346"/>
      <c r="AB39" s="346"/>
      <c r="AC39" s="346"/>
      <c r="AD39" s="346"/>
      <c r="AE39" s="346"/>
      <c r="AF39" s="346"/>
      <c r="AG39" s="346"/>
      <c r="AH39" s="346"/>
      <c r="AI39" s="346"/>
      <c r="AJ39" s="346"/>
      <c r="AK39">
        <f t="shared" si="0"/>
        <v>10</v>
      </c>
      <c r="AL39" s="351">
        <f t="shared" si="1"/>
        <v>3.6101083032490974E-2</v>
      </c>
    </row>
    <row r="40" spans="1:38">
      <c r="A40" s="165">
        <f>'Conveyor Downtime (new)'!A41</f>
        <v>46049</v>
      </c>
      <c r="AK40">
        <f t="shared" si="0"/>
        <v>0</v>
      </c>
      <c r="AL40" s="351">
        <f t="shared" si="1"/>
        <v>0</v>
      </c>
    </row>
    <row r="41" spans="1:38" ht="14.25" customHeight="1">
      <c r="A41" s="165">
        <f>'Conveyor Downtime (new)'!A42</f>
        <v>46050</v>
      </c>
      <c r="B41" s="346"/>
      <c r="C41" s="346"/>
      <c r="D41" s="346"/>
      <c r="E41" s="346"/>
      <c r="F41" s="346">
        <f>1</f>
        <v>1</v>
      </c>
      <c r="G41" s="346"/>
      <c r="H41" s="346"/>
      <c r="I41" s="346"/>
      <c r="J41" s="34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346"/>
      <c r="AI41" s="346"/>
      <c r="AJ41" s="346"/>
      <c r="AK41">
        <f t="shared" si="0"/>
        <v>1</v>
      </c>
      <c r="AL41" s="351">
        <f t="shared" si="1"/>
        <v>3.6101083032490976E-3</v>
      </c>
    </row>
    <row r="42" spans="1:38">
      <c r="A42" s="165">
        <f>'Conveyor Downtime (new)'!A43</f>
        <v>46050</v>
      </c>
      <c r="F42">
        <v>1</v>
      </c>
      <c r="AK42">
        <f t="shared" si="0"/>
        <v>1</v>
      </c>
      <c r="AL42" s="351">
        <f t="shared" si="1"/>
        <v>3.6101083032490976E-3</v>
      </c>
    </row>
    <row r="43" spans="1:38">
      <c r="A43" s="165">
        <f>'Conveyor Downtime (new)'!A44</f>
        <v>46050</v>
      </c>
      <c r="G43" s="346"/>
      <c r="H43" s="346"/>
      <c r="I43" s="346"/>
      <c r="J43" s="346"/>
      <c r="K43" s="346"/>
      <c r="L43" s="346"/>
      <c r="M43" s="346"/>
      <c r="N43" s="346"/>
      <c r="O43" s="346"/>
      <c r="P43" s="346"/>
      <c r="Q43" s="346"/>
      <c r="R43" s="346"/>
      <c r="S43" s="346"/>
      <c r="T43" s="346">
        <v>5</v>
      </c>
      <c r="U43" s="346"/>
      <c r="V43" s="346"/>
      <c r="W43" s="346">
        <f>10</f>
        <v>10</v>
      </c>
      <c r="X43" s="346"/>
      <c r="Y43" s="346"/>
      <c r="Z43" s="346"/>
      <c r="AA43" s="346"/>
      <c r="AB43" s="346"/>
      <c r="AC43" s="346"/>
      <c r="AD43" s="346"/>
      <c r="AE43" s="346"/>
      <c r="AF43" s="346"/>
      <c r="AG43" s="346"/>
      <c r="AH43" s="346"/>
      <c r="AI43" s="346"/>
      <c r="AJ43" s="346"/>
      <c r="AK43">
        <f t="shared" si="0"/>
        <v>15</v>
      </c>
      <c r="AL43" s="351">
        <f t="shared" si="1"/>
        <v>5.4151624548736461E-2</v>
      </c>
    </row>
    <row r="44" spans="1:38">
      <c r="A44" s="165">
        <f>'Conveyor Downtime (new)'!A45</f>
        <v>46051</v>
      </c>
      <c r="B44">
        <f>3+2+1+1+1</f>
        <v>8</v>
      </c>
      <c r="AK44">
        <f t="shared" si="0"/>
        <v>8</v>
      </c>
      <c r="AL44" s="351">
        <f t="shared" si="1"/>
        <v>2.8880866425992781E-2</v>
      </c>
    </row>
    <row r="45" spans="1:38">
      <c r="A45" s="165">
        <f>'Conveyor Downtime (new)'!A46</f>
        <v>46051</v>
      </c>
      <c r="B45" s="346" t="s">
        <v>209</v>
      </c>
      <c r="C45" s="346"/>
      <c r="D45" s="346"/>
      <c r="E45" s="346"/>
      <c r="F45" s="346"/>
      <c r="G45" s="346"/>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c r="AJ45" s="346"/>
      <c r="AK45">
        <f t="shared" si="0"/>
        <v>0</v>
      </c>
      <c r="AL45" s="351">
        <f t="shared" si="1"/>
        <v>0</v>
      </c>
    </row>
    <row r="46" spans="1:38">
      <c r="A46" s="165">
        <f>'Conveyor Downtime (new)'!A47</f>
        <v>46051</v>
      </c>
      <c r="B46">
        <f>1+1</f>
        <v>2</v>
      </c>
      <c r="F46">
        <v>1</v>
      </c>
      <c r="X46" s="77"/>
      <c r="AK46">
        <f t="shared" si="0"/>
        <v>3</v>
      </c>
      <c r="AL46" s="351">
        <f t="shared" si="1"/>
        <v>1.0830324909747292E-2</v>
      </c>
    </row>
    <row r="47" spans="1:38">
      <c r="A47" s="165">
        <f>'Conveyor Downtime (new)'!A48</f>
        <v>46051</v>
      </c>
      <c r="B47" s="346"/>
      <c r="C47" s="346"/>
      <c r="D47" s="346"/>
      <c r="E47" s="346"/>
      <c r="F47" s="346"/>
      <c r="G47" s="346"/>
      <c r="H47" s="346"/>
      <c r="I47" s="346"/>
      <c r="J47" s="346"/>
      <c r="K47" s="346"/>
      <c r="L47" s="346"/>
      <c r="M47" s="346"/>
      <c r="N47" s="346"/>
      <c r="O47" s="346"/>
      <c r="P47" s="346"/>
      <c r="Q47" s="346"/>
      <c r="R47" s="346"/>
      <c r="S47" s="346"/>
      <c r="T47" s="346"/>
      <c r="U47" s="346"/>
      <c r="V47" s="346"/>
      <c r="W47" s="346"/>
      <c r="X47" s="346"/>
      <c r="Y47" s="346"/>
      <c r="Z47" s="346"/>
      <c r="AA47" s="346"/>
      <c r="AB47" s="346"/>
      <c r="AC47" s="346"/>
      <c r="AD47" s="346"/>
      <c r="AE47" s="346"/>
      <c r="AF47" s="346"/>
      <c r="AG47" s="346"/>
      <c r="AH47" s="346"/>
      <c r="AI47" s="346"/>
      <c r="AJ47" s="346"/>
      <c r="AK47">
        <f t="shared" si="0"/>
        <v>0</v>
      </c>
      <c r="AL47" s="351">
        <f t="shared" si="1"/>
        <v>0</v>
      </c>
    </row>
    <row r="48" spans="1:38">
      <c r="A48" s="165">
        <f>'Conveyor Downtime (new)'!A49</f>
        <v>46052</v>
      </c>
      <c r="AK48">
        <f t="shared" si="0"/>
        <v>0</v>
      </c>
      <c r="AL48" s="351">
        <f t="shared" si="1"/>
        <v>0</v>
      </c>
    </row>
    <row r="49" spans="1:38">
      <c r="A49" s="165">
        <f>'Conveyor Downtime (new)'!A50</f>
        <v>46052</v>
      </c>
      <c r="B49" s="346"/>
      <c r="C49" s="346"/>
      <c r="D49" s="346"/>
      <c r="E49" s="346"/>
      <c r="F49" s="346">
        <f>1</f>
        <v>1</v>
      </c>
      <c r="G49" s="346"/>
      <c r="H49" s="346"/>
      <c r="I49" s="346"/>
      <c r="J49" s="346"/>
      <c r="K49" s="346"/>
      <c r="L49" s="346"/>
      <c r="M49" s="346"/>
      <c r="N49" s="346"/>
      <c r="O49" s="346">
        <f>2</f>
        <v>2</v>
      </c>
      <c r="P49" s="346"/>
      <c r="Q49" s="346"/>
      <c r="R49" s="346"/>
      <c r="S49" s="346"/>
      <c r="T49" s="346"/>
      <c r="U49" s="346"/>
      <c r="V49" s="346"/>
      <c r="W49" s="346"/>
      <c r="X49" s="346"/>
      <c r="Y49" s="346"/>
      <c r="Z49" s="346"/>
      <c r="AA49" s="346"/>
      <c r="AB49" s="346"/>
      <c r="AC49" s="346"/>
      <c r="AD49" s="346"/>
      <c r="AE49" s="346"/>
      <c r="AF49" s="346"/>
      <c r="AG49" s="346"/>
      <c r="AH49" s="346"/>
      <c r="AI49" s="346"/>
      <c r="AJ49" s="346"/>
      <c r="AK49">
        <f t="shared" si="0"/>
        <v>3</v>
      </c>
      <c r="AL49" s="351">
        <f t="shared" si="1"/>
        <v>1.0830324909747292E-2</v>
      </c>
    </row>
    <row r="50" spans="1:38">
      <c r="A50" s="165">
        <f>'Conveyor Downtime (new)'!A51</f>
        <v>0</v>
      </c>
      <c r="AK50">
        <f t="shared" si="0"/>
        <v>0</v>
      </c>
      <c r="AL50" s="351">
        <f t="shared" si="1"/>
        <v>0</v>
      </c>
    </row>
    <row r="51" spans="1:38">
      <c r="A51" s="165">
        <f>'Conveyor Downtime (new)'!A52</f>
        <v>0</v>
      </c>
      <c r="B51" s="346"/>
      <c r="C51" s="346"/>
      <c r="D51" s="346"/>
      <c r="E51" s="346"/>
      <c r="F51" s="346"/>
      <c r="G51" s="346"/>
      <c r="H51" s="346"/>
      <c r="I51" s="346"/>
      <c r="J51" s="346"/>
      <c r="K51" s="346"/>
      <c r="L51" s="346"/>
      <c r="M51" s="346"/>
      <c r="N51" s="346"/>
      <c r="O51" s="346"/>
      <c r="P51" s="346"/>
      <c r="Q51" s="346"/>
      <c r="R51" s="346"/>
      <c r="S51" s="346"/>
      <c r="T51" s="346"/>
      <c r="U51" s="346"/>
      <c r="V51" s="346"/>
      <c r="W51" s="346"/>
      <c r="X51" s="346"/>
      <c r="Y51" s="346"/>
      <c r="Z51" s="346"/>
      <c r="AA51" s="346"/>
      <c r="AB51" s="346"/>
      <c r="AC51" s="346"/>
      <c r="AD51" s="346"/>
      <c r="AE51" s="346"/>
      <c r="AF51" s="346"/>
      <c r="AG51" s="346"/>
      <c r="AH51" s="346"/>
      <c r="AI51" s="346"/>
      <c r="AJ51" s="346"/>
      <c r="AK51">
        <f t="shared" si="0"/>
        <v>0</v>
      </c>
      <c r="AL51" s="351">
        <f t="shared" si="1"/>
        <v>0</v>
      </c>
    </row>
    <row r="52" spans="1:38">
      <c r="A52" s="165">
        <f>'Conveyor Downtime (new)'!A53</f>
        <v>0</v>
      </c>
      <c r="AK52">
        <f t="shared" si="0"/>
        <v>0</v>
      </c>
      <c r="AL52" s="351">
        <f t="shared" si="1"/>
        <v>0</v>
      </c>
    </row>
    <row r="53" spans="1:38">
      <c r="A53" s="165">
        <f>'Conveyor Downtime (new)'!A54</f>
        <v>0</v>
      </c>
      <c r="B53" s="346"/>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6"/>
      <c r="AC53" s="346"/>
      <c r="AD53" s="346"/>
      <c r="AE53" s="346"/>
      <c r="AF53" s="346"/>
      <c r="AG53" s="346"/>
      <c r="AH53" s="346"/>
      <c r="AI53" s="346"/>
      <c r="AJ53" s="346"/>
      <c r="AK53">
        <f t="shared" si="0"/>
        <v>0</v>
      </c>
      <c r="AL53" s="351">
        <f t="shared" si="1"/>
        <v>0</v>
      </c>
    </row>
    <row r="54" spans="1:38">
      <c r="A54" s="165"/>
      <c r="AK54">
        <f t="shared" si="0"/>
        <v>0</v>
      </c>
      <c r="AL54" s="351">
        <f t="shared" si="1"/>
        <v>0</v>
      </c>
    </row>
    <row r="55" spans="1:38">
      <c r="A55" s="165"/>
      <c r="B55" s="346"/>
      <c r="C55" s="346"/>
      <c r="D55" s="346"/>
      <c r="E55" s="346"/>
      <c r="F55" s="346"/>
      <c r="G55" s="346"/>
      <c r="H55" s="346"/>
      <c r="I55" s="346"/>
      <c r="J55" s="346"/>
      <c r="K55" s="346"/>
      <c r="L55" s="346"/>
      <c r="M55" s="346"/>
      <c r="N55" s="346"/>
      <c r="O55" s="346"/>
      <c r="P55" s="346"/>
      <c r="Q55" s="346"/>
      <c r="R55" s="346"/>
      <c r="S55" s="346"/>
      <c r="T55" s="346"/>
      <c r="U55" s="346"/>
      <c r="V55" s="346"/>
      <c r="W55" s="346"/>
      <c r="X55" s="346"/>
      <c r="Y55" s="346"/>
      <c r="Z55" s="346"/>
      <c r="AA55" s="346"/>
      <c r="AB55" s="346"/>
      <c r="AC55" s="346"/>
      <c r="AD55" s="346"/>
      <c r="AE55" s="346"/>
      <c r="AF55" s="346"/>
      <c r="AG55" s="346"/>
      <c r="AH55" s="346"/>
      <c r="AI55" s="346"/>
      <c r="AJ55" s="346"/>
      <c r="AK55">
        <f t="shared" si="0"/>
        <v>0</v>
      </c>
      <c r="AL55" s="351">
        <f t="shared" si="1"/>
        <v>0</v>
      </c>
    </row>
    <row r="56" spans="1:38">
      <c r="A56" s="165"/>
      <c r="AK56">
        <f t="shared" si="0"/>
        <v>0</v>
      </c>
      <c r="AL56" s="351">
        <f t="shared" si="1"/>
        <v>0</v>
      </c>
    </row>
    <row r="57" spans="1:38">
      <c r="A57" s="165"/>
      <c r="B57" s="346"/>
      <c r="C57" s="346"/>
      <c r="D57" s="346"/>
      <c r="E57" s="346"/>
      <c r="F57" s="346"/>
      <c r="G57" s="346"/>
      <c r="H57" s="346"/>
      <c r="I57" s="346"/>
      <c r="J57" s="346"/>
      <c r="K57" s="346"/>
      <c r="L57" s="346"/>
      <c r="M57" s="346"/>
      <c r="N57" s="346"/>
      <c r="O57" s="346"/>
      <c r="P57" s="346"/>
      <c r="Q57" s="346"/>
      <c r="R57" s="346"/>
      <c r="S57" s="346"/>
      <c r="T57" s="346"/>
      <c r="U57" s="346"/>
      <c r="V57" s="346"/>
      <c r="W57" s="346"/>
      <c r="X57" s="346"/>
      <c r="Y57" s="346"/>
      <c r="Z57" s="346"/>
      <c r="AA57" s="346"/>
      <c r="AB57" s="346"/>
      <c r="AC57" s="346"/>
      <c r="AD57" s="346"/>
      <c r="AE57" s="346"/>
      <c r="AF57" s="346"/>
      <c r="AG57" s="346"/>
      <c r="AH57" s="346"/>
      <c r="AI57" s="346"/>
      <c r="AJ57" s="346"/>
      <c r="AK57">
        <f t="shared" si="0"/>
        <v>0</v>
      </c>
      <c r="AL57" s="351">
        <f t="shared" si="1"/>
        <v>0</v>
      </c>
    </row>
    <row r="58" spans="1:38">
      <c r="A58" s="165"/>
      <c r="AK58">
        <f t="shared" si="0"/>
        <v>0</v>
      </c>
      <c r="AL58" s="351">
        <f t="shared" si="1"/>
        <v>0</v>
      </c>
    </row>
    <row r="59" spans="1:38">
      <c r="A59" s="165"/>
      <c r="B59" s="346"/>
      <c r="C59" s="346"/>
      <c r="D59" s="346"/>
      <c r="E59" s="346"/>
      <c r="F59" s="346"/>
      <c r="G59" s="346"/>
      <c r="H59" s="346"/>
      <c r="I59" s="346"/>
      <c r="J59" s="346"/>
      <c r="K59" s="346"/>
      <c r="L59" s="346"/>
      <c r="M59" s="346"/>
      <c r="N59" s="346"/>
      <c r="O59" s="346"/>
      <c r="P59" s="346"/>
      <c r="Q59" s="346"/>
      <c r="R59" s="346"/>
      <c r="S59" s="346"/>
      <c r="T59" s="346"/>
      <c r="U59" s="346"/>
      <c r="V59" s="346"/>
      <c r="W59" s="346"/>
      <c r="X59" s="346"/>
      <c r="Y59" s="346"/>
      <c r="Z59" s="346"/>
      <c r="AA59" s="346"/>
      <c r="AB59" s="346"/>
      <c r="AC59" s="346"/>
      <c r="AD59" s="346"/>
      <c r="AE59" s="346"/>
      <c r="AF59" s="346"/>
      <c r="AG59" s="346"/>
      <c r="AH59" s="346"/>
      <c r="AI59" s="346"/>
      <c r="AJ59" s="346"/>
      <c r="AK59">
        <f t="shared" si="0"/>
        <v>0</v>
      </c>
      <c r="AL59" s="351">
        <f t="shared" si="1"/>
        <v>0</v>
      </c>
    </row>
    <row r="60" spans="1:38">
      <c r="A60" s="165"/>
      <c r="AK60">
        <f t="shared" si="0"/>
        <v>0</v>
      </c>
      <c r="AL60" s="351">
        <f t="shared" si="1"/>
        <v>0</v>
      </c>
    </row>
    <row r="61" spans="1:38">
      <c r="A61" s="165"/>
      <c r="B61" s="346"/>
      <c r="C61" s="346"/>
      <c r="D61" s="346"/>
      <c r="E61" s="346"/>
      <c r="F61" s="346"/>
      <c r="G61" s="346"/>
      <c r="H61" s="346"/>
      <c r="I61" s="346"/>
      <c r="J61" s="346"/>
      <c r="K61" s="346"/>
      <c r="L61" s="346"/>
      <c r="M61" s="346"/>
      <c r="N61" s="346"/>
      <c r="O61" s="346"/>
      <c r="P61" s="346"/>
      <c r="Q61" s="346"/>
      <c r="R61" s="346"/>
      <c r="S61" s="346"/>
      <c r="T61" s="346"/>
      <c r="U61" s="346"/>
      <c r="V61" s="346"/>
      <c r="W61" s="346"/>
      <c r="X61" s="346"/>
      <c r="Y61" s="346"/>
      <c r="Z61" s="346"/>
      <c r="AA61" s="346"/>
      <c r="AB61" s="346"/>
      <c r="AC61" s="346"/>
      <c r="AD61" s="346"/>
      <c r="AE61" s="346"/>
      <c r="AF61" s="346"/>
      <c r="AG61" s="346"/>
      <c r="AH61" s="346"/>
      <c r="AI61" s="346"/>
      <c r="AJ61" s="346"/>
      <c r="AK61">
        <f t="shared" si="0"/>
        <v>0</v>
      </c>
      <c r="AL61" s="351">
        <f t="shared" si="1"/>
        <v>0</v>
      </c>
    </row>
    <row r="62" spans="1:38" ht="15">
      <c r="A62" s="347" t="s">
        <v>173</v>
      </c>
      <c r="B62" s="347">
        <f>SUM(B5:B61)</f>
        <v>67</v>
      </c>
      <c r="C62" s="347">
        <f>SUM(C5:C61)</f>
        <v>5</v>
      </c>
      <c r="D62" s="347">
        <f t="shared" ref="D62:AJ62" si="2">SUM(D5:D61)</f>
        <v>0</v>
      </c>
      <c r="E62" s="347">
        <f t="shared" si="2"/>
        <v>0</v>
      </c>
      <c r="F62" s="347">
        <f t="shared" si="2"/>
        <v>32</v>
      </c>
      <c r="G62" s="347">
        <f t="shared" si="2"/>
        <v>2</v>
      </c>
      <c r="H62" s="347">
        <f t="shared" si="2"/>
        <v>0</v>
      </c>
      <c r="I62" s="347">
        <f t="shared" si="2"/>
        <v>0</v>
      </c>
      <c r="J62" s="347">
        <f t="shared" si="2"/>
        <v>0</v>
      </c>
      <c r="K62" s="347">
        <f t="shared" si="2"/>
        <v>0</v>
      </c>
      <c r="L62" s="347">
        <f t="shared" si="2"/>
        <v>0</v>
      </c>
      <c r="M62" s="347">
        <f t="shared" si="2"/>
        <v>0</v>
      </c>
      <c r="N62" s="347">
        <f t="shared" si="2"/>
        <v>0</v>
      </c>
      <c r="O62" s="347">
        <f t="shared" si="2"/>
        <v>6</v>
      </c>
      <c r="P62" s="347">
        <f t="shared" si="2"/>
        <v>4</v>
      </c>
      <c r="Q62" s="347">
        <f t="shared" si="2"/>
        <v>0</v>
      </c>
      <c r="R62" s="347">
        <f t="shared" si="2"/>
        <v>0</v>
      </c>
      <c r="S62" s="347">
        <f t="shared" si="2"/>
        <v>0</v>
      </c>
      <c r="T62" s="347">
        <f t="shared" si="2"/>
        <v>10</v>
      </c>
      <c r="U62" s="347">
        <f t="shared" si="2"/>
        <v>0</v>
      </c>
      <c r="V62" s="347">
        <f t="shared" si="2"/>
        <v>0</v>
      </c>
      <c r="W62" s="347">
        <f t="shared" si="2"/>
        <v>14</v>
      </c>
      <c r="X62" s="347">
        <f t="shared" si="2"/>
        <v>0</v>
      </c>
      <c r="Y62" s="347">
        <f t="shared" si="2"/>
        <v>32</v>
      </c>
      <c r="Z62" s="347">
        <f t="shared" si="2"/>
        <v>78</v>
      </c>
      <c r="AA62" s="347">
        <f t="shared" si="2"/>
        <v>0</v>
      </c>
      <c r="AB62" s="347">
        <f t="shared" si="2"/>
        <v>0</v>
      </c>
      <c r="AC62" s="347">
        <f t="shared" si="2"/>
        <v>0</v>
      </c>
      <c r="AD62" s="347">
        <f t="shared" si="2"/>
        <v>15</v>
      </c>
      <c r="AE62" s="347">
        <f t="shared" si="2"/>
        <v>9</v>
      </c>
      <c r="AF62" s="347">
        <f t="shared" si="2"/>
        <v>3</v>
      </c>
      <c r="AG62" s="347">
        <f t="shared" si="2"/>
        <v>0</v>
      </c>
      <c r="AH62" s="347">
        <f t="shared" si="2"/>
        <v>0</v>
      </c>
      <c r="AI62" s="347">
        <f t="shared" si="2"/>
        <v>0</v>
      </c>
      <c r="AJ62" s="347">
        <f t="shared" si="2"/>
        <v>0</v>
      </c>
      <c r="AK62" s="347">
        <f>SUM(AK5:AK61)</f>
        <v>277</v>
      </c>
      <c r="AL62" s="351"/>
    </row>
    <row r="63" spans="1:38" ht="15.75" thickBot="1">
      <c r="A63" s="348" t="s">
        <v>174</v>
      </c>
      <c r="B63" s="348">
        <f t="shared" ref="B63:AI63" si="3">B62/$AK62</f>
        <v>0.24187725631768953</v>
      </c>
      <c r="C63" s="348">
        <f t="shared" si="3"/>
        <v>1.8050541516245487E-2</v>
      </c>
      <c r="D63" s="348">
        <f t="shared" si="3"/>
        <v>0</v>
      </c>
      <c r="E63" s="348">
        <f t="shared" si="3"/>
        <v>0</v>
      </c>
      <c r="F63" s="348">
        <f t="shared" si="3"/>
        <v>0.11552346570397112</v>
      </c>
      <c r="G63" s="348">
        <f t="shared" si="3"/>
        <v>7.2202166064981952E-3</v>
      </c>
      <c r="H63" s="348">
        <f t="shared" si="3"/>
        <v>0</v>
      </c>
      <c r="I63" s="348">
        <f t="shared" si="3"/>
        <v>0</v>
      </c>
      <c r="J63" s="348">
        <f t="shared" si="3"/>
        <v>0</v>
      </c>
      <c r="K63" s="348">
        <f t="shared" si="3"/>
        <v>0</v>
      </c>
      <c r="L63" s="348">
        <f t="shared" si="3"/>
        <v>0</v>
      </c>
      <c r="M63" s="348">
        <f t="shared" si="3"/>
        <v>0</v>
      </c>
      <c r="N63" s="348">
        <f t="shared" si="3"/>
        <v>0</v>
      </c>
      <c r="O63" s="348">
        <f t="shared" si="3"/>
        <v>2.1660649819494584E-2</v>
      </c>
      <c r="P63" s="348">
        <f t="shared" si="3"/>
        <v>1.444043321299639E-2</v>
      </c>
      <c r="Q63" s="348">
        <f t="shared" si="3"/>
        <v>0</v>
      </c>
      <c r="R63" s="348">
        <f t="shared" si="3"/>
        <v>0</v>
      </c>
      <c r="S63" s="348">
        <f t="shared" si="3"/>
        <v>0</v>
      </c>
      <c r="T63" s="348">
        <f t="shared" si="3"/>
        <v>3.6101083032490974E-2</v>
      </c>
      <c r="U63" s="348">
        <f t="shared" si="3"/>
        <v>0</v>
      </c>
      <c r="V63" s="348">
        <f t="shared" si="3"/>
        <v>0</v>
      </c>
      <c r="W63" s="348">
        <f t="shared" si="3"/>
        <v>5.0541516245487361E-2</v>
      </c>
      <c r="X63" s="348">
        <f t="shared" si="3"/>
        <v>0</v>
      </c>
      <c r="Y63" s="348">
        <f t="shared" si="3"/>
        <v>0.11552346570397112</v>
      </c>
      <c r="Z63" s="348">
        <f t="shared" si="3"/>
        <v>0.28158844765342961</v>
      </c>
      <c r="AA63" s="348">
        <f t="shared" si="3"/>
        <v>0</v>
      </c>
      <c r="AB63" s="348">
        <f t="shared" si="3"/>
        <v>0</v>
      </c>
      <c r="AC63" s="348">
        <f t="shared" si="3"/>
        <v>0</v>
      </c>
      <c r="AD63" s="348">
        <f t="shared" si="3"/>
        <v>5.4151624548736461E-2</v>
      </c>
      <c r="AE63" s="348">
        <f t="shared" si="3"/>
        <v>3.2490974729241874E-2</v>
      </c>
      <c r="AF63" s="348">
        <f t="shared" si="3"/>
        <v>1.0830324909747292E-2</v>
      </c>
      <c r="AG63" s="348">
        <f t="shared" si="3"/>
        <v>0</v>
      </c>
      <c r="AH63" s="348">
        <f t="shared" si="3"/>
        <v>0</v>
      </c>
      <c r="AI63" s="348">
        <f t="shared" si="3"/>
        <v>0</v>
      </c>
      <c r="AJ63" s="348">
        <f>AJ62/$AK62</f>
        <v>0</v>
      </c>
      <c r="AK63" s="483"/>
    </row>
    <row r="64" spans="1:38">
      <c r="AL64" s="351"/>
    </row>
    <row r="65" spans="1:38">
      <c r="AL65" s="351"/>
    </row>
    <row r="66" spans="1:38">
      <c r="AL66" s="351"/>
    </row>
    <row r="67" spans="1:38">
      <c r="A67" s="165">
        <f>'Conveyor Downtime (new)'!A67</f>
        <v>46055</v>
      </c>
      <c r="B67" s="346"/>
      <c r="C67" s="346"/>
      <c r="D67" s="346"/>
      <c r="E67" s="346"/>
      <c r="F67" s="346">
        <f>1</f>
        <v>1</v>
      </c>
      <c r="G67" s="346"/>
      <c r="H67" s="346"/>
      <c r="I67" s="346"/>
      <c r="J67" s="346"/>
      <c r="K67" s="346"/>
      <c r="L67" s="346">
        <f>6</f>
        <v>6</v>
      </c>
      <c r="M67" s="346"/>
      <c r="N67" s="346"/>
      <c r="O67" s="346"/>
      <c r="P67" s="346"/>
      <c r="Q67" s="346"/>
      <c r="R67" s="346"/>
      <c r="S67" s="346"/>
      <c r="T67" s="346"/>
      <c r="U67" s="346"/>
      <c r="V67" s="346"/>
      <c r="W67" s="346"/>
      <c r="X67" s="346"/>
      <c r="Y67" s="346"/>
      <c r="Z67" s="346"/>
      <c r="AA67" s="346"/>
      <c r="AB67" s="346"/>
      <c r="AC67" s="346"/>
      <c r="AD67" s="346"/>
      <c r="AE67" s="346"/>
      <c r="AF67" s="346"/>
      <c r="AG67" s="346"/>
      <c r="AH67" s="346"/>
      <c r="AI67" s="346"/>
      <c r="AJ67" s="346"/>
      <c r="AK67">
        <f t="shared" ref="AK67:AK105" si="4">SUM(B67:AJ67)</f>
        <v>7</v>
      </c>
      <c r="AL67" s="351">
        <f t="shared" ref="AL67:AL105" si="5">AK67/$AK$62</f>
        <v>2.5270758122743681E-2</v>
      </c>
    </row>
    <row r="68" spans="1:38">
      <c r="A68" s="165">
        <f>'Conveyor Downtime (new)'!A68</f>
        <v>46055</v>
      </c>
      <c r="B68">
        <f>1</f>
        <v>1</v>
      </c>
      <c r="F68">
        <f>1</f>
        <v>1</v>
      </c>
      <c r="AJ68">
        <f>3</f>
        <v>3</v>
      </c>
      <c r="AK68">
        <f t="shared" si="4"/>
        <v>5</v>
      </c>
      <c r="AL68" s="351">
        <f t="shared" si="5"/>
        <v>1.8050541516245487E-2</v>
      </c>
    </row>
    <row r="69" spans="1:38">
      <c r="A69" s="165">
        <f>'Conveyor Downtime (new)'!A69</f>
        <v>46056</v>
      </c>
      <c r="B69" s="346">
        <f>2+1+1</f>
        <v>4</v>
      </c>
      <c r="C69" s="346"/>
      <c r="D69" s="346"/>
      <c r="E69" s="346"/>
      <c r="F69" s="346">
        <f>1+1</f>
        <v>2</v>
      </c>
      <c r="G69" s="346"/>
      <c r="H69" s="346"/>
      <c r="I69" s="346"/>
      <c r="J69" s="346"/>
      <c r="K69" s="346"/>
      <c r="L69" s="346"/>
      <c r="M69" s="346"/>
      <c r="N69" s="346"/>
      <c r="O69" s="346"/>
      <c r="P69" s="346"/>
      <c r="Q69" s="346"/>
      <c r="R69" s="346"/>
      <c r="S69" s="346"/>
      <c r="T69" s="346"/>
      <c r="U69" s="346"/>
      <c r="V69" s="346"/>
      <c r="W69" s="346"/>
      <c r="X69" s="346"/>
      <c r="Y69" s="346"/>
      <c r="Z69" s="346"/>
      <c r="AA69" s="346"/>
      <c r="AB69" s="346"/>
      <c r="AC69" s="346"/>
      <c r="AD69" s="346"/>
      <c r="AE69" s="346"/>
      <c r="AF69" s="346"/>
      <c r="AG69" s="346"/>
      <c r="AH69" s="346"/>
      <c r="AI69" s="346"/>
      <c r="AJ69" s="346"/>
      <c r="AK69">
        <f t="shared" si="4"/>
        <v>6</v>
      </c>
      <c r="AL69" s="351">
        <f t="shared" si="5"/>
        <v>2.1660649819494584E-2</v>
      </c>
    </row>
    <row r="70" spans="1:38">
      <c r="A70" s="165">
        <f>'Conveyor Downtime (new)'!A70</f>
        <v>46057</v>
      </c>
      <c r="B70">
        <f>1+1+1+2+2</f>
        <v>7</v>
      </c>
      <c r="F70">
        <f>1</f>
        <v>1</v>
      </c>
      <c r="AC70">
        <f>14+4+4</f>
        <v>22</v>
      </c>
      <c r="AK70">
        <f t="shared" si="4"/>
        <v>30</v>
      </c>
      <c r="AL70" s="351">
        <f t="shared" si="5"/>
        <v>0.10830324909747292</v>
      </c>
    </row>
    <row r="71" spans="1:38">
      <c r="A71" s="165">
        <f>'Conveyor Downtime (new)'!A71</f>
        <v>46057</v>
      </c>
      <c r="B71" s="346"/>
      <c r="C71" s="346"/>
      <c r="D71" s="346"/>
      <c r="E71" s="346"/>
      <c r="F71" s="346">
        <f>1</f>
        <v>1</v>
      </c>
      <c r="G71" s="346"/>
      <c r="H71" s="346"/>
      <c r="I71" s="346"/>
      <c r="J71" s="346"/>
      <c r="K71" s="346"/>
      <c r="L71" s="346"/>
      <c r="M71" s="346"/>
      <c r="N71" s="346"/>
      <c r="O71" s="346"/>
      <c r="P71" s="346"/>
      <c r="Q71" s="346"/>
      <c r="R71" s="346"/>
      <c r="S71" s="346"/>
      <c r="T71" s="346"/>
      <c r="U71" s="346"/>
      <c r="V71" s="346"/>
      <c r="W71" s="346"/>
      <c r="X71" s="346"/>
      <c r="Y71" s="346">
        <f>6+38+60+6</f>
        <v>110</v>
      </c>
      <c r="Z71" s="346"/>
      <c r="AA71" s="346"/>
      <c r="AB71" s="346"/>
      <c r="AC71" s="346"/>
      <c r="AD71" s="346"/>
      <c r="AE71" s="346"/>
      <c r="AF71" s="346"/>
      <c r="AG71" s="346"/>
      <c r="AH71" s="346"/>
      <c r="AI71" s="346"/>
      <c r="AJ71" s="346"/>
      <c r="AK71">
        <f t="shared" si="4"/>
        <v>111</v>
      </c>
      <c r="AL71" s="351">
        <f t="shared" si="5"/>
        <v>0.4007220216606498</v>
      </c>
    </row>
    <row r="72" spans="1:38">
      <c r="A72" s="165">
        <f>'Conveyor Downtime (new)'!A72</f>
        <v>46058</v>
      </c>
      <c r="B72">
        <f>3+1</f>
        <v>4</v>
      </c>
      <c r="F72">
        <v>1</v>
      </c>
      <c r="AK72">
        <f t="shared" si="4"/>
        <v>5</v>
      </c>
      <c r="AL72" s="351">
        <f t="shared" si="5"/>
        <v>1.8050541516245487E-2</v>
      </c>
    </row>
    <row r="73" spans="1:38">
      <c r="A73" s="165">
        <f>'Conveyor Downtime (new)'!A73</f>
        <v>46058</v>
      </c>
      <c r="B73" s="346">
        <f>1+1+2</f>
        <v>4</v>
      </c>
      <c r="C73" s="346"/>
      <c r="D73" s="346"/>
      <c r="E73" s="346"/>
      <c r="F73" s="346">
        <f>1</f>
        <v>1</v>
      </c>
      <c r="G73" s="346"/>
      <c r="H73" s="346"/>
      <c r="I73" s="346"/>
      <c r="J73" s="346"/>
      <c r="K73" s="346"/>
      <c r="L73" s="346"/>
      <c r="M73" s="346"/>
      <c r="N73" s="346"/>
      <c r="O73" s="346"/>
      <c r="P73" s="346"/>
      <c r="Q73" s="346"/>
      <c r="R73" s="346"/>
      <c r="S73" s="346"/>
      <c r="T73" s="346"/>
      <c r="U73" s="346"/>
      <c r="V73" s="346"/>
      <c r="W73" s="346"/>
      <c r="X73" s="346"/>
      <c r="Y73" s="346"/>
      <c r="Z73" s="346"/>
      <c r="AA73" s="346"/>
      <c r="AB73" s="346"/>
      <c r="AC73" s="346"/>
      <c r="AD73" s="346"/>
      <c r="AE73" s="346"/>
      <c r="AF73" s="346"/>
      <c r="AG73" s="346"/>
      <c r="AH73" s="346"/>
      <c r="AI73" s="346"/>
      <c r="AJ73" s="346"/>
      <c r="AK73">
        <f t="shared" si="4"/>
        <v>5</v>
      </c>
      <c r="AL73" s="351">
        <f t="shared" si="5"/>
        <v>1.8050541516245487E-2</v>
      </c>
    </row>
    <row r="74" spans="1:38">
      <c r="A74" s="165">
        <f>'Conveyor Downtime (new)'!A74</f>
        <v>46058</v>
      </c>
      <c r="AK74">
        <f t="shared" si="4"/>
        <v>0</v>
      </c>
      <c r="AL74" s="351">
        <f t="shared" si="5"/>
        <v>0</v>
      </c>
    </row>
    <row r="75" spans="1:38">
      <c r="A75" s="165">
        <f>'Conveyor Downtime (new)'!A75</f>
        <v>46059</v>
      </c>
      <c r="B75" s="346">
        <f>3</f>
        <v>3</v>
      </c>
      <c r="C75" s="346"/>
      <c r="D75" s="346"/>
      <c r="E75" s="346"/>
      <c r="F75" s="346">
        <f>1+1</f>
        <v>2</v>
      </c>
      <c r="G75" s="346"/>
      <c r="H75" s="346"/>
      <c r="I75" s="346"/>
      <c r="J75" s="346"/>
      <c r="K75" s="346"/>
      <c r="L75" s="346"/>
      <c r="M75" s="346"/>
      <c r="N75" s="346"/>
      <c r="O75" s="346"/>
      <c r="P75" s="346"/>
      <c r="Q75" s="346"/>
      <c r="R75" s="346"/>
      <c r="S75" s="346"/>
      <c r="T75" s="346">
        <v>4</v>
      </c>
      <c r="U75" s="346"/>
      <c r="V75" s="346"/>
      <c r="W75" s="346"/>
      <c r="X75" s="346"/>
      <c r="Y75" s="346"/>
      <c r="Z75" s="346"/>
      <c r="AA75" s="346"/>
      <c r="AB75" s="346"/>
      <c r="AC75" s="346"/>
      <c r="AD75" s="346"/>
      <c r="AE75" s="346"/>
      <c r="AF75" s="346"/>
      <c r="AG75" s="346"/>
      <c r="AH75" s="346"/>
      <c r="AI75" s="346"/>
      <c r="AJ75" s="346"/>
      <c r="AK75">
        <f t="shared" si="4"/>
        <v>9</v>
      </c>
      <c r="AL75" s="351">
        <f t="shared" si="5"/>
        <v>3.2490974729241874E-2</v>
      </c>
    </row>
    <row r="76" spans="1:38">
      <c r="A76" s="165">
        <f>'Conveyor Downtime (new)'!A76</f>
        <v>46059</v>
      </c>
      <c r="AK76">
        <f t="shared" si="4"/>
        <v>0</v>
      </c>
      <c r="AL76" s="351">
        <f t="shared" si="5"/>
        <v>0</v>
      </c>
    </row>
    <row r="77" spans="1:38">
      <c r="A77" s="165">
        <f>'Conveyor Downtime (new)'!A77</f>
        <v>46062</v>
      </c>
      <c r="B77" s="346"/>
      <c r="C77" s="346"/>
      <c r="D77" s="346"/>
      <c r="E77" s="346"/>
      <c r="F77" s="346">
        <f>2</f>
        <v>2</v>
      </c>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f t="shared" si="4"/>
        <v>2</v>
      </c>
      <c r="AL77" s="351">
        <f t="shared" si="5"/>
        <v>7.2202166064981952E-3</v>
      </c>
    </row>
    <row r="78" spans="1:38">
      <c r="A78" s="165">
        <f>'Conveyor Downtime (new)'!A78</f>
        <v>46062</v>
      </c>
      <c r="AK78">
        <f t="shared" si="4"/>
        <v>0</v>
      </c>
      <c r="AL78" s="351">
        <f t="shared" si="5"/>
        <v>0</v>
      </c>
    </row>
    <row r="79" spans="1:38">
      <c r="A79" s="165">
        <f>'Conveyor Downtime (new)'!A79</f>
        <v>46062</v>
      </c>
      <c r="B79" s="346">
        <f>2+1</f>
        <v>3</v>
      </c>
      <c r="C79" s="346"/>
      <c r="D79" s="346"/>
      <c r="E79" s="346"/>
      <c r="F79" s="346"/>
      <c r="G79" s="346"/>
      <c r="H79" s="346"/>
      <c r="I79" s="346">
        <f>12</f>
        <v>12</v>
      </c>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f t="shared" si="4"/>
        <v>15</v>
      </c>
      <c r="AL79" s="351">
        <f t="shared" si="5"/>
        <v>5.4151624548736461E-2</v>
      </c>
    </row>
    <row r="80" spans="1:38">
      <c r="A80" s="165">
        <f>'Conveyor Downtime (new)'!A80</f>
        <v>46063</v>
      </c>
      <c r="B80">
        <f>2</f>
        <v>2</v>
      </c>
      <c r="AK80">
        <f t="shared" si="4"/>
        <v>2</v>
      </c>
      <c r="AL80" s="351">
        <f t="shared" si="5"/>
        <v>7.2202166064981952E-3</v>
      </c>
    </row>
    <row r="81" spans="1:38">
      <c r="A81" s="165">
        <f>'Conveyor Downtime (new)'!A81</f>
        <v>46063</v>
      </c>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f t="shared" si="4"/>
        <v>0</v>
      </c>
      <c r="AL81" s="351">
        <f t="shared" si="5"/>
        <v>0</v>
      </c>
    </row>
    <row r="82" spans="1:38">
      <c r="A82" s="165">
        <f>'Conveyor Downtime (new)'!A82</f>
        <v>46063</v>
      </c>
      <c r="AK82">
        <f t="shared" si="4"/>
        <v>0</v>
      </c>
      <c r="AL82" s="351">
        <f t="shared" si="5"/>
        <v>0</v>
      </c>
    </row>
    <row r="83" spans="1:38">
      <c r="A83" s="165">
        <f>'Conveyor Downtime (new)'!A83</f>
        <v>46064</v>
      </c>
      <c r="B83" s="346"/>
      <c r="C83" s="346"/>
      <c r="D83" s="346"/>
      <c r="E83" s="346"/>
      <c r="F83" s="346">
        <f>1+1+1</f>
        <v>3</v>
      </c>
      <c r="G83" s="346"/>
      <c r="H83" s="346"/>
      <c r="I83" s="346"/>
      <c r="J83" s="346"/>
      <c r="K83" s="346"/>
      <c r="L83" s="346"/>
      <c r="M83" s="346"/>
      <c r="N83" s="346"/>
      <c r="O83" s="346"/>
      <c r="P83" s="346"/>
      <c r="Q83" s="346"/>
      <c r="R83" s="346"/>
      <c r="S83" s="346"/>
      <c r="T83" s="346"/>
      <c r="U83" s="346"/>
      <c r="V83" s="346"/>
      <c r="W83" s="346"/>
      <c r="X83" s="346"/>
      <c r="Y83" s="346"/>
      <c r="Z83" s="346"/>
      <c r="AA83" s="346"/>
      <c r="AB83" s="346"/>
      <c r="AC83" s="346"/>
      <c r="AD83" s="346"/>
      <c r="AE83" s="346"/>
      <c r="AF83" s="346"/>
      <c r="AG83" s="346"/>
      <c r="AH83" s="346"/>
      <c r="AI83" s="346"/>
      <c r="AJ83" s="346"/>
      <c r="AK83">
        <f t="shared" si="4"/>
        <v>3</v>
      </c>
      <c r="AL83" s="351">
        <f t="shared" si="5"/>
        <v>1.0830324909747292E-2</v>
      </c>
    </row>
    <row r="84" spans="1:38">
      <c r="A84" s="165">
        <f>'Conveyor Downtime (new)'!A84</f>
        <v>46064</v>
      </c>
      <c r="B84">
        <f>2</f>
        <v>2</v>
      </c>
      <c r="AK84">
        <f t="shared" si="4"/>
        <v>2</v>
      </c>
      <c r="AL84" s="351">
        <f t="shared" si="5"/>
        <v>7.2202166064981952E-3</v>
      </c>
    </row>
    <row r="85" spans="1:38">
      <c r="A85" s="165">
        <f>'Conveyor Downtime (new)'!A85</f>
        <v>46065</v>
      </c>
      <c r="B85" s="346">
        <f>1</f>
        <v>1</v>
      </c>
      <c r="C85" s="346"/>
      <c r="D85" s="346"/>
      <c r="E85" s="346"/>
      <c r="F85" s="346">
        <f>1+1</f>
        <v>2</v>
      </c>
      <c r="G85" s="346"/>
      <c r="H85" s="346"/>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I85" s="346"/>
      <c r="AJ85" s="346"/>
      <c r="AK85">
        <f t="shared" si="4"/>
        <v>3</v>
      </c>
      <c r="AL85" s="351">
        <f t="shared" si="5"/>
        <v>1.0830324909747292E-2</v>
      </c>
    </row>
    <row r="86" spans="1:38">
      <c r="A86" s="165">
        <f>'Conveyor Downtime (new)'!A86</f>
        <v>46066</v>
      </c>
      <c r="F86">
        <f>1</f>
        <v>1</v>
      </c>
      <c r="AK86">
        <f t="shared" si="4"/>
        <v>1</v>
      </c>
      <c r="AL86" s="351">
        <f t="shared" si="5"/>
        <v>3.6101083032490976E-3</v>
      </c>
    </row>
    <row r="87" spans="1:38">
      <c r="A87" s="165">
        <f>'Conveyor Downtime (new)'!A87</f>
        <v>46066</v>
      </c>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f t="shared" si="4"/>
        <v>0</v>
      </c>
      <c r="AL87" s="351">
        <f t="shared" si="5"/>
        <v>0</v>
      </c>
    </row>
    <row r="88" spans="1:38">
      <c r="A88" s="165">
        <f>'Conveyor Downtime (new)'!A88</f>
        <v>46069</v>
      </c>
      <c r="F88">
        <f>1+1+1</f>
        <v>3</v>
      </c>
      <c r="AK88">
        <f t="shared" si="4"/>
        <v>3</v>
      </c>
      <c r="AL88" s="351">
        <f t="shared" si="5"/>
        <v>1.0830324909747292E-2</v>
      </c>
    </row>
    <row r="89" spans="1:38">
      <c r="A89" s="165">
        <f>'Conveyor Downtime (new)'!A89</f>
        <v>46070</v>
      </c>
      <c r="B89" s="346">
        <f>1</f>
        <v>1</v>
      </c>
      <c r="C89" s="346"/>
      <c r="D89" s="346"/>
      <c r="E89" s="346"/>
      <c r="F89" s="346">
        <f>1</f>
        <v>1</v>
      </c>
      <c r="G89" s="346"/>
      <c r="H89" s="346">
        <f>13</f>
        <v>13</v>
      </c>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346"/>
      <c r="AK89">
        <f t="shared" si="4"/>
        <v>15</v>
      </c>
      <c r="AL89" s="351">
        <f t="shared" si="5"/>
        <v>5.4151624548736461E-2</v>
      </c>
    </row>
    <row r="90" spans="1:38">
      <c r="A90" s="165">
        <f>'Conveyor Downtime (new)'!A90</f>
        <v>46071</v>
      </c>
      <c r="AK90">
        <f t="shared" si="4"/>
        <v>0</v>
      </c>
      <c r="AL90" s="351">
        <f t="shared" si="5"/>
        <v>0</v>
      </c>
    </row>
    <row r="91" spans="1:38">
      <c r="A91" s="165">
        <f>'Conveyor Downtime (new)'!A91</f>
        <v>46072</v>
      </c>
      <c r="B91" s="346"/>
      <c r="C91" s="346"/>
      <c r="D91" s="346"/>
      <c r="E91" s="346"/>
      <c r="F91" s="346">
        <f>1</f>
        <v>1</v>
      </c>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346"/>
      <c r="AK91">
        <f t="shared" si="4"/>
        <v>1</v>
      </c>
      <c r="AL91" s="351">
        <f t="shared" si="5"/>
        <v>3.6101083032490976E-3</v>
      </c>
    </row>
    <row r="92" spans="1:38">
      <c r="A92" s="165">
        <f>'Conveyor Downtime (new)'!A92</f>
        <v>46072</v>
      </c>
      <c r="C92">
        <f>1+3</f>
        <v>4</v>
      </c>
      <c r="AK92">
        <f t="shared" si="4"/>
        <v>4</v>
      </c>
      <c r="AL92" s="351">
        <f t="shared" si="5"/>
        <v>1.444043321299639E-2</v>
      </c>
    </row>
    <row r="93" spans="1:38">
      <c r="A93" s="165">
        <f>'Conveyor Downtime (new)'!A93</f>
        <v>46072</v>
      </c>
      <c r="B93" s="346"/>
      <c r="C93" s="346"/>
      <c r="D93" s="346"/>
      <c r="E93" s="346"/>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346"/>
      <c r="AK93">
        <f t="shared" si="4"/>
        <v>0</v>
      </c>
      <c r="AL93" s="351">
        <f t="shared" si="5"/>
        <v>0</v>
      </c>
    </row>
    <row r="94" spans="1:38">
      <c r="A94" s="165">
        <f>'Conveyor Downtime (new)'!A94</f>
        <v>46073</v>
      </c>
      <c r="AK94">
        <f t="shared" si="4"/>
        <v>0</v>
      </c>
      <c r="AL94" s="351">
        <f t="shared" si="5"/>
        <v>0</v>
      </c>
    </row>
    <row r="95" spans="1:38">
      <c r="A95" s="165">
        <f>'Conveyor Downtime (new)'!A95</f>
        <v>46073</v>
      </c>
      <c r="B95" s="346"/>
      <c r="C95" s="346"/>
      <c r="D95" s="346"/>
      <c r="E95" s="346"/>
      <c r="F95" s="346">
        <f>1+1</f>
        <v>2</v>
      </c>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346"/>
      <c r="AK95">
        <f t="shared" si="4"/>
        <v>2</v>
      </c>
      <c r="AL95" s="351">
        <f t="shared" si="5"/>
        <v>7.2202166064981952E-3</v>
      </c>
    </row>
    <row r="96" spans="1:38">
      <c r="A96" s="165">
        <f>'Conveyor Downtime (new)'!A96</f>
        <v>46076</v>
      </c>
      <c r="F96">
        <f>1</f>
        <v>1</v>
      </c>
      <c r="AK96">
        <f t="shared" si="4"/>
        <v>1</v>
      </c>
      <c r="AL96" s="351">
        <f t="shared" si="5"/>
        <v>3.6101083032490976E-3</v>
      </c>
    </row>
    <row r="97" spans="1:38">
      <c r="A97" s="165">
        <f>'Conveyor Downtime (new)'!A97</f>
        <v>46077</v>
      </c>
      <c r="B97" s="346"/>
      <c r="C97" s="346"/>
      <c r="D97" s="346"/>
      <c r="E97" s="346"/>
      <c r="F97" s="346">
        <f>1+1+1</f>
        <v>3</v>
      </c>
      <c r="G97" s="346"/>
      <c r="H97" s="346"/>
      <c r="I97" s="346"/>
      <c r="J97" s="346"/>
      <c r="K97" s="346"/>
      <c r="L97" s="346"/>
      <c r="M97" s="346"/>
      <c r="N97" s="346"/>
      <c r="O97" s="346"/>
      <c r="P97" s="346"/>
      <c r="Q97" s="346"/>
      <c r="R97" s="346"/>
      <c r="S97" s="346"/>
      <c r="T97" s="346"/>
      <c r="U97" s="346"/>
      <c r="V97" s="346"/>
      <c r="W97" s="346"/>
      <c r="X97" s="346"/>
      <c r="Y97" s="346"/>
      <c r="Z97" s="346"/>
      <c r="AA97" s="346"/>
      <c r="AB97" s="346"/>
      <c r="AC97" s="346"/>
      <c r="AD97" s="346"/>
      <c r="AE97" s="346"/>
      <c r="AF97" s="346"/>
      <c r="AG97" s="346"/>
      <c r="AH97" s="346"/>
      <c r="AI97" s="346"/>
      <c r="AJ97" s="346"/>
      <c r="AK97">
        <f t="shared" si="4"/>
        <v>3</v>
      </c>
      <c r="AL97" s="351">
        <f t="shared" si="5"/>
        <v>1.0830324909747292E-2</v>
      </c>
    </row>
    <row r="98" spans="1:38">
      <c r="A98" s="165">
        <f>'Conveyor Downtime (new)'!A98</f>
        <v>46077</v>
      </c>
      <c r="F98">
        <v>1</v>
      </c>
      <c r="AK98">
        <f t="shared" si="4"/>
        <v>1</v>
      </c>
      <c r="AL98" s="351">
        <f t="shared" si="5"/>
        <v>3.6101083032490976E-3</v>
      </c>
    </row>
    <row r="99" spans="1:38">
      <c r="A99" s="165">
        <f>'Conveyor Downtime (new)'!A99</f>
        <v>46078</v>
      </c>
      <c r="B99" s="346"/>
      <c r="C99" s="346"/>
      <c r="D99" s="346"/>
      <c r="E99" s="346"/>
      <c r="F99" s="346">
        <f>1</f>
        <v>1</v>
      </c>
      <c r="G99" s="346"/>
      <c r="H99" s="346"/>
      <c r="I99" s="346"/>
      <c r="J99" s="346"/>
      <c r="K99" s="346"/>
      <c r="L99" s="346"/>
      <c r="M99" s="346"/>
      <c r="N99" s="346"/>
      <c r="O99" s="346"/>
      <c r="P99" s="346"/>
      <c r="Q99" s="346"/>
      <c r="R99" s="346"/>
      <c r="S99" s="346"/>
      <c r="T99" s="346"/>
      <c r="U99" s="346"/>
      <c r="V99" s="346"/>
      <c r="W99" s="77"/>
      <c r="X99" s="346"/>
      <c r="Y99" s="346"/>
      <c r="Z99" s="346"/>
      <c r="AA99" s="346"/>
      <c r="AB99" s="346"/>
      <c r="AC99" s="346"/>
      <c r="AD99" s="346"/>
      <c r="AE99" s="346"/>
      <c r="AF99" s="346"/>
      <c r="AG99" s="346"/>
      <c r="AH99" s="346"/>
      <c r="AI99" s="346"/>
      <c r="AJ99" s="346"/>
      <c r="AK99">
        <f t="shared" si="4"/>
        <v>1</v>
      </c>
      <c r="AL99" s="351">
        <f t="shared" si="5"/>
        <v>3.6101083032490976E-3</v>
      </c>
    </row>
    <row r="100" spans="1:38">
      <c r="A100" s="165">
        <f>'Conveyor Downtime (new)'!A100</f>
        <v>46079</v>
      </c>
      <c r="B100">
        <v>1</v>
      </c>
      <c r="F100">
        <v>1</v>
      </c>
      <c r="AK100">
        <f t="shared" si="4"/>
        <v>2</v>
      </c>
      <c r="AL100" s="351">
        <f t="shared" si="5"/>
        <v>7.2202166064981952E-3</v>
      </c>
    </row>
    <row r="101" spans="1:38">
      <c r="A101" s="165">
        <f>'Conveyor Downtime (new)'!A101</f>
        <v>46079</v>
      </c>
      <c r="F101">
        <v>1</v>
      </c>
      <c r="AK101">
        <f t="shared" si="4"/>
        <v>1</v>
      </c>
      <c r="AL101" s="351">
        <f t="shared" si="5"/>
        <v>3.6101083032490976E-3</v>
      </c>
    </row>
    <row r="102" spans="1:38">
      <c r="A102" s="165">
        <f>'Conveyor Downtime (new)'!A102</f>
        <v>46080</v>
      </c>
      <c r="B102" s="346"/>
      <c r="C102" s="346"/>
      <c r="D102" s="346"/>
      <c r="E102" s="346"/>
      <c r="F102" s="346">
        <f>1+1</f>
        <v>2</v>
      </c>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s="346"/>
      <c r="AE102" s="346"/>
      <c r="AF102" s="346"/>
      <c r="AG102" s="346"/>
      <c r="AI102" s="346"/>
      <c r="AJ102" s="346"/>
      <c r="AK102">
        <f t="shared" si="4"/>
        <v>2</v>
      </c>
      <c r="AL102" s="351">
        <f t="shared" si="5"/>
        <v>7.2202166064981952E-3</v>
      </c>
    </row>
    <row r="103" spans="1:38">
      <c r="A103" s="165">
        <f>'Conveyor Downtime (new)'!A103</f>
        <v>46080</v>
      </c>
      <c r="B103">
        <f>2+1+1</f>
        <v>4</v>
      </c>
      <c r="C103">
        <v>1</v>
      </c>
      <c r="AK103">
        <f t="shared" si="4"/>
        <v>5</v>
      </c>
      <c r="AL103" s="351">
        <f t="shared" si="5"/>
        <v>1.8050541516245487E-2</v>
      </c>
    </row>
    <row r="104" spans="1:38">
      <c r="A104" s="165">
        <f>'Conveyor Downtime (new)'!A104</f>
        <v>46080</v>
      </c>
      <c r="B104" s="346"/>
      <c r="C104" s="346"/>
      <c r="D104" s="346"/>
      <c r="E104" s="346"/>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s="346"/>
      <c r="AE104" s="346"/>
      <c r="AF104" s="346"/>
      <c r="AG104" s="346"/>
      <c r="AH104" s="346"/>
      <c r="AI104" s="346"/>
      <c r="AJ104" s="346"/>
      <c r="AK104">
        <f t="shared" si="4"/>
        <v>0</v>
      </c>
      <c r="AL104" s="351">
        <f t="shared" si="5"/>
        <v>0</v>
      </c>
    </row>
    <row r="105" spans="1:38">
      <c r="A105" s="165">
        <f>'Conveyor Downtime (new)'!A105</f>
        <v>46081</v>
      </c>
      <c r="AK105">
        <f t="shared" si="4"/>
        <v>0</v>
      </c>
      <c r="AL105" s="351">
        <f t="shared" si="5"/>
        <v>0</v>
      </c>
    </row>
    <row r="106" spans="1:38">
      <c r="A106" s="165">
        <f>'Conveyor Downtime (new)'!A106</f>
        <v>46081</v>
      </c>
      <c r="B106" s="346"/>
      <c r="C106" s="346"/>
      <c r="D106" s="346"/>
      <c r="E106" s="346"/>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s="346"/>
      <c r="AE106" s="346"/>
      <c r="AF106" s="346"/>
      <c r="AG106" s="346"/>
      <c r="AH106" s="346"/>
      <c r="AI106" s="346"/>
      <c r="AJ106" s="346">
        <f>4</f>
        <v>4</v>
      </c>
      <c r="AK106">
        <f t="shared" ref="AK106:AK120" si="6">SUM(B106:AJ106)</f>
        <v>4</v>
      </c>
      <c r="AL106" s="351">
        <f t="shared" ref="AL106:AL120" si="7">AK106/$AK$62</f>
        <v>1.444043321299639E-2</v>
      </c>
    </row>
    <row r="107" spans="1:38">
      <c r="A107" s="165">
        <f>'Conveyor Downtime (new)'!A107</f>
        <v>0</v>
      </c>
      <c r="AK107">
        <f t="shared" si="6"/>
        <v>0</v>
      </c>
      <c r="AL107" s="351">
        <f t="shared" si="7"/>
        <v>0</v>
      </c>
    </row>
    <row r="108" spans="1:38">
      <c r="A108" s="165">
        <f>'Conveyor Downtime (new)'!A108</f>
        <v>0</v>
      </c>
      <c r="B108" s="346"/>
      <c r="C108" s="346"/>
      <c r="D108" s="346"/>
      <c r="E108" s="346"/>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s="346"/>
      <c r="AE108" s="346"/>
      <c r="AF108" s="346"/>
      <c r="AG108" s="346"/>
      <c r="AH108" s="346"/>
      <c r="AI108" s="346"/>
      <c r="AJ108" s="346"/>
      <c r="AK108">
        <f t="shared" si="6"/>
        <v>0</v>
      </c>
      <c r="AL108" s="351">
        <f t="shared" si="7"/>
        <v>0</v>
      </c>
    </row>
    <row r="109" spans="1:38">
      <c r="A109" s="165">
        <f>'Conveyor Downtime (new)'!A109</f>
        <v>0</v>
      </c>
      <c r="AK109">
        <f t="shared" si="6"/>
        <v>0</v>
      </c>
      <c r="AL109" s="351">
        <f t="shared" si="7"/>
        <v>0</v>
      </c>
    </row>
    <row r="110" spans="1:38">
      <c r="A110" s="165">
        <f>'Conveyor Downtime (new)'!A110</f>
        <v>0</v>
      </c>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s="346"/>
      <c r="AE110" s="346"/>
      <c r="AF110" s="346"/>
      <c r="AG110" s="346"/>
      <c r="AH110" s="346"/>
      <c r="AI110" s="346"/>
      <c r="AJ110" s="346"/>
      <c r="AK110">
        <f t="shared" si="6"/>
        <v>0</v>
      </c>
      <c r="AL110" s="351">
        <f t="shared" si="7"/>
        <v>0</v>
      </c>
    </row>
    <row r="111" spans="1:38">
      <c r="A111" s="165">
        <f>'Conveyor Downtime (new)'!A111</f>
        <v>0</v>
      </c>
      <c r="AK111">
        <f t="shared" si="6"/>
        <v>0</v>
      </c>
      <c r="AL111" s="351">
        <f t="shared" si="7"/>
        <v>0</v>
      </c>
    </row>
    <row r="112" spans="1:38">
      <c r="A112" s="165">
        <f>'Conveyor Downtime (new)'!A112</f>
        <v>0</v>
      </c>
      <c r="B112" s="346"/>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s="346"/>
      <c r="AE112" s="346"/>
      <c r="AF112" s="346"/>
      <c r="AG112" s="346"/>
      <c r="AH112" s="346"/>
      <c r="AI112" s="346"/>
      <c r="AJ112" s="346"/>
      <c r="AK112">
        <f t="shared" si="6"/>
        <v>0</v>
      </c>
      <c r="AL112" s="351">
        <f t="shared" si="7"/>
        <v>0</v>
      </c>
    </row>
    <row r="113" spans="1:40">
      <c r="A113" s="165">
        <f>'Conveyor Downtime (new)'!A113</f>
        <v>0</v>
      </c>
      <c r="AK113">
        <f t="shared" si="6"/>
        <v>0</v>
      </c>
      <c r="AL113" s="351">
        <f t="shared" si="7"/>
        <v>0</v>
      </c>
    </row>
    <row r="114" spans="1:40">
      <c r="A114" s="165">
        <f>'Conveyor Downtime (new)'!A114</f>
        <v>0</v>
      </c>
      <c r="B114" s="346"/>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s="346"/>
      <c r="AE114" s="346"/>
      <c r="AF114" s="346"/>
      <c r="AG114" s="346"/>
      <c r="AH114" s="346"/>
      <c r="AI114" s="346"/>
      <c r="AJ114" s="346"/>
      <c r="AK114">
        <f t="shared" si="6"/>
        <v>0</v>
      </c>
      <c r="AL114" s="351">
        <f t="shared" si="7"/>
        <v>0</v>
      </c>
    </row>
    <row r="115" spans="1:40">
      <c r="A115" s="165">
        <f>'Conveyor Downtime (new)'!A115</f>
        <v>0</v>
      </c>
      <c r="AK115">
        <f t="shared" si="6"/>
        <v>0</v>
      </c>
      <c r="AL115" s="351">
        <f t="shared" si="7"/>
        <v>0</v>
      </c>
    </row>
    <row r="116" spans="1:40">
      <c r="A116" s="165"/>
      <c r="B116" s="346"/>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s="346"/>
      <c r="AE116" s="346"/>
      <c r="AF116" s="346"/>
      <c r="AG116" s="346"/>
      <c r="AH116" s="346"/>
      <c r="AI116" s="346"/>
      <c r="AJ116" s="346"/>
      <c r="AK116">
        <f t="shared" si="6"/>
        <v>0</v>
      </c>
      <c r="AL116" s="351">
        <f t="shared" si="7"/>
        <v>0</v>
      </c>
    </row>
    <row r="117" spans="1:40">
      <c r="A117" s="165"/>
      <c r="AK117">
        <f t="shared" si="6"/>
        <v>0</v>
      </c>
      <c r="AL117" s="351">
        <f t="shared" si="7"/>
        <v>0</v>
      </c>
    </row>
    <row r="118" spans="1:40">
      <c r="A118" s="165"/>
      <c r="B118" s="346"/>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s="346"/>
      <c r="AE118" s="346"/>
      <c r="AF118" s="346"/>
      <c r="AG118" s="346"/>
      <c r="AH118" s="346"/>
      <c r="AI118" s="346"/>
      <c r="AJ118" s="346"/>
      <c r="AK118">
        <f t="shared" si="6"/>
        <v>0</v>
      </c>
      <c r="AL118" s="351">
        <f t="shared" si="7"/>
        <v>0</v>
      </c>
    </row>
    <row r="119" spans="1:40">
      <c r="A119" s="165"/>
      <c r="AK119">
        <f t="shared" si="6"/>
        <v>0</v>
      </c>
      <c r="AL119" s="351">
        <f t="shared" si="7"/>
        <v>0</v>
      </c>
    </row>
    <row r="120" spans="1:40">
      <c r="A120" s="165"/>
      <c r="B120" s="346"/>
      <c r="C120" s="346"/>
      <c r="D120" s="346"/>
      <c r="E120" s="346"/>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c r="AB120" s="346"/>
      <c r="AC120" s="346"/>
      <c r="AD120" s="346"/>
      <c r="AE120" s="346"/>
      <c r="AF120" s="346"/>
      <c r="AG120" s="346"/>
      <c r="AH120" s="346"/>
      <c r="AI120" s="346"/>
      <c r="AJ120" s="346"/>
      <c r="AK120">
        <f t="shared" si="6"/>
        <v>0</v>
      </c>
      <c r="AL120" s="351">
        <f t="shared" si="7"/>
        <v>0</v>
      </c>
    </row>
    <row r="121" spans="1:40" ht="15">
      <c r="A121" s="347" t="s">
        <v>173</v>
      </c>
      <c r="B121" s="347">
        <f>SUM(B67:B120)</f>
        <v>37</v>
      </c>
      <c r="C121" s="347">
        <f t="shared" ref="C121:AK121" si="8">SUM(C67:C120)</f>
        <v>5</v>
      </c>
      <c r="D121" s="347">
        <f t="shared" si="8"/>
        <v>0</v>
      </c>
      <c r="E121" s="347">
        <f t="shared" si="8"/>
        <v>0</v>
      </c>
      <c r="F121" s="347">
        <f t="shared" si="8"/>
        <v>35</v>
      </c>
      <c r="G121" s="347">
        <f t="shared" si="8"/>
        <v>0</v>
      </c>
      <c r="H121" s="347">
        <f t="shared" si="8"/>
        <v>13</v>
      </c>
      <c r="I121" s="347">
        <f t="shared" si="8"/>
        <v>12</v>
      </c>
      <c r="J121" s="347">
        <f t="shared" si="8"/>
        <v>0</v>
      </c>
      <c r="K121" s="347">
        <f t="shared" si="8"/>
        <v>0</v>
      </c>
      <c r="L121" s="347">
        <f t="shared" si="8"/>
        <v>6</v>
      </c>
      <c r="M121" s="347">
        <f t="shared" si="8"/>
        <v>0</v>
      </c>
      <c r="N121" s="347">
        <f t="shared" si="8"/>
        <v>0</v>
      </c>
      <c r="O121" s="347">
        <f t="shared" si="8"/>
        <v>0</v>
      </c>
      <c r="P121" s="347">
        <f t="shared" si="8"/>
        <v>0</v>
      </c>
      <c r="Q121" s="347">
        <f t="shared" si="8"/>
        <v>0</v>
      </c>
      <c r="R121" s="347">
        <f t="shared" si="8"/>
        <v>0</v>
      </c>
      <c r="S121" s="347">
        <f t="shared" si="8"/>
        <v>0</v>
      </c>
      <c r="T121" s="347">
        <f t="shared" si="8"/>
        <v>4</v>
      </c>
      <c r="U121" s="347">
        <f t="shared" si="8"/>
        <v>0</v>
      </c>
      <c r="V121" s="347">
        <f t="shared" si="8"/>
        <v>0</v>
      </c>
      <c r="W121" s="347">
        <f t="shared" si="8"/>
        <v>0</v>
      </c>
      <c r="X121" s="347">
        <f t="shared" si="8"/>
        <v>0</v>
      </c>
      <c r="Y121" s="347">
        <f t="shared" si="8"/>
        <v>110</v>
      </c>
      <c r="Z121" s="347">
        <f t="shared" si="8"/>
        <v>0</v>
      </c>
      <c r="AA121" s="347">
        <f t="shared" si="8"/>
        <v>0</v>
      </c>
      <c r="AB121" s="347">
        <f t="shared" si="8"/>
        <v>0</v>
      </c>
      <c r="AC121" s="347">
        <f t="shared" si="8"/>
        <v>22</v>
      </c>
      <c r="AD121" s="347">
        <f t="shared" si="8"/>
        <v>0</v>
      </c>
      <c r="AE121" s="347">
        <f t="shared" si="8"/>
        <v>0</v>
      </c>
      <c r="AF121" s="347">
        <f t="shared" si="8"/>
        <v>0</v>
      </c>
      <c r="AG121" s="347">
        <f t="shared" si="8"/>
        <v>0</v>
      </c>
      <c r="AH121" s="347">
        <f t="shared" si="8"/>
        <v>0</v>
      </c>
      <c r="AI121" s="347">
        <f t="shared" si="8"/>
        <v>0</v>
      </c>
      <c r="AJ121" s="347">
        <f t="shared" si="8"/>
        <v>7</v>
      </c>
      <c r="AK121" s="347">
        <f t="shared" si="8"/>
        <v>251</v>
      </c>
    </row>
    <row r="122" spans="1:40" ht="15.75" thickBot="1">
      <c r="A122" s="348" t="s">
        <v>174</v>
      </c>
      <c r="B122" s="348">
        <f t="shared" ref="B122:AJ122" si="9">B121/$AK121</f>
        <v>0.14741035856573706</v>
      </c>
      <c r="C122" s="348">
        <f t="shared" si="9"/>
        <v>1.9920318725099601E-2</v>
      </c>
      <c r="D122" s="348">
        <f t="shared" si="9"/>
        <v>0</v>
      </c>
      <c r="E122" s="348">
        <f t="shared" si="9"/>
        <v>0</v>
      </c>
      <c r="F122" s="348">
        <f t="shared" si="9"/>
        <v>0.1394422310756972</v>
      </c>
      <c r="G122" s="348">
        <f t="shared" si="9"/>
        <v>0</v>
      </c>
      <c r="H122" s="348">
        <f t="shared" si="9"/>
        <v>5.1792828685258967E-2</v>
      </c>
      <c r="I122" s="348">
        <f t="shared" si="9"/>
        <v>4.7808764940239043E-2</v>
      </c>
      <c r="J122" s="348">
        <f t="shared" si="9"/>
        <v>0</v>
      </c>
      <c r="K122" s="348">
        <f t="shared" si="9"/>
        <v>0</v>
      </c>
      <c r="L122" s="348">
        <f t="shared" si="9"/>
        <v>2.3904382470119521E-2</v>
      </c>
      <c r="M122" s="348">
        <f t="shared" si="9"/>
        <v>0</v>
      </c>
      <c r="N122" s="348">
        <f t="shared" si="9"/>
        <v>0</v>
      </c>
      <c r="O122" s="348">
        <f t="shared" si="9"/>
        <v>0</v>
      </c>
      <c r="P122" s="348">
        <f t="shared" si="9"/>
        <v>0</v>
      </c>
      <c r="Q122" s="348">
        <f t="shared" si="9"/>
        <v>0</v>
      </c>
      <c r="R122" s="348">
        <f t="shared" si="9"/>
        <v>0</v>
      </c>
      <c r="S122" s="348">
        <f t="shared" si="9"/>
        <v>0</v>
      </c>
      <c r="T122" s="348">
        <f t="shared" si="9"/>
        <v>1.5936254980079681E-2</v>
      </c>
      <c r="U122" s="348">
        <f t="shared" si="9"/>
        <v>0</v>
      </c>
      <c r="V122" s="348">
        <f t="shared" si="9"/>
        <v>0</v>
      </c>
      <c r="W122" s="348">
        <f t="shared" si="9"/>
        <v>0</v>
      </c>
      <c r="X122" s="348">
        <f t="shared" si="9"/>
        <v>0</v>
      </c>
      <c r="Y122" s="348">
        <f t="shared" si="9"/>
        <v>0.43824701195219123</v>
      </c>
      <c r="Z122" s="348">
        <f t="shared" si="9"/>
        <v>0</v>
      </c>
      <c r="AA122" s="348">
        <f t="shared" si="9"/>
        <v>0</v>
      </c>
      <c r="AB122" s="348">
        <f t="shared" si="9"/>
        <v>0</v>
      </c>
      <c r="AC122" s="348">
        <f t="shared" si="9"/>
        <v>8.7649402390438252E-2</v>
      </c>
      <c r="AD122" s="348">
        <f t="shared" si="9"/>
        <v>0</v>
      </c>
      <c r="AE122" s="348">
        <f t="shared" si="9"/>
        <v>0</v>
      </c>
      <c r="AF122" s="348">
        <f t="shared" si="9"/>
        <v>0</v>
      </c>
      <c r="AG122" s="348">
        <f t="shared" si="9"/>
        <v>0</v>
      </c>
      <c r="AH122" s="348">
        <f t="shared" si="9"/>
        <v>0</v>
      </c>
      <c r="AI122" s="348">
        <f t="shared" si="9"/>
        <v>0</v>
      </c>
      <c r="AJ122" s="348">
        <f t="shared" si="9"/>
        <v>2.7888446215139442E-2</v>
      </c>
    </row>
    <row r="124" spans="1:40">
      <c r="A124" s="165"/>
    </row>
    <row r="125" spans="1:40">
      <c r="A125" s="165"/>
    </row>
    <row r="126" spans="1:40">
      <c r="A126" s="165"/>
    </row>
    <row r="127" spans="1:40">
      <c r="A127" s="165">
        <f>'Conveyor Downtime (new)'!A124</f>
        <v>46083</v>
      </c>
      <c r="B127" s="346"/>
      <c r="C127" s="346"/>
      <c r="D127" s="346"/>
      <c r="E127" s="346"/>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c r="AB127" s="346"/>
      <c r="AC127" s="346"/>
      <c r="AD127" s="346"/>
      <c r="AE127" s="346"/>
      <c r="AF127" s="346"/>
      <c r="AG127" s="346"/>
      <c r="AH127" s="346"/>
      <c r="AI127" s="346"/>
      <c r="AJ127" s="346">
        <f>7</f>
        <v>7</v>
      </c>
      <c r="AK127">
        <f>SUM(B127:AJ127)</f>
        <v>7</v>
      </c>
      <c r="AL127" s="351">
        <f t="shared" ref="AL127:AL133" si="10">AK127/$AK$183</f>
        <v>1.0703363914373088E-2</v>
      </c>
      <c r="AN127" s="351"/>
    </row>
    <row r="128" spans="1:40">
      <c r="A128" s="165">
        <f>'Conveyor Downtime (new)'!A125</f>
        <v>46083</v>
      </c>
      <c r="F128">
        <f>1+1</f>
        <v>2</v>
      </c>
      <c r="L128">
        <f>3+26</f>
        <v>29</v>
      </c>
      <c r="AK128">
        <f t="shared" ref="AK128:AK169" si="11">SUM(B128:AJ128)</f>
        <v>31</v>
      </c>
      <c r="AL128" s="351">
        <f t="shared" si="10"/>
        <v>4.7400611620795105E-2</v>
      </c>
      <c r="AN128" s="351"/>
    </row>
    <row r="129" spans="1:40">
      <c r="A129" s="165">
        <f>'Conveyor Downtime (new)'!A126</f>
        <v>46084</v>
      </c>
      <c r="B129" s="346">
        <f>3+2+1</f>
        <v>6</v>
      </c>
      <c r="C129" s="346"/>
      <c r="D129" s="346"/>
      <c r="E129" s="346"/>
      <c r="F129" s="346">
        <f>1+1</f>
        <v>2</v>
      </c>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s="346"/>
      <c r="AE129" s="346"/>
      <c r="AF129" s="346"/>
      <c r="AG129" s="346"/>
      <c r="AH129" s="346"/>
      <c r="AI129" s="346"/>
      <c r="AJ129" s="346"/>
      <c r="AK129">
        <f t="shared" si="11"/>
        <v>8</v>
      </c>
      <c r="AL129" s="351">
        <f t="shared" si="10"/>
        <v>1.2232415902140673E-2</v>
      </c>
      <c r="AN129" s="351"/>
    </row>
    <row r="130" spans="1:40">
      <c r="A130" s="165">
        <f>'Conveyor Downtime (new)'!A127</f>
        <v>46085</v>
      </c>
      <c r="B130">
        <f>2</f>
        <v>2</v>
      </c>
      <c r="F130">
        <v>1</v>
      </c>
      <c r="AK130">
        <f t="shared" si="11"/>
        <v>3</v>
      </c>
      <c r="AL130" s="351">
        <f t="shared" si="10"/>
        <v>4.5871559633027525E-3</v>
      </c>
      <c r="AN130" s="351"/>
    </row>
    <row r="131" spans="1:40">
      <c r="A131" s="165">
        <f>'Conveyor Downtime (new)'!A128</f>
        <v>46085</v>
      </c>
      <c r="B131" s="346">
        <f>2+2+2+2</f>
        <v>8</v>
      </c>
      <c r="C131" s="346">
        <f>2+1+2+2</f>
        <v>7</v>
      </c>
      <c r="D131" s="346"/>
      <c r="E131" s="346"/>
      <c r="F131" s="346">
        <f>1+1</f>
        <v>2</v>
      </c>
      <c r="G131" s="346">
        <f>1</f>
        <v>1</v>
      </c>
      <c r="H131" s="346"/>
      <c r="I131" s="346"/>
      <c r="J131" s="346"/>
      <c r="K131" s="346"/>
      <c r="L131" s="346"/>
      <c r="M131" s="346"/>
      <c r="N131" s="346"/>
      <c r="O131" s="346">
        <f>9</f>
        <v>9</v>
      </c>
      <c r="P131" s="346"/>
      <c r="Q131" s="346"/>
      <c r="R131" s="346"/>
      <c r="S131" s="346"/>
      <c r="T131" s="346"/>
      <c r="U131" s="346"/>
      <c r="V131" s="346"/>
      <c r="W131" s="346"/>
      <c r="X131" s="346"/>
      <c r="Y131" s="346">
        <f>2+3</f>
        <v>5</v>
      </c>
      <c r="Z131" s="346"/>
      <c r="AA131" s="346"/>
      <c r="AB131" s="346"/>
      <c r="AC131" s="346"/>
      <c r="AD131" s="346"/>
      <c r="AE131" s="346"/>
      <c r="AF131" s="346"/>
      <c r="AG131" s="346"/>
      <c r="AH131" s="346"/>
      <c r="AI131" s="346"/>
      <c r="AJ131" s="346"/>
      <c r="AK131">
        <f t="shared" si="11"/>
        <v>32</v>
      </c>
      <c r="AL131" s="351">
        <f t="shared" si="10"/>
        <v>4.8929663608562692E-2</v>
      </c>
      <c r="AN131" s="351"/>
    </row>
    <row r="132" spans="1:40">
      <c r="A132" s="165">
        <f>'Conveyor Downtime (new)'!A129</f>
        <v>46086</v>
      </c>
      <c r="B132" s="346"/>
      <c r="C132" s="346"/>
      <c r="D132" s="346"/>
      <c r="E132" s="346"/>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c r="AK132">
        <f t="shared" si="11"/>
        <v>0</v>
      </c>
      <c r="AL132" s="351">
        <f t="shared" si="10"/>
        <v>0</v>
      </c>
      <c r="AN132" s="351"/>
    </row>
    <row r="133" spans="1:40">
      <c r="A133" s="165">
        <f>'Conveyor Downtime (new)'!A130</f>
        <v>46086</v>
      </c>
      <c r="B133">
        <v>3</v>
      </c>
      <c r="C133">
        <v>2</v>
      </c>
      <c r="F133">
        <f>1</f>
        <v>1</v>
      </c>
      <c r="AC133">
        <f>40+47</f>
        <v>87</v>
      </c>
      <c r="AF133">
        <f>5</f>
        <v>5</v>
      </c>
      <c r="AJ133">
        <f>4+2</f>
        <v>6</v>
      </c>
      <c r="AK133">
        <f t="shared" si="11"/>
        <v>104</v>
      </c>
      <c r="AL133" s="351">
        <f t="shared" si="10"/>
        <v>0.15902140672782875</v>
      </c>
      <c r="AN133" s="351"/>
    </row>
    <row r="134" spans="1:40">
      <c r="A134" s="165">
        <f>'Conveyor Downtime (new)'!A131</f>
        <v>46087</v>
      </c>
      <c r="B134" s="346"/>
      <c r="C134" s="346"/>
      <c r="D134" s="346"/>
      <c r="E134" s="346"/>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c r="AK134">
        <f t="shared" si="11"/>
        <v>0</v>
      </c>
      <c r="AL134" s="351">
        <f t="shared" ref="AL134:AL165" si="12">AK134/$AK$183</f>
        <v>0</v>
      </c>
      <c r="AN134" s="351"/>
    </row>
    <row r="135" spans="1:40">
      <c r="A135" s="165">
        <f>'Conveyor Downtime (new)'!A132</f>
        <v>46087</v>
      </c>
      <c r="B135">
        <f>1</f>
        <v>1</v>
      </c>
      <c r="F135">
        <v>1</v>
      </c>
      <c r="AK135">
        <f t="shared" si="11"/>
        <v>2</v>
      </c>
      <c r="AL135" s="351">
        <f t="shared" si="12"/>
        <v>3.0581039755351682E-3</v>
      </c>
      <c r="AN135" s="351"/>
    </row>
    <row r="136" spans="1:40">
      <c r="A136" s="165">
        <f>'Conveyor Downtime (new)'!A133</f>
        <v>46087</v>
      </c>
      <c r="B136" s="346"/>
      <c r="C136" s="346"/>
      <c r="D136" s="346"/>
      <c r="E136" s="346"/>
      <c r="F136" s="346">
        <v>1</v>
      </c>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c r="AK136">
        <f t="shared" si="11"/>
        <v>1</v>
      </c>
      <c r="AL136" s="351">
        <f t="shared" si="12"/>
        <v>1.5290519877675841E-3</v>
      </c>
      <c r="AN136" s="351"/>
    </row>
    <row r="137" spans="1:40">
      <c r="A137" s="165">
        <f>'Conveyor Downtime (new)'!A134</f>
        <v>46089</v>
      </c>
      <c r="B137">
        <f>2+1</f>
        <v>3</v>
      </c>
      <c r="F137" s="358">
        <f>1+1+1+1</f>
        <v>4</v>
      </c>
      <c r="H137">
        <f>38+9</f>
        <v>47</v>
      </c>
      <c r="AK137">
        <f t="shared" si="11"/>
        <v>54</v>
      </c>
      <c r="AL137" s="351">
        <f t="shared" si="12"/>
        <v>8.2568807339449546E-2</v>
      </c>
      <c r="AN137" s="351"/>
    </row>
    <row r="138" spans="1:40">
      <c r="A138" s="165">
        <f>'Conveyor Downtime (new)'!A135</f>
        <v>46090</v>
      </c>
      <c r="B138" s="346"/>
      <c r="C138" s="346"/>
      <c r="D138" s="346"/>
      <c r="E138" s="346"/>
      <c r="F138" s="346">
        <f>1+1</f>
        <v>2</v>
      </c>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c r="AK138">
        <f t="shared" si="11"/>
        <v>2</v>
      </c>
      <c r="AL138" s="351">
        <f t="shared" si="12"/>
        <v>3.0581039755351682E-3</v>
      </c>
      <c r="AN138" s="351"/>
    </row>
    <row r="139" spans="1:40">
      <c r="A139" s="165">
        <f>'Conveyor Downtime (new)'!A136</f>
        <v>46091</v>
      </c>
      <c r="F139">
        <f>1+1+1+1</f>
        <v>4</v>
      </c>
      <c r="T139">
        <f>3</f>
        <v>3</v>
      </c>
      <c r="W139">
        <f>7</f>
        <v>7</v>
      </c>
      <c r="AK139">
        <f t="shared" si="11"/>
        <v>14</v>
      </c>
      <c r="AL139" s="351">
        <f t="shared" si="12"/>
        <v>2.1406727828746176E-2</v>
      </c>
      <c r="AN139" s="351"/>
    </row>
    <row r="140" spans="1:40">
      <c r="A140" s="165">
        <f>'Conveyor Downtime (new)'!A137</f>
        <v>46091</v>
      </c>
      <c r="B140" s="346">
        <f>5</f>
        <v>5</v>
      </c>
      <c r="C140" s="346"/>
      <c r="D140" s="346"/>
      <c r="E140" s="346"/>
      <c r="F140" s="346">
        <f>1</f>
        <v>1</v>
      </c>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f>6+12</f>
        <v>18</v>
      </c>
      <c r="AG140" s="346"/>
      <c r="AH140" s="346"/>
      <c r="AI140" s="346"/>
      <c r="AJ140" s="346"/>
      <c r="AK140">
        <f t="shared" si="11"/>
        <v>24</v>
      </c>
      <c r="AL140" s="351">
        <f t="shared" si="12"/>
        <v>3.669724770642202E-2</v>
      </c>
      <c r="AN140" s="351"/>
    </row>
    <row r="141" spans="1:40">
      <c r="A141" s="165">
        <f>'Conveyor Downtime (new)'!A138</f>
        <v>46092</v>
      </c>
      <c r="B141">
        <f>2</f>
        <v>2</v>
      </c>
      <c r="AK141">
        <f t="shared" si="11"/>
        <v>2</v>
      </c>
      <c r="AL141" s="351">
        <f t="shared" si="12"/>
        <v>3.0581039755351682E-3</v>
      </c>
      <c r="AN141" s="351"/>
    </row>
    <row r="142" spans="1:40">
      <c r="A142" s="165">
        <f>'Conveyor Downtime (new)'!A139</f>
        <v>46092</v>
      </c>
      <c r="B142" s="346">
        <f>3</f>
        <v>3</v>
      </c>
      <c r="C142" s="346"/>
      <c r="D142" s="346"/>
      <c r="E142" s="346"/>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c r="AB142" s="346"/>
      <c r="AC142" s="346"/>
      <c r="AD142" s="346"/>
      <c r="AE142" s="346"/>
      <c r="AF142" s="346"/>
      <c r="AG142" s="346"/>
      <c r="AH142" s="346"/>
      <c r="AI142" s="346"/>
      <c r="AJ142" s="346"/>
      <c r="AK142">
        <f t="shared" si="11"/>
        <v>3</v>
      </c>
      <c r="AL142" s="351">
        <f t="shared" si="12"/>
        <v>4.5871559633027525E-3</v>
      </c>
      <c r="AN142" s="351"/>
    </row>
    <row r="143" spans="1:40">
      <c r="A143" s="165">
        <f>'Conveyor Downtime (new)'!A140</f>
        <v>46092</v>
      </c>
      <c r="B143">
        <f>2</f>
        <v>2</v>
      </c>
      <c r="S143" s="77">
        <f>10+25+50</f>
        <v>85</v>
      </c>
      <c r="AK143">
        <f t="shared" si="11"/>
        <v>87</v>
      </c>
      <c r="AL143" s="351">
        <f t="shared" si="12"/>
        <v>0.13302752293577982</v>
      </c>
      <c r="AN143" s="351"/>
    </row>
    <row r="144" spans="1:40">
      <c r="A144" s="165">
        <f>'Conveyor Downtime (new)'!A141</f>
        <v>46093</v>
      </c>
      <c r="B144" s="346">
        <f>2</f>
        <v>2</v>
      </c>
      <c r="C144" s="346"/>
      <c r="D144" s="346"/>
      <c r="E144" s="346"/>
      <c r="F144" s="346">
        <f>1+1+1+1+1</f>
        <v>5</v>
      </c>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f t="shared" si="11"/>
        <v>7</v>
      </c>
      <c r="AL144" s="351">
        <f t="shared" si="12"/>
        <v>1.0703363914373088E-2</v>
      </c>
      <c r="AN144" s="351"/>
    </row>
    <row r="145" spans="1:40">
      <c r="A145" s="165">
        <f>'Conveyor Downtime (new)'!A142</f>
        <v>46093</v>
      </c>
      <c r="F145">
        <f>1</f>
        <v>1</v>
      </c>
      <c r="AB145">
        <f>3</f>
        <v>3</v>
      </c>
      <c r="AK145">
        <f t="shared" si="11"/>
        <v>4</v>
      </c>
      <c r="AL145" s="351">
        <f t="shared" si="12"/>
        <v>6.1162079510703364E-3</v>
      </c>
      <c r="AN145" s="351"/>
    </row>
    <row r="146" spans="1:40">
      <c r="A146" s="165">
        <f>'Conveyor Downtime (new)'!A143</f>
        <v>46094</v>
      </c>
      <c r="B146" s="346">
        <f>2</f>
        <v>2</v>
      </c>
      <c r="C146" s="346"/>
      <c r="D146" s="346"/>
      <c r="E146" s="346"/>
      <c r="F146" s="346"/>
      <c r="G146" s="346"/>
      <c r="H146" s="346"/>
      <c r="I146" s="346"/>
      <c r="J146" s="346"/>
      <c r="K146" s="346"/>
      <c r="L146" s="346"/>
      <c r="M146" s="346"/>
      <c r="N146" s="346"/>
      <c r="O146" s="346"/>
      <c r="P146" s="346"/>
      <c r="Q146" s="346"/>
      <c r="R146" s="346"/>
      <c r="S146" s="346"/>
      <c r="T146" s="346">
        <v>5</v>
      </c>
      <c r="U146" s="346"/>
      <c r="V146" s="346"/>
      <c r="W146" s="346"/>
      <c r="X146" s="346"/>
      <c r="Y146" s="346"/>
      <c r="Z146" s="346"/>
      <c r="AA146" s="346"/>
      <c r="AB146" s="346"/>
      <c r="AC146" s="346"/>
      <c r="AD146" s="346"/>
      <c r="AE146" s="346"/>
      <c r="AF146" s="346"/>
      <c r="AG146" s="346"/>
      <c r="AH146" s="346"/>
      <c r="AI146" s="346"/>
      <c r="AJ146" s="346"/>
      <c r="AK146">
        <f t="shared" si="11"/>
        <v>7</v>
      </c>
      <c r="AL146" s="351">
        <f t="shared" si="12"/>
        <v>1.0703363914373088E-2</v>
      </c>
      <c r="AN146" s="351"/>
    </row>
    <row r="147" spans="1:40">
      <c r="A147" s="165">
        <f>'Conveyor Downtime (new)'!A144</f>
        <v>46094</v>
      </c>
      <c r="B147">
        <f>2</f>
        <v>2</v>
      </c>
      <c r="F147">
        <f>1</f>
        <v>1</v>
      </c>
      <c r="Q147" s="363"/>
      <c r="X147" s="137"/>
      <c r="Y147">
        <v>3</v>
      </c>
      <c r="AK147">
        <f t="shared" si="11"/>
        <v>6</v>
      </c>
      <c r="AL147" s="351">
        <f t="shared" si="12"/>
        <v>9.1743119266055051E-3</v>
      </c>
      <c r="AN147" s="351"/>
    </row>
    <row r="148" spans="1:40">
      <c r="A148" s="165">
        <f>'Conveyor Downtime (new)'!A145</f>
        <v>46097</v>
      </c>
      <c r="B148" s="346"/>
      <c r="C148" s="346"/>
      <c r="D148" s="346"/>
      <c r="E148" s="346"/>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f>3</f>
        <v>3</v>
      </c>
      <c r="AB148" s="346"/>
      <c r="AC148" s="346"/>
      <c r="AD148" s="346"/>
      <c r="AE148" s="346"/>
      <c r="AF148" s="346"/>
      <c r="AG148" s="346"/>
      <c r="AH148" s="346"/>
      <c r="AI148" s="346"/>
      <c r="AJ148" s="346"/>
      <c r="AK148">
        <f t="shared" si="11"/>
        <v>3</v>
      </c>
      <c r="AL148" s="351">
        <f t="shared" si="12"/>
        <v>4.5871559633027525E-3</v>
      </c>
      <c r="AN148" s="351"/>
    </row>
    <row r="149" spans="1:40">
      <c r="A149" s="165">
        <f>'Conveyor Downtime (new)'!A146</f>
        <v>46098</v>
      </c>
      <c r="AK149">
        <f t="shared" si="11"/>
        <v>0</v>
      </c>
      <c r="AL149" s="351">
        <f t="shared" si="12"/>
        <v>0</v>
      </c>
      <c r="AN149" s="351"/>
    </row>
    <row r="150" spans="1:40">
      <c r="A150" s="165">
        <f>'Conveyor Downtime (new)'!A147</f>
        <v>46099</v>
      </c>
      <c r="B150">
        <f>2</f>
        <v>2</v>
      </c>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c r="AK150">
        <f t="shared" si="11"/>
        <v>2</v>
      </c>
      <c r="AL150" s="351">
        <f t="shared" si="12"/>
        <v>3.0581039755351682E-3</v>
      </c>
      <c r="AN150" s="351"/>
    </row>
    <row r="151" spans="1:40">
      <c r="A151" s="165">
        <f>'Conveyor Downtime (new)'!A148</f>
        <v>46099</v>
      </c>
      <c r="B151" s="346"/>
      <c r="C151" s="346"/>
      <c r="D151" s="346"/>
      <c r="E151" s="346"/>
      <c r="F151" s="346">
        <f>1</f>
        <v>1</v>
      </c>
      <c r="AK151">
        <f t="shared" si="11"/>
        <v>1</v>
      </c>
      <c r="AL151" s="351">
        <f t="shared" si="12"/>
        <v>1.5290519877675841E-3</v>
      </c>
      <c r="AN151" s="351"/>
    </row>
    <row r="152" spans="1:40">
      <c r="A152" s="165">
        <f>'Conveyor Downtime (new)'!A149</f>
        <v>46100</v>
      </c>
      <c r="B152">
        <f>2+2+1+2+2</f>
        <v>9</v>
      </c>
      <c r="F152">
        <f>1+1+1</f>
        <v>3</v>
      </c>
      <c r="G152" s="346"/>
      <c r="H152" s="346"/>
      <c r="I152" s="346"/>
      <c r="J152" s="346"/>
      <c r="K152" s="34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c r="AK152">
        <f t="shared" si="11"/>
        <v>12</v>
      </c>
      <c r="AL152" s="351">
        <f t="shared" si="12"/>
        <v>1.834862385321101E-2</v>
      </c>
      <c r="AN152" s="351"/>
    </row>
    <row r="153" spans="1:40">
      <c r="A153" s="165">
        <f>'Conveyor Downtime (new)'!A150</f>
        <v>46100</v>
      </c>
      <c r="AK153">
        <f t="shared" si="11"/>
        <v>0</v>
      </c>
      <c r="AL153" s="351">
        <f t="shared" si="12"/>
        <v>0</v>
      </c>
      <c r="AN153" s="351"/>
    </row>
    <row r="154" spans="1:40">
      <c r="A154" s="165">
        <f>'Conveyor Downtime (new)'!A151</f>
        <v>46100</v>
      </c>
      <c r="B154" s="346">
        <f>3</f>
        <v>3</v>
      </c>
      <c r="C154" s="346"/>
      <c r="D154" s="346"/>
      <c r="E154" s="346"/>
      <c r="F154" s="346">
        <f>1+1</f>
        <v>2</v>
      </c>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f t="shared" si="11"/>
        <v>5</v>
      </c>
      <c r="AL154" s="351">
        <f t="shared" si="12"/>
        <v>7.6452599388379203E-3</v>
      </c>
      <c r="AN154" s="351"/>
    </row>
    <row r="155" spans="1:40">
      <c r="A155" s="165">
        <f>'Conveyor Downtime (new)'!A152</f>
        <v>46101</v>
      </c>
      <c r="F155">
        <f>1+1</f>
        <v>2</v>
      </c>
      <c r="AK155">
        <f t="shared" si="11"/>
        <v>2</v>
      </c>
      <c r="AL155" s="351">
        <f t="shared" si="12"/>
        <v>3.0581039755351682E-3</v>
      </c>
      <c r="AN155" s="351"/>
    </row>
    <row r="156" spans="1:40">
      <c r="A156" s="165">
        <f>'Conveyor Downtime (new)'!A153</f>
        <v>46101</v>
      </c>
      <c r="B156" s="346"/>
      <c r="C156" s="346"/>
      <c r="D156" s="346"/>
      <c r="E156" s="346"/>
      <c r="F156" s="346">
        <f>1</f>
        <v>1</v>
      </c>
      <c r="G156" s="346"/>
      <c r="H156" s="346"/>
      <c r="I156" s="346"/>
      <c r="J156" s="346"/>
      <c r="K156" s="346"/>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c r="AK156">
        <f t="shared" si="11"/>
        <v>1</v>
      </c>
      <c r="AL156" s="351">
        <f t="shared" si="12"/>
        <v>1.5290519877675841E-3</v>
      </c>
      <c r="AN156" s="351"/>
    </row>
    <row r="157" spans="1:40">
      <c r="A157" s="165">
        <f>'Conveyor Downtime (new)'!A154</f>
        <v>46104</v>
      </c>
      <c r="F157">
        <f>1+1</f>
        <v>2</v>
      </c>
      <c r="W157">
        <f>7</f>
        <v>7</v>
      </c>
      <c r="Y157" s="137"/>
      <c r="AA157">
        <f>3</f>
        <v>3</v>
      </c>
      <c r="AK157">
        <f t="shared" si="11"/>
        <v>12</v>
      </c>
      <c r="AL157" s="351">
        <f t="shared" si="12"/>
        <v>1.834862385321101E-2</v>
      </c>
      <c r="AN157" s="351"/>
    </row>
    <row r="158" spans="1:40">
      <c r="A158" s="165">
        <f>'Conveyor Downtime (new)'!A155</f>
        <v>46104</v>
      </c>
      <c r="B158">
        <f>1</f>
        <v>1</v>
      </c>
      <c r="C158" s="346"/>
      <c r="D158" s="346"/>
      <c r="E158" s="346"/>
      <c r="F158" s="346">
        <f>1</f>
        <v>1</v>
      </c>
      <c r="H158" s="346"/>
      <c r="I158" s="346"/>
      <c r="J158" s="346"/>
      <c r="K158" s="346"/>
      <c r="L158" s="346"/>
      <c r="M158" s="346"/>
      <c r="N158" s="346"/>
      <c r="O158" s="346"/>
      <c r="P158" s="346"/>
      <c r="Q158" s="346"/>
      <c r="R158" s="346"/>
      <c r="S158" s="346"/>
      <c r="Z158" s="346"/>
      <c r="AA158" s="346"/>
      <c r="AB158" s="346"/>
      <c r="AC158" s="346"/>
      <c r="AD158" s="346"/>
      <c r="AE158" s="346"/>
      <c r="AF158" s="346"/>
      <c r="AG158" s="346"/>
      <c r="AH158" s="346"/>
      <c r="AI158" s="346"/>
      <c r="AJ158" s="346"/>
      <c r="AK158">
        <f t="shared" si="11"/>
        <v>2</v>
      </c>
      <c r="AL158" s="351">
        <f t="shared" si="12"/>
        <v>3.0581039755351682E-3</v>
      </c>
      <c r="AN158" s="351"/>
    </row>
    <row r="159" spans="1:40">
      <c r="A159" s="165">
        <f>'Conveyor Downtime (new)'!A156</f>
        <v>46104</v>
      </c>
      <c r="B159">
        <f>2</f>
        <v>2</v>
      </c>
      <c r="F159">
        <f>1</f>
        <v>1</v>
      </c>
      <c r="T159">
        <v>6</v>
      </c>
      <c r="AK159">
        <f t="shared" si="11"/>
        <v>9</v>
      </c>
      <c r="AL159" s="351">
        <f t="shared" si="12"/>
        <v>1.3761467889908258E-2</v>
      </c>
      <c r="AN159" s="351"/>
    </row>
    <row r="160" spans="1:40">
      <c r="A160" s="165">
        <f>'Conveyor Downtime (new)'!A157</f>
        <v>46105</v>
      </c>
      <c r="B160" s="346"/>
      <c r="C160" s="346"/>
      <c r="D160" s="346"/>
      <c r="E160" s="346"/>
      <c r="F160" s="346">
        <f>1</f>
        <v>1</v>
      </c>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s="346"/>
      <c r="AH160" s="346"/>
      <c r="AI160" s="346"/>
      <c r="AJ160" s="346"/>
      <c r="AK160">
        <f t="shared" si="11"/>
        <v>1</v>
      </c>
      <c r="AL160" s="351">
        <f t="shared" si="12"/>
        <v>1.5290519877675841E-3</v>
      </c>
      <c r="AN160" s="351"/>
    </row>
    <row r="161" spans="1:40">
      <c r="A161" s="165">
        <f>'Conveyor Downtime (new)'!A158</f>
        <v>46105</v>
      </c>
      <c r="B161">
        <f>1</f>
        <v>1</v>
      </c>
      <c r="AK161">
        <f t="shared" si="11"/>
        <v>1</v>
      </c>
      <c r="AL161" s="351">
        <f t="shared" si="12"/>
        <v>1.5290519877675841E-3</v>
      </c>
      <c r="AN161" s="351"/>
    </row>
    <row r="162" spans="1:40">
      <c r="A162" s="165">
        <f>'Conveyor Downtime (new)'!A159</f>
        <v>46106</v>
      </c>
      <c r="B162" s="346">
        <f>2+6</f>
        <v>8</v>
      </c>
      <c r="C162" s="346"/>
      <c r="D162" s="346"/>
      <c r="E162" s="346"/>
      <c r="F162" s="346">
        <f>1+1</f>
        <v>2</v>
      </c>
      <c r="G162" s="346"/>
      <c r="H162" s="346"/>
      <c r="I162" s="346"/>
      <c r="J162" s="346"/>
      <c r="K162" s="346"/>
      <c r="L162" s="346"/>
      <c r="M162" s="346"/>
      <c r="N162" s="346"/>
      <c r="O162" s="346"/>
      <c r="P162" s="346"/>
      <c r="Q162" s="346"/>
      <c r="R162" s="346"/>
      <c r="S162" s="346"/>
      <c r="T162" s="346"/>
      <c r="U162" s="346"/>
      <c r="V162" s="346"/>
      <c r="W162" s="346"/>
      <c r="X162" s="346"/>
      <c r="Y162" s="346"/>
      <c r="Z162" s="346"/>
      <c r="AA162" s="346"/>
      <c r="AB162" s="346"/>
      <c r="AC162" s="346"/>
      <c r="AD162" s="346"/>
      <c r="AE162" s="346"/>
      <c r="AF162" s="346"/>
      <c r="AG162" s="346"/>
      <c r="AH162" s="346"/>
      <c r="AI162" s="346"/>
      <c r="AJ162" s="346"/>
      <c r="AK162">
        <f t="shared" si="11"/>
        <v>10</v>
      </c>
      <c r="AL162" s="351">
        <f t="shared" si="12"/>
        <v>1.5290519877675841E-2</v>
      </c>
      <c r="AN162" s="351"/>
    </row>
    <row r="163" spans="1:40">
      <c r="A163" s="165">
        <f>'Conveyor Downtime (new)'!A160</f>
        <v>46106</v>
      </c>
      <c r="AF163">
        <f>60+20</f>
        <v>80</v>
      </c>
      <c r="AK163">
        <f t="shared" si="11"/>
        <v>80</v>
      </c>
      <c r="AL163" s="351">
        <f t="shared" si="12"/>
        <v>0.12232415902140673</v>
      </c>
      <c r="AN163" s="351"/>
    </row>
    <row r="164" spans="1:40">
      <c r="A164" s="165">
        <f>'Conveyor Downtime (new)'!A161</f>
        <v>46106</v>
      </c>
      <c r="B164" s="346"/>
      <c r="C164" s="346"/>
      <c r="D164" s="346"/>
      <c r="E164" s="346"/>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c r="AE164" s="346"/>
      <c r="AF164" s="346"/>
      <c r="AG164" s="346"/>
      <c r="AH164" s="346"/>
      <c r="AI164" s="346"/>
      <c r="AJ164" s="346"/>
      <c r="AK164">
        <f t="shared" si="11"/>
        <v>0</v>
      </c>
      <c r="AL164" s="351">
        <f t="shared" si="12"/>
        <v>0</v>
      </c>
      <c r="AN164" s="351"/>
    </row>
    <row r="165" spans="1:40">
      <c r="A165" s="165">
        <f>'Conveyor Downtime (new)'!A162</f>
        <v>46106</v>
      </c>
      <c r="AK165">
        <f t="shared" si="11"/>
        <v>0</v>
      </c>
      <c r="AL165" s="351">
        <f t="shared" si="12"/>
        <v>0</v>
      </c>
      <c r="AN165" s="351"/>
    </row>
    <row r="166" spans="1:40">
      <c r="A166" s="165">
        <f>'Conveyor Downtime (new)'!A163</f>
        <v>46107</v>
      </c>
      <c r="B166" s="346"/>
      <c r="C166" s="346"/>
      <c r="D166" s="346"/>
      <c r="E166" s="346"/>
      <c r="F166" s="346">
        <f>1</f>
        <v>1</v>
      </c>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346"/>
      <c r="AK166">
        <f t="shared" si="11"/>
        <v>1</v>
      </c>
      <c r="AL166" s="351">
        <f t="shared" ref="AL166:AL182" si="13">AK166/$AK$183</f>
        <v>1.5290519877675841E-3</v>
      </c>
      <c r="AN166" s="351"/>
    </row>
    <row r="167" spans="1:40">
      <c r="A167" s="165">
        <f>'Conveyor Downtime (new)'!A164</f>
        <v>46107</v>
      </c>
      <c r="T167">
        <v>4</v>
      </c>
      <c r="AK167">
        <f t="shared" si="11"/>
        <v>4</v>
      </c>
      <c r="AL167" s="351">
        <f t="shared" si="13"/>
        <v>6.1162079510703364E-3</v>
      </c>
      <c r="AN167" s="351"/>
    </row>
    <row r="168" spans="1:40">
      <c r="A168" s="165">
        <f>'Conveyor Downtime (new)'!A165</f>
        <v>46107</v>
      </c>
      <c r="T168">
        <v>4</v>
      </c>
      <c r="AK168">
        <f t="shared" si="11"/>
        <v>4</v>
      </c>
      <c r="AL168" s="351">
        <f t="shared" si="13"/>
        <v>6.1162079510703364E-3</v>
      </c>
      <c r="AN168" s="351"/>
    </row>
    <row r="169" spans="1:40">
      <c r="A169" s="165">
        <f>'Conveyor Downtime (new)'!A166</f>
        <v>46107</v>
      </c>
      <c r="B169" s="346"/>
      <c r="C169" s="346"/>
      <c r="D169" s="346"/>
      <c r="E169" s="346"/>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46"/>
      <c r="AE169" s="346"/>
      <c r="AF169" s="346"/>
      <c r="AG169" s="346"/>
      <c r="AH169" s="346"/>
      <c r="AI169" s="346"/>
      <c r="AJ169" s="346"/>
      <c r="AK169">
        <f t="shared" si="11"/>
        <v>0</v>
      </c>
      <c r="AL169" s="351">
        <f t="shared" si="13"/>
        <v>0</v>
      </c>
      <c r="AN169" s="351"/>
    </row>
    <row r="170" spans="1:40">
      <c r="A170" s="165">
        <f>'Conveyor Downtime (new)'!A167</f>
        <v>46108</v>
      </c>
      <c r="AK170">
        <f t="shared" ref="AK170:AK182" si="14">SUM(B170:AJ170)</f>
        <v>0</v>
      </c>
      <c r="AL170" s="351">
        <f t="shared" si="13"/>
        <v>0</v>
      </c>
      <c r="AN170" s="351"/>
    </row>
    <row r="171" spans="1:40">
      <c r="A171" s="165">
        <f>'Conveyor Downtime (new)'!A168</f>
        <v>46108</v>
      </c>
      <c r="B171" s="346">
        <f>1+1+1</f>
        <v>3</v>
      </c>
      <c r="C171" s="346"/>
      <c r="D171" s="346"/>
      <c r="E171" s="346"/>
      <c r="F171" s="346">
        <f>1+2</f>
        <v>3</v>
      </c>
      <c r="G171" s="346"/>
      <c r="H171" s="346"/>
      <c r="I171" s="346"/>
      <c r="J171" s="346"/>
      <c r="K171" s="346"/>
      <c r="L171" s="346"/>
      <c r="M171" s="346"/>
      <c r="N171" s="346"/>
      <c r="O171" s="346"/>
      <c r="P171" s="346"/>
      <c r="Q171" s="346"/>
      <c r="R171" s="346"/>
      <c r="S171" s="346"/>
      <c r="T171" s="346">
        <v>1</v>
      </c>
      <c r="U171" s="346"/>
      <c r="V171" s="346"/>
      <c r="W171" s="346"/>
      <c r="X171" s="346"/>
      <c r="Y171" s="346"/>
      <c r="Z171" s="346"/>
      <c r="AA171" s="346"/>
      <c r="AB171" s="346"/>
      <c r="AC171" s="346"/>
      <c r="AD171" s="346"/>
      <c r="AE171" s="346"/>
      <c r="AF171" s="346"/>
      <c r="AG171" s="346"/>
      <c r="AH171" s="346"/>
      <c r="AI171" s="346"/>
      <c r="AJ171" s="346"/>
      <c r="AK171">
        <f t="shared" si="14"/>
        <v>7</v>
      </c>
      <c r="AL171" s="351">
        <f t="shared" si="13"/>
        <v>1.0703363914373088E-2</v>
      </c>
      <c r="AN171" s="351"/>
    </row>
    <row r="172" spans="1:40">
      <c r="A172" s="165">
        <f>'Conveyor Downtime (new)'!A169</f>
        <v>46111</v>
      </c>
      <c r="B172">
        <f>2</f>
        <v>2</v>
      </c>
      <c r="F172">
        <f>1+1+1+1</f>
        <v>4</v>
      </c>
      <c r="T172">
        <f>5</f>
        <v>5</v>
      </c>
      <c r="AJ172">
        <f>7</f>
        <v>7</v>
      </c>
      <c r="AK172">
        <f t="shared" si="14"/>
        <v>18</v>
      </c>
      <c r="AL172" s="351">
        <f t="shared" si="13"/>
        <v>2.7522935779816515E-2</v>
      </c>
      <c r="AN172" s="351"/>
    </row>
    <row r="173" spans="1:40">
      <c r="A173" s="165">
        <f>'Conveyor Downtime (new)'!A170</f>
        <v>46112</v>
      </c>
      <c r="B173" s="346"/>
      <c r="C173" s="346"/>
      <c r="D173" s="346"/>
      <c r="E173" s="346"/>
      <c r="F173" s="346">
        <f>1+1</f>
        <v>2</v>
      </c>
      <c r="G173" s="346"/>
      <c r="H173" s="346"/>
      <c r="I173" s="346"/>
      <c r="J173" s="346"/>
      <c r="K173" s="346"/>
      <c r="L173" s="346"/>
      <c r="M173" s="346"/>
      <c r="N173" s="346"/>
      <c r="O173" s="346"/>
      <c r="P173" s="346"/>
      <c r="Q173" s="346"/>
      <c r="R173" s="346"/>
      <c r="S173" s="346"/>
      <c r="T173" s="346"/>
      <c r="U173" s="346"/>
      <c r="V173" s="346"/>
      <c r="W173" s="346"/>
      <c r="X173" s="346"/>
      <c r="Y173" s="346"/>
      <c r="Z173" s="346"/>
      <c r="AA173" s="346"/>
      <c r="AB173" s="346"/>
      <c r="AC173" s="346"/>
      <c r="AD173" s="346"/>
      <c r="AE173" s="346"/>
      <c r="AF173" s="346"/>
      <c r="AG173" s="346"/>
      <c r="AH173" s="346"/>
      <c r="AI173" s="346"/>
      <c r="AJ173" s="346"/>
      <c r="AK173">
        <f t="shared" si="14"/>
        <v>2</v>
      </c>
      <c r="AL173" s="351">
        <f t="shared" si="13"/>
        <v>3.0581039755351682E-3</v>
      </c>
      <c r="AN173" s="351"/>
    </row>
    <row r="174" spans="1:40">
      <c r="A174" s="165">
        <f>'Conveyor Downtime (new)'!A171</f>
        <v>46112</v>
      </c>
      <c r="B174">
        <v>1</v>
      </c>
      <c r="F174">
        <v>1</v>
      </c>
      <c r="T174">
        <v>3</v>
      </c>
      <c r="AK174">
        <f t="shared" si="14"/>
        <v>5</v>
      </c>
      <c r="AL174" s="351">
        <f t="shared" si="13"/>
        <v>7.6452599388379203E-3</v>
      </c>
      <c r="AN174" s="351"/>
    </row>
    <row r="175" spans="1:40">
      <c r="A175" s="165">
        <f>'Conveyor Downtime (new)'!A172</f>
        <v>46112</v>
      </c>
      <c r="B175" s="346"/>
      <c r="C175" s="346"/>
      <c r="D175" s="346"/>
      <c r="E175" s="346"/>
      <c r="F175" s="346">
        <f>1</f>
        <v>1</v>
      </c>
      <c r="G175" s="346"/>
      <c r="H175" s="34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346"/>
      <c r="AF175" s="346"/>
      <c r="AG175" s="346"/>
      <c r="AH175" s="346"/>
      <c r="AI175" s="346"/>
      <c r="AJ175" s="346"/>
      <c r="AK175">
        <f t="shared" si="14"/>
        <v>1</v>
      </c>
      <c r="AL175" s="351">
        <f t="shared" si="13"/>
        <v>1.5290519877675841E-3</v>
      </c>
      <c r="AN175" s="351"/>
    </row>
    <row r="176" spans="1:40">
      <c r="A176" s="165">
        <f>'Conveyor Downtime (new)'!A173</f>
        <v>46112</v>
      </c>
      <c r="B176" s="346"/>
      <c r="C176" s="346"/>
      <c r="D176" s="346"/>
      <c r="E176" s="346"/>
      <c r="F176" s="346">
        <v>1</v>
      </c>
      <c r="G176" s="346"/>
      <c r="H176" s="346"/>
      <c r="I176" s="346"/>
      <c r="J176" s="346"/>
      <c r="K176" s="346"/>
      <c r="L176" s="346"/>
      <c r="M176" s="346"/>
      <c r="N176" s="346"/>
      <c r="O176" s="346"/>
      <c r="P176" s="346"/>
      <c r="Q176" s="346"/>
      <c r="R176" s="346"/>
      <c r="S176" s="346"/>
      <c r="T176" s="346">
        <v>8</v>
      </c>
      <c r="U176" s="346"/>
      <c r="V176" s="346"/>
      <c r="W176" s="346">
        <f>23</f>
        <v>23</v>
      </c>
      <c r="X176" s="346"/>
      <c r="Y176" s="346"/>
      <c r="Z176" s="346"/>
      <c r="AA176" s="346"/>
      <c r="AB176" s="346"/>
      <c r="AC176" s="346"/>
      <c r="AD176" s="346"/>
      <c r="AE176" s="346"/>
      <c r="AF176" s="346">
        <v>36</v>
      </c>
      <c r="AG176" s="346"/>
      <c r="AH176" s="346"/>
      <c r="AI176" s="346"/>
      <c r="AJ176" s="346">
        <f>5</f>
        <v>5</v>
      </c>
      <c r="AK176">
        <f t="shared" si="14"/>
        <v>73</v>
      </c>
      <c r="AL176" s="351">
        <f t="shared" si="13"/>
        <v>0.11162079510703364</v>
      </c>
      <c r="AN176" s="351"/>
    </row>
    <row r="177" spans="1:40">
      <c r="A177" s="165">
        <f>'Conveyor Downtime (new)'!A174</f>
        <v>0</v>
      </c>
      <c r="AK177">
        <f t="shared" si="14"/>
        <v>0</v>
      </c>
      <c r="AL177" s="351">
        <f t="shared" si="13"/>
        <v>0</v>
      </c>
      <c r="AN177" s="351"/>
    </row>
    <row r="178" spans="1:40">
      <c r="A178" s="165">
        <f>'Conveyor Downtime (new)'!A175</f>
        <v>0</v>
      </c>
      <c r="B178" s="346"/>
      <c r="C178" s="346"/>
      <c r="D178" s="346"/>
      <c r="E178" s="346"/>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f t="shared" si="14"/>
        <v>0</v>
      </c>
      <c r="AL178" s="351">
        <f t="shared" si="13"/>
        <v>0</v>
      </c>
      <c r="AN178" s="351"/>
    </row>
    <row r="179" spans="1:40">
      <c r="A179" s="165"/>
      <c r="AK179">
        <f t="shared" si="14"/>
        <v>0</v>
      </c>
      <c r="AL179" s="351">
        <f t="shared" si="13"/>
        <v>0</v>
      </c>
      <c r="AN179" s="351"/>
    </row>
    <row r="180" spans="1:40">
      <c r="A180" s="165"/>
      <c r="B180" s="346"/>
      <c r="C180" s="346"/>
      <c r="D180" s="346"/>
      <c r="E180" s="346"/>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f t="shared" si="14"/>
        <v>0</v>
      </c>
      <c r="AL180" s="351">
        <f t="shared" si="13"/>
        <v>0</v>
      </c>
      <c r="AN180" s="351"/>
    </row>
    <row r="181" spans="1:40">
      <c r="A181" s="165"/>
      <c r="AK181">
        <f t="shared" si="14"/>
        <v>0</v>
      </c>
      <c r="AL181" s="351">
        <f t="shared" si="13"/>
        <v>0</v>
      </c>
      <c r="AN181" s="351"/>
    </row>
    <row r="182" spans="1:40">
      <c r="A182" s="165"/>
      <c r="B182" s="346"/>
      <c r="C182" s="346"/>
      <c r="D182" s="346"/>
      <c r="E182" s="346"/>
      <c r="F182" s="346"/>
      <c r="G182" s="346"/>
      <c r="H182" s="346"/>
      <c r="I182" s="346"/>
      <c r="J182" s="346"/>
      <c r="K182" s="346"/>
      <c r="L182" s="346"/>
      <c r="M182" s="346"/>
      <c r="N182" s="346"/>
      <c r="O182" s="346"/>
      <c r="P182" s="346"/>
      <c r="Q182" s="346"/>
      <c r="R182" s="346"/>
      <c r="S182" s="346"/>
      <c r="T182" s="346"/>
      <c r="U182" s="346"/>
      <c r="V182" s="346"/>
      <c r="W182" s="346"/>
      <c r="X182" s="346"/>
      <c r="Y182" s="346"/>
      <c r="Z182" s="346"/>
      <c r="AA182" s="346"/>
      <c r="AB182" s="346"/>
      <c r="AC182" s="346"/>
      <c r="AD182" s="346"/>
      <c r="AE182" s="346"/>
      <c r="AF182" s="346"/>
      <c r="AG182" s="346"/>
      <c r="AH182" s="346"/>
      <c r="AI182" s="346"/>
      <c r="AJ182" s="346"/>
      <c r="AK182">
        <f t="shared" si="14"/>
        <v>0</v>
      </c>
      <c r="AL182" s="351">
        <f t="shared" si="13"/>
        <v>0</v>
      </c>
      <c r="AN182" s="351"/>
    </row>
    <row r="183" spans="1:40" ht="15">
      <c r="A183" s="347" t="s">
        <v>113</v>
      </c>
      <c r="B183" s="347">
        <f t="shared" ref="B183:AJ183" si="15">SUM(B127:B182)</f>
        <v>73</v>
      </c>
      <c r="C183" s="347">
        <f t="shared" si="15"/>
        <v>9</v>
      </c>
      <c r="D183" s="347">
        <f t="shared" si="15"/>
        <v>0</v>
      </c>
      <c r="E183" s="347">
        <f t="shared" si="15"/>
        <v>0</v>
      </c>
      <c r="F183" s="347">
        <f t="shared" si="15"/>
        <v>57</v>
      </c>
      <c r="G183" s="347">
        <f t="shared" si="15"/>
        <v>1</v>
      </c>
      <c r="H183" s="347">
        <f t="shared" si="15"/>
        <v>47</v>
      </c>
      <c r="I183" s="347">
        <f t="shared" si="15"/>
        <v>0</v>
      </c>
      <c r="J183" s="347">
        <f t="shared" si="15"/>
        <v>0</v>
      </c>
      <c r="K183" s="347">
        <f t="shared" si="15"/>
        <v>0</v>
      </c>
      <c r="L183" s="347">
        <f t="shared" si="15"/>
        <v>29</v>
      </c>
      <c r="M183" s="347">
        <f t="shared" si="15"/>
        <v>0</v>
      </c>
      <c r="N183" s="347">
        <f t="shared" si="15"/>
        <v>0</v>
      </c>
      <c r="O183" s="347">
        <f t="shared" si="15"/>
        <v>9</v>
      </c>
      <c r="P183" s="347">
        <f t="shared" si="15"/>
        <v>0</v>
      </c>
      <c r="Q183" s="347">
        <f t="shared" si="15"/>
        <v>0</v>
      </c>
      <c r="R183" s="347">
        <f t="shared" si="15"/>
        <v>0</v>
      </c>
      <c r="S183" s="347">
        <f t="shared" si="15"/>
        <v>85</v>
      </c>
      <c r="T183" s="347">
        <f t="shared" si="15"/>
        <v>39</v>
      </c>
      <c r="U183" s="347">
        <f t="shared" si="15"/>
        <v>0</v>
      </c>
      <c r="V183" s="347">
        <f t="shared" si="15"/>
        <v>0</v>
      </c>
      <c r="W183" s="347">
        <f t="shared" si="15"/>
        <v>37</v>
      </c>
      <c r="X183" s="347">
        <f t="shared" si="15"/>
        <v>0</v>
      </c>
      <c r="Y183" s="347">
        <f t="shared" si="15"/>
        <v>8</v>
      </c>
      <c r="Z183" s="347">
        <f t="shared" si="15"/>
        <v>0</v>
      </c>
      <c r="AA183" s="347">
        <f t="shared" si="15"/>
        <v>6</v>
      </c>
      <c r="AB183" s="347">
        <f t="shared" si="15"/>
        <v>3</v>
      </c>
      <c r="AC183" s="347">
        <f t="shared" si="15"/>
        <v>87</v>
      </c>
      <c r="AD183" s="347">
        <f t="shared" si="15"/>
        <v>0</v>
      </c>
      <c r="AE183" s="347">
        <f t="shared" si="15"/>
        <v>0</v>
      </c>
      <c r="AF183" s="347">
        <f t="shared" si="15"/>
        <v>139</v>
      </c>
      <c r="AG183" s="347">
        <f t="shared" si="15"/>
        <v>0</v>
      </c>
      <c r="AH183" s="347">
        <f t="shared" si="15"/>
        <v>0</v>
      </c>
      <c r="AI183" s="347">
        <f t="shared" si="15"/>
        <v>0</v>
      </c>
      <c r="AJ183" s="347">
        <f t="shared" si="15"/>
        <v>25</v>
      </c>
      <c r="AK183" s="347">
        <f>SUM(AK127:AK182)</f>
        <v>654</v>
      </c>
      <c r="AL183" s="347">
        <f t="shared" ref="AL183" si="16">SUM(AL127:AL182)</f>
        <v>0.99999999999999989</v>
      </c>
      <c r="AM183" s="375"/>
      <c r="AN183" s="375"/>
    </row>
    <row r="184" spans="1:40" ht="15.75" thickBot="1">
      <c r="A184" s="348" t="s">
        <v>174</v>
      </c>
      <c r="B184" s="348">
        <f t="shared" ref="B184:AA184" si="17">B183/$AK183</f>
        <v>0.11162079510703364</v>
      </c>
      <c r="C184" s="348">
        <f t="shared" si="17"/>
        <v>1.3761467889908258E-2</v>
      </c>
      <c r="D184" s="348">
        <f t="shared" si="17"/>
        <v>0</v>
      </c>
      <c r="E184" s="348">
        <f t="shared" si="17"/>
        <v>0</v>
      </c>
      <c r="F184" s="348">
        <f t="shared" si="17"/>
        <v>8.7155963302752298E-2</v>
      </c>
      <c r="G184" s="348">
        <f t="shared" si="17"/>
        <v>1.5290519877675841E-3</v>
      </c>
      <c r="H184" s="348">
        <f t="shared" si="17"/>
        <v>7.1865443425076447E-2</v>
      </c>
      <c r="I184" s="348">
        <f t="shared" si="17"/>
        <v>0</v>
      </c>
      <c r="J184" s="348">
        <f t="shared" si="17"/>
        <v>0</v>
      </c>
      <c r="K184" s="348">
        <f t="shared" si="17"/>
        <v>0</v>
      </c>
      <c r="L184" s="348">
        <f t="shared" si="17"/>
        <v>4.4342507645259939E-2</v>
      </c>
      <c r="M184" s="348">
        <f t="shared" si="17"/>
        <v>0</v>
      </c>
      <c r="N184" s="348">
        <f t="shared" si="17"/>
        <v>0</v>
      </c>
      <c r="O184" s="348">
        <f t="shared" si="17"/>
        <v>1.3761467889908258E-2</v>
      </c>
      <c r="P184" s="348">
        <f t="shared" si="17"/>
        <v>0</v>
      </c>
      <c r="Q184" s="348">
        <f t="shared" si="17"/>
        <v>0</v>
      </c>
      <c r="R184" s="348">
        <f t="shared" si="17"/>
        <v>0</v>
      </c>
      <c r="S184" s="348">
        <f t="shared" si="17"/>
        <v>0.12996941896024464</v>
      </c>
      <c r="T184" s="348">
        <f t="shared" si="17"/>
        <v>5.9633027522935783E-2</v>
      </c>
      <c r="U184" s="348">
        <f t="shared" si="17"/>
        <v>0</v>
      </c>
      <c r="V184" s="348">
        <f t="shared" si="17"/>
        <v>0</v>
      </c>
      <c r="W184" s="348">
        <f t="shared" si="17"/>
        <v>5.657492354740061E-2</v>
      </c>
      <c r="X184" s="348">
        <f t="shared" si="17"/>
        <v>0</v>
      </c>
      <c r="Y184" s="348">
        <f t="shared" si="17"/>
        <v>1.2232415902140673E-2</v>
      </c>
      <c r="Z184" s="348">
        <f t="shared" si="17"/>
        <v>0</v>
      </c>
      <c r="AA184" s="348">
        <f t="shared" si="17"/>
        <v>9.1743119266055051E-3</v>
      </c>
      <c r="AB184" s="348">
        <f t="shared" ref="AB184:AJ184" si="18">AB183/$AK183</f>
        <v>4.5871559633027525E-3</v>
      </c>
      <c r="AC184" s="348">
        <f t="shared" si="18"/>
        <v>0.13302752293577982</v>
      </c>
      <c r="AD184" s="348">
        <f t="shared" si="18"/>
        <v>0</v>
      </c>
      <c r="AE184" s="348">
        <f t="shared" si="18"/>
        <v>0</v>
      </c>
      <c r="AF184" s="348">
        <f t="shared" si="18"/>
        <v>0.21253822629969418</v>
      </c>
      <c r="AG184" s="348">
        <f t="shared" si="18"/>
        <v>0</v>
      </c>
      <c r="AH184" s="348">
        <f t="shared" si="18"/>
        <v>0</v>
      </c>
      <c r="AI184" s="348">
        <f t="shared" si="18"/>
        <v>0</v>
      </c>
      <c r="AJ184" s="348">
        <f t="shared" si="18"/>
        <v>3.82262996941896E-2</v>
      </c>
      <c r="AK184" s="376"/>
      <c r="AL184" s="376"/>
      <c r="AM184" s="376"/>
      <c r="AN184" s="376"/>
    </row>
    <row r="189" spans="1:40">
      <c r="A189" s="165">
        <f>'Conveyor Downtime (new)'!A187</f>
        <v>46113</v>
      </c>
      <c r="B189" s="346">
        <f>2</f>
        <v>2</v>
      </c>
      <c r="C189" s="346"/>
      <c r="D189" s="346"/>
      <c r="E189" s="346"/>
      <c r="F189" s="346">
        <f>1+1</f>
        <v>2</v>
      </c>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f t="shared" ref="AK189:AK230" si="19">SUM(B189:AJ189)</f>
        <v>4</v>
      </c>
      <c r="AL189" s="351">
        <f t="shared" ref="AL189:AL215" si="20">AK189/$AK$245</f>
        <v>1.5186028853454822E-3</v>
      </c>
    </row>
    <row r="190" spans="1:40">
      <c r="A190" s="165">
        <f>'Conveyor Downtime (new)'!A188</f>
        <v>46113</v>
      </c>
      <c r="T190">
        <v>6</v>
      </c>
      <c r="AK190">
        <f t="shared" si="19"/>
        <v>6</v>
      </c>
      <c r="AL190" s="351">
        <f t="shared" si="20"/>
        <v>2.2779043280182231E-3</v>
      </c>
    </row>
    <row r="191" spans="1:40">
      <c r="A191" s="165">
        <f>'Conveyor Downtime (new)'!A189</f>
        <v>46113</v>
      </c>
      <c r="B191" s="346"/>
      <c r="C191" s="346"/>
      <c r="D191" s="346"/>
      <c r="E191" s="346"/>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f>29+60+60+60+60+60+60+540</f>
        <v>929</v>
      </c>
      <c r="AG191" s="346"/>
      <c r="AH191" s="346"/>
      <c r="AI191" s="346"/>
      <c r="AJ191" s="346"/>
      <c r="AK191">
        <f t="shared" si="19"/>
        <v>929</v>
      </c>
      <c r="AL191" s="351">
        <f t="shared" si="20"/>
        <v>0.35269552012148825</v>
      </c>
    </row>
    <row r="192" spans="1:40">
      <c r="A192" s="165">
        <f>'Conveyor Downtime (new)'!A190</f>
        <v>46114</v>
      </c>
      <c r="K192">
        <f>10+60</f>
        <v>70</v>
      </c>
      <c r="P192">
        <f>60+40</f>
        <v>100</v>
      </c>
      <c r="AF192">
        <f>420+60+40</f>
        <v>520</v>
      </c>
      <c r="AK192">
        <f t="shared" si="19"/>
        <v>690</v>
      </c>
      <c r="AL192" s="351">
        <f t="shared" si="20"/>
        <v>0.26195899772209569</v>
      </c>
    </row>
    <row r="193" spans="1:38">
      <c r="A193" s="165">
        <f>'Conveyor Downtime (new)'!A191</f>
        <v>46114</v>
      </c>
      <c r="B193" s="346"/>
      <c r="C193" s="346"/>
      <c r="D193" s="346"/>
      <c r="E193" s="346"/>
      <c r="F193" s="346"/>
      <c r="G193" s="346"/>
      <c r="H193" s="346"/>
      <c r="I193" s="346"/>
      <c r="J193" s="346"/>
      <c r="K193" s="346"/>
      <c r="L193" s="346"/>
      <c r="M193" s="346"/>
      <c r="N193" s="346"/>
      <c r="O193" s="346"/>
      <c r="P193" s="346"/>
      <c r="Q193" s="346"/>
      <c r="R193" s="346"/>
      <c r="S193" s="346"/>
      <c r="T193" s="346"/>
      <c r="U193" s="346"/>
      <c r="V193" s="346"/>
      <c r="W193" s="346"/>
      <c r="X193" s="346"/>
      <c r="Y193" s="346">
        <f>3</f>
        <v>3</v>
      </c>
      <c r="Z193" s="346"/>
      <c r="AA193" s="346"/>
      <c r="AB193" s="346"/>
      <c r="AC193" s="346"/>
      <c r="AD193" s="346"/>
      <c r="AE193" s="346"/>
      <c r="AF193" s="346"/>
      <c r="AG193" s="346"/>
      <c r="AH193" s="346"/>
      <c r="AI193" s="346"/>
      <c r="AJ193" s="346">
        <f>20+22</f>
        <v>42</v>
      </c>
      <c r="AK193">
        <f t="shared" si="19"/>
        <v>45</v>
      </c>
      <c r="AL193" s="351">
        <f t="shared" si="20"/>
        <v>1.7084282460136675E-2</v>
      </c>
    </row>
    <row r="194" spans="1:38">
      <c r="A194" s="165">
        <f>'Conveyor Downtime (new)'!A192</f>
        <v>46119</v>
      </c>
      <c r="B194">
        <f>2</f>
        <v>2</v>
      </c>
      <c r="P194">
        <f>60+60+20</f>
        <v>140</v>
      </c>
      <c r="Y194">
        <f>46+60+60</f>
        <v>166</v>
      </c>
      <c r="AK194">
        <f t="shared" si="19"/>
        <v>308</v>
      </c>
      <c r="AL194" s="351">
        <f t="shared" si="20"/>
        <v>0.11693242217160213</v>
      </c>
    </row>
    <row r="195" spans="1:38">
      <c r="A195" s="165">
        <f>'Conveyor Downtime (new)'!A193</f>
        <v>46119</v>
      </c>
      <c r="B195" s="346"/>
      <c r="C195" s="346"/>
      <c r="D195" s="346"/>
      <c r="E195" s="346"/>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346"/>
      <c r="AK195">
        <f t="shared" si="19"/>
        <v>0</v>
      </c>
      <c r="AL195" s="351">
        <f t="shared" si="20"/>
        <v>0</v>
      </c>
    </row>
    <row r="196" spans="1:38">
      <c r="A196" s="165">
        <f>'Conveyor Downtime (new)'!A194</f>
        <v>46120</v>
      </c>
      <c r="F196">
        <f>1+1</f>
        <v>2</v>
      </c>
      <c r="S196">
        <v>34</v>
      </c>
      <c r="W196">
        <f>17</f>
        <v>17</v>
      </c>
      <c r="Y196">
        <f>16+7</f>
        <v>23</v>
      </c>
      <c r="Z196">
        <v>35</v>
      </c>
      <c r="AK196">
        <f t="shared" si="19"/>
        <v>111</v>
      </c>
      <c r="AL196" s="351">
        <f t="shared" si="20"/>
        <v>4.2141230068337129E-2</v>
      </c>
    </row>
    <row r="197" spans="1:38">
      <c r="A197" s="165">
        <f>'Conveyor Downtime (new)'!A195</f>
        <v>46120</v>
      </c>
      <c r="B197" s="346">
        <f>5</f>
        <v>5</v>
      </c>
      <c r="C197" s="346"/>
      <c r="D197" s="346"/>
      <c r="E197" s="346"/>
      <c r="F197" s="346">
        <f>1</f>
        <v>1</v>
      </c>
      <c r="G197" s="346"/>
      <c r="H197" s="34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346"/>
      <c r="AK197">
        <f t="shared" si="19"/>
        <v>6</v>
      </c>
      <c r="AL197" s="351">
        <f t="shared" si="20"/>
        <v>2.2779043280182231E-3</v>
      </c>
    </row>
    <row r="198" spans="1:38">
      <c r="A198" s="165">
        <f>'Conveyor Downtime (new)'!A196</f>
        <v>46121</v>
      </c>
      <c r="B198">
        <f>2+4+2+3+1+3+5+3</f>
        <v>23</v>
      </c>
      <c r="F198">
        <f>1+1+1+1</f>
        <v>4</v>
      </c>
      <c r="T198">
        <f>6+3</f>
        <v>9</v>
      </c>
      <c r="AJ198">
        <f>18</f>
        <v>18</v>
      </c>
      <c r="AK198">
        <f t="shared" si="19"/>
        <v>54</v>
      </c>
      <c r="AL198" s="351">
        <f t="shared" si="20"/>
        <v>2.0501138952164009E-2</v>
      </c>
    </row>
    <row r="199" spans="1:38">
      <c r="A199" s="165">
        <f>'Conveyor Downtime (new)'!A197</f>
        <v>46122</v>
      </c>
      <c r="B199" s="346">
        <f>2+3</f>
        <v>5</v>
      </c>
      <c r="C199" s="346"/>
      <c r="D199" s="346"/>
      <c r="E199" s="346"/>
      <c r="F199" s="346">
        <f>1+1+1</f>
        <v>3</v>
      </c>
      <c r="G199" s="346"/>
      <c r="H199" s="34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346"/>
      <c r="AK199">
        <f t="shared" si="19"/>
        <v>8</v>
      </c>
      <c r="AL199" s="351">
        <f t="shared" si="20"/>
        <v>3.0372057706909645E-3</v>
      </c>
    </row>
    <row r="200" spans="1:38">
      <c r="A200" s="165">
        <f>'Conveyor Downtime (new)'!A198</f>
        <v>46125</v>
      </c>
      <c r="B200">
        <f>3</f>
        <v>3</v>
      </c>
      <c r="F200">
        <f>1+1+1</f>
        <v>3</v>
      </c>
      <c r="T200">
        <v>15</v>
      </c>
      <c r="AK200">
        <f t="shared" si="19"/>
        <v>21</v>
      </c>
      <c r="AL200" s="351">
        <f t="shared" si="20"/>
        <v>7.972665148063782E-3</v>
      </c>
    </row>
    <row r="201" spans="1:38">
      <c r="A201" s="165">
        <f>'Conveyor Downtime (new)'!A199</f>
        <v>46125</v>
      </c>
      <c r="B201" s="346">
        <v>2</v>
      </c>
      <c r="C201" s="346"/>
      <c r="D201" s="346"/>
      <c r="E201" s="346"/>
      <c r="F201" s="346">
        <v>1</v>
      </c>
      <c r="G201" s="346"/>
      <c r="H201" s="346"/>
      <c r="I201" s="346"/>
      <c r="J201" s="346"/>
      <c r="K201" s="346"/>
      <c r="L201" s="346"/>
      <c r="M201" s="346"/>
      <c r="N201" s="346"/>
      <c r="O201" s="346"/>
      <c r="P201" s="346"/>
      <c r="Q201" s="346"/>
      <c r="R201" s="346"/>
      <c r="S201" s="346"/>
      <c r="T201" s="346"/>
      <c r="U201" s="346"/>
      <c r="V201" s="346"/>
      <c r="W201" s="346"/>
      <c r="X201" s="346"/>
      <c r="Y201" s="346"/>
      <c r="Z201" s="346"/>
      <c r="AA201" s="346"/>
      <c r="AB201" s="346"/>
      <c r="AC201" s="346"/>
      <c r="AD201" s="346"/>
      <c r="AE201" s="346"/>
      <c r="AF201" s="346"/>
      <c r="AG201" s="346"/>
      <c r="AH201" s="346"/>
      <c r="AI201" s="346"/>
      <c r="AJ201" s="346">
        <f>6</f>
        <v>6</v>
      </c>
      <c r="AK201">
        <f t="shared" si="19"/>
        <v>9</v>
      </c>
      <c r="AL201" s="351">
        <f t="shared" si="20"/>
        <v>3.4168564920273349E-3</v>
      </c>
    </row>
    <row r="202" spans="1:38">
      <c r="A202" s="165">
        <f>'Conveyor Downtime (new)'!A200</f>
        <v>46126</v>
      </c>
      <c r="B202">
        <f>2+2</f>
        <v>4</v>
      </c>
      <c r="F202">
        <f>1+1+1</f>
        <v>3</v>
      </c>
      <c r="AK202">
        <f t="shared" si="19"/>
        <v>7</v>
      </c>
      <c r="AL202" s="351">
        <f t="shared" si="20"/>
        <v>2.6575550493545936E-3</v>
      </c>
    </row>
    <row r="203" spans="1:38">
      <c r="A203" s="165">
        <f>'Conveyor Downtime (new)'!A201</f>
        <v>46126</v>
      </c>
      <c r="B203" s="346"/>
      <c r="C203" s="346"/>
      <c r="D203" s="346"/>
      <c r="E203" s="346"/>
      <c r="F203" s="346">
        <v>1</v>
      </c>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f t="shared" si="19"/>
        <v>1</v>
      </c>
      <c r="AL203" s="351">
        <f t="shared" si="20"/>
        <v>3.7965072133637056E-4</v>
      </c>
    </row>
    <row r="204" spans="1:38">
      <c r="A204" s="165">
        <f>'Conveyor Downtime (new)'!A202</f>
        <v>46126</v>
      </c>
      <c r="AK204">
        <f t="shared" si="19"/>
        <v>0</v>
      </c>
      <c r="AL204" s="351">
        <f t="shared" si="20"/>
        <v>0</v>
      </c>
    </row>
    <row r="205" spans="1:38">
      <c r="A205" s="165">
        <f>'Conveyor Downtime (new)'!A203</f>
        <v>46126</v>
      </c>
      <c r="B205" s="346"/>
      <c r="C205" s="346"/>
      <c r="D205" s="346"/>
      <c r="E205" s="346"/>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f t="shared" si="19"/>
        <v>0</v>
      </c>
      <c r="AL205" s="351">
        <f t="shared" si="20"/>
        <v>0</v>
      </c>
    </row>
    <row r="206" spans="1:38">
      <c r="A206" s="165">
        <f>'Conveyor Downtime (new)'!A204</f>
        <v>46127</v>
      </c>
      <c r="F206">
        <f>1</f>
        <v>1</v>
      </c>
      <c r="AK206">
        <f t="shared" si="19"/>
        <v>1</v>
      </c>
      <c r="AL206" s="351">
        <f t="shared" si="20"/>
        <v>3.7965072133637056E-4</v>
      </c>
    </row>
    <row r="207" spans="1:38">
      <c r="A207" s="165">
        <f>'Conveyor Downtime (new)'!A205</f>
        <v>46127</v>
      </c>
      <c r="B207" s="346">
        <f>3</f>
        <v>3</v>
      </c>
      <c r="C207" s="346"/>
      <c r="D207" s="346"/>
      <c r="E207" s="346"/>
      <c r="F207" s="346">
        <f>1</f>
        <v>1</v>
      </c>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f t="shared" si="19"/>
        <v>4</v>
      </c>
      <c r="AL207" s="351">
        <f t="shared" si="20"/>
        <v>1.5186028853454822E-3</v>
      </c>
    </row>
    <row r="208" spans="1:38">
      <c r="A208" s="165">
        <f>'Conveyor Downtime (new)'!A206</f>
        <v>46127</v>
      </c>
      <c r="B208">
        <f>2+2</f>
        <v>4</v>
      </c>
      <c r="F208">
        <v>1</v>
      </c>
      <c r="AJ208">
        <f>5+4+3+47+60</f>
        <v>119</v>
      </c>
      <c r="AK208">
        <f t="shared" si="19"/>
        <v>124</v>
      </c>
      <c r="AL208" s="351">
        <f t="shared" si="20"/>
        <v>4.7076689445709946E-2</v>
      </c>
    </row>
    <row r="209" spans="1:38">
      <c r="A209" s="165">
        <f>'Conveyor Downtime (new)'!A207</f>
        <v>46128</v>
      </c>
      <c r="B209" s="346">
        <f>1+4</f>
        <v>5</v>
      </c>
      <c r="C209" s="346"/>
      <c r="D209" s="346"/>
      <c r="E209" s="346"/>
      <c r="F209" s="346">
        <f>1+1</f>
        <v>2</v>
      </c>
      <c r="G209" s="346"/>
      <c r="H209" s="346"/>
      <c r="I209" s="346"/>
      <c r="J209" s="346"/>
      <c r="K209" s="346"/>
      <c r="L209" s="346"/>
      <c r="M209" s="346"/>
      <c r="N209" s="346"/>
      <c r="O209" s="346"/>
      <c r="P209" s="346"/>
      <c r="Q209" s="346"/>
      <c r="R209" s="346"/>
      <c r="S209" s="346"/>
      <c r="T209" s="346"/>
      <c r="U209" s="346"/>
      <c r="V209" s="346"/>
      <c r="W209" s="346"/>
      <c r="X209" s="346"/>
      <c r="Y209" s="346"/>
      <c r="Z209" s="346"/>
      <c r="AA209" s="346"/>
      <c r="AB209" s="346"/>
      <c r="AC209" s="346"/>
      <c r="AD209" s="346"/>
      <c r="AE209" s="346"/>
      <c r="AF209" s="346"/>
      <c r="AG209" s="346"/>
      <c r="AH209" s="346"/>
      <c r="AI209" s="346"/>
      <c r="AJ209" s="346"/>
      <c r="AK209">
        <f t="shared" si="19"/>
        <v>7</v>
      </c>
      <c r="AL209" s="351">
        <f t="shared" si="20"/>
        <v>2.6575550493545936E-3</v>
      </c>
    </row>
    <row r="210" spans="1:38">
      <c r="A210" s="165">
        <f>'Conveyor Downtime (new)'!A208</f>
        <v>46128</v>
      </c>
      <c r="B210">
        <f>3+1</f>
        <v>4</v>
      </c>
      <c r="F210">
        <f>1+1+1</f>
        <v>3</v>
      </c>
      <c r="AK210">
        <f t="shared" si="19"/>
        <v>7</v>
      </c>
      <c r="AL210" s="351">
        <f t="shared" si="20"/>
        <v>2.6575550493545936E-3</v>
      </c>
    </row>
    <row r="211" spans="1:38">
      <c r="A211" s="165">
        <f>'Conveyor Downtime (new)'!A209</f>
        <v>46129</v>
      </c>
      <c r="B211" s="346">
        <f>1+2+2+2</f>
        <v>7</v>
      </c>
      <c r="C211" s="346"/>
      <c r="D211" s="346"/>
      <c r="E211" s="346"/>
      <c r="F211" s="346">
        <f>1+1</f>
        <v>2</v>
      </c>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f t="shared" si="19"/>
        <v>9</v>
      </c>
      <c r="AL211" s="351">
        <f t="shared" si="20"/>
        <v>3.4168564920273349E-3</v>
      </c>
    </row>
    <row r="212" spans="1:38">
      <c r="A212" s="165">
        <f>'Conveyor Downtime (new)'!A210</f>
        <v>46129</v>
      </c>
      <c r="AK212">
        <f t="shared" si="19"/>
        <v>0</v>
      </c>
      <c r="AL212" s="351">
        <f t="shared" si="20"/>
        <v>0</v>
      </c>
    </row>
    <row r="213" spans="1:38">
      <c r="A213" s="165">
        <f>'Conveyor Downtime (new)'!A211</f>
        <v>46132</v>
      </c>
      <c r="B213" s="346">
        <f>1</f>
        <v>1</v>
      </c>
      <c r="C213" s="346"/>
      <c r="D213" s="346"/>
      <c r="E213" s="346"/>
      <c r="F213" s="346">
        <v>1</v>
      </c>
      <c r="G213" s="346"/>
      <c r="H213" s="346"/>
      <c r="I213" s="346"/>
      <c r="J213" s="346"/>
      <c r="K213" s="346"/>
      <c r="L213" s="346"/>
      <c r="M213" s="346"/>
      <c r="N213" s="346"/>
      <c r="O213" s="346"/>
      <c r="P213" s="346"/>
      <c r="Q213" s="346"/>
      <c r="R213" s="346"/>
      <c r="S213" s="346"/>
      <c r="T213" s="346"/>
      <c r="U213" s="346"/>
      <c r="V213" s="346"/>
      <c r="W213" s="346"/>
      <c r="X213" s="346"/>
      <c r="Y213" s="346">
        <f>4+30</f>
        <v>34</v>
      </c>
      <c r="Z213" s="346"/>
      <c r="AA213" s="346"/>
      <c r="AB213" s="346"/>
      <c r="AC213" s="346"/>
      <c r="AD213" s="346"/>
      <c r="AE213" s="346"/>
      <c r="AF213" s="346"/>
      <c r="AG213" s="346"/>
      <c r="AH213" s="346"/>
      <c r="AI213" s="346"/>
      <c r="AJ213" s="346"/>
      <c r="AK213">
        <f t="shared" si="19"/>
        <v>36</v>
      </c>
      <c r="AL213" s="351">
        <f t="shared" si="20"/>
        <v>1.366742596810934E-2</v>
      </c>
    </row>
    <row r="214" spans="1:38">
      <c r="A214" s="165">
        <f>'Conveyor Downtime (new)'!A212</f>
        <v>46132</v>
      </c>
      <c r="F214">
        <f>1</f>
        <v>1</v>
      </c>
      <c r="AK214">
        <f t="shared" si="19"/>
        <v>1</v>
      </c>
      <c r="AL214" s="351">
        <f t="shared" si="20"/>
        <v>3.7965072133637056E-4</v>
      </c>
    </row>
    <row r="215" spans="1:38">
      <c r="A215" s="165">
        <f>'Conveyor Downtime (new)'!A213</f>
        <v>46132</v>
      </c>
      <c r="W215">
        <f>3</f>
        <v>3</v>
      </c>
      <c r="AK215">
        <f t="shared" si="19"/>
        <v>3</v>
      </c>
      <c r="AL215" s="351">
        <f t="shared" si="20"/>
        <v>1.1389521640091116E-3</v>
      </c>
    </row>
    <row r="216" spans="1:38">
      <c r="A216" s="165">
        <f>'Conveyor Downtime (new)'!A214</f>
        <v>46133</v>
      </c>
      <c r="B216" s="346"/>
      <c r="C216" s="346"/>
      <c r="D216" s="346"/>
      <c r="E216" s="346"/>
      <c r="F216" s="346">
        <f>1+1</f>
        <v>2</v>
      </c>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f t="shared" si="19"/>
        <v>2</v>
      </c>
      <c r="AL216" s="351">
        <f t="shared" ref="AL216:AL244" si="21">AK216/$AK$245</f>
        <v>7.5930144267274111E-4</v>
      </c>
    </row>
    <row r="217" spans="1:38">
      <c r="A217" s="165">
        <f>'Conveyor Downtime (new)'!A215</f>
        <v>46133</v>
      </c>
      <c r="B217">
        <f>2</f>
        <v>2</v>
      </c>
      <c r="F217">
        <v>1</v>
      </c>
      <c r="G217">
        <f>1</f>
        <v>1</v>
      </c>
      <c r="AK217">
        <f t="shared" si="19"/>
        <v>4</v>
      </c>
      <c r="AL217" s="351">
        <f t="shared" si="21"/>
        <v>1.5186028853454822E-3</v>
      </c>
    </row>
    <row r="218" spans="1:38">
      <c r="A218" s="165">
        <f>'Conveyor Downtime (new)'!A216</f>
        <v>46134</v>
      </c>
      <c r="B218" s="346">
        <f>2</f>
        <v>2</v>
      </c>
      <c r="C218" s="346"/>
      <c r="D218" s="346"/>
      <c r="E218" s="346"/>
      <c r="F218" s="346"/>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f t="shared" si="19"/>
        <v>2</v>
      </c>
      <c r="AL218" s="351">
        <f t="shared" si="21"/>
        <v>7.5930144267274111E-4</v>
      </c>
    </row>
    <row r="219" spans="1:38">
      <c r="A219" s="165">
        <f>'Conveyor Downtime (new)'!A217</f>
        <v>46134</v>
      </c>
      <c r="B219">
        <f>2+2+2+1</f>
        <v>7</v>
      </c>
      <c r="C219" t="s">
        <v>473</v>
      </c>
      <c r="F219">
        <f>1+1+1</f>
        <v>3</v>
      </c>
      <c r="G219">
        <f>1</f>
        <v>1</v>
      </c>
      <c r="AK219">
        <f t="shared" si="19"/>
        <v>11</v>
      </c>
      <c r="AL219" s="351">
        <f t="shared" si="21"/>
        <v>4.1761579347000758E-3</v>
      </c>
    </row>
    <row r="220" spans="1:38">
      <c r="A220" s="165">
        <f>'Conveyor Downtime (new)'!A218</f>
        <v>46135</v>
      </c>
      <c r="B220" s="346">
        <f>2</f>
        <v>2</v>
      </c>
      <c r="C220" s="346"/>
      <c r="D220" s="346"/>
      <c r="E220" s="346"/>
      <c r="F220" s="346"/>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f t="shared" si="19"/>
        <v>2</v>
      </c>
      <c r="AL220" s="351">
        <f t="shared" si="21"/>
        <v>7.5930144267274111E-4</v>
      </c>
    </row>
    <row r="221" spans="1:38">
      <c r="A221" s="165">
        <f>'Conveyor Downtime (new)'!A219</f>
        <v>46135</v>
      </c>
      <c r="B221">
        <f>1+4+5+3</f>
        <v>13</v>
      </c>
      <c r="F221">
        <f>1</f>
        <v>1</v>
      </c>
      <c r="AK221">
        <f t="shared" si="19"/>
        <v>14</v>
      </c>
      <c r="AL221" s="351">
        <f t="shared" si="21"/>
        <v>5.3151100987091872E-3</v>
      </c>
    </row>
    <row r="222" spans="1:38">
      <c r="A222" s="165">
        <f>'Conveyor Downtime (new)'!A220</f>
        <v>46136</v>
      </c>
      <c r="B222" s="346"/>
      <c r="C222" s="346"/>
      <c r="D222" s="346"/>
      <c r="E222" s="346"/>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f t="shared" si="19"/>
        <v>0</v>
      </c>
      <c r="AL222" s="351">
        <f t="shared" si="21"/>
        <v>0</v>
      </c>
    </row>
    <row r="223" spans="1:38">
      <c r="A223" s="165">
        <f>'Conveyor Downtime (new)'!A221</f>
        <v>46136</v>
      </c>
      <c r="AK223">
        <f t="shared" si="19"/>
        <v>0</v>
      </c>
      <c r="AL223" s="351">
        <f t="shared" si="21"/>
        <v>0</v>
      </c>
    </row>
    <row r="224" spans="1:38">
      <c r="A224" s="165">
        <f>'Conveyor Downtime (new)'!A222</f>
        <v>46139</v>
      </c>
      <c r="B224" s="501">
        <f>2+3</f>
        <v>5</v>
      </c>
      <c r="C224" s="346"/>
      <c r="D224" s="346"/>
      <c r="E224" s="346"/>
      <c r="F224" s="346">
        <f>1</f>
        <v>1</v>
      </c>
      <c r="G224" s="346"/>
      <c r="H224" s="346"/>
      <c r="I224" s="346">
        <f>5+15+4+5+9+25</f>
        <v>63</v>
      </c>
      <c r="J224" s="346"/>
      <c r="K224" s="346"/>
      <c r="L224" s="346"/>
      <c r="M224" s="346"/>
      <c r="N224" s="346"/>
      <c r="O224" s="346"/>
      <c r="P224" s="346"/>
      <c r="Q224" s="346"/>
      <c r="R224" s="346"/>
      <c r="S224" s="346">
        <f>14</f>
        <v>14</v>
      </c>
      <c r="T224" s="346"/>
      <c r="U224" s="346"/>
      <c r="V224" s="346"/>
      <c r="W224" s="346"/>
      <c r="X224" s="346"/>
      <c r="Y224" s="346"/>
      <c r="Z224" s="346">
        <f>15</f>
        <v>15</v>
      </c>
      <c r="AA224" s="346"/>
      <c r="AB224" s="346"/>
      <c r="AC224" s="346"/>
      <c r="AD224" s="346"/>
      <c r="AE224" s="346"/>
      <c r="AF224" s="346"/>
      <c r="AG224" s="346"/>
      <c r="AH224" s="346"/>
      <c r="AI224" s="346"/>
      <c r="AJ224" s="346"/>
      <c r="AK224">
        <f t="shared" si="19"/>
        <v>98</v>
      </c>
      <c r="AL224" s="351">
        <f t="shared" si="21"/>
        <v>3.7205770690964313E-2</v>
      </c>
    </row>
    <row r="225" spans="1:38">
      <c r="A225" s="165">
        <f>'Conveyor Downtime (new)'!A223</f>
        <v>46140</v>
      </c>
      <c r="B225">
        <f>17+1+2+1+3+2+3+5+1</f>
        <v>35</v>
      </c>
      <c r="F225">
        <f>1+1+1</f>
        <v>3</v>
      </c>
      <c r="I225">
        <f>4</f>
        <v>4</v>
      </c>
      <c r="AK225">
        <f t="shared" si="19"/>
        <v>42</v>
      </c>
      <c r="AL225" s="351">
        <f t="shared" si="21"/>
        <v>1.5945330296127564E-2</v>
      </c>
    </row>
    <row r="226" spans="1:38">
      <c r="A226" s="165">
        <f>'Conveyor Downtime (new)'!A224</f>
        <v>46141</v>
      </c>
      <c r="B226" s="346">
        <f>1+1+2+1</f>
        <v>5</v>
      </c>
      <c r="C226" s="346"/>
      <c r="D226" s="346"/>
      <c r="E226" s="346"/>
      <c r="F226" s="346">
        <f>1+1</f>
        <v>2</v>
      </c>
      <c r="G226" s="346">
        <f>1+2</f>
        <v>3</v>
      </c>
      <c r="H226" s="346"/>
      <c r="I226" s="346">
        <f>2+1+21</f>
        <v>24</v>
      </c>
      <c r="J226" s="346"/>
      <c r="K226" s="346"/>
      <c r="L226" s="346"/>
      <c r="M226" s="346"/>
      <c r="N226" s="346"/>
      <c r="O226" s="346"/>
      <c r="P226" s="346"/>
      <c r="Q226" s="346"/>
      <c r="R226" s="346"/>
      <c r="S226" s="346"/>
      <c r="T226" s="346"/>
      <c r="U226" s="346"/>
      <c r="V226" s="346"/>
      <c r="W226" s="346"/>
      <c r="X226" s="346"/>
      <c r="Y226" s="346"/>
      <c r="Z226" s="346">
        <f>2+21</f>
        <v>23</v>
      </c>
      <c r="AA226" s="346"/>
      <c r="AB226" s="346"/>
      <c r="AC226" s="346"/>
      <c r="AD226" s="346"/>
      <c r="AE226" s="346"/>
      <c r="AF226" s="346"/>
      <c r="AG226" s="346"/>
      <c r="AH226" s="346"/>
      <c r="AI226" s="346"/>
      <c r="AJ226" s="346"/>
      <c r="AK226">
        <f t="shared" si="19"/>
        <v>57</v>
      </c>
      <c r="AL226" s="351">
        <f t="shared" si="21"/>
        <v>2.164009111617312E-2</v>
      </c>
    </row>
    <row r="227" spans="1:38">
      <c r="A227" s="165">
        <f>'Conveyor Downtime (new)'!A225</f>
        <v>46141</v>
      </c>
      <c r="B227">
        <f>2</f>
        <v>2</v>
      </c>
      <c r="F227">
        <f>1</f>
        <v>1</v>
      </c>
      <c r="I227" t="s">
        <v>474</v>
      </c>
      <c r="AK227">
        <f t="shared" si="19"/>
        <v>3</v>
      </c>
      <c r="AL227" s="351">
        <f t="shared" si="21"/>
        <v>1.1389521640091116E-3</v>
      </c>
    </row>
    <row r="228" spans="1:38">
      <c r="A228" s="165">
        <f>'Conveyor Downtime (new)'!A226</f>
        <v>46142</v>
      </c>
      <c r="B228" s="346"/>
      <c r="C228" s="346"/>
      <c r="D228" s="346"/>
      <c r="E228" s="346"/>
      <c r="F228" s="346">
        <f>1+1</f>
        <v>2</v>
      </c>
      <c r="G228" s="346">
        <f>1</f>
        <v>1</v>
      </c>
      <c r="H228" s="346"/>
      <c r="I228" s="346"/>
      <c r="J228" s="346"/>
      <c r="K228" s="346"/>
      <c r="L228" s="346"/>
      <c r="M228" s="346"/>
      <c r="N228" s="346"/>
      <c r="O228" s="346"/>
      <c r="P228" s="346"/>
      <c r="Q228" s="346"/>
      <c r="R228" s="346"/>
      <c r="S228" s="346"/>
      <c r="T228" s="346"/>
      <c r="U228" s="346"/>
      <c r="V228" s="346">
        <f>2</f>
        <v>2</v>
      </c>
      <c r="W228" s="346"/>
      <c r="X228" s="346"/>
      <c r="Y228" s="346"/>
      <c r="Z228" s="346"/>
      <c r="AA228" s="346"/>
      <c r="AB228" s="346"/>
      <c r="AC228" s="346"/>
      <c r="AD228" s="346"/>
      <c r="AE228" s="346"/>
      <c r="AF228" s="346"/>
      <c r="AG228" s="346"/>
      <c r="AH228" s="346"/>
      <c r="AI228" s="346"/>
      <c r="AJ228" s="346"/>
      <c r="AK228">
        <f t="shared" si="19"/>
        <v>5</v>
      </c>
      <c r="AL228" s="351">
        <f t="shared" si="21"/>
        <v>1.8982536066818527E-3</v>
      </c>
    </row>
    <row r="229" spans="1:38">
      <c r="A229" s="165">
        <f>'Conveyor Downtime (new)'!A227</f>
        <v>46142</v>
      </c>
      <c r="B229">
        <v>1</v>
      </c>
      <c r="F229">
        <f>1+1</f>
        <v>2</v>
      </c>
      <c r="AK229">
        <f t="shared" si="19"/>
        <v>3</v>
      </c>
      <c r="AL229" s="351">
        <f t="shared" si="21"/>
        <v>1.1389521640091116E-3</v>
      </c>
    </row>
    <row r="230" spans="1:38">
      <c r="A230" s="165">
        <f>'Conveyor Downtime (new)'!A228</f>
        <v>0</v>
      </c>
      <c r="B230" s="346"/>
      <c r="C230" s="346"/>
      <c r="D230" s="346"/>
      <c r="E230" s="346"/>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f t="shared" si="19"/>
        <v>0</v>
      </c>
      <c r="AL230" s="351">
        <f t="shared" si="21"/>
        <v>0</v>
      </c>
    </row>
    <row r="231" spans="1:38">
      <c r="A231" s="165"/>
      <c r="AK231">
        <f t="shared" ref="AK231:AK244" si="22">SUM(B231:AJ231)</f>
        <v>0</v>
      </c>
      <c r="AL231" s="351">
        <f t="shared" si="21"/>
        <v>0</v>
      </c>
    </row>
    <row r="232" spans="1:38">
      <c r="A232" s="165"/>
      <c r="B232" s="346"/>
      <c r="C232" s="346"/>
      <c r="D232" s="346"/>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f t="shared" si="22"/>
        <v>0</v>
      </c>
      <c r="AL232" s="351">
        <f t="shared" si="21"/>
        <v>0</v>
      </c>
    </row>
    <row r="233" spans="1:38">
      <c r="A233" s="165"/>
      <c r="AK233">
        <f t="shared" si="22"/>
        <v>0</v>
      </c>
      <c r="AL233" s="351">
        <f t="shared" si="21"/>
        <v>0</v>
      </c>
    </row>
    <row r="234" spans="1:38">
      <c r="A234" s="165"/>
      <c r="B234" s="346"/>
      <c r="C234" s="346"/>
      <c r="D234" s="346"/>
      <c r="E234" s="346"/>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f t="shared" si="22"/>
        <v>0</v>
      </c>
      <c r="AL234" s="351">
        <f t="shared" si="21"/>
        <v>0</v>
      </c>
    </row>
    <row r="235" spans="1:38">
      <c r="A235" s="165"/>
      <c r="AK235">
        <f t="shared" si="22"/>
        <v>0</v>
      </c>
      <c r="AL235" s="351">
        <f t="shared" si="21"/>
        <v>0</v>
      </c>
    </row>
    <row r="236" spans="1:38">
      <c r="A236" s="165"/>
      <c r="B236" s="346"/>
      <c r="C236" s="346"/>
      <c r="D236" s="346"/>
      <c r="E236" s="346"/>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f t="shared" si="22"/>
        <v>0</v>
      </c>
      <c r="AL236" s="351">
        <f t="shared" si="21"/>
        <v>0</v>
      </c>
    </row>
    <row r="237" spans="1:38">
      <c r="A237" s="165"/>
      <c r="AK237">
        <f t="shared" si="22"/>
        <v>0</v>
      </c>
      <c r="AL237" s="351">
        <f t="shared" si="21"/>
        <v>0</v>
      </c>
    </row>
    <row r="238" spans="1:38">
      <c r="A238" s="165"/>
      <c r="B238" s="346"/>
      <c r="C238" s="346"/>
      <c r="D238" s="346"/>
      <c r="E238" s="346"/>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f t="shared" si="22"/>
        <v>0</v>
      </c>
      <c r="AL238" s="351">
        <f t="shared" si="21"/>
        <v>0</v>
      </c>
    </row>
    <row r="239" spans="1:38">
      <c r="A239" s="165"/>
      <c r="AK239">
        <f t="shared" si="22"/>
        <v>0</v>
      </c>
      <c r="AL239" s="351">
        <f t="shared" si="21"/>
        <v>0</v>
      </c>
    </row>
    <row r="240" spans="1:38">
      <c r="A240" s="165"/>
      <c r="B240" s="346"/>
      <c r="C240" s="346"/>
      <c r="D240" s="346"/>
      <c r="E240" s="346"/>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f t="shared" si="22"/>
        <v>0</v>
      </c>
      <c r="AL240" s="351">
        <f t="shared" si="21"/>
        <v>0</v>
      </c>
    </row>
    <row r="241" spans="1:38">
      <c r="A241" s="165"/>
      <c r="AK241">
        <f t="shared" si="22"/>
        <v>0</v>
      </c>
      <c r="AL241" s="351">
        <f t="shared" si="21"/>
        <v>0</v>
      </c>
    </row>
    <row r="242" spans="1:38">
      <c r="A242" s="165"/>
      <c r="B242" s="346"/>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f t="shared" si="22"/>
        <v>0</v>
      </c>
      <c r="AL242" s="351">
        <f t="shared" si="21"/>
        <v>0</v>
      </c>
    </row>
    <row r="243" spans="1:38">
      <c r="A243" s="165"/>
      <c r="AK243">
        <f t="shared" si="22"/>
        <v>0</v>
      </c>
      <c r="AL243" s="351">
        <f t="shared" si="21"/>
        <v>0</v>
      </c>
    </row>
    <row r="244" spans="1:38">
      <c r="A244" s="165"/>
      <c r="B244" s="346"/>
      <c r="C244" s="346"/>
      <c r="D244" s="346"/>
      <c r="E244" s="346"/>
      <c r="F244" s="346"/>
      <c r="G244" s="346"/>
      <c r="H244" s="346"/>
      <c r="I244" s="346"/>
      <c r="J244" s="346"/>
      <c r="K244" s="346"/>
      <c r="L244" s="346"/>
      <c r="M244" s="346"/>
      <c r="N244" s="346"/>
      <c r="O244" s="346"/>
      <c r="P244" s="346"/>
      <c r="Q244" s="346"/>
      <c r="R244" s="346"/>
      <c r="S244" s="346"/>
      <c r="T244" s="346"/>
      <c r="U244" s="346"/>
      <c r="V244" s="346"/>
      <c r="W244" s="346"/>
      <c r="X244" s="346"/>
      <c r="Y244" s="346"/>
      <c r="Z244" s="346"/>
      <c r="AA244" s="346"/>
      <c r="AB244" s="346"/>
      <c r="AC244" s="346"/>
      <c r="AD244" s="346"/>
      <c r="AE244" s="346"/>
      <c r="AF244" s="346"/>
      <c r="AG244" s="346"/>
      <c r="AH244" s="346"/>
      <c r="AI244" s="346"/>
      <c r="AJ244" s="346"/>
      <c r="AK244">
        <f t="shared" si="22"/>
        <v>0</v>
      </c>
      <c r="AL244" s="351">
        <f t="shared" si="21"/>
        <v>0</v>
      </c>
    </row>
    <row r="245" spans="1:38" ht="15">
      <c r="A245" s="347" t="s">
        <v>113</v>
      </c>
      <c r="B245" s="347">
        <f>SUM(B189:B244)</f>
        <v>144</v>
      </c>
      <c r="C245" s="347">
        <f t="shared" ref="C245:AK245" si="23">SUM(C189:C244)</f>
        <v>0</v>
      </c>
      <c r="D245" s="347">
        <f t="shared" si="23"/>
        <v>0</v>
      </c>
      <c r="E245" s="347">
        <f t="shared" si="23"/>
        <v>0</v>
      </c>
      <c r="F245" s="347">
        <f t="shared" si="23"/>
        <v>50</v>
      </c>
      <c r="G245" s="347">
        <f t="shared" si="23"/>
        <v>6</v>
      </c>
      <c r="H245" s="347">
        <f t="shared" si="23"/>
        <v>0</v>
      </c>
      <c r="I245" s="347">
        <f t="shared" si="23"/>
        <v>91</v>
      </c>
      <c r="J245" s="347">
        <f t="shared" si="23"/>
        <v>0</v>
      </c>
      <c r="K245" s="347">
        <f t="shared" si="23"/>
        <v>70</v>
      </c>
      <c r="L245" s="347">
        <f t="shared" si="23"/>
        <v>0</v>
      </c>
      <c r="M245" s="347">
        <f t="shared" si="23"/>
        <v>0</v>
      </c>
      <c r="N245" s="347">
        <f t="shared" si="23"/>
        <v>0</v>
      </c>
      <c r="O245" s="347">
        <f t="shared" si="23"/>
        <v>0</v>
      </c>
      <c r="P245" s="347">
        <f t="shared" si="23"/>
        <v>240</v>
      </c>
      <c r="Q245" s="347">
        <f t="shared" si="23"/>
        <v>0</v>
      </c>
      <c r="R245" s="347">
        <f t="shared" si="23"/>
        <v>0</v>
      </c>
      <c r="S245" s="347">
        <f t="shared" si="23"/>
        <v>48</v>
      </c>
      <c r="T245" s="347">
        <f t="shared" si="23"/>
        <v>30</v>
      </c>
      <c r="U245" s="347">
        <f t="shared" si="23"/>
        <v>0</v>
      </c>
      <c r="V245" s="347">
        <f t="shared" si="23"/>
        <v>2</v>
      </c>
      <c r="W245" s="347">
        <f t="shared" si="23"/>
        <v>20</v>
      </c>
      <c r="X245" s="347">
        <f t="shared" si="23"/>
        <v>0</v>
      </c>
      <c r="Y245" s="347">
        <f t="shared" si="23"/>
        <v>226</v>
      </c>
      <c r="Z245" s="347">
        <f t="shared" si="23"/>
        <v>73</v>
      </c>
      <c r="AA245" s="347">
        <f t="shared" si="23"/>
        <v>0</v>
      </c>
      <c r="AB245" s="347">
        <f t="shared" si="23"/>
        <v>0</v>
      </c>
      <c r="AC245" s="347">
        <f t="shared" si="23"/>
        <v>0</v>
      </c>
      <c r="AD245" s="347">
        <f t="shared" si="23"/>
        <v>0</v>
      </c>
      <c r="AE245" s="347">
        <f t="shared" si="23"/>
        <v>0</v>
      </c>
      <c r="AF245" s="347">
        <f t="shared" si="23"/>
        <v>1449</v>
      </c>
      <c r="AG245" s="347">
        <f t="shared" si="23"/>
        <v>0</v>
      </c>
      <c r="AH245" s="347">
        <f t="shared" si="23"/>
        <v>0</v>
      </c>
      <c r="AI245" s="347">
        <f t="shared" si="23"/>
        <v>0</v>
      </c>
      <c r="AJ245" s="347">
        <f t="shared" si="23"/>
        <v>185</v>
      </c>
      <c r="AK245" s="347">
        <f t="shared" si="23"/>
        <v>2634</v>
      </c>
      <c r="AL245" s="376"/>
    </row>
    <row r="246" spans="1:38" ht="15.75" thickBot="1">
      <c r="A246" s="348" t="s">
        <v>174</v>
      </c>
      <c r="B246" s="348">
        <f t="shared" ref="B246:H246" si="24">B245/$AK245</f>
        <v>5.4669703872437359E-2</v>
      </c>
      <c r="C246" s="348">
        <f t="shared" si="24"/>
        <v>0</v>
      </c>
      <c r="D246" s="348">
        <f t="shared" si="24"/>
        <v>0</v>
      </c>
      <c r="E246" s="348">
        <f t="shared" si="24"/>
        <v>0</v>
      </c>
      <c r="F246" s="348">
        <f t="shared" si="24"/>
        <v>1.8982536066818528E-2</v>
      </c>
      <c r="G246" s="348">
        <f t="shared" si="24"/>
        <v>2.2779043280182231E-3</v>
      </c>
      <c r="H246" s="348">
        <f t="shared" si="24"/>
        <v>0</v>
      </c>
      <c r="I246" s="348">
        <f t="shared" ref="I246:R246" si="25">I245/$AK245</f>
        <v>3.4548215641609717E-2</v>
      </c>
      <c r="J246" s="348">
        <f t="shared" si="25"/>
        <v>0</v>
      </c>
      <c r="K246" s="348">
        <f t="shared" si="25"/>
        <v>2.6575550493545937E-2</v>
      </c>
      <c r="L246" s="348">
        <f t="shared" si="25"/>
        <v>0</v>
      </c>
      <c r="M246" s="348">
        <f t="shared" si="25"/>
        <v>0</v>
      </c>
      <c r="N246" s="348">
        <f t="shared" si="25"/>
        <v>0</v>
      </c>
      <c r="O246" s="348">
        <f t="shared" si="25"/>
        <v>0</v>
      </c>
      <c r="P246" s="348">
        <f t="shared" si="25"/>
        <v>9.1116173120728935E-2</v>
      </c>
      <c r="Q246" s="348">
        <f t="shared" si="25"/>
        <v>0</v>
      </c>
      <c r="R246" s="348">
        <f t="shared" si="25"/>
        <v>0</v>
      </c>
      <c r="S246" s="348">
        <f t="shared" ref="S246:AJ246" si="26">S245/$AK245</f>
        <v>1.8223234624145785E-2</v>
      </c>
      <c r="T246" s="348">
        <f t="shared" si="26"/>
        <v>1.1389521640091117E-2</v>
      </c>
      <c r="U246" s="348">
        <f t="shared" si="26"/>
        <v>0</v>
      </c>
      <c r="V246" s="348">
        <f t="shared" si="26"/>
        <v>7.5930144267274111E-4</v>
      </c>
      <c r="W246" s="348">
        <f t="shared" si="26"/>
        <v>7.5930144267274107E-3</v>
      </c>
      <c r="X246" s="348">
        <f t="shared" si="26"/>
        <v>0</v>
      </c>
      <c r="Y246" s="348">
        <f t="shared" si="26"/>
        <v>8.5801063022019744E-2</v>
      </c>
      <c r="Z246" s="348">
        <f t="shared" si="26"/>
        <v>2.7714502657555051E-2</v>
      </c>
      <c r="AA246" s="348">
        <f t="shared" si="26"/>
        <v>0</v>
      </c>
      <c r="AB246" s="348">
        <f t="shared" si="26"/>
        <v>0</v>
      </c>
      <c r="AC246" s="348">
        <f t="shared" si="26"/>
        <v>0</v>
      </c>
      <c r="AD246" s="348">
        <f t="shared" si="26"/>
        <v>0</v>
      </c>
      <c r="AE246" s="348">
        <f t="shared" si="26"/>
        <v>0</v>
      </c>
      <c r="AF246" s="348">
        <f t="shared" si="26"/>
        <v>0.55011389521640086</v>
      </c>
      <c r="AG246" s="348">
        <f t="shared" si="26"/>
        <v>0</v>
      </c>
      <c r="AH246" s="348">
        <f t="shared" si="26"/>
        <v>0</v>
      </c>
      <c r="AI246" s="348">
        <f t="shared" si="26"/>
        <v>0</v>
      </c>
      <c r="AJ246" s="348">
        <f t="shared" si="26"/>
        <v>7.0235383447228544E-2</v>
      </c>
      <c r="AK246" s="376"/>
      <c r="AL246" s="376"/>
    </row>
    <row r="247" spans="1:38" ht="15">
      <c r="A247" s="376"/>
      <c r="B247" s="376"/>
      <c r="C247" s="376"/>
      <c r="D247" s="376"/>
      <c r="E247" s="376"/>
      <c r="F247" s="376"/>
      <c r="G247" s="376"/>
      <c r="H247" s="376"/>
      <c r="I247" s="376"/>
      <c r="J247" s="376"/>
      <c r="K247" s="376"/>
      <c r="L247" s="376"/>
      <c r="M247" s="376"/>
      <c r="N247" s="376"/>
      <c r="O247" s="376"/>
      <c r="P247" s="376"/>
      <c r="Q247" s="376"/>
      <c r="R247" s="376"/>
      <c r="S247" s="376"/>
      <c r="T247" s="376"/>
      <c r="U247" s="376"/>
      <c r="V247" s="376"/>
      <c r="W247" s="376"/>
      <c r="X247" s="376"/>
      <c r="Y247" s="376"/>
      <c r="Z247" s="376"/>
      <c r="AA247" s="376"/>
      <c r="AB247" s="376"/>
      <c r="AC247" s="376"/>
      <c r="AD247" s="376"/>
      <c r="AE247" s="376"/>
      <c r="AF247" s="376"/>
      <c r="AG247" s="376"/>
      <c r="AH247" s="376"/>
      <c r="AI247" s="376"/>
      <c r="AJ247" s="376"/>
      <c r="AK247" s="376"/>
      <c r="AL247" s="376"/>
    </row>
    <row r="248" spans="1:38" ht="15">
      <c r="A248" s="376"/>
      <c r="B248" s="376"/>
      <c r="C248" s="376"/>
      <c r="D248" s="376"/>
      <c r="E248" s="376"/>
      <c r="F248" s="376"/>
      <c r="G248" s="376"/>
      <c r="H248" s="376"/>
      <c r="I248" s="376"/>
      <c r="J248" s="376"/>
      <c r="K248" s="376"/>
      <c r="L248" s="376"/>
      <c r="M248" s="376"/>
      <c r="N248" s="376"/>
      <c r="O248" s="376"/>
      <c r="P248" s="376"/>
      <c r="Q248" s="376"/>
      <c r="R248" s="376"/>
      <c r="S248" s="376"/>
      <c r="U248" s="376"/>
      <c r="V248" s="376"/>
      <c r="W248" s="376"/>
      <c r="X248" s="376"/>
      <c r="Y248" s="376"/>
      <c r="Z248" s="376"/>
      <c r="AA248" s="376"/>
      <c r="AB248" s="376"/>
      <c r="AC248" s="376"/>
      <c r="AD248" s="376"/>
      <c r="AE248" s="376"/>
      <c r="AF248" s="376"/>
      <c r="AG248" s="376"/>
      <c r="AH248" s="376"/>
      <c r="AI248" s="376"/>
      <c r="AJ248" s="376"/>
      <c r="AK248" s="376"/>
      <c r="AL248" s="376"/>
    </row>
    <row r="251" spans="1:38">
      <c r="A251" s="165">
        <f>'Conveyor Downtime (new)'!A248</f>
        <v>46146</v>
      </c>
      <c r="B251" s="346"/>
      <c r="C251" s="346"/>
      <c r="D251" s="346"/>
      <c r="E251" s="346"/>
      <c r="F251" s="346"/>
      <c r="G251" s="346"/>
      <c r="H251" s="34"/>
      <c r="I251" s="346"/>
      <c r="J251" s="346"/>
      <c r="K251" s="346"/>
      <c r="L251" s="346">
        <f>5+15+10</f>
        <v>30</v>
      </c>
      <c r="M251" s="346"/>
      <c r="N251" s="346"/>
      <c r="O251" s="346"/>
      <c r="P251" s="346"/>
      <c r="Q251" s="346"/>
      <c r="R251" s="346"/>
      <c r="S251" s="346"/>
      <c r="T251" s="346"/>
      <c r="U251" s="346"/>
      <c r="V251" s="346"/>
      <c r="W251" s="346"/>
      <c r="X251" s="346"/>
      <c r="Y251" s="346"/>
      <c r="Z251" s="346"/>
      <c r="AA251" s="346"/>
      <c r="AB251" s="346"/>
      <c r="AC251" s="346"/>
      <c r="AD251" s="346"/>
      <c r="AE251" s="346"/>
      <c r="AF251" s="346"/>
      <c r="AG251" s="346"/>
      <c r="AH251" s="346"/>
      <c r="AI251" s="346"/>
      <c r="AJ251" s="346"/>
      <c r="AK251">
        <f t="shared" ref="AK251:AK282" si="27">SUM(B251:AJ251)</f>
        <v>30</v>
      </c>
      <c r="AL251" s="351">
        <f>AK251/$AK$306</f>
        <v>3.2894736842105261E-2</v>
      </c>
    </row>
    <row r="252" spans="1:38">
      <c r="A252" s="165">
        <f>'Conveyor Downtime (new)'!A249</f>
        <v>46146</v>
      </c>
      <c r="B252">
        <f>2+1</f>
        <v>3</v>
      </c>
      <c r="H252" s="71"/>
      <c r="W252">
        <f>10</f>
        <v>10</v>
      </c>
      <c r="AJ252">
        <f>5</f>
        <v>5</v>
      </c>
      <c r="AK252">
        <f t="shared" si="27"/>
        <v>18</v>
      </c>
      <c r="AL252" s="351">
        <f t="shared" ref="AL252:AL305" si="28">AK252/$AK$306</f>
        <v>1.9736842105263157E-2</v>
      </c>
    </row>
    <row r="253" spans="1:38">
      <c r="A253" s="165">
        <f>'Conveyor Downtime (new)'!A250</f>
        <v>46147</v>
      </c>
      <c r="B253" s="346">
        <f>2</f>
        <v>2</v>
      </c>
      <c r="C253" s="346"/>
      <c r="D253" s="346"/>
      <c r="E253" s="346"/>
      <c r="F253" s="346"/>
      <c r="G253" s="346"/>
      <c r="H253" s="34"/>
      <c r="I253" s="346"/>
      <c r="J253" s="346"/>
      <c r="K253" s="346"/>
      <c r="L253" s="346"/>
      <c r="M253" s="346"/>
      <c r="N253" s="346"/>
      <c r="O253" s="346"/>
      <c r="P253" s="346"/>
      <c r="Q253" s="346"/>
      <c r="R253" s="346"/>
      <c r="S253" s="346"/>
      <c r="T253" s="346"/>
      <c r="U253" s="346"/>
      <c r="V253" s="346">
        <v>7</v>
      </c>
      <c r="W253" s="346"/>
      <c r="X253" s="346"/>
      <c r="Y253" s="346"/>
      <c r="Z253" s="346"/>
      <c r="AA253" s="346"/>
      <c r="AB253" s="346"/>
      <c r="AC253" s="346"/>
      <c r="AD253" s="346"/>
      <c r="AE253" s="346"/>
      <c r="AF253" s="346"/>
      <c r="AG253" s="346"/>
      <c r="AH253" s="346"/>
      <c r="AI253" s="346"/>
      <c r="AJ253" s="346">
        <f>15+60+12</f>
        <v>87</v>
      </c>
      <c r="AK253">
        <f t="shared" si="27"/>
        <v>96</v>
      </c>
      <c r="AL253" s="351">
        <f t="shared" si="28"/>
        <v>0.10526315789473684</v>
      </c>
    </row>
    <row r="254" spans="1:38">
      <c r="A254" s="165">
        <f>'Conveyor Downtime (new)'!A251</f>
        <v>46147</v>
      </c>
      <c r="F254">
        <v>1</v>
      </c>
      <c r="H254" s="71"/>
      <c r="U254">
        <v>2</v>
      </c>
      <c r="W254">
        <f>11</f>
        <v>11</v>
      </c>
      <c r="AK254">
        <f t="shared" si="27"/>
        <v>14</v>
      </c>
      <c r="AL254" s="351">
        <f t="shared" si="28"/>
        <v>1.5350877192982455E-2</v>
      </c>
    </row>
    <row r="255" spans="1:38">
      <c r="A255" s="165">
        <f>'Conveyor Downtime (new)'!A252</f>
        <v>46148</v>
      </c>
      <c r="B255" s="346">
        <f>3+1+1+2</f>
        <v>7</v>
      </c>
      <c r="C255" s="346"/>
      <c r="D255" s="346"/>
      <c r="E255" s="346"/>
      <c r="F255" s="346">
        <f>1+1+1+1</f>
        <v>4</v>
      </c>
      <c r="G255" s="346"/>
      <c r="H255" s="346"/>
      <c r="I255" s="346"/>
      <c r="J255" s="346"/>
      <c r="K255" s="346"/>
      <c r="L255" s="346"/>
      <c r="M255" s="346"/>
      <c r="N255" s="346"/>
      <c r="O255" s="346"/>
      <c r="P255" s="346"/>
      <c r="Q255" s="346"/>
      <c r="R255" s="346"/>
      <c r="S255" s="346">
        <f>1</f>
        <v>1</v>
      </c>
      <c r="T255" s="346">
        <v>7</v>
      </c>
      <c r="U255" s="346"/>
      <c r="V255" s="346"/>
      <c r="W255" s="346"/>
      <c r="X255" s="346"/>
      <c r="Y255" s="346"/>
      <c r="Z255" s="346"/>
      <c r="AA255" s="346"/>
      <c r="AB255" s="346"/>
      <c r="AC255" s="346"/>
      <c r="AD255" s="346"/>
      <c r="AE255" s="346"/>
      <c r="AF255" s="346"/>
      <c r="AG255" s="346"/>
      <c r="AH255" s="346"/>
      <c r="AI255" s="346"/>
      <c r="AJ255" s="346">
        <f>4+4+10</f>
        <v>18</v>
      </c>
      <c r="AK255">
        <f t="shared" si="27"/>
        <v>37</v>
      </c>
      <c r="AL255" s="351">
        <f t="shared" si="28"/>
        <v>4.0570175438596492E-2</v>
      </c>
    </row>
    <row r="256" spans="1:38">
      <c r="A256" s="165">
        <f>'Conveyor Downtime (new)'!A253</f>
        <v>46149</v>
      </c>
      <c r="B256">
        <f>2+2</f>
        <v>4</v>
      </c>
      <c r="F256">
        <v>1</v>
      </c>
      <c r="AK256">
        <f t="shared" si="27"/>
        <v>5</v>
      </c>
      <c r="AL256" s="351">
        <f t="shared" si="28"/>
        <v>5.4824561403508769E-3</v>
      </c>
    </row>
    <row r="257" spans="1:38">
      <c r="A257" s="165">
        <f>'Conveyor Downtime (new)'!A254</f>
        <v>46149</v>
      </c>
      <c r="B257" s="346">
        <f>2+1</f>
        <v>3</v>
      </c>
      <c r="C257" s="346"/>
      <c r="D257" s="346"/>
      <c r="E257" s="346"/>
      <c r="F257" s="346">
        <f>1</f>
        <v>1</v>
      </c>
      <c r="G257" s="346"/>
      <c r="H257" s="346"/>
      <c r="I257" s="346"/>
      <c r="J257" s="346"/>
      <c r="K257" s="346"/>
      <c r="L257" s="346"/>
      <c r="M257" s="346"/>
      <c r="N257" s="346"/>
      <c r="O257" s="346"/>
      <c r="P257" s="346"/>
      <c r="Q257" s="346"/>
      <c r="R257" s="346"/>
      <c r="S257" s="346"/>
      <c r="T257" s="346"/>
      <c r="U257" s="346"/>
      <c r="V257" s="346">
        <f>17</f>
        <v>17</v>
      </c>
      <c r="W257" s="346"/>
      <c r="X257" s="346"/>
      <c r="Y257" s="346">
        <f>6</f>
        <v>6</v>
      </c>
      <c r="Z257" s="346"/>
      <c r="AA257" s="346"/>
      <c r="AB257" s="346"/>
      <c r="AC257" s="346"/>
      <c r="AD257" s="346"/>
      <c r="AE257" s="346"/>
      <c r="AF257" s="346"/>
      <c r="AG257" s="346"/>
      <c r="AH257" s="346"/>
      <c r="AI257" s="346"/>
      <c r="AJ257" s="346"/>
      <c r="AK257">
        <f t="shared" si="27"/>
        <v>27</v>
      </c>
      <c r="AL257" s="351">
        <f t="shared" si="28"/>
        <v>2.9605263157894735E-2</v>
      </c>
    </row>
    <row r="258" spans="1:38">
      <c r="A258" s="165">
        <f>'Conveyor Downtime (new)'!A255</f>
        <v>46149</v>
      </c>
      <c r="B258">
        <f>2</f>
        <v>2</v>
      </c>
      <c r="F258">
        <v>1</v>
      </c>
      <c r="Y258">
        <v>3</v>
      </c>
      <c r="Z258">
        <v>10</v>
      </c>
      <c r="AK258">
        <f t="shared" si="27"/>
        <v>16</v>
      </c>
      <c r="AL258" s="351">
        <f t="shared" si="28"/>
        <v>1.7543859649122806E-2</v>
      </c>
    </row>
    <row r="259" spans="1:38">
      <c r="A259" s="165">
        <f>'Conveyor Downtime (new)'!A256</f>
        <v>46150</v>
      </c>
      <c r="B259" s="346">
        <f>2</f>
        <v>2</v>
      </c>
      <c r="C259" s="346"/>
      <c r="D259" s="346"/>
      <c r="E259" s="346"/>
      <c r="F259" s="346">
        <f>1+1+1+1</f>
        <v>4</v>
      </c>
      <c r="G259" s="346"/>
      <c r="H259" s="346"/>
      <c r="I259" s="346"/>
      <c r="J259" s="346"/>
      <c r="K259" s="346"/>
      <c r="L259" s="346"/>
      <c r="M259" s="346"/>
      <c r="N259" s="346"/>
      <c r="O259" s="346"/>
      <c r="P259" s="346"/>
      <c r="Q259" s="346"/>
      <c r="R259" s="346"/>
      <c r="S259" s="346"/>
      <c r="T259" s="346"/>
      <c r="U259" s="346"/>
      <c r="V259" s="346"/>
      <c r="W259" s="346"/>
      <c r="X259" s="346"/>
      <c r="Y259" s="346"/>
      <c r="Z259" s="346">
        <f>22+9+4</f>
        <v>35</v>
      </c>
      <c r="AA259" s="346"/>
      <c r="AB259" s="346"/>
      <c r="AC259" s="346"/>
      <c r="AD259" s="346"/>
      <c r="AE259" s="346"/>
      <c r="AF259" s="346"/>
      <c r="AG259" s="346"/>
      <c r="AH259" s="346"/>
      <c r="AI259" s="346"/>
      <c r="AJ259" s="346"/>
      <c r="AK259">
        <f t="shared" si="27"/>
        <v>41</v>
      </c>
      <c r="AL259" s="351">
        <f t="shared" si="28"/>
        <v>4.4956140350877194E-2</v>
      </c>
    </row>
    <row r="260" spans="1:38">
      <c r="A260" s="165">
        <f>'Conveyor Downtime (new)'!A257</f>
        <v>46150</v>
      </c>
      <c r="AK260">
        <f t="shared" si="27"/>
        <v>0</v>
      </c>
      <c r="AL260" s="351">
        <f t="shared" si="28"/>
        <v>0</v>
      </c>
    </row>
    <row r="261" spans="1:38">
      <c r="A261" s="165">
        <f>'Conveyor Downtime (new)'!A258</f>
        <v>46151</v>
      </c>
      <c r="B261" s="346">
        <f>2+1</f>
        <v>3</v>
      </c>
      <c r="C261" s="346"/>
      <c r="D261" s="346"/>
      <c r="E261" s="346"/>
      <c r="F261" s="346">
        <f>1+1</f>
        <v>2</v>
      </c>
      <c r="G261" s="346"/>
      <c r="H261" s="346"/>
      <c r="I261" s="346"/>
      <c r="J261" s="346"/>
      <c r="K261" s="346"/>
      <c r="L261" s="346"/>
      <c r="M261" s="346"/>
      <c r="N261" s="346"/>
      <c r="O261" s="346"/>
      <c r="P261" s="346"/>
      <c r="Q261" s="346"/>
      <c r="R261" s="346"/>
      <c r="S261" s="346">
        <f>21</f>
        <v>21</v>
      </c>
      <c r="T261" s="346"/>
      <c r="U261" s="346"/>
      <c r="V261" s="346"/>
      <c r="W261" s="346"/>
      <c r="X261" s="346"/>
      <c r="Y261" s="346"/>
      <c r="Z261" s="346"/>
      <c r="AA261" s="346"/>
      <c r="AB261" s="346"/>
      <c r="AC261" s="346"/>
      <c r="AD261" s="346"/>
      <c r="AE261" s="346"/>
      <c r="AF261" s="346"/>
      <c r="AG261" s="346"/>
      <c r="AH261" s="346"/>
      <c r="AI261" s="346"/>
      <c r="AJ261" s="346"/>
      <c r="AK261">
        <f t="shared" si="27"/>
        <v>26</v>
      </c>
      <c r="AL261" s="351">
        <f t="shared" si="28"/>
        <v>2.850877192982456E-2</v>
      </c>
    </row>
    <row r="262" spans="1:38">
      <c r="A262" s="165">
        <f>'Conveyor Downtime (new)'!A259</f>
        <v>46153</v>
      </c>
      <c r="B262">
        <f>2+2+2</f>
        <v>6</v>
      </c>
      <c r="F262">
        <f>1+1</f>
        <v>2</v>
      </c>
      <c r="S262">
        <v>3</v>
      </c>
      <c r="AJ262">
        <f>3+25</f>
        <v>28</v>
      </c>
      <c r="AK262">
        <f t="shared" si="27"/>
        <v>39</v>
      </c>
      <c r="AL262" s="351">
        <f t="shared" si="28"/>
        <v>4.2763157894736843E-2</v>
      </c>
    </row>
    <row r="263" spans="1:38">
      <c r="A263" s="165">
        <f>'Conveyor Downtime (new)'!A260</f>
        <v>46154</v>
      </c>
      <c r="B263" s="346">
        <f>1+1+1+1+1+2</f>
        <v>7</v>
      </c>
      <c r="C263" s="346"/>
      <c r="D263" s="346"/>
      <c r="E263" s="346"/>
      <c r="F263" s="346">
        <f>1+1+1+1</f>
        <v>4</v>
      </c>
      <c r="G263" s="346"/>
      <c r="H263" s="346"/>
      <c r="I263" s="346"/>
      <c r="J263" s="346"/>
      <c r="K263" s="346"/>
      <c r="L263" s="346"/>
      <c r="M263" s="346"/>
      <c r="N263" s="346"/>
      <c r="O263" s="346"/>
      <c r="P263" s="346"/>
      <c r="Q263" s="346"/>
      <c r="R263" s="346"/>
      <c r="S263" s="346">
        <f>4</f>
        <v>4</v>
      </c>
      <c r="T263" s="346"/>
      <c r="U263" s="346"/>
      <c r="V263" s="346"/>
      <c r="W263" s="346"/>
      <c r="X263" s="346"/>
      <c r="Y263" s="346"/>
      <c r="Z263" s="346"/>
      <c r="AA263" s="346"/>
      <c r="AB263" s="346"/>
      <c r="AC263" s="346"/>
      <c r="AD263" s="346"/>
      <c r="AE263" s="346"/>
      <c r="AF263" s="346"/>
      <c r="AG263" s="346"/>
      <c r="AH263" s="346"/>
      <c r="AI263" s="346"/>
      <c r="AJ263" s="346"/>
      <c r="AK263">
        <f t="shared" si="27"/>
        <v>15</v>
      </c>
      <c r="AL263" s="351">
        <f t="shared" si="28"/>
        <v>1.6447368421052631E-2</v>
      </c>
    </row>
    <row r="264" spans="1:38">
      <c r="A264" s="165">
        <f>'Conveyor Downtime (new)'!A261</f>
        <v>46154</v>
      </c>
      <c r="B264">
        <f>2</f>
        <v>2</v>
      </c>
      <c r="F264">
        <f>1+1+1+1</f>
        <v>4</v>
      </c>
      <c r="AK264">
        <f t="shared" si="27"/>
        <v>6</v>
      </c>
      <c r="AL264" s="351">
        <f t="shared" si="28"/>
        <v>6.5789473684210523E-3</v>
      </c>
    </row>
    <row r="265" spans="1:38" ht="13.5" customHeight="1">
      <c r="A265" s="165">
        <f>'Conveyor Downtime (new)'!A262</f>
        <v>46155</v>
      </c>
      <c r="B265" s="346"/>
      <c r="C265" s="346"/>
      <c r="D265" s="346"/>
      <c r="E265" s="346"/>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c r="AE265" s="346"/>
      <c r="AF265" s="346"/>
      <c r="AG265" s="346"/>
      <c r="AH265" s="346"/>
      <c r="AI265" s="346"/>
      <c r="AJ265" s="346"/>
      <c r="AK265">
        <f t="shared" si="27"/>
        <v>0</v>
      </c>
      <c r="AL265" s="351">
        <f t="shared" si="28"/>
        <v>0</v>
      </c>
    </row>
    <row r="266" spans="1:38">
      <c r="A266" s="165">
        <f>'Conveyor Downtime (new)'!A263</f>
        <v>46155</v>
      </c>
      <c r="B266" s="346"/>
      <c r="F266">
        <f>1+1</f>
        <v>2</v>
      </c>
      <c r="AJ266">
        <f>48+34+6</f>
        <v>88</v>
      </c>
      <c r="AK266">
        <f t="shared" si="27"/>
        <v>90</v>
      </c>
      <c r="AL266" s="351">
        <f t="shared" si="28"/>
        <v>9.8684210526315791E-2</v>
      </c>
    </row>
    <row r="267" spans="1:38">
      <c r="A267" s="165">
        <f>'Conveyor Downtime (new)'!A264</f>
        <v>46156</v>
      </c>
      <c r="B267" s="346">
        <f>1+1</f>
        <v>2</v>
      </c>
      <c r="C267" s="346"/>
      <c r="D267" s="346"/>
      <c r="E267" s="346"/>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s="346"/>
      <c r="AE267" s="346"/>
      <c r="AF267" s="346"/>
      <c r="AG267" s="346"/>
      <c r="AH267" s="346"/>
      <c r="AI267" s="346"/>
      <c r="AJ267" s="346"/>
      <c r="AK267">
        <f t="shared" si="27"/>
        <v>2</v>
      </c>
      <c r="AL267" s="351">
        <f t="shared" si="28"/>
        <v>2.1929824561403508E-3</v>
      </c>
    </row>
    <row r="268" spans="1:38">
      <c r="A268" s="165">
        <f>'Conveyor Downtime (new)'!A265</f>
        <v>46156</v>
      </c>
      <c r="C268">
        <v>2</v>
      </c>
      <c r="F268">
        <f>1</f>
        <v>1</v>
      </c>
      <c r="P268">
        <v>8</v>
      </c>
      <c r="T268">
        <v>7</v>
      </c>
      <c r="AK268">
        <f t="shared" si="27"/>
        <v>18</v>
      </c>
      <c r="AL268" s="351">
        <f t="shared" si="28"/>
        <v>1.9736842105263157E-2</v>
      </c>
    </row>
    <row r="269" spans="1:38">
      <c r="A269" s="165">
        <f>'Conveyor Downtime (new)'!A266</f>
        <v>46156</v>
      </c>
      <c r="B269" s="346">
        <f>3</f>
        <v>3</v>
      </c>
      <c r="C269" s="346"/>
      <c r="D269" s="346"/>
      <c r="E269" s="346"/>
      <c r="F269" s="346">
        <f>1+1</f>
        <v>2</v>
      </c>
      <c r="G269" s="346"/>
      <c r="H269" s="346"/>
      <c r="I269" s="346"/>
      <c r="J269" s="346"/>
      <c r="K269" s="346"/>
      <c r="L269" s="346"/>
      <c r="M269" s="346"/>
      <c r="N269" s="346"/>
      <c r="O269" s="346"/>
      <c r="P269" s="346"/>
      <c r="Q269" s="346"/>
      <c r="R269" s="346"/>
      <c r="S269" s="346"/>
      <c r="T269" s="346"/>
      <c r="U269" s="346"/>
      <c r="V269" s="346">
        <v>34</v>
      </c>
      <c r="W269" s="346"/>
      <c r="X269" s="346"/>
      <c r="Y269" s="346"/>
      <c r="Z269" s="346"/>
      <c r="AA269" s="346"/>
      <c r="AB269" s="346"/>
      <c r="AC269" s="346"/>
      <c r="AD269" s="346"/>
      <c r="AE269" s="346"/>
      <c r="AF269" s="346"/>
      <c r="AG269" s="346"/>
      <c r="AH269" s="346"/>
      <c r="AI269" s="346"/>
      <c r="AJ269" s="346"/>
      <c r="AK269">
        <f t="shared" si="27"/>
        <v>39</v>
      </c>
      <c r="AL269" s="351">
        <f t="shared" si="28"/>
        <v>4.2763157894736843E-2</v>
      </c>
    </row>
    <row r="270" spans="1:38">
      <c r="A270" s="165">
        <f>'Conveyor Downtime (new)'!A267</f>
        <v>46156</v>
      </c>
      <c r="AK270">
        <f t="shared" si="27"/>
        <v>0</v>
      </c>
      <c r="AL270" s="351">
        <f t="shared" si="28"/>
        <v>0</v>
      </c>
    </row>
    <row r="271" spans="1:38">
      <c r="A271" s="165">
        <f>'Conveyor Downtime (new)'!A268</f>
        <v>46157</v>
      </c>
      <c r="B271" s="346">
        <f>2</f>
        <v>2</v>
      </c>
      <c r="C271" s="346"/>
      <c r="D271" s="346"/>
      <c r="E271" s="346"/>
      <c r="F271" s="346">
        <f>1+1+1</f>
        <v>3</v>
      </c>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s="346"/>
      <c r="AE271" s="346"/>
      <c r="AF271" s="346"/>
      <c r="AG271" s="346"/>
      <c r="AH271" s="346"/>
      <c r="AI271" s="346"/>
      <c r="AJ271" s="346"/>
      <c r="AK271">
        <f t="shared" si="27"/>
        <v>5</v>
      </c>
      <c r="AL271" s="351">
        <f t="shared" si="28"/>
        <v>5.4824561403508769E-3</v>
      </c>
    </row>
    <row r="272" spans="1:38">
      <c r="A272" s="165">
        <f>'Conveyor Downtime (new)'!A269</f>
        <v>46157</v>
      </c>
      <c r="AK272">
        <f t="shared" si="27"/>
        <v>0</v>
      </c>
      <c r="AL272" s="351">
        <f t="shared" si="28"/>
        <v>0</v>
      </c>
    </row>
    <row r="273" spans="1:38">
      <c r="A273" s="165">
        <f>'Conveyor Downtime (new)'!A270</f>
        <v>46158</v>
      </c>
      <c r="B273" s="346"/>
      <c r="C273" s="346"/>
      <c r="D273" s="346"/>
      <c r="E273" s="346"/>
      <c r="F273" s="346">
        <f>1+1</f>
        <v>2</v>
      </c>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s="346"/>
      <c r="AE273" s="346"/>
      <c r="AF273" s="346"/>
      <c r="AG273" s="346"/>
      <c r="AH273" s="346"/>
      <c r="AI273" s="346"/>
      <c r="AJ273" s="346"/>
      <c r="AK273">
        <f t="shared" si="27"/>
        <v>2</v>
      </c>
      <c r="AL273" s="351">
        <f t="shared" si="28"/>
        <v>2.1929824561403508E-3</v>
      </c>
    </row>
    <row r="274" spans="1:38">
      <c r="A274" s="165">
        <f>'Conveyor Downtime (new)'!A271</f>
        <v>46160</v>
      </c>
      <c r="B274">
        <f>1+1+2+1</f>
        <v>5</v>
      </c>
      <c r="F274">
        <f>1+1+1</f>
        <v>3</v>
      </c>
      <c r="T274">
        <v>5</v>
      </c>
      <c r="AA274">
        <f>2</f>
        <v>2</v>
      </c>
      <c r="AK274">
        <f t="shared" si="27"/>
        <v>15</v>
      </c>
      <c r="AL274" s="351">
        <f t="shared" si="28"/>
        <v>1.6447368421052631E-2</v>
      </c>
    </row>
    <row r="275" spans="1:38">
      <c r="A275" s="165">
        <f>'Conveyor Downtime (new)'!A272</f>
        <v>46160</v>
      </c>
      <c r="B275" s="346"/>
      <c r="C275" s="346"/>
      <c r="D275" s="346"/>
      <c r="E275" s="346"/>
      <c r="F275" s="346">
        <f>1</f>
        <v>1</v>
      </c>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s="346"/>
      <c r="AE275" s="346"/>
      <c r="AF275" s="346"/>
      <c r="AG275" s="346"/>
      <c r="AH275" s="346"/>
      <c r="AI275" s="346"/>
      <c r="AJ275" s="346">
        <f>5</f>
        <v>5</v>
      </c>
      <c r="AK275">
        <f t="shared" si="27"/>
        <v>6</v>
      </c>
      <c r="AL275" s="351">
        <f t="shared" si="28"/>
        <v>6.5789473684210523E-3</v>
      </c>
    </row>
    <row r="276" spans="1:38">
      <c r="A276" s="165">
        <f>'Conveyor Downtime (new)'!A273</f>
        <v>46161</v>
      </c>
      <c r="B276">
        <f>1+1</f>
        <v>2</v>
      </c>
      <c r="F276">
        <f>1+1</f>
        <v>2</v>
      </c>
      <c r="AK276">
        <f t="shared" si="27"/>
        <v>4</v>
      </c>
      <c r="AL276" s="351">
        <f t="shared" si="28"/>
        <v>4.3859649122807015E-3</v>
      </c>
    </row>
    <row r="277" spans="1:38">
      <c r="A277" s="165">
        <f>'Conveyor Downtime (new)'!A274</f>
        <v>46161</v>
      </c>
      <c r="B277" s="346"/>
      <c r="C277" s="346"/>
      <c r="D277" s="346"/>
      <c r="E277" s="346"/>
      <c r="F277" s="346">
        <f>1</f>
        <v>1</v>
      </c>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s="346"/>
      <c r="AE277" s="346"/>
      <c r="AF277" s="346"/>
      <c r="AG277" s="346"/>
      <c r="AH277" s="346"/>
      <c r="AI277" s="346"/>
      <c r="AJ277" s="346"/>
      <c r="AK277">
        <f t="shared" si="27"/>
        <v>1</v>
      </c>
      <c r="AL277" s="351">
        <f t="shared" si="28"/>
        <v>1.0964912280701754E-3</v>
      </c>
    </row>
    <row r="278" spans="1:38">
      <c r="A278" s="165">
        <f>'Conveyor Downtime (new)'!A275</f>
        <v>46161</v>
      </c>
      <c r="B278">
        <f>2</f>
        <v>2</v>
      </c>
      <c r="F278">
        <f>1+1</f>
        <v>2</v>
      </c>
      <c r="AK278">
        <f t="shared" si="27"/>
        <v>4</v>
      </c>
      <c r="AL278" s="351">
        <f t="shared" si="28"/>
        <v>4.3859649122807015E-3</v>
      </c>
    </row>
    <row r="279" spans="1:38">
      <c r="A279" s="165">
        <f>'Conveyor Downtime (new)'!A276</f>
        <v>46162</v>
      </c>
      <c r="B279" s="346"/>
      <c r="C279" s="346"/>
      <c r="D279" s="346"/>
      <c r="E279" s="346"/>
      <c r="F279" s="346">
        <f>1+1+1</f>
        <v>3</v>
      </c>
      <c r="G279" s="346"/>
      <c r="H279" s="346"/>
      <c r="I279" s="346"/>
      <c r="J279" s="346"/>
      <c r="K279" s="346"/>
      <c r="L279" s="346"/>
      <c r="M279" s="346"/>
      <c r="N279" s="346"/>
      <c r="O279" s="346"/>
      <c r="P279" s="346"/>
      <c r="Q279" s="346"/>
      <c r="R279" s="346"/>
      <c r="S279" s="346"/>
      <c r="T279" s="346"/>
      <c r="U279" s="346"/>
      <c r="V279" s="346"/>
      <c r="W279" s="346"/>
      <c r="X279" s="346"/>
      <c r="Y279" s="346"/>
      <c r="Z279" s="346"/>
      <c r="AA279" s="346"/>
      <c r="AB279" s="346"/>
      <c r="AC279" s="346"/>
      <c r="AD279" s="346"/>
      <c r="AE279" s="346"/>
      <c r="AF279" s="346"/>
      <c r="AG279" s="346"/>
      <c r="AH279" s="346"/>
      <c r="AI279" s="346"/>
      <c r="AJ279" s="346"/>
      <c r="AK279">
        <f t="shared" si="27"/>
        <v>3</v>
      </c>
      <c r="AL279" s="351">
        <f t="shared" si="28"/>
        <v>3.2894736842105261E-3</v>
      </c>
    </row>
    <row r="280" spans="1:38">
      <c r="A280" s="165">
        <f>'Conveyor Downtime (new)'!A277</f>
        <v>46162</v>
      </c>
      <c r="B280">
        <f>2+2+2</f>
        <v>6</v>
      </c>
      <c r="F280">
        <f>1+1+1+1</f>
        <v>4</v>
      </c>
      <c r="AK280">
        <f t="shared" si="27"/>
        <v>10</v>
      </c>
      <c r="AL280" s="351">
        <f t="shared" si="28"/>
        <v>1.0964912280701754E-2</v>
      </c>
    </row>
    <row r="281" spans="1:38">
      <c r="A281" s="165">
        <f>'Conveyor Downtime (new)'!A278</f>
        <v>46163</v>
      </c>
      <c r="B281" s="346"/>
      <c r="C281" s="346"/>
      <c r="D281" s="346"/>
      <c r="E281" s="346"/>
      <c r="F281" s="346">
        <f>1</f>
        <v>1</v>
      </c>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s="346"/>
      <c r="AE281" s="346"/>
      <c r="AF281" s="346"/>
      <c r="AG281" s="346"/>
      <c r="AH281" s="346"/>
      <c r="AI281" s="346"/>
      <c r="AJ281" s="346"/>
      <c r="AK281">
        <f t="shared" si="27"/>
        <v>1</v>
      </c>
      <c r="AL281" s="351">
        <f t="shared" si="28"/>
        <v>1.0964912280701754E-3</v>
      </c>
    </row>
    <row r="282" spans="1:38">
      <c r="A282" s="165">
        <f>'Conveyor Downtime (new)'!A279</f>
        <v>46163</v>
      </c>
      <c r="B282">
        <f>1+2+1</f>
        <v>4</v>
      </c>
      <c r="C282">
        <v>2</v>
      </c>
      <c r="F282">
        <f>1+1</f>
        <v>2</v>
      </c>
      <c r="AK282">
        <f t="shared" si="27"/>
        <v>8</v>
      </c>
      <c r="AL282" s="351">
        <f t="shared" si="28"/>
        <v>8.771929824561403E-3</v>
      </c>
    </row>
    <row r="283" spans="1:38">
      <c r="A283" s="165">
        <f>'Conveyor Downtime (new)'!A280</f>
        <v>46163</v>
      </c>
      <c r="B283" s="346"/>
      <c r="C283" s="346"/>
      <c r="D283" s="346"/>
      <c r="E283" s="346"/>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s="346"/>
      <c r="AE283" s="346"/>
      <c r="AF283" s="346"/>
      <c r="AG283" s="346"/>
      <c r="AH283" s="346"/>
      <c r="AI283" s="346"/>
      <c r="AJ283" s="346"/>
      <c r="AK283">
        <f t="shared" ref="AK283:AK305" si="29">SUM(B283:AJ283)</f>
        <v>0</v>
      </c>
      <c r="AL283" s="351">
        <f t="shared" si="28"/>
        <v>0</v>
      </c>
    </row>
    <row r="284" spans="1:38">
      <c r="A284" s="165">
        <f>'Conveyor Downtime (new)'!A281</f>
        <v>46164</v>
      </c>
      <c r="F284">
        <f>1</f>
        <v>1</v>
      </c>
      <c r="AK284">
        <f t="shared" si="29"/>
        <v>1</v>
      </c>
      <c r="AL284" s="351">
        <f t="shared" si="28"/>
        <v>1.0964912280701754E-3</v>
      </c>
    </row>
    <row r="285" spans="1:38">
      <c r="A285" s="165">
        <f>'Conveyor Downtime (new)'!A282</f>
        <v>46164</v>
      </c>
      <c r="B285" s="346">
        <f>2+2+1+4+3+2</f>
        <v>14</v>
      </c>
      <c r="C285" s="346"/>
      <c r="D285" s="346"/>
      <c r="E285" s="346"/>
      <c r="F285" s="346"/>
      <c r="G285" s="346"/>
      <c r="H285" s="346"/>
      <c r="I285" s="346"/>
      <c r="J285" s="346"/>
      <c r="K285" s="346"/>
      <c r="L285" s="346"/>
      <c r="M285" s="346"/>
      <c r="N285" s="346"/>
      <c r="O285" s="346"/>
      <c r="P285" s="346"/>
      <c r="Q285" s="346"/>
      <c r="R285" s="346"/>
      <c r="S285" s="346"/>
      <c r="T285" s="346">
        <f>7</f>
        <v>7</v>
      </c>
      <c r="U285" s="346"/>
      <c r="V285" s="346"/>
      <c r="W285" s="346"/>
      <c r="X285" s="346"/>
      <c r="Y285" s="346"/>
      <c r="Z285" s="346"/>
      <c r="AA285" s="346"/>
      <c r="AB285" s="346"/>
      <c r="AC285" s="346"/>
      <c r="AD285" s="346"/>
      <c r="AE285" s="346"/>
      <c r="AF285" s="346"/>
      <c r="AG285" s="346"/>
      <c r="AH285" s="346"/>
      <c r="AI285" s="346"/>
      <c r="AJ285" s="346">
        <f>7+2</f>
        <v>9</v>
      </c>
      <c r="AK285">
        <f t="shared" si="29"/>
        <v>30</v>
      </c>
      <c r="AL285" s="351">
        <f t="shared" si="28"/>
        <v>3.2894736842105261E-2</v>
      </c>
    </row>
    <row r="286" spans="1:38">
      <c r="A286" s="165">
        <f>'Conveyor Downtime (new)'!A283</f>
        <v>46164</v>
      </c>
      <c r="AK286">
        <f t="shared" si="29"/>
        <v>0</v>
      </c>
      <c r="AL286" s="351">
        <f t="shared" si="28"/>
        <v>0</v>
      </c>
    </row>
    <row r="287" spans="1:38">
      <c r="A287" s="165">
        <f>'Conveyor Downtime (new)'!A284</f>
        <v>46168</v>
      </c>
      <c r="B287" s="346">
        <f>1+1+3+1+2+1+1+3</f>
        <v>13</v>
      </c>
      <c r="C287" s="346"/>
      <c r="D287" s="346"/>
      <c r="E287" s="346"/>
      <c r="F287" s="346">
        <f>1</f>
        <v>1</v>
      </c>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s="346"/>
      <c r="AE287" s="346"/>
      <c r="AF287" s="346"/>
      <c r="AG287" s="346"/>
      <c r="AH287" s="346"/>
      <c r="AI287" s="346">
        <f>10+60+45</f>
        <v>115</v>
      </c>
      <c r="AJ287" s="346">
        <f>3+2+3+3+28+17</f>
        <v>56</v>
      </c>
      <c r="AK287">
        <f t="shared" si="29"/>
        <v>185</v>
      </c>
      <c r="AL287" s="351">
        <f t="shared" si="28"/>
        <v>0.20285087719298245</v>
      </c>
    </row>
    <row r="288" spans="1:38">
      <c r="A288" s="165">
        <f>'Conveyor Downtime (new)'!A285</f>
        <v>46169</v>
      </c>
      <c r="B288">
        <f>3</f>
        <v>3</v>
      </c>
      <c r="F288">
        <f>1+1+1</f>
        <v>3</v>
      </c>
      <c r="AJ288">
        <f>10+8+18+20</f>
        <v>56</v>
      </c>
      <c r="AK288">
        <f t="shared" si="29"/>
        <v>62</v>
      </c>
      <c r="AL288" s="351">
        <f t="shared" si="28"/>
        <v>6.798245614035088E-2</v>
      </c>
    </row>
    <row r="289" spans="1:38">
      <c r="A289" s="165">
        <f>'Conveyor Downtime (new)'!A286</f>
        <v>46169</v>
      </c>
      <c r="B289" s="346">
        <v>1</v>
      </c>
      <c r="C289" s="346"/>
      <c r="D289" s="346"/>
      <c r="E289" s="346"/>
      <c r="F289" s="346"/>
      <c r="G289" s="346"/>
      <c r="H289" s="346"/>
      <c r="I289" s="346"/>
      <c r="J289" s="346"/>
      <c r="K289" s="346"/>
      <c r="L289" s="346"/>
      <c r="M289" s="346"/>
      <c r="N289" s="346"/>
      <c r="O289" s="346"/>
      <c r="P289" s="346"/>
      <c r="Q289" s="346"/>
      <c r="R289" s="346"/>
      <c r="S289" s="346"/>
      <c r="T289" s="346">
        <v>2</v>
      </c>
      <c r="U289" s="346"/>
      <c r="V289" s="346"/>
      <c r="W289" s="346"/>
      <c r="X289" s="346"/>
      <c r="Y289" s="346">
        <f>20</f>
        <v>20</v>
      </c>
      <c r="Z289" s="346"/>
      <c r="AA289" s="346"/>
      <c r="AB289" s="346"/>
      <c r="AC289" s="346"/>
      <c r="AD289" s="346"/>
      <c r="AE289" s="346"/>
      <c r="AF289" s="346"/>
      <c r="AG289" s="346"/>
      <c r="AH289" s="346"/>
      <c r="AI289" s="346"/>
      <c r="AJ289" s="346"/>
      <c r="AK289">
        <f t="shared" si="29"/>
        <v>23</v>
      </c>
      <c r="AL289" s="351">
        <f t="shared" si="28"/>
        <v>2.5219298245614034E-2</v>
      </c>
    </row>
    <row r="290" spans="1:38">
      <c r="A290" s="165">
        <f>'Conveyor Downtime (new)'!A287</f>
        <v>46170</v>
      </c>
      <c r="Y290">
        <f>33</f>
        <v>33</v>
      </c>
      <c r="AK290">
        <f t="shared" si="29"/>
        <v>33</v>
      </c>
      <c r="AL290" s="351">
        <f t="shared" si="28"/>
        <v>3.6184210526315791E-2</v>
      </c>
    </row>
    <row r="291" spans="1:38">
      <c r="A291" s="165">
        <f>'Conveyor Downtime (new)'!A288</f>
        <v>0</v>
      </c>
      <c r="B291" s="346"/>
      <c r="C291" s="346"/>
      <c r="D291" s="346"/>
      <c r="E291" s="346"/>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s="346"/>
      <c r="AE291" s="346"/>
      <c r="AF291" s="346"/>
      <c r="AG291" s="346"/>
      <c r="AH291" s="346"/>
      <c r="AI291" s="346"/>
      <c r="AJ291" s="346"/>
      <c r="AK291">
        <f t="shared" si="29"/>
        <v>0</v>
      </c>
      <c r="AL291" s="351">
        <f t="shared" si="28"/>
        <v>0</v>
      </c>
    </row>
    <row r="292" spans="1:38">
      <c r="A292" s="165">
        <f>'Conveyor Downtime (new)'!A289</f>
        <v>0</v>
      </c>
      <c r="AK292">
        <f t="shared" si="29"/>
        <v>0</v>
      </c>
      <c r="AL292" s="351">
        <f t="shared" si="28"/>
        <v>0</v>
      </c>
    </row>
    <row r="293" spans="1:38">
      <c r="A293" s="165"/>
      <c r="B293" s="346"/>
      <c r="C293" s="346"/>
      <c r="D293" s="346"/>
      <c r="E293" s="346"/>
      <c r="F293" s="346"/>
      <c r="G293" s="346"/>
      <c r="H293" s="346"/>
      <c r="I293" s="346"/>
      <c r="J293" s="346"/>
      <c r="K293" s="346"/>
      <c r="L293" s="346" t="s">
        <v>210</v>
      </c>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f t="shared" si="29"/>
        <v>0</v>
      </c>
      <c r="AL293" s="351">
        <f t="shared" si="28"/>
        <v>0</v>
      </c>
    </row>
    <row r="294" spans="1:38">
      <c r="A294" s="165"/>
      <c r="AK294">
        <f t="shared" si="29"/>
        <v>0</v>
      </c>
      <c r="AL294" s="351">
        <f t="shared" si="28"/>
        <v>0</v>
      </c>
    </row>
    <row r="295" spans="1:38" hidden="1">
      <c r="A295" s="165"/>
      <c r="B295" s="346"/>
      <c r="C295" s="346"/>
      <c r="D295" s="346"/>
      <c r="E295" s="346"/>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f t="shared" si="29"/>
        <v>0</v>
      </c>
      <c r="AL295" s="351">
        <f t="shared" si="28"/>
        <v>0</v>
      </c>
    </row>
    <row r="296" spans="1:38" hidden="1">
      <c r="A296" s="165"/>
      <c r="AK296">
        <f t="shared" si="29"/>
        <v>0</v>
      </c>
      <c r="AL296" s="351">
        <f t="shared" si="28"/>
        <v>0</v>
      </c>
    </row>
    <row r="297" spans="1:38" hidden="1">
      <c r="A297" s="165"/>
      <c r="B297" s="346"/>
      <c r="C297" s="346"/>
      <c r="D297" s="346"/>
      <c r="E297" s="346"/>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s="346"/>
      <c r="AE297" s="346"/>
      <c r="AF297" s="346"/>
      <c r="AG297" s="346"/>
      <c r="AH297" s="346"/>
      <c r="AI297" s="346"/>
      <c r="AJ297" s="346"/>
      <c r="AK297">
        <f t="shared" si="29"/>
        <v>0</v>
      </c>
      <c r="AL297" s="351">
        <f t="shared" si="28"/>
        <v>0</v>
      </c>
    </row>
    <row r="298" spans="1:38" hidden="1">
      <c r="A298" s="165"/>
      <c r="AK298">
        <f t="shared" si="29"/>
        <v>0</v>
      </c>
      <c r="AL298" s="351">
        <f t="shared" si="28"/>
        <v>0</v>
      </c>
    </row>
    <row r="299" spans="1:38" hidden="1">
      <c r="A299" s="165"/>
      <c r="B299" s="346"/>
      <c r="C299" s="346"/>
      <c r="D299" s="346"/>
      <c r="E299" s="346"/>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c r="AD299" s="346"/>
      <c r="AE299" s="346"/>
      <c r="AF299" s="346"/>
      <c r="AG299" s="346"/>
      <c r="AH299" s="346"/>
      <c r="AI299" s="346"/>
      <c r="AJ299" s="346"/>
      <c r="AK299">
        <f t="shared" si="29"/>
        <v>0</v>
      </c>
      <c r="AL299" s="351">
        <f t="shared" si="28"/>
        <v>0</v>
      </c>
    </row>
    <row r="300" spans="1:38" hidden="1">
      <c r="A300" s="165"/>
      <c r="AK300">
        <f t="shared" si="29"/>
        <v>0</v>
      </c>
      <c r="AL300" s="351">
        <f t="shared" si="28"/>
        <v>0</v>
      </c>
    </row>
    <row r="301" spans="1:38" hidden="1">
      <c r="A301" s="165"/>
      <c r="B301" s="346"/>
      <c r="C301" s="346"/>
      <c r="D301" s="346"/>
      <c r="E301" s="346"/>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c r="AD301" s="346"/>
      <c r="AE301" s="346"/>
      <c r="AF301" s="346"/>
      <c r="AG301" s="346"/>
      <c r="AH301" s="346"/>
      <c r="AI301" s="346"/>
      <c r="AJ301" s="346"/>
      <c r="AK301">
        <f t="shared" si="29"/>
        <v>0</v>
      </c>
      <c r="AL301" s="351">
        <f t="shared" si="28"/>
        <v>0</v>
      </c>
    </row>
    <row r="302" spans="1:38" hidden="1">
      <c r="A302" s="165"/>
      <c r="AK302">
        <f t="shared" si="29"/>
        <v>0</v>
      </c>
      <c r="AL302" s="351">
        <f t="shared" si="28"/>
        <v>0</v>
      </c>
    </row>
    <row r="303" spans="1:38" hidden="1">
      <c r="A303" s="165"/>
      <c r="B303" s="346"/>
      <c r="C303" s="346"/>
      <c r="D303" s="346"/>
      <c r="E303" s="346"/>
      <c r="F303" s="346"/>
      <c r="G303" s="346"/>
      <c r="H303" s="346"/>
      <c r="I303" s="346"/>
      <c r="J303" s="346"/>
      <c r="K303" s="346"/>
      <c r="L303" s="346"/>
      <c r="M303" s="346"/>
      <c r="N303" s="346"/>
      <c r="O303" s="346"/>
      <c r="P303" s="346"/>
      <c r="Q303" s="346"/>
      <c r="R303" s="346"/>
      <c r="S303" s="346"/>
      <c r="T303" s="346"/>
      <c r="U303" s="346"/>
      <c r="V303" s="346"/>
      <c r="W303" s="346"/>
      <c r="X303" s="346"/>
      <c r="Y303" s="346"/>
      <c r="Z303" s="346"/>
      <c r="AA303" s="346"/>
      <c r="AB303" s="346"/>
      <c r="AC303" s="346"/>
      <c r="AD303" s="346"/>
      <c r="AE303" s="346"/>
      <c r="AF303" s="346"/>
      <c r="AG303" s="346"/>
      <c r="AH303" s="346"/>
      <c r="AI303" s="346"/>
      <c r="AJ303" s="346"/>
      <c r="AK303">
        <f t="shared" si="29"/>
        <v>0</v>
      </c>
      <c r="AL303" s="351">
        <f t="shared" si="28"/>
        <v>0</v>
      </c>
    </row>
    <row r="304" spans="1:38" hidden="1">
      <c r="A304" s="165"/>
      <c r="AK304">
        <f t="shared" si="29"/>
        <v>0</v>
      </c>
      <c r="AL304" s="351">
        <f t="shared" si="28"/>
        <v>0</v>
      </c>
    </row>
    <row r="305" spans="1:38" hidden="1">
      <c r="A305" s="165"/>
      <c r="B305" s="346"/>
      <c r="C305" s="346"/>
      <c r="D305" s="346"/>
      <c r="E305" s="346"/>
      <c r="F305" s="346"/>
      <c r="G305" s="346"/>
      <c r="H305" s="346"/>
      <c r="I305" s="346"/>
      <c r="J305" s="346"/>
      <c r="K305" s="346"/>
      <c r="L305" s="346"/>
      <c r="M305" s="346"/>
      <c r="N305" s="346"/>
      <c r="O305" s="346"/>
      <c r="P305" s="346"/>
      <c r="Q305" s="346"/>
      <c r="R305" s="346"/>
      <c r="S305" s="346"/>
      <c r="T305" s="346"/>
      <c r="U305" s="346"/>
      <c r="V305" s="346"/>
      <c r="W305" s="346"/>
      <c r="X305" s="346"/>
      <c r="Y305" s="346"/>
      <c r="Z305" s="346"/>
      <c r="AA305" s="346"/>
      <c r="AB305" s="346"/>
      <c r="AC305" s="346"/>
      <c r="AD305" s="346"/>
      <c r="AE305" s="346"/>
      <c r="AF305" s="346"/>
      <c r="AG305" s="346"/>
      <c r="AH305" s="346"/>
      <c r="AI305" s="346"/>
      <c r="AJ305" s="346"/>
      <c r="AK305">
        <f t="shared" si="29"/>
        <v>0</v>
      </c>
      <c r="AL305" s="351">
        <f t="shared" si="28"/>
        <v>0</v>
      </c>
    </row>
    <row r="306" spans="1:38" ht="15">
      <c r="A306" s="347" t="s">
        <v>113</v>
      </c>
      <c r="B306" s="347">
        <f t="shared" ref="B306:AJ306" si="30">SUM(B251:B305)</f>
        <v>98</v>
      </c>
      <c r="C306" s="347">
        <f t="shared" si="30"/>
        <v>4</v>
      </c>
      <c r="D306" s="347">
        <f t="shared" si="30"/>
        <v>0</v>
      </c>
      <c r="E306" s="347">
        <f t="shared" si="30"/>
        <v>0</v>
      </c>
      <c r="F306" s="347">
        <f t="shared" si="30"/>
        <v>58</v>
      </c>
      <c r="G306" s="347">
        <f t="shared" si="30"/>
        <v>0</v>
      </c>
      <c r="H306" s="347">
        <f t="shared" si="30"/>
        <v>0</v>
      </c>
      <c r="I306" s="347">
        <f t="shared" si="30"/>
        <v>0</v>
      </c>
      <c r="J306" s="347">
        <f t="shared" si="30"/>
        <v>0</v>
      </c>
      <c r="K306" s="347">
        <f t="shared" si="30"/>
        <v>0</v>
      </c>
      <c r="L306" s="347">
        <f t="shared" si="30"/>
        <v>30</v>
      </c>
      <c r="M306" s="347">
        <f t="shared" si="30"/>
        <v>0</v>
      </c>
      <c r="N306" s="347">
        <f t="shared" si="30"/>
        <v>0</v>
      </c>
      <c r="O306" s="347">
        <f t="shared" si="30"/>
        <v>0</v>
      </c>
      <c r="P306" s="347">
        <f t="shared" si="30"/>
        <v>8</v>
      </c>
      <c r="Q306" s="347">
        <f t="shared" si="30"/>
        <v>0</v>
      </c>
      <c r="R306" s="347">
        <f t="shared" si="30"/>
        <v>0</v>
      </c>
      <c r="S306" s="347">
        <f t="shared" si="30"/>
        <v>29</v>
      </c>
      <c r="T306" s="347">
        <f t="shared" si="30"/>
        <v>28</v>
      </c>
      <c r="U306" s="347">
        <f t="shared" si="30"/>
        <v>2</v>
      </c>
      <c r="V306" s="347">
        <f t="shared" si="30"/>
        <v>58</v>
      </c>
      <c r="W306" s="347">
        <f t="shared" si="30"/>
        <v>21</v>
      </c>
      <c r="X306" s="347">
        <f t="shared" si="30"/>
        <v>0</v>
      </c>
      <c r="Y306" s="347">
        <f t="shared" si="30"/>
        <v>62</v>
      </c>
      <c r="Z306" s="347">
        <f t="shared" si="30"/>
        <v>45</v>
      </c>
      <c r="AA306" s="347">
        <f t="shared" si="30"/>
        <v>2</v>
      </c>
      <c r="AB306" s="347">
        <f t="shared" si="30"/>
        <v>0</v>
      </c>
      <c r="AC306" s="347">
        <f t="shared" si="30"/>
        <v>0</v>
      </c>
      <c r="AD306" s="347">
        <f t="shared" si="30"/>
        <v>0</v>
      </c>
      <c r="AE306" s="347">
        <f t="shared" si="30"/>
        <v>0</v>
      </c>
      <c r="AF306" s="347">
        <f t="shared" si="30"/>
        <v>0</v>
      </c>
      <c r="AG306" s="347">
        <f t="shared" si="30"/>
        <v>0</v>
      </c>
      <c r="AH306" s="347">
        <f t="shared" si="30"/>
        <v>0</v>
      </c>
      <c r="AI306" s="347">
        <f t="shared" si="30"/>
        <v>115</v>
      </c>
      <c r="AJ306" s="347">
        <f t="shared" si="30"/>
        <v>352</v>
      </c>
      <c r="AK306" s="347">
        <f>SUM(AK251:AK305)</f>
        <v>912</v>
      </c>
      <c r="AL306" s="376"/>
    </row>
    <row r="307" spans="1:38" ht="15.75" thickBot="1">
      <c r="A307" s="348" t="s">
        <v>174</v>
      </c>
      <c r="B307" s="348">
        <f t="shared" ref="B307:H307" si="31">B306/$AK306</f>
        <v>0.10745614035087719</v>
      </c>
      <c r="C307" s="348">
        <f t="shared" si="31"/>
        <v>4.3859649122807015E-3</v>
      </c>
      <c r="D307" s="348">
        <f t="shared" si="31"/>
        <v>0</v>
      </c>
      <c r="E307" s="348">
        <f t="shared" si="31"/>
        <v>0</v>
      </c>
      <c r="F307" s="348">
        <f t="shared" si="31"/>
        <v>6.3596491228070179E-2</v>
      </c>
      <c r="G307" s="348">
        <f t="shared" si="31"/>
        <v>0</v>
      </c>
      <c r="H307" s="348">
        <f t="shared" si="31"/>
        <v>0</v>
      </c>
      <c r="I307" s="348">
        <f t="shared" ref="I307:R307" si="32">I306/$AK306</f>
        <v>0</v>
      </c>
      <c r="J307" s="348">
        <f t="shared" si="32"/>
        <v>0</v>
      </c>
      <c r="K307" s="348">
        <f t="shared" si="32"/>
        <v>0</v>
      </c>
      <c r="L307" s="348">
        <f t="shared" si="32"/>
        <v>3.2894736842105261E-2</v>
      </c>
      <c r="M307" s="348">
        <f t="shared" si="32"/>
        <v>0</v>
      </c>
      <c r="N307" s="348">
        <f t="shared" si="32"/>
        <v>0</v>
      </c>
      <c r="O307" s="348">
        <f t="shared" si="32"/>
        <v>0</v>
      </c>
      <c r="P307" s="348">
        <f t="shared" si="32"/>
        <v>8.771929824561403E-3</v>
      </c>
      <c r="Q307" s="348">
        <f t="shared" si="32"/>
        <v>0</v>
      </c>
      <c r="R307" s="348">
        <f t="shared" si="32"/>
        <v>0</v>
      </c>
      <c r="S307" s="348">
        <f t="shared" ref="S307:AJ307" si="33">S306/$AK306</f>
        <v>3.1798245614035089E-2</v>
      </c>
      <c r="T307" s="348">
        <f t="shared" si="33"/>
        <v>3.0701754385964911E-2</v>
      </c>
      <c r="U307" s="348">
        <f t="shared" si="33"/>
        <v>2.1929824561403508E-3</v>
      </c>
      <c r="V307" s="348">
        <f t="shared" si="33"/>
        <v>6.3596491228070179E-2</v>
      </c>
      <c r="W307" s="348">
        <f t="shared" si="33"/>
        <v>2.3026315789473683E-2</v>
      </c>
      <c r="X307" s="348">
        <f t="shared" si="33"/>
        <v>0</v>
      </c>
      <c r="Y307" s="348">
        <f t="shared" si="33"/>
        <v>6.798245614035088E-2</v>
      </c>
      <c r="Z307" s="348">
        <f t="shared" si="33"/>
        <v>4.9342105263157895E-2</v>
      </c>
      <c r="AA307" s="348">
        <f t="shared" si="33"/>
        <v>2.1929824561403508E-3</v>
      </c>
      <c r="AB307" s="348">
        <f t="shared" si="33"/>
        <v>0</v>
      </c>
      <c r="AC307" s="348">
        <f t="shared" si="33"/>
        <v>0</v>
      </c>
      <c r="AD307" s="348">
        <f t="shared" si="33"/>
        <v>0</v>
      </c>
      <c r="AE307" s="348">
        <f t="shared" si="33"/>
        <v>0</v>
      </c>
      <c r="AF307" s="348">
        <f t="shared" si="33"/>
        <v>0</v>
      </c>
      <c r="AG307" s="348">
        <f t="shared" si="33"/>
        <v>0</v>
      </c>
      <c r="AH307" s="348">
        <f t="shared" si="33"/>
        <v>0</v>
      </c>
      <c r="AI307" s="348">
        <f t="shared" si="33"/>
        <v>0.12609649122807018</v>
      </c>
      <c r="AJ307" s="348">
        <f t="shared" si="33"/>
        <v>0.38596491228070173</v>
      </c>
      <c r="AK307" s="376"/>
      <c r="AL307" s="376"/>
    </row>
    <row r="308" spans="1:38">
      <c r="AL308" s="358" t="s">
        <v>209</v>
      </c>
    </row>
    <row r="310" spans="1:38">
      <c r="A310" s="165">
        <f>'Conveyor Downtime (new)'!A308</f>
        <v>46192</v>
      </c>
      <c r="AK310">
        <f t="shared" ref="AK310:AK326" si="34">SUM(B310:AJ310)</f>
        <v>0</v>
      </c>
      <c r="AL310" s="351">
        <f t="shared" ref="AL310" si="35">AK310/$AK$369</f>
        <v>0</v>
      </c>
    </row>
    <row r="311" spans="1:38">
      <c r="A311" s="165">
        <f>'Conveyor Downtime (new)'!A309</f>
        <v>46193</v>
      </c>
      <c r="B311" s="377">
        <f>2</f>
        <v>2</v>
      </c>
      <c r="C311" s="377"/>
      <c r="D311" s="377"/>
      <c r="E311" s="377"/>
      <c r="F311" s="377">
        <f>1</f>
        <v>1</v>
      </c>
      <c r="G311" s="377"/>
      <c r="H311" s="377"/>
      <c r="I311" s="377"/>
      <c r="J311" s="377"/>
      <c r="K311" s="377"/>
      <c r="L311" s="377"/>
      <c r="M311" s="377"/>
      <c r="N311" s="377"/>
      <c r="O311" s="377"/>
      <c r="P311" s="377"/>
      <c r="Q311" s="377"/>
      <c r="R311" s="377"/>
      <c r="S311" s="377"/>
      <c r="T311" s="377"/>
      <c r="U311" s="377"/>
      <c r="V311" s="377"/>
      <c r="W311" s="377"/>
      <c r="X311" s="377"/>
      <c r="Y311" s="377"/>
      <c r="Z311" s="377"/>
      <c r="AA311" s="377"/>
      <c r="AB311" s="377"/>
      <c r="AC311" s="377"/>
      <c r="AD311" s="377"/>
      <c r="AE311" s="377"/>
      <c r="AF311" s="377"/>
      <c r="AG311" s="377"/>
      <c r="AH311" s="377"/>
      <c r="AI311" s="377"/>
      <c r="AJ311" s="377"/>
      <c r="AK311">
        <f t="shared" si="34"/>
        <v>3</v>
      </c>
      <c r="AL311" s="351">
        <f t="shared" ref="AL311:AL342" si="36">AK311/$AK$369</f>
        <v>4.1666666666666664E-2</v>
      </c>
    </row>
    <row r="312" spans="1:38">
      <c r="A312" s="165">
        <f>'Conveyor Downtime (new)'!A310</f>
        <v>46194</v>
      </c>
      <c r="B312">
        <f>2+1+1</f>
        <v>4</v>
      </c>
      <c r="AK312">
        <f t="shared" si="34"/>
        <v>4</v>
      </c>
      <c r="AL312" s="351">
        <f t="shared" si="36"/>
        <v>5.5555555555555552E-2</v>
      </c>
    </row>
    <row r="313" spans="1:38">
      <c r="A313" s="165">
        <f>'Conveyor Downtime (new)'!A311</f>
        <v>46195</v>
      </c>
      <c r="B313" s="377"/>
      <c r="C313" s="377"/>
      <c r="D313" s="377"/>
      <c r="E313" s="377"/>
      <c r="F313" s="377">
        <f>1+1+1+1</f>
        <v>4</v>
      </c>
      <c r="G313" s="377"/>
      <c r="H313" s="377"/>
      <c r="I313" s="377"/>
      <c r="J313" s="377"/>
      <c r="K313" s="377"/>
      <c r="L313" s="377"/>
      <c r="M313" s="377"/>
      <c r="N313" s="377"/>
      <c r="O313" s="377"/>
      <c r="P313" s="377"/>
      <c r="Q313" s="377"/>
      <c r="R313" s="377"/>
      <c r="S313" s="377"/>
      <c r="T313" s="377">
        <f>6</f>
        <v>6</v>
      </c>
      <c r="U313" s="377"/>
      <c r="V313" s="377"/>
      <c r="W313" s="377"/>
      <c r="X313" s="377"/>
      <c r="Y313" s="377"/>
      <c r="Z313" s="377"/>
      <c r="AA313" s="377"/>
      <c r="AB313" s="377"/>
      <c r="AC313" s="377"/>
      <c r="AD313" s="377"/>
      <c r="AE313" s="377"/>
      <c r="AF313" s="377"/>
      <c r="AG313" s="377"/>
      <c r="AH313" s="377"/>
      <c r="AI313" s="377"/>
      <c r="AJ313" s="377"/>
      <c r="AK313">
        <f t="shared" si="34"/>
        <v>10</v>
      </c>
      <c r="AL313" s="351">
        <f t="shared" si="36"/>
        <v>0.1388888888888889</v>
      </c>
    </row>
    <row r="314" spans="1:38">
      <c r="A314" s="165">
        <f>'Conveyor Downtime (new)'!A312</f>
        <v>46195</v>
      </c>
      <c r="AK314">
        <f t="shared" si="34"/>
        <v>0</v>
      </c>
      <c r="AL314" s="351">
        <f t="shared" si="36"/>
        <v>0</v>
      </c>
    </row>
    <row r="315" spans="1:38">
      <c r="A315" s="165">
        <f>'Conveyor Downtime (new)'!A313</f>
        <v>46196</v>
      </c>
      <c r="B315" s="377"/>
      <c r="C315" s="377"/>
      <c r="D315" s="377"/>
      <c r="E315" s="377"/>
      <c r="F315" s="377">
        <f>1+1</f>
        <v>2</v>
      </c>
      <c r="G315" s="377"/>
      <c r="H315" s="377"/>
      <c r="I315" s="377"/>
      <c r="J315" s="377"/>
      <c r="K315" s="377"/>
      <c r="L315" s="377"/>
      <c r="M315" s="377"/>
      <c r="N315" s="377"/>
      <c r="O315" s="377"/>
      <c r="P315" s="377"/>
      <c r="Q315" s="377"/>
      <c r="R315" s="377"/>
      <c r="S315" s="377"/>
      <c r="T315" s="377"/>
      <c r="U315" s="377"/>
      <c r="V315" s="377"/>
      <c r="W315" s="377"/>
      <c r="X315" s="377"/>
      <c r="Y315" s="377"/>
      <c r="Z315" s="377"/>
      <c r="AA315" s="377"/>
      <c r="AB315" s="377"/>
      <c r="AC315" s="377"/>
      <c r="AD315" s="377"/>
      <c r="AE315" s="377"/>
      <c r="AF315" s="377"/>
      <c r="AG315" s="377"/>
      <c r="AH315" s="377"/>
      <c r="AI315" s="377"/>
      <c r="AJ315" s="377"/>
      <c r="AK315">
        <f t="shared" si="34"/>
        <v>2</v>
      </c>
      <c r="AL315" s="351">
        <f t="shared" si="36"/>
        <v>2.7777777777777776E-2</v>
      </c>
    </row>
    <row r="316" spans="1:38">
      <c r="A316" s="165">
        <f>'Conveyor Downtime (new)'!A314</f>
        <v>46196</v>
      </c>
      <c r="F316">
        <f>1</f>
        <v>1</v>
      </c>
      <c r="AK316">
        <f t="shared" si="34"/>
        <v>1</v>
      </c>
      <c r="AL316" s="351">
        <f t="shared" si="36"/>
        <v>1.3888888888888888E-2</v>
      </c>
    </row>
    <row r="317" spans="1:38">
      <c r="A317" s="165">
        <f>'Conveyor Downtime (new)'!A315</f>
        <v>46196</v>
      </c>
      <c r="B317" s="377"/>
      <c r="C317" s="377"/>
      <c r="D317" s="377"/>
      <c r="E317" s="377"/>
      <c r="F317" s="377"/>
      <c r="G317" s="377"/>
      <c r="H317" s="377"/>
      <c r="I317" s="377"/>
      <c r="J317" s="377"/>
      <c r="K317" s="377"/>
      <c r="L317" s="377"/>
      <c r="M317" s="377"/>
      <c r="N317" s="377"/>
      <c r="O317" s="377"/>
      <c r="P317" s="377"/>
      <c r="Q317" s="377"/>
      <c r="R317" s="377"/>
      <c r="S317" s="377"/>
      <c r="T317" s="377"/>
      <c r="U317" s="377"/>
      <c r="V317" s="377"/>
      <c r="W317" s="377"/>
      <c r="X317" s="377"/>
      <c r="Y317" s="377"/>
      <c r="Z317" s="377"/>
      <c r="AA317" s="377"/>
      <c r="AB317" s="377"/>
      <c r="AC317" s="377"/>
      <c r="AD317" s="377"/>
      <c r="AE317" s="377"/>
      <c r="AF317" s="377"/>
      <c r="AG317" s="377"/>
      <c r="AH317" s="377"/>
      <c r="AI317" s="377"/>
      <c r="AJ317" s="377"/>
      <c r="AK317">
        <f t="shared" si="34"/>
        <v>0</v>
      </c>
      <c r="AL317" s="351">
        <f t="shared" si="36"/>
        <v>0</v>
      </c>
    </row>
    <row r="318" spans="1:38">
      <c r="A318" s="165">
        <f>'Conveyor Downtime (new)'!A316</f>
        <v>46197</v>
      </c>
      <c r="B318">
        <f>2</f>
        <v>2</v>
      </c>
      <c r="F318">
        <f>1+1</f>
        <v>2</v>
      </c>
      <c r="AK318">
        <f t="shared" si="34"/>
        <v>4</v>
      </c>
      <c r="AL318" s="351">
        <f t="shared" si="36"/>
        <v>5.5555555555555552E-2</v>
      </c>
    </row>
    <row r="319" spans="1:38">
      <c r="A319" s="165">
        <f>'Conveyor Downtime (new)'!A317</f>
        <v>46197</v>
      </c>
      <c r="B319" s="377"/>
      <c r="C319" s="377"/>
      <c r="D319" s="377"/>
      <c r="E319" s="377"/>
      <c r="F319" s="377"/>
      <c r="G319" s="377"/>
      <c r="H319" s="377"/>
      <c r="I319" s="377"/>
      <c r="J319" s="377"/>
      <c r="K319" s="377"/>
      <c r="L319" s="377"/>
      <c r="M319" s="377"/>
      <c r="N319" s="377"/>
      <c r="O319" s="377"/>
      <c r="P319" s="377"/>
      <c r="Q319" s="377"/>
      <c r="R319" s="377"/>
      <c r="S319" s="377"/>
      <c r="T319" s="377"/>
      <c r="U319" s="377"/>
      <c r="V319" s="377"/>
      <c r="W319" s="377"/>
      <c r="X319" s="377"/>
      <c r="Y319" s="377"/>
      <c r="Z319" s="377"/>
      <c r="AA319" s="377"/>
      <c r="AB319" s="377"/>
      <c r="AC319" s="377"/>
      <c r="AD319" s="377"/>
      <c r="AE319" s="377"/>
      <c r="AF319" s="377"/>
      <c r="AG319" s="377"/>
      <c r="AH319" s="377"/>
      <c r="AI319" s="377"/>
      <c r="AJ319" s="377"/>
      <c r="AK319">
        <f t="shared" si="34"/>
        <v>0</v>
      </c>
      <c r="AL319" s="351">
        <f t="shared" si="36"/>
        <v>0</v>
      </c>
    </row>
    <row r="320" spans="1:38">
      <c r="A320" s="165">
        <f>'Conveyor Downtime (new)'!A318</f>
        <v>46198</v>
      </c>
      <c r="F320">
        <f>1</f>
        <v>1</v>
      </c>
      <c r="AK320">
        <f t="shared" si="34"/>
        <v>1</v>
      </c>
      <c r="AL320" s="351">
        <f t="shared" si="36"/>
        <v>1.3888888888888888E-2</v>
      </c>
    </row>
    <row r="321" spans="1:38">
      <c r="A321" s="165">
        <f>'Conveyor Downtime (new)'!A319</f>
        <v>46198</v>
      </c>
      <c r="B321" s="377">
        <f>1+2+2+2</f>
        <v>7</v>
      </c>
      <c r="C321" s="377"/>
      <c r="D321" s="377"/>
      <c r="E321" s="377"/>
      <c r="F321" s="377">
        <f>1+2+1</f>
        <v>4</v>
      </c>
      <c r="G321" s="377"/>
      <c r="H321" s="377"/>
      <c r="I321" s="377"/>
      <c r="J321" s="377"/>
      <c r="K321" s="377"/>
      <c r="L321" s="377"/>
      <c r="M321" s="377"/>
      <c r="N321" s="377"/>
      <c r="O321" s="377"/>
      <c r="P321" s="377"/>
      <c r="Q321" s="377"/>
      <c r="R321" s="377"/>
      <c r="S321" s="377"/>
      <c r="T321" s="377"/>
      <c r="U321" s="377"/>
      <c r="V321" s="377"/>
      <c r="W321" s="377"/>
      <c r="X321" s="377"/>
      <c r="Y321" s="377"/>
      <c r="Z321" s="377"/>
      <c r="AA321" s="377"/>
      <c r="AB321" s="377"/>
      <c r="AC321" s="377"/>
      <c r="AD321" s="377"/>
      <c r="AE321" s="377"/>
      <c r="AF321" s="377"/>
      <c r="AG321" s="377"/>
      <c r="AH321" s="377"/>
      <c r="AI321" s="377"/>
      <c r="AJ321" s="377"/>
      <c r="AK321">
        <f t="shared" si="34"/>
        <v>11</v>
      </c>
      <c r="AL321" s="351">
        <f t="shared" si="36"/>
        <v>0.15277777777777779</v>
      </c>
    </row>
    <row r="322" spans="1:38">
      <c r="A322" s="165">
        <f>'Conveyor Downtime (new)'!A320</f>
        <v>46198</v>
      </c>
      <c r="AK322">
        <f t="shared" si="34"/>
        <v>0</v>
      </c>
      <c r="AL322" s="351">
        <f t="shared" si="36"/>
        <v>0</v>
      </c>
    </row>
    <row r="323" spans="1:38">
      <c r="A323" s="165">
        <f>'Conveyor Downtime (new)'!A321</f>
        <v>46198</v>
      </c>
      <c r="B323" s="377"/>
      <c r="C323" s="377"/>
      <c r="D323" s="377"/>
      <c r="E323" s="377"/>
      <c r="F323" s="377"/>
      <c r="G323" s="377"/>
      <c r="H323" s="377"/>
      <c r="I323" s="377"/>
      <c r="J323" s="377"/>
      <c r="K323" s="377"/>
      <c r="L323" s="377"/>
      <c r="M323" s="377"/>
      <c r="N323" s="377"/>
      <c r="O323" s="377"/>
      <c r="P323" s="377"/>
      <c r="Q323" s="377"/>
      <c r="R323" s="377"/>
      <c r="S323" s="377"/>
      <c r="T323" s="377"/>
      <c r="U323" s="377"/>
      <c r="V323" s="377"/>
      <c r="W323" s="377"/>
      <c r="X323" s="377"/>
      <c r="Y323" s="377"/>
      <c r="Z323" s="377"/>
      <c r="AA323" s="377"/>
      <c r="AB323" s="377"/>
      <c r="AC323" s="377"/>
      <c r="AD323" s="377"/>
      <c r="AE323" s="377"/>
      <c r="AF323" s="377"/>
      <c r="AG323" s="377"/>
      <c r="AH323" s="377"/>
      <c r="AI323" s="377"/>
      <c r="AJ323" s="377"/>
      <c r="AK323">
        <f t="shared" si="34"/>
        <v>0</v>
      </c>
      <c r="AL323" s="351">
        <f t="shared" si="36"/>
        <v>0</v>
      </c>
    </row>
    <row r="324" spans="1:38">
      <c r="A324" s="165">
        <f>'Conveyor Downtime (new)'!A322</f>
        <v>46199</v>
      </c>
      <c r="F324">
        <f>1</f>
        <v>1</v>
      </c>
      <c r="AK324">
        <f t="shared" si="34"/>
        <v>1</v>
      </c>
      <c r="AL324" s="351">
        <f t="shared" si="36"/>
        <v>1.3888888888888888E-2</v>
      </c>
    </row>
    <row r="325" spans="1:38">
      <c r="A325" s="165">
        <f>'Conveyor Downtime (new)'!A323</f>
        <v>46199</v>
      </c>
      <c r="AK325">
        <f t="shared" ref="AK325" si="37">SUM(B325:AJ325)</f>
        <v>0</v>
      </c>
      <c r="AL325" s="351">
        <f t="shared" si="36"/>
        <v>0</v>
      </c>
    </row>
    <row r="326" spans="1:38">
      <c r="A326" s="165">
        <f>'Conveyor Downtime (new)'!A324</f>
        <v>46200</v>
      </c>
      <c r="B326" s="377"/>
      <c r="C326" s="377"/>
      <c r="D326" s="377"/>
      <c r="E326" s="377"/>
      <c r="F326" s="377"/>
      <c r="G326" s="377"/>
      <c r="H326" s="377"/>
      <c r="I326" s="377"/>
      <c r="J326" s="377"/>
      <c r="K326" s="377"/>
      <c r="L326" s="377"/>
      <c r="M326" s="377"/>
      <c r="N326" s="377"/>
      <c r="O326" s="377"/>
      <c r="P326" s="377"/>
      <c r="Q326" s="377"/>
      <c r="R326" s="377"/>
      <c r="S326" s="377"/>
      <c r="T326" s="377"/>
      <c r="U326" s="377"/>
      <c r="V326" s="377"/>
      <c r="W326" s="377"/>
      <c r="X326" s="377"/>
      <c r="Y326" s="377"/>
      <c r="Z326" s="377"/>
      <c r="AA326" s="377"/>
      <c r="AB326" s="377"/>
      <c r="AC326" s="377"/>
      <c r="AD326" s="377"/>
      <c r="AE326" s="377"/>
      <c r="AF326" s="377"/>
      <c r="AG326" s="377"/>
      <c r="AH326" s="377"/>
      <c r="AI326" s="377"/>
      <c r="AJ326" s="377"/>
      <c r="AK326">
        <f t="shared" si="34"/>
        <v>0</v>
      </c>
      <c r="AL326" s="351">
        <f t="shared" si="36"/>
        <v>0</v>
      </c>
    </row>
    <row r="327" spans="1:38">
      <c r="A327" s="165">
        <f>'Conveyor Downtime (new)'!A325</f>
        <v>46200</v>
      </c>
      <c r="AK327">
        <f t="shared" ref="AK327:AK368" si="38">SUM(B327:AJ327)</f>
        <v>0</v>
      </c>
      <c r="AL327" s="351">
        <f t="shared" si="36"/>
        <v>0</v>
      </c>
    </row>
    <row r="328" spans="1:38">
      <c r="A328" s="165">
        <f>'Conveyor Downtime (new)'!A326</f>
        <v>46202</v>
      </c>
      <c r="B328" s="377"/>
      <c r="C328" s="377"/>
      <c r="D328" s="377"/>
      <c r="E328" s="377"/>
      <c r="F328" s="377"/>
      <c r="G328" s="377"/>
      <c r="H328" s="377"/>
      <c r="I328" s="377"/>
      <c r="J328" s="377"/>
      <c r="K328" s="377"/>
      <c r="L328" s="377"/>
      <c r="M328" s="377"/>
      <c r="N328" s="377"/>
      <c r="O328" s="377"/>
      <c r="P328" s="377"/>
      <c r="Q328" s="377"/>
      <c r="R328" s="377"/>
      <c r="S328" s="377"/>
      <c r="T328" s="377"/>
      <c r="U328" s="377"/>
      <c r="V328" s="377"/>
      <c r="W328" s="377"/>
      <c r="X328" s="377"/>
      <c r="Y328" s="377"/>
      <c r="Z328" s="377"/>
      <c r="AA328" s="377"/>
      <c r="AB328" s="377"/>
      <c r="AC328" s="377"/>
      <c r="AD328" s="377"/>
      <c r="AE328" s="377"/>
      <c r="AF328" s="377"/>
      <c r="AG328" s="377"/>
      <c r="AH328" s="377"/>
      <c r="AI328" s="377"/>
      <c r="AJ328" s="377"/>
      <c r="AK328">
        <f t="shared" si="38"/>
        <v>0</v>
      </c>
      <c r="AL328" s="351">
        <f t="shared" si="36"/>
        <v>0</v>
      </c>
    </row>
    <row r="329" spans="1:38">
      <c r="A329" s="165">
        <f>'Conveyor Downtime (new)'!A327</f>
        <v>46202</v>
      </c>
      <c r="B329">
        <f>1</f>
        <v>1</v>
      </c>
      <c r="AK329">
        <f t="shared" si="38"/>
        <v>1</v>
      </c>
      <c r="AL329" s="351">
        <f t="shared" si="36"/>
        <v>1.3888888888888888E-2</v>
      </c>
    </row>
    <row r="330" spans="1:38">
      <c r="A330" s="165">
        <f>'Conveyor Downtime (new)'!A328</f>
        <v>46202</v>
      </c>
      <c r="B330" s="377">
        <v>3</v>
      </c>
      <c r="C330" s="377"/>
      <c r="D330" s="377"/>
      <c r="E330" s="377"/>
      <c r="F330" s="377"/>
      <c r="G330" s="377"/>
      <c r="H330" s="377"/>
      <c r="I330" s="377"/>
      <c r="J330" s="377"/>
      <c r="K330" s="377"/>
      <c r="L330" s="377"/>
      <c r="M330" s="377"/>
      <c r="N330" s="377"/>
      <c r="O330" s="377"/>
      <c r="P330" s="377"/>
      <c r="Q330" s="377"/>
      <c r="R330" s="377"/>
      <c r="S330" s="377"/>
      <c r="T330" s="377"/>
      <c r="U330" s="377"/>
      <c r="V330" s="377"/>
      <c r="W330" s="377"/>
      <c r="X330" s="377"/>
      <c r="Y330" s="377">
        <f>5+6+3</f>
        <v>14</v>
      </c>
      <c r="Z330" s="377">
        <f>11</f>
        <v>11</v>
      </c>
      <c r="AA330" s="377"/>
      <c r="AB330" s="377"/>
      <c r="AC330" s="377"/>
      <c r="AD330" s="377"/>
      <c r="AE330" s="377"/>
      <c r="AF330" s="377"/>
      <c r="AG330" s="377"/>
      <c r="AH330" s="377"/>
      <c r="AI330" s="377"/>
      <c r="AJ330" s="377"/>
      <c r="AK330">
        <f t="shared" si="38"/>
        <v>28</v>
      </c>
      <c r="AL330" s="351">
        <f t="shared" si="36"/>
        <v>0.3888888888888889</v>
      </c>
    </row>
    <row r="331" spans="1:38">
      <c r="A331" s="165">
        <f>'Conveyor Downtime (new)'!A329</f>
        <v>46203</v>
      </c>
      <c r="AK331">
        <f t="shared" si="38"/>
        <v>0</v>
      </c>
      <c r="AL331" s="351">
        <f t="shared" si="36"/>
        <v>0</v>
      </c>
    </row>
    <row r="332" spans="1:38">
      <c r="A332" s="165">
        <f>'Conveyor Downtime (new)'!A330</f>
        <v>46203</v>
      </c>
      <c r="B332" s="377">
        <f>2</f>
        <v>2</v>
      </c>
      <c r="C332" s="377"/>
      <c r="D332" s="377"/>
      <c r="E332" s="377"/>
      <c r="F332" s="377">
        <f>1+1+1+1</f>
        <v>4</v>
      </c>
      <c r="G332" s="377"/>
      <c r="H332" s="377"/>
      <c r="I332" s="377"/>
      <c r="J332" s="377"/>
      <c r="K332" s="377"/>
      <c r="L332" s="377"/>
      <c r="M332" s="377"/>
      <c r="N332" s="377"/>
      <c r="O332" s="377"/>
      <c r="P332" s="377"/>
      <c r="Q332" s="377"/>
      <c r="R332" s="377"/>
      <c r="S332" s="377"/>
      <c r="T332" s="377"/>
      <c r="U332" s="377"/>
      <c r="V332" s="377"/>
      <c r="W332" s="377"/>
      <c r="X332" s="377"/>
      <c r="Y332" s="377"/>
      <c r="Z332" s="377"/>
      <c r="AA332" s="377"/>
      <c r="AB332" s="377"/>
      <c r="AC332" s="377"/>
      <c r="AD332" s="377"/>
      <c r="AE332" s="377"/>
      <c r="AF332" s="377"/>
      <c r="AG332" s="377"/>
      <c r="AH332" s="377"/>
      <c r="AI332" s="377"/>
      <c r="AJ332" s="377"/>
      <c r="AK332">
        <f t="shared" si="38"/>
        <v>6</v>
      </c>
      <c r="AL332" s="351">
        <f t="shared" si="36"/>
        <v>8.3333333333333329E-2</v>
      </c>
    </row>
    <row r="333" spans="1:38">
      <c r="A333" s="165">
        <f>'Conveyor Downtime (new)'!A331</f>
        <v>0</v>
      </c>
      <c r="AK333">
        <f t="shared" si="38"/>
        <v>0</v>
      </c>
      <c r="AL333" s="351">
        <f t="shared" si="36"/>
        <v>0</v>
      </c>
    </row>
    <row r="334" spans="1:38">
      <c r="A334" s="165">
        <f>'Conveyor Downtime (new)'!A332</f>
        <v>0</v>
      </c>
      <c r="B334" s="377"/>
      <c r="C334" s="377"/>
      <c r="D334" s="377"/>
      <c r="E334" s="377"/>
      <c r="F334" s="377"/>
      <c r="G334" s="377"/>
      <c r="H334" s="377"/>
      <c r="I334" s="377"/>
      <c r="J334" s="377"/>
      <c r="K334" s="377"/>
      <c r="L334" s="377"/>
      <c r="M334" s="377"/>
      <c r="N334" s="377"/>
      <c r="O334" s="377"/>
      <c r="P334" s="377"/>
      <c r="Q334" s="377"/>
      <c r="R334" s="377"/>
      <c r="S334" s="377"/>
      <c r="T334" s="377"/>
      <c r="U334" s="377"/>
      <c r="V334" s="377"/>
      <c r="W334" s="377"/>
      <c r="X334" s="377"/>
      <c r="Y334" s="377"/>
      <c r="Z334" s="377"/>
      <c r="AA334" s="377"/>
      <c r="AB334" s="377"/>
      <c r="AC334" s="377"/>
      <c r="AD334" s="377"/>
      <c r="AE334" s="377"/>
      <c r="AF334" s="377"/>
      <c r="AG334" s="377"/>
      <c r="AH334" s="377"/>
      <c r="AI334" s="377"/>
      <c r="AJ334" s="377"/>
      <c r="AK334">
        <f t="shared" si="38"/>
        <v>0</v>
      </c>
      <c r="AL334" s="351">
        <f t="shared" si="36"/>
        <v>0</v>
      </c>
    </row>
    <row r="335" spans="1:38">
      <c r="A335" s="165">
        <f>'Conveyor Downtime (new)'!A333</f>
        <v>0</v>
      </c>
      <c r="F335" s="358"/>
      <c r="AK335">
        <f t="shared" si="38"/>
        <v>0</v>
      </c>
      <c r="AL335" s="351">
        <f t="shared" si="36"/>
        <v>0</v>
      </c>
    </row>
    <row r="336" spans="1:38">
      <c r="A336" s="165">
        <f>'Conveyor Downtime (new)'!A334</f>
        <v>0</v>
      </c>
      <c r="B336" s="377"/>
      <c r="C336" s="377"/>
      <c r="D336" s="377"/>
      <c r="E336" s="377"/>
      <c r="F336" s="377"/>
      <c r="G336" s="377"/>
      <c r="H336" s="377"/>
      <c r="I336" s="377"/>
      <c r="J336" s="377"/>
      <c r="K336" s="377"/>
      <c r="L336" s="377"/>
      <c r="M336" s="377"/>
      <c r="N336" s="377"/>
      <c r="O336" s="377"/>
      <c r="P336" s="377"/>
      <c r="Q336" s="377"/>
      <c r="R336" s="377"/>
      <c r="S336" s="377"/>
      <c r="T336" s="377"/>
      <c r="U336" s="377"/>
      <c r="V336" s="377"/>
      <c r="W336" s="377"/>
      <c r="X336" s="377"/>
      <c r="Y336" s="377"/>
      <c r="Z336" s="377"/>
      <c r="AA336" s="377"/>
      <c r="AB336" s="377"/>
      <c r="AC336" s="377"/>
      <c r="AD336" s="377"/>
      <c r="AE336" s="377"/>
      <c r="AF336" s="377"/>
      <c r="AG336" s="377"/>
      <c r="AH336" s="377"/>
      <c r="AI336" s="377"/>
      <c r="AJ336" s="377"/>
      <c r="AK336">
        <f t="shared" si="38"/>
        <v>0</v>
      </c>
      <c r="AL336" s="351">
        <f t="shared" si="36"/>
        <v>0</v>
      </c>
    </row>
    <row r="337" spans="1:38">
      <c r="A337" s="165">
        <f>'Conveyor Downtime (new)'!A335</f>
        <v>0</v>
      </c>
      <c r="AK337">
        <f t="shared" si="38"/>
        <v>0</v>
      </c>
      <c r="AL337" s="351">
        <f t="shared" si="36"/>
        <v>0</v>
      </c>
    </row>
    <row r="338" spans="1:38">
      <c r="A338" s="165">
        <f>'Conveyor Downtime (new)'!A336</f>
        <v>0</v>
      </c>
      <c r="B338" s="377"/>
      <c r="C338" s="377"/>
      <c r="D338" s="377"/>
      <c r="E338" s="377"/>
      <c r="F338" s="377"/>
      <c r="G338" s="377"/>
      <c r="H338" s="377"/>
      <c r="I338" s="377"/>
      <c r="J338" s="377"/>
      <c r="K338" s="377"/>
      <c r="L338" s="377"/>
      <c r="M338" s="377"/>
      <c r="N338" s="377"/>
      <c r="O338" s="377"/>
      <c r="P338" s="377"/>
      <c r="Q338" s="377"/>
      <c r="R338" s="377"/>
      <c r="S338" s="377"/>
      <c r="T338" s="377"/>
      <c r="U338" s="377"/>
      <c r="V338" s="377"/>
      <c r="W338" s="377"/>
      <c r="X338" s="377"/>
      <c r="Y338" s="377"/>
      <c r="Z338" s="377"/>
      <c r="AA338" s="377"/>
      <c r="AB338" s="377"/>
      <c r="AC338" s="377"/>
      <c r="AD338" s="377"/>
      <c r="AE338" s="377"/>
      <c r="AF338" s="377"/>
      <c r="AG338" s="377"/>
      <c r="AH338" s="377"/>
      <c r="AI338" s="377"/>
      <c r="AJ338" s="377"/>
      <c r="AK338">
        <f t="shared" si="38"/>
        <v>0</v>
      </c>
      <c r="AL338" s="351">
        <f t="shared" si="36"/>
        <v>0</v>
      </c>
    </row>
    <row r="339" spans="1:38">
      <c r="A339" s="165">
        <f>'Conveyor Downtime (new)'!A337</f>
        <v>0</v>
      </c>
      <c r="AK339">
        <f>SUM(B339:AJ339)</f>
        <v>0</v>
      </c>
      <c r="AL339" s="351">
        <f t="shared" si="36"/>
        <v>0</v>
      </c>
    </row>
    <row r="340" spans="1:38">
      <c r="A340" s="165">
        <f>'Conveyor Downtime (new)'!A338</f>
        <v>0</v>
      </c>
      <c r="B340" s="377"/>
      <c r="C340" s="377"/>
      <c r="D340" s="377"/>
      <c r="E340" s="377"/>
      <c r="F340" s="377"/>
      <c r="G340" s="377"/>
      <c r="H340" s="377"/>
      <c r="I340" s="377"/>
      <c r="J340" s="377"/>
      <c r="K340" s="377"/>
      <c r="L340" s="377"/>
      <c r="M340" s="377"/>
      <c r="N340" s="377"/>
      <c r="O340" s="377"/>
      <c r="P340" s="377"/>
      <c r="Q340" s="377"/>
      <c r="R340" s="377"/>
      <c r="S340" s="377"/>
      <c r="T340" s="377"/>
      <c r="U340" s="377"/>
      <c r="V340" s="377"/>
      <c r="W340" s="377"/>
      <c r="X340" s="377"/>
      <c r="Y340" s="377"/>
      <c r="Z340" s="377"/>
      <c r="AA340" s="377"/>
      <c r="AB340" s="377"/>
      <c r="AC340" s="377"/>
      <c r="AD340" s="377"/>
      <c r="AE340" s="377"/>
      <c r="AF340" s="377"/>
      <c r="AG340" s="377"/>
      <c r="AH340" s="377"/>
      <c r="AI340" s="377"/>
      <c r="AJ340" s="377"/>
      <c r="AK340">
        <f t="shared" si="38"/>
        <v>0</v>
      </c>
      <c r="AL340" s="351">
        <f t="shared" si="36"/>
        <v>0</v>
      </c>
    </row>
    <row r="341" spans="1:38">
      <c r="A341" s="165">
        <f>'Conveyor Downtime (new)'!A339</f>
        <v>0</v>
      </c>
      <c r="AK341">
        <f t="shared" si="38"/>
        <v>0</v>
      </c>
      <c r="AL341" s="351">
        <f t="shared" si="36"/>
        <v>0</v>
      </c>
    </row>
    <row r="342" spans="1:38" hidden="1">
      <c r="A342" s="165">
        <f>'Conveyor Downtime (new)'!A340</f>
        <v>0</v>
      </c>
      <c r="B342" s="377"/>
      <c r="C342" s="377"/>
      <c r="D342" s="377"/>
      <c r="E342" s="377"/>
      <c r="F342" s="377"/>
      <c r="G342" s="377"/>
      <c r="H342" s="377"/>
      <c r="I342" s="377"/>
      <c r="J342" s="377"/>
      <c r="K342" s="377"/>
      <c r="L342" s="377"/>
      <c r="M342" s="377"/>
      <c r="N342" s="377"/>
      <c r="O342" s="377"/>
      <c r="P342" s="377"/>
      <c r="Q342" s="377"/>
      <c r="R342" s="377"/>
      <c r="S342" s="377"/>
      <c r="T342" s="377"/>
      <c r="U342" s="377"/>
      <c r="V342" s="377"/>
      <c r="W342" s="377"/>
      <c r="X342" s="377"/>
      <c r="Y342" s="377"/>
      <c r="Z342" s="377"/>
      <c r="AA342" s="377"/>
      <c r="AB342" s="377"/>
      <c r="AC342" s="377"/>
      <c r="AD342" s="377"/>
      <c r="AE342" s="377"/>
      <c r="AF342" s="377"/>
      <c r="AG342" s="377"/>
      <c r="AH342" s="377"/>
      <c r="AI342" s="377"/>
      <c r="AJ342" s="377"/>
      <c r="AK342">
        <f t="shared" si="38"/>
        <v>0</v>
      </c>
      <c r="AL342" s="351">
        <f t="shared" si="36"/>
        <v>0</v>
      </c>
    </row>
    <row r="343" spans="1:38" hidden="1">
      <c r="A343" s="165">
        <f>'Conveyor Downtime (new)'!A341</f>
        <v>0</v>
      </c>
      <c r="AK343">
        <f t="shared" si="38"/>
        <v>0</v>
      </c>
      <c r="AL343" s="351">
        <f t="shared" ref="AL343:AL368" si="39">AK343/$AK$369</f>
        <v>0</v>
      </c>
    </row>
    <row r="344" spans="1:38" hidden="1">
      <c r="A344" s="165">
        <f>'Conveyor Downtime (new)'!A342</f>
        <v>0</v>
      </c>
      <c r="B344" s="377"/>
      <c r="C344" s="377"/>
      <c r="D344" s="377"/>
      <c r="E344" s="377"/>
      <c r="F344" s="377"/>
      <c r="G344" s="377"/>
      <c r="H344" s="377"/>
      <c r="I344" s="377"/>
      <c r="J344" s="377"/>
      <c r="K344" s="377"/>
      <c r="L344" s="377"/>
      <c r="M344" s="377"/>
      <c r="N344" s="377"/>
      <c r="O344" s="377"/>
      <c r="P344" s="377"/>
      <c r="Q344" s="377"/>
      <c r="R344" s="377"/>
      <c r="S344" s="377"/>
      <c r="T344" s="377"/>
      <c r="U344" s="377"/>
      <c r="V344" s="377"/>
      <c r="W344" s="377"/>
      <c r="X344" s="377"/>
      <c r="Y344" s="377"/>
      <c r="Z344" s="377"/>
      <c r="AA344" s="377"/>
      <c r="AB344" s="377"/>
      <c r="AC344" s="377"/>
      <c r="AD344" s="377"/>
      <c r="AE344" s="377"/>
      <c r="AF344" s="377"/>
      <c r="AG344" s="377"/>
      <c r="AH344" s="377"/>
      <c r="AI344" s="377"/>
      <c r="AJ344" s="377"/>
      <c r="AK344">
        <f t="shared" si="38"/>
        <v>0</v>
      </c>
      <c r="AL344" s="351">
        <f t="shared" si="39"/>
        <v>0</v>
      </c>
    </row>
    <row r="345" spans="1:38" hidden="1">
      <c r="A345" s="165">
        <f>'Conveyor Downtime (new)'!A343</f>
        <v>0</v>
      </c>
      <c r="AK345">
        <f t="shared" si="38"/>
        <v>0</v>
      </c>
      <c r="AL345" s="351">
        <f t="shared" si="39"/>
        <v>0</v>
      </c>
    </row>
    <row r="346" spans="1:38" hidden="1">
      <c r="A346" s="165">
        <f>'Conveyor Downtime (new)'!A344</f>
        <v>0</v>
      </c>
      <c r="B346" s="377"/>
      <c r="C346" s="377"/>
      <c r="D346" s="377"/>
      <c r="E346" s="377"/>
      <c r="F346" s="377"/>
      <c r="G346" s="377"/>
      <c r="H346" s="377"/>
      <c r="I346" s="377"/>
      <c r="J346" s="377"/>
      <c r="K346" s="377"/>
      <c r="L346" s="377"/>
      <c r="M346" s="377"/>
      <c r="N346" s="377"/>
      <c r="O346" s="377"/>
      <c r="P346" s="377"/>
      <c r="Q346" s="377"/>
      <c r="R346" s="377"/>
      <c r="S346" s="377"/>
      <c r="T346" s="377"/>
      <c r="U346" s="377"/>
      <c r="V346" s="377"/>
      <c r="W346" s="377"/>
      <c r="X346" s="377"/>
      <c r="Y346" s="377"/>
      <c r="Z346" s="377"/>
      <c r="AA346" s="377"/>
      <c r="AB346" s="377"/>
      <c r="AC346" s="377"/>
      <c r="AD346" s="377"/>
      <c r="AE346" s="377"/>
      <c r="AF346" s="377"/>
      <c r="AG346" s="377"/>
      <c r="AH346" s="377"/>
      <c r="AI346" s="377"/>
      <c r="AJ346" s="377"/>
      <c r="AK346">
        <f t="shared" si="38"/>
        <v>0</v>
      </c>
      <c r="AL346" s="351">
        <f t="shared" si="39"/>
        <v>0</v>
      </c>
    </row>
    <row r="347" spans="1:38" hidden="1">
      <c r="A347" s="165">
        <f>'Conveyor Downtime (new)'!A345</f>
        <v>0</v>
      </c>
      <c r="AK347">
        <f t="shared" si="38"/>
        <v>0</v>
      </c>
      <c r="AL347" s="351">
        <f t="shared" si="39"/>
        <v>0</v>
      </c>
    </row>
    <row r="348" spans="1:38" hidden="1">
      <c r="A348" s="165">
        <f>'Conveyor Downtime (new)'!A346</f>
        <v>0</v>
      </c>
      <c r="B348" s="377"/>
      <c r="C348" s="377"/>
      <c r="D348" s="377"/>
      <c r="E348" s="377"/>
      <c r="F348" s="377"/>
      <c r="G348" s="377"/>
      <c r="H348" s="377"/>
      <c r="I348" s="377"/>
      <c r="J348" s="377"/>
      <c r="K348" s="377"/>
      <c r="L348" s="377"/>
      <c r="M348" s="377"/>
      <c r="N348" s="377"/>
      <c r="O348" s="377"/>
      <c r="P348" s="377"/>
      <c r="Q348" s="377"/>
      <c r="R348" s="377"/>
      <c r="S348" s="377"/>
      <c r="T348" s="377"/>
      <c r="U348" s="377"/>
      <c r="V348" s="377"/>
      <c r="W348" s="377"/>
      <c r="X348" s="377"/>
      <c r="Y348" s="377"/>
      <c r="Z348" s="377"/>
      <c r="AA348" s="377"/>
      <c r="AB348" s="377"/>
      <c r="AC348" s="377"/>
      <c r="AD348" s="377"/>
      <c r="AE348" s="377"/>
      <c r="AF348" s="377"/>
      <c r="AG348" s="377"/>
      <c r="AH348" s="377"/>
      <c r="AI348" s="377"/>
      <c r="AJ348" s="377"/>
      <c r="AK348">
        <f t="shared" si="38"/>
        <v>0</v>
      </c>
      <c r="AL348" s="351">
        <f t="shared" si="39"/>
        <v>0</v>
      </c>
    </row>
    <row r="349" spans="1:38" hidden="1">
      <c r="A349" s="165">
        <f>'Conveyor Downtime (new)'!A347</f>
        <v>0</v>
      </c>
      <c r="AK349">
        <f t="shared" si="38"/>
        <v>0</v>
      </c>
      <c r="AL349" s="351">
        <f t="shared" si="39"/>
        <v>0</v>
      </c>
    </row>
    <row r="350" spans="1:38" hidden="1">
      <c r="A350" s="165">
        <f>'Conveyor Downtime (new)'!A348</f>
        <v>0</v>
      </c>
      <c r="B350" s="377"/>
      <c r="C350" s="377"/>
      <c r="D350" s="377"/>
      <c r="E350" s="377"/>
      <c r="F350" s="377"/>
      <c r="G350" s="377"/>
      <c r="H350" s="377"/>
      <c r="I350" s="377"/>
      <c r="J350" s="377"/>
      <c r="K350" s="377"/>
      <c r="L350" s="377"/>
      <c r="M350" s="377"/>
      <c r="N350" s="377"/>
      <c r="O350" s="377"/>
      <c r="P350" s="377"/>
      <c r="Q350" s="377"/>
      <c r="R350" s="377"/>
      <c r="S350" s="377"/>
      <c r="T350" s="377"/>
      <c r="U350" s="377"/>
      <c r="V350" s="377"/>
      <c r="W350" s="377"/>
      <c r="X350" s="377"/>
      <c r="Y350" s="377"/>
      <c r="Z350" s="377"/>
      <c r="AA350" s="377"/>
      <c r="AB350" s="377"/>
      <c r="AC350" s="377"/>
      <c r="AD350" s="377"/>
      <c r="AE350" s="377"/>
      <c r="AF350" s="377"/>
      <c r="AG350" s="377"/>
      <c r="AH350" s="377"/>
      <c r="AI350" s="377"/>
      <c r="AJ350" s="377"/>
      <c r="AK350">
        <f t="shared" si="38"/>
        <v>0</v>
      </c>
      <c r="AL350" s="351">
        <f t="shared" si="39"/>
        <v>0</v>
      </c>
    </row>
    <row r="351" spans="1:38" hidden="1">
      <c r="A351" s="165">
        <f>'Conveyor Downtime (new)'!A349</f>
        <v>0</v>
      </c>
      <c r="AK351">
        <f t="shared" si="38"/>
        <v>0</v>
      </c>
      <c r="AL351" s="351">
        <f t="shared" si="39"/>
        <v>0</v>
      </c>
    </row>
    <row r="352" spans="1:38" ht="14.25" hidden="1" customHeight="1">
      <c r="A352" s="165">
        <f>'Conveyor Downtime (new)'!A350</f>
        <v>0</v>
      </c>
      <c r="B352" s="377"/>
      <c r="C352" s="377"/>
      <c r="D352" s="377"/>
      <c r="E352" s="377"/>
      <c r="F352" s="377"/>
      <c r="G352" s="377"/>
      <c r="H352" s="377"/>
      <c r="I352" s="377"/>
      <c r="J352" s="377"/>
      <c r="K352" s="377"/>
      <c r="L352" s="377"/>
      <c r="M352" s="377"/>
      <c r="N352" s="377"/>
      <c r="O352" s="377"/>
      <c r="P352" s="377"/>
      <c r="Q352" s="377"/>
      <c r="R352" s="377"/>
      <c r="S352" s="377"/>
      <c r="T352" s="377"/>
      <c r="U352" s="377"/>
      <c r="V352" s="377"/>
      <c r="W352" s="377"/>
      <c r="Y352" s="377"/>
      <c r="Z352" s="377"/>
      <c r="AA352" s="377"/>
      <c r="AB352" s="377"/>
      <c r="AC352" s="377"/>
      <c r="AD352" s="377"/>
      <c r="AE352" s="377"/>
      <c r="AF352" s="377"/>
      <c r="AG352" s="377"/>
      <c r="AH352" s="377"/>
      <c r="AI352" s="377"/>
      <c r="AJ352" s="377"/>
      <c r="AK352">
        <f t="shared" si="38"/>
        <v>0</v>
      </c>
      <c r="AL352" s="351">
        <f t="shared" si="39"/>
        <v>0</v>
      </c>
    </row>
    <row r="353" spans="1:38" hidden="1">
      <c r="A353" s="165">
        <f>'Conveyor Downtime (new)'!A351</f>
        <v>0</v>
      </c>
      <c r="AK353">
        <f t="shared" si="38"/>
        <v>0</v>
      </c>
      <c r="AL353" s="351">
        <f t="shared" si="39"/>
        <v>0</v>
      </c>
    </row>
    <row r="354" spans="1:38" hidden="1">
      <c r="A354" s="165">
        <f>'Conveyor Downtime (new)'!A352</f>
        <v>0</v>
      </c>
      <c r="B354" s="377"/>
      <c r="C354" s="377"/>
      <c r="D354" s="377"/>
      <c r="E354" s="377"/>
      <c r="F354" s="377"/>
      <c r="G354" s="377"/>
      <c r="H354" s="377"/>
      <c r="I354" s="377"/>
      <c r="J354" s="377"/>
      <c r="K354" s="377"/>
      <c r="L354" s="377"/>
      <c r="M354" s="377"/>
      <c r="N354" s="377"/>
      <c r="O354" s="377"/>
      <c r="P354" s="377"/>
      <c r="Q354" s="377"/>
      <c r="R354" s="377"/>
      <c r="S354" s="377"/>
      <c r="T354" s="377"/>
      <c r="U354" s="377"/>
      <c r="V354" s="377"/>
      <c r="W354" s="377"/>
      <c r="X354" s="377"/>
      <c r="Y354" s="377"/>
      <c r="Z354" s="377"/>
      <c r="AA354" s="377"/>
      <c r="AB354" s="377"/>
      <c r="AC354" s="377"/>
      <c r="AD354" s="377"/>
      <c r="AE354" s="377"/>
      <c r="AF354" s="377"/>
      <c r="AG354" s="377"/>
      <c r="AH354" s="377"/>
      <c r="AI354" s="377"/>
      <c r="AJ354" s="377"/>
      <c r="AK354">
        <f t="shared" si="38"/>
        <v>0</v>
      </c>
      <c r="AL354" s="351">
        <f t="shared" si="39"/>
        <v>0</v>
      </c>
    </row>
    <row r="355" spans="1:38" hidden="1">
      <c r="A355" s="165"/>
      <c r="AK355">
        <f t="shared" si="38"/>
        <v>0</v>
      </c>
      <c r="AL355" s="351">
        <f t="shared" si="39"/>
        <v>0</v>
      </c>
    </row>
    <row r="356" spans="1:38" hidden="1">
      <c r="A356" s="165"/>
      <c r="B356" s="377"/>
      <c r="C356" s="377"/>
      <c r="D356" s="377"/>
      <c r="E356" s="377"/>
      <c r="F356" s="377"/>
      <c r="G356" s="377"/>
      <c r="H356" s="377"/>
      <c r="I356" s="377"/>
      <c r="J356" s="377"/>
      <c r="K356" s="377"/>
      <c r="L356" s="377"/>
      <c r="M356" s="377"/>
      <c r="N356" s="377"/>
      <c r="O356" s="377"/>
      <c r="P356" s="377"/>
      <c r="Q356" s="377"/>
      <c r="R356" s="377"/>
      <c r="S356" s="377"/>
      <c r="T356" s="377"/>
      <c r="U356" s="377"/>
      <c r="V356" s="377"/>
      <c r="W356" s="377"/>
      <c r="X356" s="377"/>
      <c r="Y356" s="377"/>
      <c r="Z356" s="377"/>
      <c r="AA356" s="377"/>
      <c r="AB356" s="377"/>
      <c r="AC356" s="377"/>
      <c r="AD356" s="377"/>
      <c r="AE356" s="377"/>
      <c r="AF356" s="377"/>
      <c r="AG356" s="377"/>
      <c r="AH356" s="377"/>
      <c r="AI356" s="377"/>
      <c r="AJ356" s="377"/>
      <c r="AK356">
        <f t="shared" si="38"/>
        <v>0</v>
      </c>
      <c r="AL356" s="351">
        <f t="shared" si="39"/>
        <v>0</v>
      </c>
    </row>
    <row r="357" spans="1:38" hidden="1">
      <c r="A357" s="165"/>
      <c r="AK357">
        <f t="shared" si="38"/>
        <v>0</v>
      </c>
      <c r="AL357" s="351">
        <f t="shared" si="39"/>
        <v>0</v>
      </c>
    </row>
    <row r="358" spans="1:38" hidden="1">
      <c r="A358" s="165"/>
      <c r="B358" s="377"/>
      <c r="C358" s="377"/>
      <c r="D358" s="377"/>
      <c r="E358" s="377"/>
      <c r="F358" s="377"/>
      <c r="G358" s="377"/>
      <c r="H358" s="377"/>
      <c r="I358" s="377"/>
      <c r="J358" s="377"/>
      <c r="K358" s="377"/>
      <c r="L358" s="377"/>
      <c r="M358" s="377"/>
      <c r="N358" s="377"/>
      <c r="O358" s="377"/>
      <c r="P358" s="377"/>
      <c r="Q358" s="377"/>
      <c r="R358" s="377"/>
      <c r="S358" s="377"/>
      <c r="T358" s="377"/>
      <c r="U358" s="377"/>
      <c r="V358" s="377"/>
      <c r="W358" s="377"/>
      <c r="X358" s="377"/>
      <c r="Y358" s="377"/>
      <c r="Z358" s="377"/>
      <c r="AA358" s="377"/>
      <c r="AB358" s="377"/>
      <c r="AC358" s="377"/>
      <c r="AD358" s="377"/>
      <c r="AE358" s="377"/>
      <c r="AF358" s="377"/>
      <c r="AG358" s="377"/>
      <c r="AH358" s="377"/>
      <c r="AI358" s="377"/>
      <c r="AJ358" s="377"/>
      <c r="AK358">
        <f t="shared" si="38"/>
        <v>0</v>
      </c>
      <c r="AL358" s="351">
        <f t="shared" si="39"/>
        <v>0</v>
      </c>
    </row>
    <row r="359" spans="1:38" hidden="1">
      <c r="A359" s="165"/>
      <c r="AK359">
        <f t="shared" si="38"/>
        <v>0</v>
      </c>
      <c r="AL359" s="351">
        <f t="shared" si="39"/>
        <v>0</v>
      </c>
    </row>
    <row r="360" spans="1:38" hidden="1">
      <c r="A360" s="165"/>
      <c r="B360" s="377"/>
      <c r="C360" s="377"/>
      <c r="D360" s="377"/>
      <c r="E360" s="377"/>
      <c r="F360" s="377"/>
      <c r="G360" s="377"/>
      <c r="H360" s="377"/>
      <c r="I360" s="377"/>
      <c r="J360" s="377"/>
      <c r="K360" s="377"/>
      <c r="L360" s="377"/>
      <c r="M360" s="377"/>
      <c r="N360" s="377"/>
      <c r="O360" s="377"/>
      <c r="P360" s="377"/>
      <c r="Q360" s="377"/>
      <c r="R360" s="377"/>
      <c r="S360" s="377"/>
      <c r="T360" s="377"/>
      <c r="U360" s="377"/>
      <c r="V360" s="377"/>
      <c r="W360" s="377"/>
      <c r="X360" s="377"/>
      <c r="Y360" s="377"/>
      <c r="Z360" s="377"/>
      <c r="AA360" s="377"/>
      <c r="AB360" s="377"/>
      <c r="AC360" s="377"/>
      <c r="AD360" s="377"/>
      <c r="AE360" s="377"/>
      <c r="AF360" s="377"/>
      <c r="AG360" s="377"/>
      <c r="AH360" s="377"/>
      <c r="AI360" s="377"/>
      <c r="AJ360" s="377"/>
      <c r="AK360">
        <f t="shared" si="38"/>
        <v>0</v>
      </c>
      <c r="AL360" s="351">
        <f t="shared" si="39"/>
        <v>0</v>
      </c>
    </row>
    <row r="361" spans="1:38" hidden="1">
      <c r="A361" s="165"/>
      <c r="AK361">
        <f t="shared" si="38"/>
        <v>0</v>
      </c>
      <c r="AL361" s="351">
        <f t="shared" si="39"/>
        <v>0</v>
      </c>
    </row>
    <row r="362" spans="1:38" hidden="1">
      <c r="A362" s="165"/>
      <c r="B362" s="377"/>
      <c r="C362" s="377"/>
      <c r="D362" s="377"/>
      <c r="E362" s="377"/>
      <c r="F362" s="377"/>
      <c r="G362" s="377"/>
      <c r="H362" s="377"/>
      <c r="I362" s="377"/>
      <c r="J362" s="377"/>
      <c r="K362" s="377"/>
      <c r="L362" s="377"/>
      <c r="M362" s="377"/>
      <c r="N362" s="377"/>
      <c r="O362" s="377"/>
      <c r="P362" s="377"/>
      <c r="Q362" s="377"/>
      <c r="R362" s="377"/>
      <c r="S362" s="377"/>
      <c r="T362" s="377"/>
      <c r="U362" s="377"/>
      <c r="V362" s="377"/>
      <c r="W362" s="377"/>
      <c r="X362" s="377"/>
      <c r="Y362" s="377"/>
      <c r="Z362" s="377"/>
      <c r="AA362" s="377"/>
      <c r="AB362" s="377"/>
      <c r="AC362" s="377"/>
      <c r="AD362" s="377"/>
      <c r="AE362" s="377"/>
      <c r="AF362" s="377"/>
      <c r="AG362" s="377"/>
      <c r="AH362" s="377"/>
      <c r="AI362" s="377"/>
      <c r="AJ362" s="377"/>
      <c r="AK362">
        <f t="shared" si="38"/>
        <v>0</v>
      </c>
      <c r="AL362" s="351">
        <f t="shared" si="39"/>
        <v>0</v>
      </c>
    </row>
    <row r="363" spans="1:38" hidden="1">
      <c r="A363" s="165"/>
      <c r="AK363">
        <f t="shared" si="38"/>
        <v>0</v>
      </c>
      <c r="AL363" s="351">
        <f t="shared" si="39"/>
        <v>0</v>
      </c>
    </row>
    <row r="364" spans="1:38" hidden="1">
      <c r="A364" s="165"/>
      <c r="B364" s="377"/>
      <c r="C364" s="377"/>
      <c r="D364" s="377"/>
      <c r="E364" s="377"/>
      <c r="F364" s="377"/>
      <c r="G364" s="377"/>
      <c r="H364" s="377"/>
      <c r="I364" s="377"/>
      <c r="J364" s="377"/>
      <c r="K364" s="377"/>
      <c r="L364" s="377"/>
      <c r="M364" s="377"/>
      <c r="N364" s="377"/>
      <c r="O364" s="377"/>
      <c r="P364" s="377"/>
      <c r="Q364" s="377"/>
      <c r="R364" s="377"/>
      <c r="S364" s="377"/>
      <c r="T364" s="377"/>
      <c r="U364" s="377"/>
      <c r="V364" s="377"/>
      <c r="W364" s="377"/>
      <c r="X364" s="377"/>
      <c r="Y364" s="377"/>
      <c r="Z364" s="377"/>
      <c r="AA364" s="377"/>
      <c r="AB364" s="377"/>
      <c r="AC364" s="377"/>
      <c r="AD364" s="377"/>
      <c r="AE364" s="377"/>
      <c r="AF364" s="377"/>
      <c r="AG364" s="377"/>
      <c r="AH364" s="377"/>
      <c r="AI364" s="377"/>
      <c r="AJ364" s="377"/>
      <c r="AK364">
        <f t="shared" si="38"/>
        <v>0</v>
      </c>
      <c r="AL364" s="351">
        <f t="shared" si="39"/>
        <v>0</v>
      </c>
    </row>
    <row r="365" spans="1:38" hidden="1">
      <c r="A365" s="165"/>
      <c r="AK365">
        <f t="shared" si="38"/>
        <v>0</v>
      </c>
      <c r="AL365" s="351">
        <f t="shared" si="39"/>
        <v>0</v>
      </c>
    </row>
    <row r="366" spans="1:38" hidden="1">
      <c r="A366" s="165"/>
      <c r="B366" s="377"/>
      <c r="C366" s="377"/>
      <c r="D366" s="377"/>
      <c r="E366" s="377"/>
      <c r="F366" s="377"/>
      <c r="G366" s="377"/>
      <c r="H366" s="377"/>
      <c r="I366" s="377"/>
      <c r="J366" s="377"/>
      <c r="K366" s="377"/>
      <c r="L366" s="377"/>
      <c r="M366" s="377"/>
      <c r="N366" s="377"/>
      <c r="O366" s="377"/>
      <c r="P366" s="377"/>
      <c r="Q366" s="377"/>
      <c r="R366" s="377"/>
      <c r="S366" s="377"/>
      <c r="T366" s="377"/>
      <c r="U366" s="377"/>
      <c r="V366" s="377"/>
      <c r="W366" s="377"/>
      <c r="X366" s="377"/>
      <c r="Y366" s="377"/>
      <c r="Z366" s="377"/>
      <c r="AA366" s="377"/>
      <c r="AB366" s="377"/>
      <c r="AC366" s="377"/>
      <c r="AD366" s="377"/>
      <c r="AE366" s="377"/>
      <c r="AF366" s="377"/>
      <c r="AG366" s="377"/>
      <c r="AH366" s="377"/>
      <c r="AI366" s="377"/>
      <c r="AJ366" s="377"/>
      <c r="AK366">
        <f t="shared" si="38"/>
        <v>0</v>
      </c>
      <c r="AL366" s="351">
        <f t="shared" si="39"/>
        <v>0</v>
      </c>
    </row>
    <row r="367" spans="1:38" hidden="1">
      <c r="A367" s="165"/>
      <c r="AK367">
        <f t="shared" si="38"/>
        <v>0</v>
      </c>
      <c r="AL367" s="351">
        <f t="shared" si="39"/>
        <v>0</v>
      </c>
    </row>
    <row r="368" spans="1:38" hidden="1">
      <c r="A368" s="165"/>
      <c r="B368" s="377"/>
      <c r="C368" s="377"/>
      <c r="D368" s="377"/>
      <c r="E368" s="377"/>
      <c r="F368" s="377"/>
      <c r="G368" s="377"/>
      <c r="H368" s="377"/>
      <c r="I368" s="377"/>
      <c r="J368" s="377"/>
      <c r="K368" s="377"/>
      <c r="L368" s="377"/>
      <c r="M368" s="377"/>
      <c r="N368" s="377"/>
      <c r="O368" s="377"/>
      <c r="P368" s="377"/>
      <c r="Q368" s="377"/>
      <c r="R368" s="377"/>
      <c r="S368" s="377"/>
      <c r="T368" s="377"/>
      <c r="U368" s="377"/>
      <c r="V368" s="377"/>
      <c r="W368" s="377"/>
      <c r="X368" s="377"/>
      <c r="Y368" s="377"/>
      <c r="Z368" s="377"/>
      <c r="AA368" s="377"/>
      <c r="AB368" s="377"/>
      <c r="AC368" s="377"/>
      <c r="AD368" s="377"/>
      <c r="AE368" s="377"/>
      <c r="AF368" s="377"/>
      <c r="AG368" s="377"/>
      <c r="AH368" s="377"/>
      <c r="AI368" s="377"/>
      <c r="AJ368" s="377"/>
      <c r="AK368">
        <f t="shared" si="38"/>
        <v>0</v>
      </c>
      <c r="AL368" s="351">
        <f t="shared" si="39"/>
        <v>0</v>
      </c>
    </row>
    <row r="369" spans="1:38" ht="15">
      <c r="A369" s="347" t="s">
        <v>113</v>
      </c>
      <c r="B369" s="347">
        <f t="shared" ref="B369:AL369" si="40">SUM(B310:B368)</f>
        <v>21</v>
      </c>
      <c r="C369" s="347">
        <f t="shared" si="40"/>
        <v>0</v>
      </c>
      <c r="D369" s="347">
        <f t="shared" si="40"/>
        <v>0</v>
      </c>
      <c r="E369" s="347">
        <f t="shared" si="40"/>
        <v>0</v>
      </c>
      <c r="F369" s="347">
        <f t="shared" si="40"/>
        <v>20</v>
      </c>
      <c r="G369" s="347">
        <f t="shared" si="40"/>
        <v>0</v>
      </c>
      <c r="H369" s="347">
        <f t="shared" si="40"/>
        <v>0</v>
      </c>
      <c r="I369" s="347">
        <f t="shared" si="40"/>
        <v>0</v>
      </c>
      <c r="J369" s="347">
        <f t="shared" si="40"/>
        <v>0</v>
      </c>
      <c r="K369" s="347">
        <f t="shared" si="40"/>
        <v>0</v>
      </c>
      <c r="L369" s="347">
        <f t="shared" si="40"/>
        <v>0</v>
      </c>
      <c r="M369" s="347">
        <f t="shared" si="40"/>
        <v>0</v>
      </c>
      <c r="N369" s="347">
        <f t="shared" si="40"/>
        <v>0</v>
      </c>
      <c r="O369" s="347">
        <f t="shared" si="40"/>
        <v>0</v>
      </c>
      <c r="P369" s="347">
        <f t="shared" si="40"/>
        <v>0</v>
      </c>
      <c r="Q369" s="347">
        <f t="shared" si="40"/>
        <v>0</v>
      </c>
      <c r="R369" s="347">
        <f t="shared" si="40"/>
        <v>0</v>
      </c>
      <c r="S369" s="347">
        <f t="shared" si="40"/>
        <v>0</v>
      </c>
      <c r="T369" s="347">
        <f t="shared" si="40"/>
        <v>6</v>
      </c>
      <c r="U369" s="347">
        <f t="shared" si="40"/>
        <v>0</v>
      </c>
      <c r="V369" s="347">
        <f t="shared" si="40"/>
        <v>0</v>
      </c>
      <c r="W369" s="347">
        <f t="shared" si="40"/>
        <v>0</v>
      </c>
      <c r="X369" s="347">
        <f t="shared" si="40"/>
        <v>0</v>
      </c>
      <c r="Y369" s="347">
        <f t="shared" si="40"/>
        <v>14</v>
      </c>
      <c r="Z369" s="347">
        <f t="shared" si="40"/>
        <v>11</v>
      </c>
      <c r="AA369" s="347">
        <f t="shared" si="40"/>
        <v>0</v>
      </c>
      <c r="AB369" s="347">
        <f t="shared" si="40"/>
        <v>0</v>
      </c>
      <c r="AC369" s="347">
        <f t="shared" si="40"/>
        <v>0</v>
      </c>
      <c r="AD369" s="347">
        <f t="shared" si="40"/>
        <v>0</v>
      </c>
      <c r="AE369" s="347">
        <f t="shared" si="40"/>
        <v>0</v>
      </c>
      <c r="AF369" s="347">
        <f t="shared" si="40"/>
        <v>0</v>
      </c>
      <c r="AG369" s="347">
        <f t="shared" si="40"/>
        <v>0</v>
      </c>
      <c r="AH369" s="347">
        <f t="shared" si="40"/>
        <v>0</v>
      </c>
      <c r="AI369" s="347">
        <f t="shared" si="40"/>
        <v>0</v>
      </c>
      <c r="AJ369" s="347">
        <f t="shared" si="40"/>
        <v>0</v>
      </c>
      <c r="AK369" s="347">
        <f t="shared" si="40"/>
        <v>72</v>
      </c>
      <c r="AL369" s="397">
        <f t="shared" si="40"/>
        <v>0.99999999999999989</v>
      </c>
    </row>
    <row r="370" spans="1:38" ht="15.75" thickBot="1">
      <c r="A370" s="348" t="s">
        <v>174</v>
      </c>
      <c r="B370" s="348">
        <f t="shared" ref="B370:H370" si="41">B369/$AK369</f>
        <v>0.29166666666666669</v>
      </c>
      <c r="C370" s="348">
        <f t="shared" si="41"/>
        <v>0</v>
      </c>
      <c r="D370" s="348">
        <f t="shared" si="41"/>
        <v>0</v>
      </c>
      <c r="E370" s="348">
        <f t="shared" si="41"/>
        <v>0</v>
      </c>
      <c r="F370" s="348">
        <f t="shared" si="41"/>
        <v>0.27777777777777779</v>
      </c>
      <c r="G370" s="348">
        <f t="shared" si="41"/>
        <v>0</v>
      </c>
      <c r="H370" s="348">
        <f t="shared" si="41"/>
        <v>0</v>
      </c>
      <c r="I370" s="348">
        <f t="shared" ref="I370:R370" si="42">I369/$AK369</f>
        <v>0</v>
      </c>
      <c r="J370" s="348">
        <f t="shared" si="42"/>
        <v>0</v>
      </c>
      <c r="K370" s="348">
        <f t="shared" si="42"/>
        <v>0</v>
      </c>
      <c r="L370" s="348">
        <f t="shared" si="42"/>
        <v>0</v>
      </c>
      <c r="M370" s="348">
        <f t="shared" si="42"/>
        <v>0</v>
      </c>
      <c r="N370" s="348">
        <f t="shared" si="42"/>
        <v>0</v>
      </c>
      <c r="O370" s="348">
        <f t="shared" si="42"/>
        <v>0</v>
      </c>
      <c r="P370" s="348">
        <f t="shared" si="42"/>
        <v>0</v>
      </c>
      <c r="Q370" s="348">
        <f t="shared" si="42"/>
        <v>0</v>
      </c>
      <c r="R370" s="348">
        <f t="shared" si="42"/>
        <v>0</v>
      </c>
      <c r="S370" s="348">
        <f t="shared" ref="S370:AJ370" si="43">S369/$AK369</f>
        <v>0</v>
      </c>
      <c r="T370" s="348">
        <f t="shared" si="43"/>
        <v>8.3333333333333329E-2</v>
      </c>
      <c r="U370" s="348">
        <f t="shared" si="43"/>
        <v>0</v>
      </c>
      <c r="V370" s="348">
        <f t="shared" si="43"/>
        <v>0</v>
      </c>
      <c r="W370" s="348">
        <f t="shared" si="43"/>
        <v>0</v>
      </c>
      <c r="X370" s="348">
        <f t="shared" si="43"/>
        <v>0</v>
      </c>
      <c r="Y370" s="348">
        <f t="shared" si="43"/>
        <v>0.19444444444444445</v>
      </c>
      <c r="Z370" s="348">
        <f t="shared" si="43"/>
        <v>0.15277777777777779</v>
      </c>
      <c r="AA370" s="348">
        <f t="shared" si="43"/>
        <v>0</v>
      </c>
      <c r="AB370" s="348">
        <f t="shared" si="43"/>
        <v>0</v>
      </c>
      <c r="AC370" s="348">
        <f t="shared" si="43"/>
        <v>0</v>
      </c>
      <c r="AD370" s="348">
        <f t="shared" si="43"/>
        <v>0</v>
      </c>
      <c r="AE370" s="348">
        <f t="shared" si="43"/>
        <v>0</v>
      </c>
      <c r="AF370" s="348">
        <f t="shared" si="43"/>
        <v>0</v>
      </c>
      <c r="AG370" s="348">
        <f t="shared" si="43"/>
        <v>0</v>
      </c>
      <c r="AH370" s="348">
        <f t="shared" si="43"/>
        <v>0</v>
      </c>
      <c r="AI370" s="348">
        <f t="shared" si="43"/>
        <v>0</v>
      </c>
      <c r="AJ370" s="348">
        <f t="shared" si="43"/>
        <v>0</v>
      </c>
      <c r="AK370" s="376"/>
      <c r="AL370" s="376"/>
    </row>
    <row r="372" spans="1:38">
      <c r="A372" s="165">
        <f>'Conveyor Downtime (new)'!A372</f>
        <v>46204</v>
      </c>
      <c r="F372">
        <f>1+1</f>
        <v>2</v>
      </c>
      <c r="Y372">
        <f>9+18</f>
        <v>27</v>
      </c>
      <c r="AK372">
        <f t="shared" ref="AK372:AK402" si="44">SUM(B372:AJ372)</f>
        <v>29</v>
      </c>
      <c r="AL372" s="351">
        <f t="shared" ref="AL372:AL412" si="45">AK372/$AK$428</f>
        <v>6.0041407867494824E-2</v>
      </c>
    </row>
    <row r="373" spans="1:38">
      <c r="A373" s="165">
        <f>'Conveyor Downtime (new)'!A373</f>
        <v>46204</v>
      </c>
      <c r="B373" s="377">
        <f>6</f>
        <v>6</v>
      </c>
      <c r="C373" s="346"/>
      <c r="D373" s="346"/>
      <c r="E373" s="346"/>
      <c r="F373" s="346">
        <f>1</f>
        <v>1</v>
      </c>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346"/>
      <c r="AK373">
        <f t="shared" si="44"/>
        <v>7</v>
      </c>
      <c r="AL373" s="351">
        <f t="shared" si="45"/>
        <v>1.4492753623188406E-2</v>
      </c>
    </row>
    <row r="374" spans="1:38">
      <c r="A374" s="165">
        <f>'Conveyor Downtime (new)'!A374</f>
        <v>46205</v>
      </c>
      <c r="B374">
        <f>2+2+2+2</f>
        <v>8</v>
      </c>
      <c r="AK374">
        <f t="shared" si="44"/>
        <v>8</v>
      </c>
      <c r="AL374" s="351">
        <f t="shared" si="45"/>
        <v>1.6563146997929608E-2</v>
      </c>
    </row>
    <row r="375" spans="1:38">
      <c r="A375" s="165">
        <f>'Conveyor Downtime (new)'!A375</f>
        <v>46205</v>
      </c>
      <c r="B375" s="346"/>
      <c r="C375" s="346"/>
      <c r="D375" s="346"/>
      <c r="E375" s="346"/>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s="346"/>
      <c r="AE375" s="346"/>
      <c r="AF375" s="346"/>
      <c r="AG375" s="346"/>
      <c r="AH375" s="346"/>
      <c r="AI375" s="346"/>
      <c r="AJ375" s="346"/>
      <c r="AK375">
        <f t="shared" si="44"/>
        <v>0</v>
      </c>
      <c r="AL375" s="351">
        <f t="shared" si="45"/>
        <v>0</v>
      </c>
    </row>
    <row r="376" spans="1:38">
      <c r="A376" s="165">
        <f>'Conveyor Downtime (new)'!A376</f>
        <v>46205</v>
      </c>
      <c r="B376">
        <f>2</f>
        <v>2</v>
      </c>
      <c r="F376">
        <f>1</f>
        <v>1</v>
      </c>
      <c r="AK376">
        <f t="shared" si="44"/>
        <v>3</v>
      </c>
      <c r="AL376" s="351">
        <f t="shared" si="45"/>
        <v>6.2111801242236021E-3</v>
      </c>
    </row>
    <row r="377" spans="1:38">
      <c r="A377" s="165">
        <f>'Conveyor Downtime (new)'!A377</f>
        <v>46206</v>
      </c>
      <c r="B377" s="346"/>
      <c r="C377" s="346"/>
      <c r="D377" s="346"/>
      <c r="E377" s="346"/>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s="346"/>
      <c r="AE377" s="346"/>
      <c r="AF377" s="346"/>
      <c r="AG377" s="346"/>
      <c r="AH377" s="346"/>
      <c r="AI377" s="346"/>
      <c r="AJ377" s="346"/>
      <c r="AK377">
        <f t="shared" si="44"/>
        <v>0</v>
      </c>
      <c r="AL377" s="351">
        <f t="shared" si="45"/>
        <v>0</v>
      </c>
    </row>
    <row r="378" spans="1:38">
      <c r="A378" s="165">
        <f>'Conveyor Downtime (new)'!A378</f>
        <v>46206</v>
      </c>
      <c r="B378" s="346">
        <f>4</f>
        <v>4</v>
      </c>
      <c r="C378" s="346"/>
      <c r="D378" s="346"/>
      <c r="E378" s="346"/>
      <c r="F378" s="346">
        <f>1</f>
        <v>1</v>
      </c>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346"/>
      <c r="AK378">
        <f t="shared" si="44"/>
        <v>5</v>
      </c>
      <c r="AL378" s="351">
        <f t="shared" si="45"/>
        <v>1.0351966873706004E-2</v>
      </c>
    </row>
    <row r="379" spans="1:38">
      <c r="A379" s="165">
        <f>'Conveyor Downtime (new)'!A379</f>
        <v>46209</v>
      </c>
      <c r="B379">
        <f>2+2</f>
        <v>4</v>
      </c>
      <c r="F379">
        <f>1+1</f>
        <v>2</v>
      </c>
      <c r="AK379">
        <f t="shared" si="44"/>
        <v>6</v>
      </c>
      <c r="AL379" s="351">
        <f t="shared" si="45"/>
        <v>1.2422360248447204E-2</v>
      </c>
    </row>
    <row r="380" spans="1:38">
      <c r="A380" s="165">
        <f>'Conveyor Downtime (new)'!A380</f>
        <v>46210</v>
      </c>
      <c r="B380" s="346">
        <f>3+4+3</f>
        <v>10</v>
      </c>
      <c r="C380" s="346"/>
      <c r="D380" s="346"/>
      <c r="E380" s="346"/>
      <c r="F380" s="346"/>
      <c r="G380" s="346"/>
      <c r="H380" s="346"/>
      <c r="I380" s="346"/>
      <c r="J380" s="346"/>
      <c r="K380" s="346"/>
      <c r="L380" s="346"/>
      <c r="M380" s="346"/>
      <c r="N380" s="346"/>
      <c r="O380" s="346"/>
      <c r="P380" s="346"/>
      <c r="Q380" s="346"/>
      <c r="R380" s="346"/>
      <c r="S380" s="346"/>
      <c r="T380" s="346"/>
      <c r="U380" s="346"/>
      <c r="V380" s="346"/>
      <c r="W380" s="346"/>
      <c r="X380" s="346"/>
      <c r="Y380" s="346"/>
      <c r="Z380" s="346"/>
      <c r="AA380" s="346"/>
      <c r="AB380" s="346"/>
      <c r="AC380" s="346"/>
      <c r="AD380" s="346"/>
      <c r="AE380" s="346"/>
      <c r="AF380" s="346"/>
      <c r="AG380" s="346"/>
      <c r="AH380" s="346"/>
      <c r="AI380" s="346"/>
      <c r="AJ380" s="346"/>
      <c r="AK380">
        <f t="shared" si="44"/>
        <v>10</v>
      </c>
      <c r="AL380" s="351">
        <f t="shared" si="45"/>
        <v>2.0703933747412008E-2</v>
      </c>
    </row>
    <row r="381" spans="1:38">
      <c r="A381" s="165">
        <f>'Conveyor Downtime (new)'!A381</f>
        <v>46210</v>
      </c>
      <c r="AK381">
        <f t="shared" si="44"/>
        <v>0</v>
      </c>
      <c r="AL381" s="351">
        <f t="shared" si="45"/>
        <v>0</v>
      </c>
    </row>
    <row r="382" spans="1:38">
      <c r="A382" s="165">
        <f>'Conveyor Downtime (new)'!A382</f>
        <v>46211</v>
      </c>
      <c r="B382" s="346"/>
      <c r="C382" s="346"/>
      <c r="D382" s="346"/>
      <c r="E382" s="346"/>
      <c r="F382" s="346">
        <v>2</v>
      </c>
      <c r="G382" s="346"/>
      <c r="H382" s="346"/>
      <c r="I382" s="346"/>
      <c r="J382" s="346"/>
      <c r="K382" s="346"/>
      <c r="L382" s="346"/>
      <c r="M382" s="346"/>
      <c r="N382" s="346"/>
      <c r="O382" s="346"/>
      <c r="P382" s="346"/>
      <c r="Q382" s="346"/>
      <c r="R382" s="346"/>
      <c r="S382" s="346"/>
      <c r="T382" s="346"/>
      <c r="U382" s="346"/>
      <c r="V382" s="346"/>
      <c r="W382" s="346"/>
      <c r="X382" s="346"/>
      <c r="Y382" s="346"/>
      <c r="Z382" s="346"/>
      <c r="AA382" s="346"/>
      <c r="AB382" s="346"/>
      <c r="AC382" s="346"/>
      <c r="AD382" s="346"/>
      <c r="AE382" s="346"/>
      <c r="AF382" s="346"/>
      <c r="AG382" s="346"/>
      <c r="AH382" s="346"/>
      <c r="AI382" s="346"/>
      <c r="AJ382" s="346"/>
      <c r="AK382">
        <f t="shared" si="44"/>
        <v>2</v>
      </c>
      <c r="AL382" s="351">
        <f t="shared" si="45"/>
        <v>4.140786749482402E-3</v>
      </c>
    </row>
    <row r="383" spans="1:38">
      <c r="A383" s="165">
        <f>'Conveyor Downtime (new)'!A383</f>
        <v>46211</v>
      </c>
      <c r="F383">
        <v>1</v>
      </c>
      <c r="AK383">
        <f t="shared" si="44"/>
        <v>1</v>
      </c>
      <c r="AL383" s="351">
        <f t="shared" si="45"/>
        <v>2.070393374741201E-3</v>
      </c>
    </row>
    <row r="384" spans="1:38">
      <c r="A384" s="165">
        <f>'Conveyor Downtime (new)'!A384</f>
        <v>46211</v>
      </c>
      <c r="B384" s="346"/>
      <c r="C384" s="346"/>
      <c r="D384" s="346"/>
      <c r="E384" s="346"/>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f t="shared" si="44"/>
        <v>0</v>
      </c>
      <c r="AL384" s="351">
        <f t="shared" si="45"/>
        <v>0</v>
      </c>
    </row>
    <row r="385" spans="1:38">
      <c r="A385" s="165">
        <f>'Conveyor Downtime (new)'!A385</f>
        <v>46211</v>
      </c>
      <c r="AK385">
        <f t="shared" si="44"/>
        <v>0</v>
      </c>
      <c r="AL385" s="351">
        <f t="shared" si="45"/>
        <v>0</v>
      </c>
    </row>
    <row r="386" spans="1:38">
      <c r="A386" s="165">
        <f>'Conveyor Downtime (new)'!A386</f>
        <v>46211</v>
      </c>
      <c r="B386" s="346"/>
      <c r="C386" s="346"/>
      <c r="D386" s="346"/>
      <c r="E386" s="346"/>
      <c r="F386" s="346"/>
      <c r="G386" s="346"/>
      <c r="H386" s="346"/>
      <c r="I386" s="346"/>
      <c r="J386" s="346"/>
      <c r="K386" s="346"/>
      <c r="L386" s="346"/>
      <c r="M386" s="346"/>
      <c r="N386" s="346"/>
      <c r="O386" s="346"/>
      <c r="P386" s="346"/>
      <c r="Q386" s="346"/>
      <c r="R386" s="346"/>
      <c r="S386" s="346"/>
      <c r="T386" s="346"/>
      <c r="U386" s="346"/>
      <c r="V386" s="346"/>
      <c r="W386" s="346"/>
      <c r="X386" s="346"/>
      <c r="Y386" s="346"/>
      <c r="Z386" s="346"/>
      <c r="AA386" s="346"/>
      <c r="AB386" s="346"/>
      <c r="AC386" s="346"/>
      <c r="AD386" s="346"/>
      <c r="AE386" s="346"/>
      <c r="AF386" s="346"/>
      <c r="AG386" s="346"/>
      <c r="AH386" s="346"/>
      <c r="AI386" s="346"/>
      <c r="AJ386" s="346"/>
      <c r="AK386">
        <f t="shared" si="44"/>
        <v>0</v>
      </c>
      <c r="AL386" s="351">
        <f t="shared" si="45"/>
        <v>0</v>
      </c>
    </row>
    <row r="387" spans="1:38">
      <c r="A387" s="165">
        <f>'Conveyor Downtime (new)'!A387</f>
        <v>46212</v>
      </c>
      <c r="B387" s="346">
        <f>2+4</f>
        <v>6</v>
      </c>
      <c r="C387" s="346">
        <f>7</f>
        <v>7</v>
      </c>
      <c r="D387" s="346"/>
      <c r="E387" s="346"/>
      <c r="F387" s="346">
        <f>1</f>
        <v>1</v>
      </c>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s="346"/>
      <c r="AE387" s="346"/>
      <c r="AF387" s="346"/>
      <c r="AG387" s="346"/>
      <c r="AH387" s="346"/>
      <c r="AI387" s="346"/>
      <c r="AJ387" s="346"/>
      <c r="AK387">
        <f t="shared" ref="AK387" si="46">SUM(B387:AJ387)</f>
        <v>14</v>
      </c>
      <c r="AL387" s="351">
        <f t="shared" ref="AL387" si="47">AK387/$AK$428</f>
        <v>2.8985507246376812E-2</v>
      </c>
    </row>
    <row r="388" spans="1:38">
      <c r="A388" s="165">
        <f>'Conveyor Downtime (new)'!A388</f>
        <v>46212</v>
      </c>
      <c r="B388" s="346"/>
      <c r="C388" s="346"/>
      <c r="D388" s="346"/>
      <c r="E388" s="346"/>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f t="shared" si="44"/>
        <v>0</v>
      </c>
      <c r="AL388" s="351">
        <f t="shared" si="45"/>
        <v>0</v>
      </c>
    </row>
    <row r="389" spans="1:38">
      <c r="A389" s="165">
        <f>'Conveyor Downtime (new)'!A389</f>
        <v>46212</v>
      </c>
      <c r="B389">
        <v>2</v>
      </c>
      <c r="AK389">
        <f t="shared" si="44"/>
        <v>2</v>
      </c>
      <c r="AL389" s="351">
        <f t="shared" si="45"/>
        <v>4.140786749482402E-3</v>
      </c>
    </row>
    <row r="390" spans="1:38">
      <c r="A390" s="165">
        <f>'Conveyor Downtime (new)'!A390</f>
        <v>46213</v>
      </c>
      <c r="B390" s="346">
        <f>2+4</f>
        <v>6</v>
      </c>
      <c r="C390" s="346"/>
      <c r="D390" s="346"/>
      <c r="E390" s="346"/>
      <c r="F390" s="346">
        <f>1+2</f>
        <v>3</v>
      </c>
      <c r="G390" s="346"/>
      <c r="H390" s="346"/>
      <c r="I390" s="346"/>
      <c r="J390" s="346"/>
      <c r="K390" s="346"/>
      <c r="L390" s="346"/>
      <c r="M390" s="346"/>
      <c r="N390" s="346"/>
      <c r="O390" s="346"/>
      <c r="P390" s="346"/>
      <c r="Q390" s="346"/>
      <c r="R390" s="346"/>
      <c r="S390" s="346"/>
      <c r="T390" s="346"/>
      <c r="U390" s="346"/>
      <c r="V390" s="346"/>
      <c r="W390" s="346"/>
      <c r="X390" s="346"/>
      <c r="Y390" s="346">
        <f>2</f>
        <v>2</v>
      </c>
      <c r="Z390" s="346"/>
      <c r="AA390" s="346"/>
      <c r="AB390" s="346"/>
      <c r="AC390" s="346"/>
      <c r="AD390" s="346"/>
      <c r="AE390" s="346"/>
      <c r="AF390" s="346"/>
      <c r="AG390" s="346"/>
      <c r="AH390" s="346"/>
      <c r="AI390" s="346"/>
      <c r="AJ390" s="346"/>
      <c r="AK390">
        <f t="shared" si="44"/>
        <v>11</v>
      </c>
      <c r="AL390" s="351">
        <f t="shared" si="45"/>
        <v>2.2774327122153208E-2</v>
      </c>
    </row>
    <row r="391" spans="1:38">
      <c r="A391" s="165">
        <f>'Conveyor Downtime (new)'!A391</f>
        <v>46213</v>
      </c>
      <c r="F391">
        <f>1</f>
        <v>1</v>
      </c>
      <c r="AK391">
        <f t="shared" si="44"/>
        <v>1</v>
      </c>
      <c r="AL391" s="351">
        <f t="shared" si="45"/>
        <v>2.070393374741201E-3</v>
      </c>
    </row>
    <row r="392" spans="1:38">
      <c r="A392" s="165">
        <f>'Conveyor Downtime (new)'!A392</f>
        <v>46216</v>
      </c>
      <c r="B392" s="346">
        <f>2+1+1+2</f>
        <v>6</v>
      </c>
      <c r="C392" s="346"/>
      <c r="D392" s="346"/>
      <c r="E392" s="346"/>
      <c r="F392" s="346">
        <f>1+1</f>
        <v>2</v>
      </c>
      <c r="G392" s="346"/>
      <c r="H392" s="346"/>
      <c r="I392" s="346"/>
      <c r="J392" s="346"/>
      <c r="K392" s="346"/>
      <c r="L392" s="346"/>
      <c r="M392" s="346"/>
      <c r="N392" s="346"/>
      <c r="O392" s="346"/>
      <c r="P392" s="346"/>
      <c r="Q392" s="346"/>
      <c r="R392" s="346"/>
      <c r="S392" s="346"/>
      <c r="T392" s="346"/>
      <c r="U392" s="346"/>
      <c r="V392" s="346"/>
      <c r="W392" s="346"/>
      <c r="X392" s="346"/>
      <c r="Y392" s="346"/>
      <c r="Z392" s="346"/>
      <c r="AA392" s="346"/>
      <c r="AB392" s="346"/>
      <c r="AC392" s="346"/>
      <c r="AD392" s="346"/>
      <c r="AE392" s="346"/>
      <c r="AF392" s="346"/>
      <c r="AG392" s="346"/>
      <c r="AH392" s="346"/>
      <c r="AI392" s="346"/>
      <c r="AJ392" s="346"/>
      <c r="AK392">
        <f t="shared" si="44"/>
        <v>8</v>
      </c>
      <c r="AL392" s="351">
        <f t="shared" si="45"/>
        <v>1.6563146997929608E-2</v>
      </c>
    </row>
    <row r="393" spans="1:38">
      <c r="A393" s="165">
        <f>'Conveyor Downtime (new)'!A393</f>
        <v>46216</v>
      </c>
      <c r="AK393">
        <f t="shared" si="44"/>
        <v>0</v>
      </c>
      <c r="AL393" s="351">
        <f t="shared" si="45"/>
        <v>0</v>
      </c>
    </row>
    <row r="394" spans="1:38">
      <c r="A394" s="165">
        <f>'Conveyor Downtime (new)'!A394</f>
        <v>46217</v>
      </c>
      <c r="B394" s="346">
        <v>1</v>
      </c>
      <c r="C394" s="346"/>
      <c r="D394" s="346"/>
      <c r="E394" s="346"/>
      <c r="F394" s="346">
        <f>1+2+1</f>
        <v>4</v>
      </c>
      <c r="G394" s="346"/>
      <c r="H394" s="346"/>
      <c r="I394" s="346"/>
      <c r="J394" s="346"/>
      <c r="K394" s="346"/>
      <c r="L394" s="346"/>
      <c r="M394" s="346"/>
      <c r="N394" s="346"/>
      <c r="O394" s="346"/>
      <c r="P394" s="346"/>
      <c r="Q394" s="346"/>
      <c r="R394" s="346"/>
      <c r="S394" s="346"/>
      <c r="T394" s="346"/>
      <c r="U394" s="346"/>
      <c r="V394" s="346"/>
      <c r="W394" s="346"/>
      <c r="X394" s="346"/>
      <c r="Y394" s="346">
        <f>2</f>
        <v>2</v>
      </c>
      <c r="Z394" s="346"/>
      <c r="AA394" s="346"/>
      <c r="AB394" s="346"/>
      <c r="AC394" s="346"/>
      <c r="AD394" s="346"/>
      <c r="AE394" s="346"/>
      <c r="AF394" s="346"/>
      <c r="AG394" s="346"/>
      <c r="AH394" s="346"/>
      <c r="AI394" s="346"/>
      <c r="AJ394" s="346"/>
      <c r="AK394">
        <f t="shared" si="44"/>
        <v>7</v>
      </c>
      <c r="AL394" s="351">
        <f t="shared" si="45"/>
        <v>1.4492753623188406E-2</v>
      </c>
    </row>
    <row r="395" spans="1:38">
      <c r="A395" s="165">
        <f>'Conveyor Downtime (new)'!A395</f>
        <v>46218</v>
      </c>
      <c r="F395">
        <f>1+1</f>
        <v>2</v>
      </c>
      <c r="I395">
        <f>23</f>
        <v>23</v>
      </c>
      <c r="V395">
        <v>6</v>
      </c>
      <c r="AK395">
        <f t="shared" si="44"/>
        <v>31</v>
      </c>
      <c r="AL395" s="351">
        <f t="shared" si="45"/>
        <v>6.4182194616977231E-2</v>
      </c>
    </row>
    <row r="396" spans="1:38">
      <c r="A396" s="165">
        <f>'Conveyor Downtime (new)'!A396</f>
        <v>46218</v>
      </c>
      <c r="B396" s="346"/>
      <c r="C396" s="346"/>
      <c r="D396" s="346"/>
      <c r="E396" s="346"/>
      <c r="F396" s="346">
        <f>1+1</f>
        <v>2</v>
      </c>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f t="shared" si="44"/>
        <v>2</v>
      </c>
      <c r="AL396" s="351">
        <f t="shared" si="45"/>
        <v>4.140786749482402E-3</v>
      </c>
    </row>
    <row r="397" spans="1:38">
      <c r="A397" s="165">
        <f>'Conveyor Downtime (new)'!A397</f>
        <v>46219</v>
      </c>
      <c r="F397">
        <f>1</f>
        <v>1</v>
      </c>
      <c r="AK397">
        <f t="shared" si="44"/>
        <v>1</v>
      </c>
      <c r="AL397" s="351">
        <f t="shared" si="45"/>
        <v>2.070393374741201E-3</v>
      </c>
    </row>
    <row r="398" spans="1:38">
      <c r="A398" s="165">
        <f>'Conveyor Downtime (new)'!A398</f>
        <v>46219</v>
      </c>
      <c r="B398" s="346"/>
      <c r="C398" s="346"/>
      <c r="D398" s="346"/>
      <c r="E398" s="346"/>
      <c r="F398" s="346">
        <f>1</f>
        <v>1</v>
      </c>
      <c r="G398" s="346"/>
      <c r="H398" s="346"/>
      <c r="I398" s="346"/>
      <c r="J398" s="346"/>
      <c r="K398" s="346"/>
      <c r="L398" s="346"/>
      <c r="M398" s="346"/>
      <c r="N398" s="346"/>
      <c r="O398" s="346"/>
      <c r="P398" s="346"/>
      <c r="Q398" s="346"/>
      <c r="R398" s="346"/>
      <c r="S398" s="346"/>
      <c r="T398" s="346"/>
      <c r="U398" s="346"/>
      <c r="V398" s="346"/>
      <c r="W398" s="346"/>
      <c r="X398" s="346"/>
      <c r="Y398" s="346">
        <f>26+50</f>
        <v>76</v>
      </c>
      <c r="Z398" s="346"/>
      <c r="AA398" s="346"/>
      <c r="AB398" s="346"/>
      <c r="AC398" s="346"/>
      <c r="AD398" s="346"/>
      <c r="AE398" s="346"/>
      <c r="AF398" s="346"/>
      <c r="AG398" s="346"/>
      <c r="AH398" s="346"/>
      <c r="AI398" s="346"/>
      <c r="AJ398" s="346"/>
      <c r="AK398">
        <f t="shared" si="44"/>
        <v>77</v>
      </c>
      <c r="AL398" s="351">
        <f t="shared" si="45"/>
        <v>0.15942028985507245</v>
      </c>
    </row>
    <row r="399" spans="1:38">
      <c r="A399" s="165">
        <f>'Conveyor Downtime (new)'!A399</f>
        <v>46219</v>
      </c>
      <c r="AK399">
        <f t="shared" si="44"/>
        <v>0</v>
      </c>
      <c r="AL399" s="351">
        <f t="shared" si="45"/>
        <v>0</v>
      </c>
    </row>
    <row r="400" spans="1:38">
      <c r="A400" s="165">
        <f>'Conveyor Downtime (new)'!A400</f>
        <v>46219</v>
      </c>
      <c r="B400" s="346"/>
      <c r="C400" s="346"/>
      <c r="D400" s="346"/>
      <c r="E400" s="346"/>
      <c r="F400" s="346"/>
      <c r="G400" s="346"/>
      <c r="H400" s="346"/>
      <c r="I400" s="346"/>
      <c r="J400" s="346"/>
      <c r="K400" s="346"/>
      <c r="L400" s="346"/>
      <c r="M400" s="346"/>
      <c r="N400" s="346"/>
      <c r="O400" s="346"/>
      <c r="P400" s="346"/>
      <c r="Q400" s="346"/>
      <c r="R400" s="346"/>
      <c r="S400" s="346"/>
      <c r="T400" s="346">
        <v>2</v>
      </c>
      <c r="U400" s="346"/>
      <c r="V400" s="346"/>
      <c r="W400" s="346"/>
      <c r="X400" s="346"/>
      <c r="Y400" s="346"/>
      <c r="Z400" s="346"/>
      <c r="AA400" s="346"/>
      <c r="AB400" s="77"/>
      <c r="AC400" s="346"/>
      <c r="AD400" s="346"/>
      <c r="AE400" s="346"/>
      <c r="AF400" s="346"/>
      <c r="AG400" s="346"/>
      <c r="AH400" s="346"/>
      <c r="AI400" s="346"/>
      <c r="AJ400" s="346"/>
      <c r="AK400">
        <f t="shared" si="44"/>
        <v>2</v>
      </c>
      <c r="AL400" s="351">
        <f t="shared" si="45"/>
        <v>4.140786749482402E-3</v>
      </c>
    </row>
    <row r="401" spans="1:38">
      <c r="A401" s="165">
        <f>'Conveyor Downtime (new)'!A401</f>
        <v>46220</v>
      </c>
      <c r="AK401">
        <f t="shared" si="44"/>
        <v>0</v>
      </c>
      <c r="AL401" s="351">
        <f t="shared" si="45"/>
        <v>0</v>
      </c>
    </row>
    <row r="402" spans="1:38">
      <c r="A402" s="165">
        <f>'Conveyor Downtime (new)'!A402</f>
        <v>46220</v>
      </c>
      <c r="B402" s="346"/>
      <c r="C402" s="346"/>
      <c r="D402" s="346"/>
      <c r="E402" s="346"/>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s="346"/>
      <c r="AE402" s="346"/>
      <c r="AF402" s="346"/>
      <c r="AG402" s="346"/>
      <c r="AH402" s="346"/>
      <c r="AI402" s="346"/>
      <c r="AJ402" s="346"/>
      <c r="AK402">
        <f t="shared" si="44"/>
        <v>0</v>
      </c>
      <c r="AL402" s="351">
        <f t="shared" si="45"/>
        <v>0</v>
      </c>
    </row>
    <row r="403" spans="1:38">
      <c r="A403" s="165">
        <f>'Conveyor Downtime (new)'!A403</f>
        <v>46223</v>
      </c>
      <c r="B403">
        <f>3</f>
        <v>3</v>
      </c>
      <c r="F403">
        <f>1+1</f>
        <v>2</v>
      </c>
      <c r="Z403">
        <f>20+33</f>
        <v>53</v>
      </c>
      <c r="AK403">
        <f t="shared" ref="AK403:AK427" si="48">SUM(B403:AJ403)</f>
        <v>58</v>
      </c>
      <c r="AL403" s="351">
        <f t="shared" si="45"/>
        <v>0.12008281573498965</v>
      </c>
    </row>
    <row r="404" spans="1:38">
      <c r="A404" s="165">
        <f>'Conveyor Downtime (new)'!A404</f>
        <v>46223</v>
      </c>
      <c r="B404" s="346"/>
      <c r="C404" s="346"/>
      <c r="D404" s="346"/>
      <c r="E404" s="346"/>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s="346"/>
      <c r="AE404" s="346"/>
      <c r="AF404" s="346"/>
      <c r="AG404" s="346"/>
      <c r="AH404" s="346"/>
      <c r="AI404" s="346"/>
      <c r="AJ404" s="346"/>
      <c r="AK404">
        <f t="shared" si="48"/>
        <v>0</v>
      </c>
      <c r="AL404" s="351">
        <f t="shared" si="45"/>
        <v>0</v>
      </c>
    </row>
    <row r="405" spans="1:38">
      <c r="A405" s="165">
        <f>'Conveyor Downtime (new)'!A405</f>
        <v>46224</v>
      </c>
      <c r="B405" s="346"/>
      <c r="C405" s="346"/>
      <c r="D405" s="346"/>
      <c r="E405" s="346"/>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346"/>
      <c r="AK405">
        <f t="shared" si="48"/>
        <v>0</v>
      </c>
      <c r="AL405" s="351">
        <f t="shared" si="45"/>
        <v>0</v>
      </c>
    </row>
    <row r="406" spans="1:38">
      <c r="A406" s="165">
        <f>'Conveyor Downtime (new)'!A406</f>
        <v>46224</v>
      </c>
      <c r="B406" s="346">
        <f>2</f>
        <v>2</v>
      </c>
      <c r="C406" s="346"/>
      <c r="D406" s="346"/>
      <c r="E406" s="346"/>
      <c r="F406" s="346">
        <f>1+1+1</f>
        <v>3</v>
      </c>
      <c r="Z406">
        <v>14</v>
      </c>
      <c r="AK406">
        <f t="shared" si="48"/>
        <v>19</v>
      </c>
      <c r="AL406" s="351">
        <f t="shared" si="45"/>
        <v>3.9337474120082816E-2</v>
      </c>
    </row>
    <row r="407" spans="1:38">
      <c r="A407" s="165">
        <f>'Conveyor Downtime (new)'!A407</f>
        <v>46224</v>
      </c>
      <c r="B407">
        <f>2</f>
        <v>2</v>
      </c>
      <c r="G407" s="346"/>
      <c r="H407" s="346"/>
      <c r="I407" s="346"/>
      <c r="J407" s="346"/>
      <c r="K407" s="346"/>
      <c r="L407" s="346"/>
      <c r="M407" s="346"/>
      <c r="N407" s="346"/>
      <c r="O407" s="346"/>
      <c r="P407" s="346"/>
      <c r="Q407" s="346"/>
      <c r="R407" s="346"/>
      <c r="S407" s="346"/>
      <c r="T407" s="346"/>
      <c r="U407" s="346"/>
      <c r="V407" s="346"/>
      <c r="W407" s="346"/>
      <c r="X407" s="346"/>
      <c r="Y407" s="346"/>
      <c r="Z407" s="346"/>
      <c r="AA407" s="346"/>
      <c r="AB407" s="346"/>
      <c r="AC407" s="346">
        <v>8</v>
      </c>
      <c r="AD407" s="346"/>
      <c r="AE407" s="346"/>
      <c r="AF407" s="346"/>
      <c r="AG407" s="346"/>
      <c r="AH407" s="346"/>
      <c r="AI407" s="346"/>
      <c r="AJ407" s="346"/>
      <c r="AK407">
        <f t="shared" si="48"/>
        <v>10</v>
      </c>
      <c r="AL407" s="351">
        <f t="shared" si="45"/>
        <v>2.0703933747412008E-2</v>
      </c>
    </row>
    <row r="408" spans="1:38">
      <c r="A408" s="165">
        <f>'Conveyor Downtime (new)'!A408</f>
        <v>46225</v>
      </c>
      <c r="B408">
        <f>4</f>
        <v>4</v>
      </c>
      <c r="F408">
        <v>1</v>
      </c>
      <c r="AK408">
        <f t="shared" si="48"/>
        <v>5</v>
      </c>
      <c r="AL408" s="351">
        <f t="shared" si="45"/>
        <v>1.0351966873706004E-2</v>
      </c>
    </row>
    <row r="409" spans="1:38">
      <c r="A409" s="165">
        <f>'Conveyor Downtime (new)'!A409</f>
        <v>46225</v>
      </c>
      <c r="B409" s="346"/>
      <c r="C409" s="346"/>
      <c r="D409" s="346"/>
      <c r="E409" s="346"/>
      <c r="F409" s="346"/>
      <c r="G409" s="346"/>
      <c r="H409" s="346"/>
      <c r="I409" s="346"/>
      <c r="J409" s="346"/>
      <c r="K409" s="346"/>
      <c r="L409" s="346"/>
      <c r="M409" s="346"/>
      <c r="N409" s="346"/>
      <c r="O409" s="346"/>
      <c r="P409" s="346"/>
      <c r="Q409" s="346"/>
      <c r="R409" s="346"/>
      <c r="S409" s="346"/>
      <c r="T409" s="346"/>
      <c r="U409" s="346"/>
      <c r="V409" s="346"/>
      <c r="W409" s="346"/>
      <c r="X409" s="346"/>
      <c r="Y409" s="346"/>
      <c r="Z409" s="346"/>
      <c r="AA409" s="398"/>
      <c r="AB409" s="346"/>
      <c r="AC409" s="346"/>
      <c r="AD409" s="346"/>
      <c r="AE409" s="346"/>
      <c r="AF409" s="346"/>
      <c r="AG409" s="346"/>
      <c r="AH409" s="346"/>
      <c r="AI409" s="346"/>
      <c r="AJ409" s="346"/>
      <c r="AK409">
        <f t="shared" si="48"/>
        <v>0</v>
      </c>
      <c r="AL409" s="351">
        <f t="shared" si="45"/>
        <v>0</v>
      </c>
    </row>
    <row r="410" spans="1:38">
      <c r="A410" s="165">
        <f>'Conveyor Downtime (new)'!A410</f>
        <v>46226</v>
      </c>
      <c r="B410">
        <f>2</f>
        <v>2</v>
      </c>
      <c r="F410">
        <f>1+1</f>
        <v>2</v>
      </c>
      <c r="AK410">
        <f t="shared" si="48"/>
        <v>4</v>
      </c>
      <c r="AL410" s="351">
        <f t="shared" si="45"/>
        <v>8.2815734989648039E-3</v>
      </c>
    </row>
    <row r="411" spans="1:38">
      <c r="A411" s="165">
        <f>'Conveyor Downtime (new)'!A411</f>
        <v>46226</v>
      </c>
      <c r="B411" s="346"/>
      <c r="C411" s="346"/>
      <c r="D411" s="346"/>
      <c r="E411" s="346"/>
      <c r="F411" s="346">
        <f>1</f>
        <v>1</v>
      </c>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f t="shared" si="48"/>
        <v>1</v>
      </c>
      <c r="AL411" s="351">
        <f t="shared" si="45"/>
        <v>2.070393374741201E-3</v>
      </c>
    </row>
    <row r="412" spans="1:38">
      <c r="A412" s="165">
        <f>'Conveyor Downtime (new)'!A412</f>
        <v>46227</v>
      </c>
      <c r="AG412">
        <f>5</f>
        <v>5</v>
      </c>
      <c r="AK412">
        <f t="shared" si="48"/>
        <v>5</v>
      </c>
      <c r="AL412" s="351">
        <f t="shared" si="45"/>
        <v>1.0351966873706004E-2</v>
      </c>
    </row>
    <row r="413" spans="1:38">
      <c r="A413" s="165">
        <f>'Conveyor Downtime (new)'!A413</f>
        <v>46227</v>
      </c>
      <c r="B413" s="346"/>
      <c r="C413" s="346"/>
      <c r="D413" s="346"/>
      <c r="E413" s="346"/>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H413" s="346"/>
      <c r="AI413" s="346"/>
      <c r="AJ413" s="346"/>
      <c r="AK413">
        <f>SUM(B413:AJ413)</f>
        <v>0</v>
      </c>
      <c r="AL413" s="351">
        <f>AK413/$AK$428</f>
        <v>0</v>
      </c>
    </row>
    <row r="414" spans="1:38">
      <c r="A414" s="165">
        <f>'Conveyor Downtime (new)'!A414</f>
        <v>46230</v>
      </c>
      <c r="B414">
        <f>3+1</f>
        <v>4</v>
      </c>
      <c r="F414">
        <f>1+1+1</f>
        <v>3</v>
      </c>
      <c r="I414">
        <f>4</f>
        <v>4</v>
      </c>
      <c r="T414">
        <v>7</v>
      </c>
      <c r="Z414">
        <f>18+21</f>
        <v>39</v>
      </c>
      <c r="AK414">
        <f>SUM(B414:AJ414)</f>
        <v>57</v>
      </c>
      <c r="AL414" s="351">
        <f>AK414/$AK$428</f>
        <v>0.11801242236024845</v>
      </c>
    </row>
    <row r="415" spans="1:38">
      <c r="A415" s="165">
        <f>'Conveyor Downtime (new)'!A415</f>
        <v>46231</v>
      </c>
      <c r="B415" s="346"/>
      <c r="C415" s="346"/>
      <c r="D415" s="346"/>
      <c r="E415" s="346"/>
      <c r="F415" s="346">
        <f>1+1+1</f>
        <v>3</v>
      </c>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v>1</v>
      </c>
      <c r="AD415" s="346"/>
      <c r="AE415" s="346"/>
      <c r="AF415" s="346"/>
      <c r="AG415" s="346"/>
      <c r="AH415" s="346"/>
      <c r="AI415" s="346"/>
      <c r="AJ415" s="346"/>
      <c r="AK415">
        <f>SUM(B415:AJ415)</f>
        <v>4</v>
      </c>
      <c r="AL415" s="351">
        <f>AK415/$AK$428</f>
        <v>8.2815734989648039E-3</v>
      </c>
    </row>
    <row r="416" spans="1:38">
      <c r="A416" s="165">
        <f>'Conveyor Downtime (new)'!A416</f>
        <v>46231</v>
      </c>
      <c r="B416">
        <f>2</f>
        <v>2</v>
      </c>
      <c r="F416">
        <f>1+1</f>
        <v>2</v>
      </c>
      <c r="V416">
        <f>4+33</f>
        <v>37</v>
      </c>
      <c r="AK416">
        <f>SUM(B416:AJ416)</f>
        <v>41</v>
      </c>
      <c r="AL416" s="351">
        <f>AK416/$AK$428</f>
        <v>8.4886128364389232E-2</v>
      </c>
    </row>
    <row r="417" spans="1:38">
      <c r="A417" s="165">
        <f>'Conveyor Downtime (new)'!A417</f>
        <v>46232</v>
      </c>
      <c r="B417" s="346"/>
      <c r="C417" s="346"/>
      <c r="D417" s="346"/>
      <c r="E417" s="346"/>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346"/>
      <c r="AK417">
        <f>SUM(B417:AJ417)</f>
        <v>0</v>
      </c>
      <c r="AL417" s="351">
        <f>AK417/$AK$428</f>
        <v>0</v>
      </c>
    </row>
    <row r="418" spans="1:38">
      <c r="A418" s="165">
        <f>'Conveyor Downtime (new)'!A418</f>
        <v>46232</v>
      </c>
      <c r="AK418">
        <f t="shared" si="48"/>
        <v>0</v>
      </c>
      <c r="AL418" s="351">
        <f t="shared" ref="AL418:AL427" si="49">AK418/$AK$428</f>
        <v>0</v>
      </c>
    </row>
    <row r="419" spans="1:38">
      <c r="A419" s="165">
        <f>'Conveyor Downtime (new)'!A419</f>
        <v>46232</v>
      </c>
      <c r="B419" s="346">
        <f>2+3</f>
        <v>5</v>
      </c>
      <c r="C419" s="346"/>
      <c r="D419" s="346"/>
      <c r="E419" s="346"/>
      <c r="F419" s="346">
        <v>1</v>
      </c>
      <c r="G419" s="346"/>
      <c r="H419" s="346"/>
      <c r="I419" s="346"/>
      <c r="J419" s="346"/>
      <c r="K419" s="346"/>
      <c r="L419" s="346"/>
      <c r="M419" s="346"/>
      <c r="N419" s="346"/>
      <c r="O419" s="346"/>
      <c r="P419" s="346"/>
      <c r="Q419" s="346"/>
      <c r="R419" s="346"/>
      <c r="S419" s="346"/>
      <c r="T419" s="346">
        <v>6</v>
      </c>
      <c r="U419" s="346"/>
      <c r="V419" s="346"/>
      <c r="W419" s="346"/>
      <c r="X419" s="346"/>
      <c r="Y419" s="346"/>
      <c r="Z419" s="346">
        <f>30</f>
        <v>30</v>
      </c>
      <c r="AA419" s="346"/>
      <c r="AB419" s="346"/>
      <c r="AC419" s="346"/>
      <c r="AD419" s="346"/>
      <c r="AE419" s="346"/>
      <c r="AF419" s="346"/>
      <c r="AG419" s="346"/>
      <c r="AH419" s="346"/>
      <c r="AI419" s="346"/>
      <c r="AJ419" s="346"/>
      <c r="AK419">
        <f t="shared" si="48"/>
        <v>42</v>
      </c>
      <c r="AL419" s="351">
        <f t="shared" si="49"/>
        <v>8.6956521739130432E-2</v>
      </c>
    </row>
    <row r="420" spans="1:38">
      <c r="A420" s="165">
        <f>'Conveyor Downtime (new)'!A420</f>
        <v>46233</v>
      </c>
      <c r="F420">
        <f>1</f>
        <v>1</v>
      </c>
      <c r="AK420">
        <f t="shared" si="48"/>
        <v>1</v>
      </c>
      <c r="AL420" s="351">
        <f t="shared" si="49"/>
        <v>2.070393374741201E-3</v>
      </c>
    </row>
    <row r="421" spans="1:38">
      <c r="A421" s="165">
        <f>'Conveyor Downtime (new)'!A421</f>
        <v>46233</v>
      </c>
      <c r="B421" s="346">
        <f>1+1+1</f>
        <v>3</v>
      </c>
      <c r="C421" s="346"/>
      <c r="D421" s="346"/>
      <c r="E421" s="346"/>
      <c r="F421" s="346">
        <v>1</v>
      </c>
      <c r="G421" s="346"/>
      <c r="H421" s="346"/>
      <c r="I421" s="346"/>
      <c r="J421" s="346"/>
      <c r="K421" s="346"/>
      <c r="L421" s="346"/>
      <c r="M421" s="346"/>
      <c r="N421" s="346"/>
      <c r="O421" s="346"/>
      <c r="P421" s="346"/>
      <c r="Q421" s="346"/>
      <c r="R421" s="346"/>
      <c r="S421" s="346"/>
      <c r="T421" s="346"/>
      <c r="U421" s="346"/>
      <c r="V421" s="346"/>
      <c r="W421" s="346"/>
      <c r="X421" s="346"/>
      <c r="Y421" s="346"/>
      <c r="Z421" s="346"/>
      <c r="AA421" s="346"/>
      <c r="AB421" s="346"/>
      <c r="AC421" s="346"/>
      <c r="AD421" s="346"/>
      <c r="AE421" s="346"/>
      <c r="AF421" s="346"/>
      <c r="AG421" s="346"/>
      <c r="AH421" s="346"/>
      <c r="AI421" s="346"/>
      <c r="AJ421" s="346"/>
      <c r="AK421">
        <f t="shared" si="48"/>
        <v>4</v>
      </c>
      <c r="AL421" s="351">
        <f t="shared" si="49"/>
        <v>8.2815734989648039E-3</v>
      </c>
    </row>
    <row r="422" spans="1:38">
      <c r="A422" s="165">
        <f>'Conveyor Downtime (new)'!A422</f>
        <v>46233</v>
      </c>
      <c r="AK422">
        <f t="shared" si="48"/>
        <v>0</v>
      </c>
      <c r="AL422" s="351">
        <f t="shared" si="49"/>
        <v>0</v>
      </c>
    </row>
    <row r="423" spans="1:38">
      <c r="A423" s="165">
        <f>'Conveyor Downtime (new)'!A423</f>
        <v>46234</v>
      </c>
      <c r="B423" s="346"/>
      <c r="C423" s="346"/>
      <c r="D423" s="346"/>
      <c r="E423" s="346"/>
      <c r="F423" s="346">
        <f>1+1+2+1</f>
        <v>5</v>
      </c>
      <c r="G423" s="346"/>
      <c r="H423" s="346"/>
      <c r="I423" s="346"/>
      <c r="J423" s="346"/>
      <c r="K423" s="346"/>
      <c r="L423" s="346"/>
      <c r="M423" s="346"/>
      <c r="N423" s="346"/>
      <c r="O423" s="346"/>
      <c r="P423" s="346"/>
      <c r="Q423" s="346"/>
      <c r="R423" s="346"/>
      <c r="S423" s="346"/>
      <c r="T423" s="346"/>
      <c r="U423" s="346"/>
      <c r="V423" s="346"/>
      <c r="W423" s="346"/>
      <c r="X423" s="346"/>
      <c r="Y423" s="346"/>
      <c r="Z423" s="346"/>
      <c r="AA423" s="346"/>
      <c r="AB423" s="346"/>
      <c r="AC423" s="346"/>
      <c r="AD423" s="346"/>
      <c r="AE423" s="346"/>
      <c r="AF423" s="346"/>
      <c r="AG423" s="346"/>
      <c r="AH423" s="346"/>
      <c r="AI423" s="346"/>
      <c r="AJ423" s="346"/>
      <c r="AK423">
        <f t="shared" si="48"/>
        <v>5</v>
      </c>
      <c r="AL423" s="351">
        <f t="shared" si="49"/>
        <v>1.0351966873706004E-2</v>
      </c>
    </row>
    <row r="424" spans="1:38">
      <c r="A424" s="165"/>
      <c r="AK424">
        <f t="shared" si="48"/>
        <v>0</v>
      </c>
      <c r="AL424" s="351">
        <f t="shared" si="49"/>
        <v>0</v>
      </c>
    </row>
    <row r="425" spans="1:38">
      <c r="A425" s="165"/>
      <c r="B425" s="346"/>
      <c r="C425" s="346"/>
      <c r="D425" s="346"/>
      <c r="E425" s="346"/>
      <c r="F425" s="346"/>
      <c r="G425" s="346"/>
      <c r="H425" s="346"/>
      <c r="I425" s="346"/>
      <c r="J425" s="346"/>
      <c r="K425" s="346"/>
      <c r="L425" s="346"/>
      <c r="M425" s="346"/>
      <c r="N425" s="346"/>
      <c r="O425" s="346"/>
      <c r="P425" s="346"/>
      <c r="Q425" s="346"/>
      <c r="R425" s="346"/>
      <c r="S425" s="346"/>
      <c r="T425" s="346"/>
      <c r="U425" s="346"/>
      <c r="V425" s="346"/>
      <c r="W425" s="346"/>
      <c r="X425" s="346"/>
      <c r="Y425" s="346"/>
      <c r="Z425" s="346"/>
      <c r="AA425" s="346"/>
      <c r="AB425" s="346"/>
      <c r="AC425" s="346"/>
      <c r="AD425" s="346"/>
      <c r="AE425" s="346"/>
      <c r="AF425" s="346"/>
      <c r="AG425" s="346"/>
      <c r="AH425" s="346"/>
      <c r="AI425" s="346"/>
      <c r="AJ425" s="346"/>
      <c r="AK425">
        <f t="shared" si="48"/>
        <v>0</v>
      </c>
      <c r="AL425" s="351">
        <f t="shared" si="49"/>
        <v>0</v>
      </c>
    </row>
    <row r="426" spans="1:38">
      <c r="A426" s="165"/>
      <c r="AK426">
        <f t="shared" si="48"/>
        <v>0</v>
      </c>
      <c r="AL426" s="351">
        <f t="shared" si="49"/>
        <v>0</v>
      </c>
    </row>
    <row r="427" spans="1:38">
      <c r="A427" s="165"/>
      <c r="B427" s="346"/>
      <c r="C427" s="346"/>
      <c r="D427" s="346"/>
      <c r="E427" s="346"/>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s="346"/>
      <c r="AE427" s="346"/>
      <c r="AF427" s="346"/>
      <c r="AG427" s="346"/>
      <c r="AH427" s="346"/>
      <c r="AI427" s="346"/>
      <c r="AJ427" s="346"/>
      <c r="AK427">
        <f t="shared" si="48"/>
        <v>0</v>
      </c>
      <c r="AL427" s="351">
        <f t="shared" si="49"/>
        <v>0</v>
      </c>
    </row>
    <row r="428" spans="1:38" ht="15">
      <c r="A428" s="347" t="s">
        <v>113</v>
      </c>
      <c r="B428" s="347">
        <f t="shared" ref="B428:AJ428" si="50">SUM(B372:B427)</f>
        <v>82</v>
      </c>
      <c r="C428" s="347">
        <f t="shared" si="50"/>
        <v>7</v>
      </c>
      <c r="D428" s="347">
        <f t="shared" si="50"/>
        <v>0</v>
      </c>
      <c r="E428" s="347">
        <f t="shared" si="50"/>
        <v>0</v>
      </c>
      <c r="F428" s="347">
        <f t="shared" si="50"/>
        <v>52</v>
      </c>
      <c r="G428" s="347">
        <f t="shared" si="50"/>
        <v>0</v>
      </c>
      <c r="H428" s="347">
        <f t="shared" si="50"/>
        <v>0</v>
      </c>
      <c r="I428" s="347">
        <f t="shared" si="50"/>
        <v>27</v>
      </c>
      <c r="J428" s="347">
        <f t="shared" si="50"/>
        <v>0</v>
      </c>
      <c r="K428" s="347">
        <f t="shared" si="50"/>
        <v>0</v>
      </c>
      <c r="L428" s="347">
        <f t="shared" si="50"/>
        <v>0</v>
      </c>
      <c r="M428" s="347">
        <f t="shared" si="50"/>
        <v>0</v>
      </c>
      <c r="N428" s="347">
        <f t="shared" si="50"/>
        <v>0</v>
      </c>
      <c r="O428" s="347">
        <f t="shared" si="50"/>
        <v>0</v>
      </c>
      <c r="P428" s="347">
        <f t="shared" si="50"/>
        <v>0</v>
      </c>
      <c r="Q428" s="347">
        <f t="shared" si="50"/>
        <v>0</v>
      </c>
      <c r="R428" s="347">
        <f t="shared" si="50"/>
        <v>0</v>
      </c>
      <c r="S428" s="347">
        <f t="shared" si="50"/>
        <v>0</v>
      </c>
      <c r="T428" s="347">
        <f t="shared" si="50"/>
        <v>15</v>
      </c>
      <c r="U428" s="347">
        <f t="shared" si="50"/>
        <v>0</v>
      </c>
      <c r="V428" s="347">
        <f t="shared" si="50"/>
        <v>43</v>
      </c>
      <c r="W428" s="347">
        <f t="shared" si="50"/>
        <v>0</v>
      </c>
      <c r="X428" s="347">
        <f t="shared" si="50"/>
        <v>0</v>
      </c>
      <c r="Y428" s="347">
        <f t="shared" si="50"/>
        <v>107</v>
      </c>
      <c r="Z428" s="347">
        <f t="shared" si="50"/>
        <v>136</v>
      </c>
      <c r="AA428" s="347">
        <f t="shared" si="50"/>
        <v>0</v>
      </c>
      <c r="AB428" s="347">
        <f t="shared" si="50"/>
        <v>0</v>
      </c>
      <c r="AC428" s="347">
        <f t="shared" si="50"/>
        <v>9</v>
      </c>
      <c r="AD428" s="347">
        <f t="shared" si="50"/>
        <v>0</v>
      </c>
      <c r="AE428" s="347">
        <f t="shared" si="50"/>
        <v>0</v>
      </c>
      <c r="AF428" s="347">
        <f t="shared" si="50"/>
        <v>0</v>
      </c>
      <c r="AG428" s="347">
        <f t="shared" si="50"/>
        <v>5</v>
      </c>
      <c r="AH428" s="347">
        <f t="shared" si="50"/>
        <v>0</v>
      </c>
      <c r="AI428" s="347">
        <f t="shared" si="50"/>
        <v>0</v>
      </c>
      <c r="AJ428" s="347">
        <f t="shared" si="50"/>
        <v>0</v>
      </c>
      <c r="AK428" s="347">
        <f>SUM(AK372:AK427)</f>
        <v>483</v>
      </c>
      <c r="AL428" s="397">
        <f t="shared" ref="AL428" si="51">SUM(AL372:AL427)</f>
        <v>1.0000000000000002</v>
      </c>
    </row>
    <row r="429" spans="1:38" ht="15.75" thickBot="1">
      <c r="A429" s="348" t="s">
        <v>174</v>
      </c>
      <c r="B429" s="348">
        <f t="shared" ref="B429:H429" si="52">B428/$AK428</f>
        <v>0.16977225672877846</v>
      </c>
      <c r="C429" s="348">
        <f t="shared" si="52"/>
        <v>1.4492753623188406E-2</v>
      </c>
      <c r="D429" s="348">
        <f t="shared" si="52"/>
        <v>0</v>
      </c>
      <c r="E429" s="348">
        <f t="shared" si="52"/>
        <v>0</v>
      </c>
      <c r="F429" s="348">
        <f t="shared" si="52"/>
        <v>0.10766045548654245</v>
      </c>
      <c r="G429" s="348">
        <f t="shared" si="52"/>
        <v>0</v>
      </c>
      <c r="H429" s="348">
        <f t="shared" si="52"/>
        <v>0</v>
      </c>
      <c r="I429" s="348">
        <f t="shared" ref="I429:AJ429" si="53">I428/$AK428</f>
        <v>5.5900621118012424E-2</v>
      </c>
      <c r="J429" s="348">
        <f t="shared" si="53"/>
        <v>0</v>
      </c>
      <c r="K429" s="348">
        <f t="shared" si="53"/>
        <v>0</v>
      </c>
      <c r="L429" s="348">
        <f t="shared" si="53"/>
        <v>0</v>
      </c>
      <c r="M429" s="348">
        <f t="shared" si="53"/>
        <v>0</v>
      </c>
      <c r="N429" s="348">
        <f t="shared" si="53"/>
        <v>0</v>
      </c>
      <c r="O429" s="348">
        <f t="shared" si="53"/>
        <v>0</v>
      </c>
      <c r="P429" s="348">
        <f t="shared" si="53"/>
        <v>0</v>
      </c>
      <c r="Q429" s="348">
        <f t="shared" si="53"/>
        <v>0</v>
      </c>
      <c r="R429" s="348">
        <f t="shared" si="53"/>
        <v>0</v>
      </c>
      <c r="S429" s="348">
        <f t="shared" si="53"/>
        <v>0</v>
      </c>
      <c r="T429" s="348">
        <f t="shared" si="53"/>
        <v>3.1055900621118012E-2</v>
      </c>
      <c r="U429" s="348">
        <f t="shared" si="53"/>
        <v>0</v>
      </c>
      <c r="V429" s="348">
        <f t="shared" si="53"/>
        <v>8.9026915113871632E-2</v>
      </c>
      <c r="W429" s="348">
        <f t="shared" si="53"/>
        <v>0</v>
      </c>
      <c r="X429" s="348">
        <f t="shared" si="53"/>
        <v>0</v>
      </c>
      <c r="Y429" s="348">
        <f t="shared" si="53"/>
        <v>0.22153209109730848</v>
      </c>
      <c r="Z429" s="348">
        <f t="shared" si="53"/>
        <v>0.28157349896480333</v>
      </c>
      <c r="AA429" s="348">
        <f t="shared" si="53"/>
        <v>0</v>
      </c>
      <c r="AB429" s="348">
        <f t="shared" si="53"/>
        <v>0</v>
      </c>
      <c r="AC429" s="348">
        <f t="shared" si="53"/>
        <v>1.8633540372670808E-2</v>
      </c>
      <c r="AD429" s="348">
        <f t="shared" si="53"/>
        <v>0</v>
      </c>
      <c r="AE429" s="348">
        <f t="shared" si="53"/>
        <v>0</v>
      </c>
      <c r="AF429" s="348">
        <f t="shared" si="53"/>
        <v>0</v>
      </c>
      <c r="AG429" s="348">
        <f t="shared" si="53"/>
        <v>1.0351966873706004E-2</v>
      </c>
      <c r="AH429" s="348">
        <f t="shared" si="53"/>
        <v>0</v>
      </c>
      <c r="AI429" s="348">
        <f t="shared" si="53"/>
        <v>0</v>
      </c>
      <c r="AJ429" s="348">
        <f t="shared" si="53"/>
        <v>0</v>
      </c>
      <c r="AK429" s="376"/>
      <c r="AL429" s="376"/>
    </row>
    <row r="433" spans="1:38">
      <c r="A433" s="165">
        <f>'Conveyor Downtime (new)'!A433</f>
        <v>46237</v>
      </c>
      <c r="B433">
        <f>1</f>
        <v>1</v>
      </c>
      <c r="F433">
        <f>1</f>
        <v>1</v>
      </c>
      <c r="AK433">
        <f t="shared" ref="AK433:AK465" si="54">SUM(B433:AJ433)</f>
        <v>2</v>
      </c>
      <c r="AL433" s="351">
        <f t="shared" ref="AL433:AL487" si="55">AK433/$AK$183</f>
        <v>3.0581039755351682E-3</v>
      </c>
    </row>
    <row r="434" spans="1:38" ht="12" customHeight="1">
      <c r="A434" s="165">
        <f>'Conveyor Downtime (new)'!A434</f>
        <v>46238</v>
      </c>
      <c r="B434" s="377">
        <f>2+1</f>
        <v>3</v>
      </c>
      <c r="C434" s="346"/>
      <c r="D434" s="346"/>
      <c r="E434" s="346"/>
      <c r="F434">
        <f>1+1+1</f>
        <v>3</v>
      </c>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484"/>
      <c r="AH434" s="346"/>
      <c r="AI434" s="484"/>
      <c r="AJ434" s="346"/>
      <c r="AK434">
        <f t="shared" si="54"/>
        <v>6</v>
      </c>
      <c r="AL434" s="351">
        <f>AK434/$AK$183</f>
        <v>9.1743119266055051E-3</v>
      </c>
    </row>
    <row r="435" spans="1:38">
      <c r="A435" s="165">
        <f>'Conveyor Downtime (new)'!A435</f>
        <v>46239</v>
      </c>
      <c r="F435">
        <f>1</f>
        <v>1</v>
      </c>
      <c r="AK435">
        <f t="shared" si="54"/>
        <v>1</v>
      </c>
      <c r="AL435" s="351">
        <f t="shared" si="55"/>
        <v>1.5290519877675841E-3</v>
      </c>
    </row>
    <row r="436" spans="1:38">
      <c r="A436" s="165">
        <f>'Conveyor Downtime (new)'!A436</f>
        <v>46239</v>
      </c>
      <c r="B436" s="346">
        <f>2</f>
        <v>2</v>
      </c>
      <c r="C436" s="346"/>
      <c r="D436" s="346"/>
      <c r="E436" s="346"/>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346"/>
      <c r="AK436">
        <f t="shared" si="54"/>
        <v>2</v>
      </c>
      <c r="AL436" s="351">
        <f t="shared" si="55"/>
        <v>3.0581039755351682E-3</v>
      </c>
    </row>
    <row r="437" spans="1:38">
      <c r="A437" s="165">
        <f>'Conveyor Downtime (new)'!A437</f>
        <v>46239</v>
      </c>
      <c r="F437">
        <f>2</f>
        <v>2</v>
      </c>
      <c r="AK437">
        <f t="shared" si="54"/>
        <v>2</v>
      </c>
      <c r="AL437" s="351">
        <f t="shared" si="55"/>
        <v>3.0581039755351682E-3</v>
      </c>
    </row>
    <row r="438" spans="1:38">
      <c r="A438" s="165">
        <f>'Conveyor Downtime (new)'!A438</f>
        <v>46240</v>
      </c>
      <c r="B438" s="346">
        <f>2+1</f>
        <v>3</v>
      </c>
      <c r="C438" s="346"/>
      <c r="D438" s="346"/>
      <c r="E438" s="346"/>
      <c r="F438" s="346">
        <f>2+1</f>
        <v>3</v>
      </c>
      <c r="G438" s="346"/>
      <c r="H438" s="346"/>
      <c r="I438" s="346"/>
      <c r="J438" s="346"/>
      <c r="K438" s="346">
        <f>2+2+15+60+60+60+60+60</f>
        <v>319</v>
      </c>
      <c r="L438" s="346"/>
      <c r="M438" s="346"/>
      <c r="N438" s="346"/>
      <c r="O438" s="346"/>
      <c r="P438" s="346"/>
      <c r="Q438" s="346"/>
      <c r="R438" s="346"/>
      <c r="S438" s="346"/>
      <c r="T438" s="346"/>
      <c r="U438" s="346"/>
      <c r="V438" s="346"/>
      <c r="W438" s="346"/>
      <c r="X438" s="346"/>
      <c r="Y438" s="346"/>
      <c r="Z438" s="346"/>
      <c r="AA438" s="346"/>
      <c r="AB438" s="346"/>
      <c r="AC438" s="346"/>
      <c r="AD438" s="346"/>
      <c r="AE438" s="346"/>
      <c r="AF438" s="346"/>
      <c r="AG438" s="346"/>
      <c r="AH438" s="346"/>
      <c r="AI438" s="346"/>
      <c r="AJ438" s="346"/>
      <c r="AK438">
        <f t="shared" si="54"/>
        <v>325</v>
      </c>
      <c r="AL438" s="351">
        <f t="shared" si="55"/>
        <v>0.49694189602446481</v>
      </c>
    </row>
    <row r="439" spans="1:38">
      <c r="A439" s="165">
        <f>'Conveyor Downtime (new)'!A439</f>
        <v>46241</v>
      </c>
      <c r="F439">
        <f>1+1+1</f>
        <v>3</v>
      </c>
      <c r="T439">
        <v>2</v>
      </c>
      <c r="AK439">
        <f t="shared" si="54"/>
        <v>5</v>
      </c>
      <c r="AL439" s="351">
        <f t="shared" si="55"/>
        <v>7.6452599388379203E-3</v>
      </c>
    </row>
    <row r="440" spans="1:38">
      <c r="A440" s="165">
        <f>'Conveyor Downtime (new)'!A440</f>
        <v>46241</v>
      </c>
      <c r="B440" s="346"/>
      <c r="C440" s="346"/>
      <c r="D440" s="346"/>
      <c r="E440" s="346"/>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484"/>
      <c r="AF440" s="484"/>
      <c r="AG440" s="346"/>
      <c r="AH440" s="346"/>
      <c r="AI440" s="346"/>
      <c r="AJ440" s="346"/>
      <c r="AK440">
        <f t="shared" si="54"/>
        <v>0</v>
      </c>
      <c r="AL440" s="351">
        <f t="shared" si="55"/>
        <v>0</v>
      </c>
    </row>
    <row r="441" spans="1:38">
      <c r="A441" s="165">
        <f>'Conveyor Downtime (new)'!A441</f>
        <v>46246</v>
      </c>
      <c r="B441">
        <f>2+4+3+2+2</f>
        <v>13</v>
      </c>
      <c r="F441">
        <f>1</f>
        <v>1</v>
      </c>
      <c r="AK441">
        <f t="shared" si="54"/>
        <v>14</v>
      </c>
      <c r="AL441" s="351">
        <f t="shared" si="55"/>
        <v>2.1406727828746176E-2</v>
      </c>
    </row>
    <row r="442" spans="1:38">
      <c r="A442" s="165">
        <f>'Conveyor Downtime (new)'!A442</f>
        <v>46247</v>
      </c>
      <c r="B442" s="346"/>
      <c r="C442" s="346"/>
      <c r="D442" s="346"/>
      <c r="E442" s="346"/>
      <c r="F442" s="346"/>
      <c r="G442" s="346"/>
      <c r="H442" s="346"/>
      <c r="I442" s="346"/>
      <c r="J442" s="346"/>
      <c r="K442" s="346"/>
      <c r="L442" s="346"/>
      <c r="M442" s="346"/>
      <c r="N442" s="346"/>
      <c r="O442" s="346"/>
      <c r="P442" s="346"/>
      <c r="Q442" s="346"/>
      <c r="R442" s="346"/>
      <c r="S442" s="346"/>
      <c r="T442" s="346"/>
      <c r="U442" s="346"/>
      <c r="V442" s="346"/>
      <c r="W442" s="346"/>
      <c r="X442" s="346"/>
      <c r="Y442" s="346"/>
      <c r="Z442" s="346"/>
      <c r="AA442" s="346"/>
      <c r="AB442" s="346"/>
      <c r="AC442" s="346"/>
      <c r="AD442" s="346"/>
      <c r="AE442" s="346"/>
      <c r="AF442" s="346"/>
      <c r="AG442" s="346"/>
      <c r="AH442" s="346"/>
      <c r="AI442" s="346"/>
      <c r="AJ442" s="346"/>
      <c r="AK442">
        <f t="shared" si="54"/>
        <v>0</v>
      </c>
      <c r="AL442" s="351">
        <f t="shared" si="55"/>
        <v>0</v>
      </c>
    </row>
    <row r="443" spans="1:38">
      <c r="A443" s="165">
        <f>'Conveyor Downtime (new)'!A443</f>
        <v>46247</v>
      </c>
      <c r="F443">
        <f>2+2</f>
        <v>4</v>
      </c>
      <c r="AI443" s="484"/>
      <c r="AK443">
        <f t="shared" si="54"/>
        <v>4</v>
      </c>
      <c r="AL443" s="351">
        <f t="shared" si="55"/>
        <v>6.1162079510703364E-3</v>
      </c>
    </row>
    <row r="444" spans="1:38">
      <c r="A444" s="165">
        <f>'Conveyor Downtime (new)'!A444</f>
        <v>46247</v>
      </c>
      <c r="B444" s="346">
        <f>4</f>
        <v>4</v>
      </c>
      <c r="C444" s="346"/>
      <c r="D444" s="346"/>
      <c r="E444" s="346"/>
      <c r="F444" s="346">
        <f>1</f>
        <v>1</v>
      </c>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346"/>
      <c r="AK444">
        <f t="shared" si="54"/>
        <v>5</v>
      </c>
      <c r="AL444" s="351">
        <f t="shared" si="55"/>
        <v>7.6452599388379203E-3</v>
      </c>
    </row>
    <row r="445" spans="1:38">
      <c r="A445" s="165">
        <f>'Conveyor Downtime (new)'!A445</f>
        <v>46248</v>
      </c>
      <c r="B445">
        <f>2+3</f>
        <v>5</v>
      </c>
      <c r="F445">
        <f>1</f>
        <v>1</v>
      </c>
      <c r="T445">
        <f>4+4</f>
        <v>8</v>
      </c>
      <c r="AK445">
        <f t="shared" si="54"/>
        <v>14</v>
      </c>
      <c r="AL445" s="351">
        <f t="shared" si="55"/>
        <v>2.1406727828746176E-2</v>
      </c>
    </row>
    <row r="446" spans="1:38">
      <c r="A446" s="165">
        <f>'Conveyor Downtime (new)'!A446</f>
        <v>46248</v>
      </c>
      <c r="B446" s="346"/>
      <c r="C446" s="346"/>
      <c r="D446" s="346"/>
      <c r="E446" s="346"/>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346"/>
      <c r="AK446">
        <f t="shared" si="54"/>
        <v>0</v>
      </c>
      <c r="AL446" s="351">
        <f t="shared" si="55"/>
        <v>0</v>
      </c>
    </row>
    <row r="447" spans="1:38">
      <c r="A447" s="165">
        <f>'Conveyor Downtime (new)'!A447</f>
        <v>46251</v>
      </c>
      <c r="F447">
        <f>1</f>
        <v>1</v>
      </c>
      <c r="AK447">
        <f t="shared" si="54"/>
        <v>1</v>
      </c>
      <c r="AL447" s="351">
        <f t="shared" si="55"/>
        <v>1.5290519877675841E-3</v>
      </c>
    </row>
    <row r="448" spans="1:38">
      <c r="A448" s="165">
        <f>'Conveyor Downtime (new)'!A448</f>
        <v>46251</v>
      </c>
      <c r="B448" s="346"/>
      <c r="C448" s="346"/>
      <c r="D448" s="346"/>
      <c r="E448" s="346"/>
      <c r="F448" s="346"/>
      <c r="G448" s="346"/>
      <c r="H448" s="346"/>
      <c r="I448" s="346"/>
      <c r="J448" s="346"/>
      <c r="K448" s="346"/>
      <c r="L448" s="346"/>
      <c r="M448" s="346"/>
      <c r="N448" s="346"/>
      <c r="O448" s="346"/>
      <c r="P448" s="484"/>
      <c r="Q448" s="346"/>
      <c r="R448" s="346"/>
      <c r="S448" s="346"/>
      <c r="T448" s="346">
        <f>3</f>
        <v>3</v>
      </c>
      <c r="U448" s="346"/>
      <c r="V448" s="346"/>
      <c r="W448" s="346"/>
      <c r="X448" s="346"/>
      <c r="Y448" s="346"/>
      <c r="Z448" s="346"/>
      <c r="AA448" s="346"/>
      <c r="AB448" s="346"/>
      <c r="AC448" s="346"/>
      <c r="AD448" s="346"/>
      <c r="AE448" s="346"/>
      <c r="AF448" s="346"/>
      <c r="AG448" s="346"/>
      <c r="AH448" s="346"/>
      <c r="AI448" s="346"/>
      <c r="AJ448" s="346"/>
      <c r="AK448">
        <f t="shared" si="54"/>
        <v>3</v>
      </c>
      <c r="AL448" s="351">
        <f t="shared" si="55"/>
        <v>4.5871559633027525E-3</v>
      </c>
    </row>
    <row r="449" spans="1:38" s="77" customFormat="1">
      <c r="A449" s="165">
        <f>'Conveyor Downtime (new)'!A449</f>
        <v>46252</v>
      </c>
      <c r="B449">
        <f>3</f>
        <v>3</v>
      </c>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c r="AK449">
        <f t="shared" si="54"/>
        <v>3</v>
      </c>
      <c r="AL449" s="351">
        <f t="shared" si="55"/>
        <v>4.5871559633027525E-3</v>
      </c>
    </row>
    <row r="450" spans="1:38">
      <c r="A450" s="165">
        <f>'Conveyor Downtime (new)'!A450</f>
        <v>46252</v>
      </c>
      <c r="B450">
        <f>3+2+3+3+3+2</f>
        <v>16</v>
      </c>
      <c r="C450">
        <v>2</v>
      </c>
      <c r="F450">
        <f>1+1+1+1</f>
        <v>4</v>
      </c>
      <c r="AK450">
        <f t="shared" si="54"/>
        <v>22</v>
      </c>
      <c r="AL450" s="351">
        <f t="shared" si="55"/>
        <v>3.3639143730886847E-2</v>
      </c>
    </row>
    <row r="451" spans="1:38">
      <c r="A451" s="165">
        <f>'Conveyor Downtime (new)'!A451</f>
        <v>46253</v>
      </c>
      <c r="B451" s="346">
        <f>2+2+1+1+1</f>
        <v>7</v>
      </c>
      <c r="C451" s="346"/>
      <c r="D451" s="346"/>
      <c r="E451" s="346"/>
      <c r="F451" s="346">
        <f>1</f>
        <v>1</v>
      </c>
      <c r="G451" s="346"/>
      <c r="H451" s="346"/>
      <c r="I451" s="346"/>
      <c r="J451" s="346"/>
      <c r="K451" s="346"/>
      <c r="L451" s="346"/>
      <c r="M451" s="346"/>
      <c r="N451" s="346"/>
      <c r="O451" s="346"/>
      <c r="P451" s="346"/>
      <c r="Q451" s="346"/>
      <c r="R451" s="346"/>
      <c r="S451" s="346"/>
      <c r="T451" s="346">
        <f>8</f>
        <v>8</v>
      </c>
      <c r="U451" s="346"/>
      <c r="V451" s="346"/>
      <c r="W451" s="346"/>
      <c r="X451" s="346"/>
      <c r="Y451" s="346"/>
      <c r="Z451" s="346"/>
      <c r="AA451" s="346"/>
      <c r="AB451" s="346"/>
      <c r="AC451" s="346"/>
      <c r="AD451" s="346"/>
      <c r="AE451" s="346"/>
      <c r="AF451" s="346"/>
      <c r="AG451" s="346"/>
      <c r="AH451" s="346"/>
      <c r="AI451" s="346"/>
      <c r="AJ451" s="346"/>
      <c r="AK451">
        <f t="shared" si="54"/>
        <v>16</v>
      </c>
      <c r="AL451" s="351">
        <f t="shared" si="55"/>
        <v>2.4464831804281346E-2</v>
      </c>
    </row>
    <row r="452" spans="1:38">
      <c r="A452" s="165">
        <f>'Conveyor Downtime (new)'!A452</f>
        <v>46253</v>
      </c>
      <c r="B452">
        <f>4+2</f>
        <v>6</v>
      </c>
      <c r="F452">
        <f>1</f>
        <v>1</v>
      </c>
      <c r="AK452">
        <f t="shared" si="54"/>
        <v>7</v>
      </c>
      <c r="AL452" s="351">
        <f t="shared" si="55"/>
        <v>1.0703363914373088E-2</v>
      </c>
    </row>
    <row r="453" spans="1:38">
      <c r="A453" s="165">
        <f>'Conveyor Downtime (new)'!A453</f>
        <v>46254</v>
      </c>
      <c r="B453" s="346">
        <f>2</f>
        <v>2</v>
      </c>
      <c r="C453" s="346"/>
      <c r="D453" s="346"/>
      <c r="E453" s="346"/>
      <c r="F453" s="346">
        <f>1+2</f>
        <v>3</v>
      </c>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s="346"/>
      <c r="AE453" s="346"/>
      <c r="AF453" s="346"/>
      <c r="AG453" s="346"/>
      <c r="AH453" s="346"/>
      <c r="AI453" s="346"/>
      <c r="AJ453" s="346"/>
      <c r="AK453">
        <f t="shared" si="54"/>
        <v>5</v>
      </c>
      <c r="AL453" s="351">
        <f t="shared" si="55"/>
        <v>7.6452599388379203E-3</v>
      </c>
    </row>
    <row r="454" spans="1:38">
      <c r="A454" s="165">
        <f>'Conveyor Downtime (new)'!A454</f>
        <v>46254</v>
      </c>
      <c r="B454">
        <f>3+1</f>
        <v>4</v>
      </c>
      <c r="F454">
        <v>1</v>
      </c>
      <c r="AK454">
        <f t="shared" si="54"/>
        <v>5</v>
      </c>
      <c r="AL454" s="351">
        <f t="shared" si="55"/>
        <v>7.6452599388379203E-3</v>
      </c>
    </row>
    <row r="455" spans="1:38">
      <c r="A455" s="165">
        <f>'Conveyor Downtime (new)'!A455</f>
        <v>46258</v>
      </c>
      <c r="B455" s="346">
        <f>1+1+1+1+1+1+1+1+1</f>
        <v>9</v>
      </c>
      <c r="C455" s="346"/>
      <c r="D455" s="346"/>
      <c r="E455" s="346"/>
      <c r="F455" s="346">
        <f>1+1+2</f>
        <v>4</v>
      </c>
      <c r="G455" s="346"/>
      <c r="H455" s="346"/>
      <c r="I455" s="346"/>
      <c r="J455" s="346"/>
      <c r="K455" s="346">
        <f>5+32+13+10</f>
        <v>60</v>
      </c>
      <c r="L455" s="346"/>
      <c r="M455" s="346"/>
      <c r="N455" s="346"/>
      <c r="O455" s="346"/>
      <c r="P455" s="346"/>
      <c r="Q455" s="346"/>
      <c r="R455" s="346"/>
      <c r="S455" s="346"/>
      <c r="T455" s="346"/>
      <c r="U455" s="346"/>
      <c r="V455" s="346"/>
      <c r="W455" s="346"/>
      <c r="X455" s="346"/>
      <c r="Y455" s="346">
        <f>20+6</f>
        <v>26</v>
      </c>
      <c r="Z455" s="346">
        <f>20+12+10+8</f>
        <v>50</v>
      </c>
      <c r="AA455" s="346"/>
      <c r="AB455" s="346">
        <f>5</f>
        <v>5</v>
      </c>
      <c r="AC455" s="346"/>
      <c r="AD455" s="346"/>
      <c r="AE455" s="346"/>
      <c r="AF455" s="346"/>
      <c r="AG455" s="346"/>
      <c r="AH455" s="346"/>
      <c r="AI455" s="346"/>
      <c r="AJ455" s="346"/>
      <c r="AK455">
        <f t="shared" si="54"/>
        <v>154</v>
      </c>
      <c r="AL455" s="351">
        <f t="shared" si="55"/>
        <v>0.23547400611620795</v>
      </c>
    </row>
    <row r="456" spans="1:38">
      <c r="A456" s="165">
        <f>'Conveyor Downtime (new)'!A456</f>
        <v>46258</v>
      </c>
      <c r="AK456">
        <f t="shared" si="54"/>
        <v>0</v>
      </c>
      <c r="AL456" s="351">
        <f t="shared" si="55"/>
        <v>0</v>
      </c>
    </row>
    <row r="457" spans="1:38">
      <c r="A457" s="165">
        <f>'Conveyor Downtime (new)'!A457</f>
        <v>46259</v>
      </c>
      <c r="B457" s="346">
        <f>1+1+1+1+2+2+1+1+1+2</f>
        <v>13</v>
      </c>
      <c r="C457" s="346"/>
      <c r="D457" s="346"/>
      <c r="E457" s="346"/>
      <c r="F457" s="346">
        <f>2+1</f>
        <v>3</v>
      </c>
      <c r="G457" s="346"/>
      <c r="H457" s="346"/>
      <c r="I457" s="346"/>
      <c r="J457" s="346"/>
      <c r="K457" s="346"/>
      <c r="L457" s="346"/>
      <c r="M457" s="346"/>
      <c r="N457" s="346"/>
      <c r="O457" s="346"/>
      <c r="P457" s="346"/>
      <c r="Q457" s="346"/>
      <c r="R457" s="346"/>
      <c r="S457" s="346"/>
      <c r="T457" s="346">
        <v>4</v>
      </c>
      <c r="U457" s="346"/>
      <c r="V457" s="346"/>
      <c r="W457" s="346"/>
      <c r="X457" s="346"/>
      <c r="Y457" s="346"/>
      <c r="Z457" s="346"/>
      <c r="AA457" s="346"/>
      <c r="AB457" s="346"/>
      <c r="AC457" s="346"/>
      <c r="AD457" s="346"/>
      <c r="AE457" s="346"/>
      <c r="AF457" s="346"/>
      <c r="AG457" s="346"/>
      <c r="AH457" s="346"/>
      <c r="AI457" s="346"/>
      <c r="AJ457" s="346"/>
      <c r="AK457">
        <f t="shared" si="54"/>
        <v>20</v>
      </c>
      <c r="AL457" s="351">
        <f t="shared" si="55"/>
        <v>3.0581039755351681E-2</v>
      </c>
    </row>
    <row r="458" spans="1:38">
      <c r="A458" s="165">
        <f>'Conveyor Downtime (new)'!A458</f>
        <v>46259</v>
      </c>
      <c r="AK458">
        <f t="shared" si="54"/>
        <v>0</v>
      </c>
      <c r="AL458" s="351">
        <f t="shared" si="55"/>
        <v>0</v>
      </c>
    </row>
    <row r="459" spans="1:38">
      <c r="A459" s="165">
        <f>'Conveyor Downtime (new)'!A459</f>
        <v>46260</v>
      </c>
      <c r="B459" s="346"/>
      <c r="C459" s="346"/>
      <c r="D459" s="346"/>
      <c r="E459" s="346"/>
      <c r="F459" s="346">
        <f>1+1+1+2</f>
        <v>5</v>
      </c>
      <c r="G459" s="346"/>
      <c r="H459" s="346"/>
      <c r="I459" s="346"/>
      <c r="J459" s="346"/>
      <c r="K459" s="346"/>
      <c r="L459" s="346"/>
      <c r="M459" s="346"/>
      <c r="N459" s="346"/>
      <c r="O459" s="346"/>
      <c r="P459" s="484"/>
      <c r="Q459" s="346"/>
      <c r="R459" s="346"/>
      <c r="S459" s="346"/>
      <c r="T459" s="346">
        <v>3</v>
      </c>
      <c r="U459" s="346"/>
      <c r="V459" s="346"/>
      <c r="W459" s="346"/>
      <c r="X459" s="346"/>
      <c r="Y459" s="346"/>
      <c r="Z459" s="346"/>
      <c r="AA459" s="346"/>
      <c r="AB459" s="346"/>
      <c r="AC459" s="346"/>
      <c r="AD459" s="346"/>
      <c r="AE459" s="346"/>
      <c r="AF459" s="346"/>
      <c r="AG459" s="346"/>
      <c r="AH459" s="346"/>
      <c r="AI459" s="346"/>
      <c r="AJ459" s="346"/>
      <c r="AK459">
        <f t="shared" si="54"/>
        <v>8</v>
      </c>
      <c r="AL459" s="351">
        <f t="shared" si="55"/>
        <v>1.2232415902140673E-2</v>
      </c>
    </row>
    <row r="460" spans="1:38">
      <c r="A460" s="165">
        <f>'Conveyor Downtime (new)'!A460</f>
        <v>46260</v>
      </c>
      <c r="F460">
        <f>1</f>
        <v>1</v>
      </c>
      <c r="AK460">
        <f t="shared" si="54"/>
        <v>1</v>
      </c>
      <c r="AL460" s="351">
        <f t="shared" si="55"/>
        <v>1.5290519877675841E-3</v>
      </c>
    </row>
    <row r="461" spans="1:38">
      <c r="A461" s="165">
        <f>'Conveyor Downtime (new)'!A461</f>
        <v>46261</v>
      </c>
      <c r="B461" s="346"/>
      <c r="C461" s="346"/>
      <c r="D461" s="346"/>
      <c r="E461" s="346"/>
      <c r="F461" s="346">
        <f>2+1+2</f>
        <v>5</v>
      </c>
      <c r="G461" s="346"/>
      <c r="H461" s="346"/>
      <c r="I461" s="346"/>
      <c r="J461" s="346"/>
      <c r="K461" s="346"/>
      <c r="L461" s="346"/>
      <c r="M461" s="346"/>
      <c r="N461" s="346"/>
      <c r="O461" s="346"/>
      <c r="P461" s="346"/>
      <c r="Q461" s="346"/>
      <c r="R461" s="346"/>
      <c r="S461" s="346"/>
      <c r="T461" s="346"/>
      <c r="U461" s="346"/>
      <c r="V461" s="346"/>
      <c r="W461" s="346"/>
      <c r="X461" s="346"/>
      <c r="Y461" s="346"/>
      <c r="Z461" s="346"/>
      <c r="AA461" s="346"/>
      <c r="AB461" s="346"/>
      <c r="AC461" s="346"/>
      <c r="AD461" s="346"/>
      <c r="AE461" s="346"/>
      <c r="AF461" s="346"/>
      <c r="AG461" s="346"/>
      <c r="AH461" s="346"/>
      <c r="AI461" s="346"/>
      <c r="AJ461" s="346"/>
      <c r="AK461">
        <f t="shared" si="54"/>
        <v>5</v>
      </c>
      <c r="AL461" s="351">
        <f t="shared" si="55"/>
        <v>7.6452599388379203E-3</v>
      </c>
    </row>
    <row r="462" spans="1:38">
      <c r="A462" s="165">
        <f>'Conveyor Downtime (new)'!A462</f>
        <v>46261</v>
      </c>
      <c r="AK462">
        <f t="shared" si="54"/>
        <v>0</v>
      </c>
      <c r="AL462" s="351">
        <f t="shared" si="55"/>
        <v>0</v>
      </c>
    </row>
    <row r="463" spans="1:38">
      <c r="A463" s="165">
        <f>'Conveyor Downtime (new)'!A463</f>
        <v>46261</v>
      </c>
      <c r="B463" s="346"/>
      <c r="C463" s="346"/>
      <c r="D463" s="346"/>
      <c r="E463" s="346"/>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f t="shared" si="54"/>
        <v>0</v>
      </c>
      <c r="AL463" s="351">
        <f t="shared" si="55"/>
        <v>0</v>
      </c>
    </row>
    <row r="464" spans="1:38">
      <c r="A464" s="165">
        <f>'Conveyor Downtime (new)'!A464</f>
        <v>46262</v>
      </c>
      <c r="AK464">
        <f t="shared" si="54"/>
        <v>0</v>
      </c>
      <c r="AL464" s="351">
        <f t="shared" si="55"/>
        <v>0</v>
      </c>
    </row>
    <row r="465" spans="1:38">
      <c r="A465" s="165">
        <f>'Conveyor Downtime (new)'!A465</f>
        <v>46262</v>
      </c>
      <c r="B465" s="346"/>
      <c r="C465" s="346"/>
      <c r="D465" s="346"/>
      <c r="E465" s="346"/>
      <c r="F465" s="346"/>
      <c r="G465" s="346"/>
      <c r="H465" s="346"/>
      <c r="I465" s="346"/>
      <c r="J465" s="346"/>
      <c r="K465" s="346"/>
      <c r="L465" s="346"/>
      <c r="M465" s="346"/>
      <c r="N465" s="346"/>
      <c r="O465" s="346"/>
      <c r="P465" s="346"/>
      <c r="Q465" s="346"/>
      <c r="R465" s="346"/>
      <c r="S465" s="346"/>
      <c r="T465" s="346">
        <v>6</v>
      </c>
      <c r="U465" s="346"/>
      <c r="V465" s="346"/>
      <c r="W465" s="346"/>
      <c r="X465" s="346"/>
      <c r="Y465" s="346"/>
      <c r="Z465" s="346"/>
      <c r="AA465" s="346"/>
      <c r="AB465" s="346"/>
      <c r="AC465" s="346"/>
      <c r="AD465" s="346"/>
      <c r="AE465" s="346"/>
      <c r="AF465" s="346"/>
      <c r="AG465" s="346"/>
      <c r="AH465" s="346"/>
      <c r="AI465" s="346"/>
      <c r="AJ465" s="346"/>
      <c r="AK465">
        <f t="shared" si="54"/>
        <v>6</v>
      </c>
      <c r="AL465" s="351">
        <f t="shared" si="55"/>
        <v>9.1743119266055051E-3</v>
      </c>
    </row>
    <row r="466" spans="1:38">
      <c r="A466" s="165">
        <f>'Conveyor Downtime (new)'!A466</f>
        <v>46262</v>
      </c>
      <c r="X466">
        <v>15</v>
      </c>
      <c r="AK466">
        <f t="shared" ref="AK466:AK487" si="56">SUM(B466:AJ466)</f>
        <v>15</v>
      </c>
      <c r="AL466" s="351">
        <f t="shared" si="55"/>
        <v>2.2935779816513763E-2</v>
      </c>
    </row>
    <row r="467" spans="1:38" s="346" customFormat="1">
      <c r="A467" s="165">
        <f>'Conveyor Downtime (new)'!A467</f>
        <v>46262</v>
      </c>
      <c r="W467" s="346">
        <f>43</f>
        <v>43</v>
      </c>
      <c r="AK467" s="346">
        <f t="shared" si="56"/>
        <v>43</v>
      </c>
      <c r="AL467" s="399">
        <f t="shared" si="55"/>
        <v>6.5749235474006115E-2</v>
      </c>
    </row>
    <row r="468" spans="1:38">
      <c r="A468" s="165">
        <f>'Conveyor Downtime (new)'!A468</f>
        <v>46265</v>
      </c>
      <c r="B468">
        <f>2</f>
        <v>2</v>
      </c>
      <c r="F468">
        <f>1+1+1</f>
        <v>3</v>
      </c>
      <c r="P468">
        <f>3</f>
        <v>3</v>
      </c>
      <c r="AA468">
        <f>4</f>
        <v>4</v>
      </c>
      <c r="AK468">
        <f t="shared" si="56"/>
        <v>12</v>
      </c>
      <c r="AL468" s="351">
        <f t="shared" si="55"/>
        <v>1.834862385321101E-2</v>
      </c>
    </row>
    <row r="469" spans="1:38">
      <c r="A469" s="165">
        <f>'Conveyor Downtime (new)'!A469</f>
        <v>0</v>
      </c>
      <c r="B469" s="346"/>
      <c r="C469" s="346"/>
      <c r="D469" s="346"/>
      <c r="E469" s="346"/>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f t="shared" si="56"/>
        <v>0</v>
      </c>
      <c r="AL469" s="351">
        <f t="shared" si="55"/>
        <v>0</v>
      </c>
    </row>
    <row r="470" spans="1:38">
      <c r="A470" s="165"/>
      <c r="AK470">
        <f t="shared" si="56"/>
        <v>0</v>
      </c>
      <c r="AL470" s="351">
        <f t="shared" si="55"/>
        <v>0</v>
      </c>
    </row>
    <row r="471" spans="1:38">
      <c r="A471" s="165"/>
      <c r="B471" s="346"/>
      <c r="C471" s="346"/>
      <c r="D471" s="346"/>
      <c r="E471" s="346"/>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f t="shared" si="56"/>
        <v>0</v>
      </c>
      <c r="AL471" s="351">
        <f t="shared" si="55"/>
        <v>0</v>
      </c>
    </row>
    <row r="472" spans="1:38">
      <c r="A472" s="165"/>
      <c r="AK472">
        <f t="shared" si="56"/>
        <v>0</v>
      </c>
      <c r="AL472" s="351">
        <f t="shared" si="55"/>
        <v>0</v>
      </c>
    </row>
    <row r="473" spans="1:38">
      <c r="A473" s="165"/>
      <c r="B473" s="346"/>
      <c r="C473" s="346"/>
      <c r="D473" s="346"/>
      <c r="E473" s="346"/>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f t="shared" si="56"/>
        <v>0</v>
      </c>
      <c r="AL473" s="351">
        <f t="shared" si="55"/>
        <v>0</v>
      </c>
    </row>
    <row r="474" spans="1:38">
      <c r="A474" s="165"/>
      <c r="AK474">
        <f t="shared" si="56"/>
        <v>0</v>
      </c>
      <c r="AL474" s="351">
        <f t="shared" si="55"/>
        <v>0</v>
      </c>
    </row>
    <row r="475" spans="1:38">
      <c r="A475" s="165"/>
      <c r="B475" s="346"/>
      <c r="C475" s="346"/>
      <c r="D475" s="346"/>
      <c r="E475" s="346"/>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f t="shared" si="56"/>
        <v>0</v>
      </c>
      <c r="AL475" s="351">
        <f t="shared" si="55"/>
        <v>0</v>
      </c>
    </row>
    <row r="476" spans="1:38">
      <c r="A476" s="165"/>
      <c r="AK476">
        <f t="shared" si="56"/>
        <v>0</v>
      </c>
      <c r="AL476" s="351">
        <f t="shared" si="55"/>
        <v>0</v>
      </c>
    </row>
    <row r="477" spans="1:38">
      <c r="A477" s="165"/>
      <c r="B477" s="346"/>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f t="shared" si="56"/>
        <v>0</v>
      </c>
      <c r="AL477" s="351">
        <f t="shared" si="55"/>
        <v>0</v>
      </c>
    </row>
    <row r="478" spans="1:38">
      <c r="A478" s="165"/>
      <c r="AK478">
        <f t="shared" si="56"/>
        <v>0</v>
      </c>
      <c r="AL478" s="351">
        <f t="shared" si="55"/>
        <v>0</v>
      </c>
    </row>
    <row r="479" spans="1:38">
      <c r="A479" s="165"/>
      <c r="B479" s="346"/>
      <c r="C479" s="346"/>
      <c r="D479" s="346"/>
      <c r="E479" s="346"/>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f t="shared" si="56"/>
        <v>0</v>
      </c>
      <c r="AL479" s="351">
        <f t="shared" si="55"/>
        <v>0</v>
      </c>
    </row>
    <row r="480" spans="1:38">
      <c r="A480" s="165"/>
      <c r="AK480">
        <f t="shared" si="56"/>
        <v>0</v>
      </c>
      <c r="AL480" s="351">
        <f t="shared" si="55"/>
        <v>0</v>
      </c>
    </row>
    <row r="481" spans="1:38">
      <c r="A481" s="165"/>
      <c r="B481" s="346"/>
      <c r="C481" s="346"/>
      <c r="D481" s="346"/>
      <c r="E481" s="346"/>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f t="shared" si="56"/>
        <v>0</v>
      </c>
      <c r="AL481" s="351">
        <f t="shared" si="55"/>
        <v>0</v>
      </c>
    </row>
    <row r="482" spans="1:38">
      <c r="A482" s="165"/>
      <c r="AK482">
        <f t="shared" si="56"/>
        <v>0</v>
      </c>
      <c r="AL482" s="351">
        <f t="shared" si="55"/>
        <v>0</v>
      </c>
    </row>
    <row r="483" spans="1:38">
      <c r="A483" s="165"/>
      <c r="B483" s="346"/>
      <c r="C483" s="346"/>
      <c r="D483" s="346"/>
      <c r="E483" s="346"/>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f t="shared" si="56"/>
        <v>0</v>
      </c>
      <c r="AL483" s="351">
        <f t="shared" si="55"/>
        <v>0</v>
      </c>
    </row>
    <row r="484" spans="1:38">
      <c r="A484" s="165"/>
      <c r="AK484">
        <f t="shared" si="56"/>
        <v>0</v>
      </c>
      <c r="AL484" s="351">
        <f t="shared" si="55"/>
        <v>0</v>
      </c>
    </row>
    <row r="485" spans="1:38">
      <c r="A485" s="165"/>
      <c r="B485" s="346"/>
      <c r="C485" s="346"/>
      <c r="D485" s="346"/>
      <c r="E485" s="346"/>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f t="shared" si="56"/>
        <v>0</v>
      </c>
      <c r="AL485" s="351">
        <f t="shared" si="55"/>
        <v>0</v>
      </c>
    </row>
    <row r="486" spans="1:38">
      <c r="A486" s="165"/>
      <c r="AK486">
        <f t="shared" si="56"/>
        <v>0</v>
      </c>
      <c r="AL486" s="351">
        <f t="shared" si="55"/>
        <v>0</v>
      </c>
    </row>
    <row r="487" spans="1:38">
      <c r="A487" s="165"/>
      <c r="B487" s="346"/>
      <c r="C487" s="346"/>
      <c r="D487" s="346"/>
      <c r="E487" s="346"/>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f t="shared" si="56"/>
        <v>0</v>
      </c>
      <c r="AL487" s="351">
        <f t="shared" si="55"/>
        <v>0</v>
      </c>
    </row>
    <row r="488" spans="1:38" ht="15">
      <c r="A488" s="347" t="s">
        <v>113</v>
      </c>
      <c r="B488" s="347">
        <f>SUM(B433:B487)</f>
        <v>93</v>
      </c>
      <c r="C488" s="347">
        <f t="shared" ref="C488:AK488" si="57">SUM(C433:C487)</f>
        <v>2</v>
      </c>
      <c r="D488" s="347">
        <f t="shared" si="57"/>
        <v>0</v>
      </c>
      <c r="E488" s="347">
        <f t="shared" si="57"/>
        <v>0</v>
      </c>
      <c r="F488" s="347">
        <f t="shared" si="57"/>
        <v>52</v>
      </c>
      <c r="G488" s="347">
        <f t="shared" si="57"/>
        <v>0</v>
      </c>
      <c r="H488" s="347">
        <f t="shared" si="57"/>
        <v>0</v>
      </c>
      <c r="I488" s="347">
        <f t="shared" si="57"/>
        <v>0</v>
      </c>
      <c r="J488" s="347">
        <f t="shared" si="57"/>
        <v>0</v>
      </c>
      <c r="K488" s="347">
        <f t="shared" si="57"/>
        <v>379</v>
      </c>
      <c r="L488" s="347">
        <f t="shared" si="57"/>
        <v>0</v>
      </c>
      <c r="M488" s="347">
        <f t="shared" si="57"/>
        <v>0</v>
      </c>
      <c r="N488" s="347">
        <f t="shared" si="57"/>
        <v>0</v>
      </c>
      <c r="O488" s="347">
        <f t="shared" si="57"/>
        <v>0</v>
      </c>
      <c r="P488" s="347">
        <f t="shared" si="57"/>
        <v>3</v>
      </c>
      <c r="Q488" s="347">
        <f t="shared" si="57"/>
        <v>0</v>
      </c>
      <c r="R488" s="347">
        <f t="shared" si="57"/>
        <v>0</v>
      </c>
      <c r="S488" s="347">
        <f t="shared" si="57"/>
        <v>0</v>
      </c>
      <c r="T488" s="347">
        <f t="shared" si="57"/>
        <v>34</v>
      </c>
      <c r="U488" s="347">
        <f t="shared" si="57"/>
        <v>0</v>
      </c>
      <c r="V488" s="347">
        <f t="shared" si="57"/>
        <v>0</v>
      </c>
      <c r="W488" s="347">
        <f t="shared" si="57"/>
        <v>43</v>
      </c>
      <c r="X488" s="347">
        <f t="shared" si="57"/>
        <v>15</v>
      </c>
      <c r="Y488" s="347">
        <f t="shared" si="57"/>
        <v>26</v>
      </c>
      <c r="Z488" s="347">
        <f t="shared" si="57"/>
        <v>50</v>
      </c>
      <c r="AA488" s="347">
        <f t="shared" si="57"/>
        <v>4</v>
      </c>
      <c r="AB488" s="347">
        <f t="shared" si="57"/>
        <v>5</v>
      </c>
      <c r="AC488" s="347">
        <f t="shared" si="57"/>
        <v>0</v>
      </c>
      <c r="AD488" s="347">
        <f t="shared" si="57"/>
        <v>0</v>
      </c>
      <c r="AE488" s="347">
        <f t="shared" si="57"/>
        <v>0</v>
      </c>
      <c r="AF488" s="347">
        <f t="shared" si="57"/>
        <v>0</v>
      </c>
      <c r="AG488" s="347">
        <f t="shared" si="57"/>
        <v>0</v>
      </c>
      <c r="AH488" s="347">
        <f t="shared" si="57"/>
        <v>0</v>
      </c>
      <c r="AI488" s="347">
        <f t="shared" si="57"/>
        <v>0</v>
      </c>
      <c r="AJ488" s="347">
        <f t="shared" si="57"/>
        <v>0</v>
      </c>
      <c r="AK488" s="347">
        <f t="shared" si="57"/>
        <v>706</v>
      </c>
      <c r="AL488" s="397">
        <f>SUM(AL433:AL487)</f>
        <v>1.0795107033639142</v>
      </c>
    </row>
    <row r="489" spans="1:38" ht="15.75" thickBot="1">
      <c r="A489" s="348" t="s">
        <v>174</v>
      </c>
      <c r="B489" s="348">
        <f t="shared" ref="B489:H489" si="58">B488/$AK488</f>
        <v>0.13172804532577903</v>
      </c>
      <c r="C489" s="348">
        <f t="shared" si="58"/>
        <v>2.8328611898016999E-3</v>
      </c>
      <c r="D489" s="348">
        <f t="shared" si="58"/>
        <v>0</v>
      </c>
      <c r="E489" s="348">
        <f t="shared" si="58"/>
        <v>0</v>
      </c>
      <c r="F489" s="348">
        <f t="shared" si="58"/>
        <v>7.3654390934844188E-2</v>
      </c>
      <c r="G489" s="348">
        <f t="shared" si="58"/>
        <v>0</v>
      </c>
      <c r="H489" s="348">
        <f t="shared" si="58"/>
        <v>0</v>
      </c>
      <c r="I489" s="348">
        <f t="shared" ref="I489:AJ489" si="59">I488/$AK488</f>
        <v>0</v>
      </c>
      <c r="J489" s="348">
        <f t="shared" si="59"/>
        <v>0</v>
      </c>
      <c r="K489" s="348">
        <f t="shared" si="59"/>
        <v>0.53682719546742208</v>
      </c>
      <c r="L489" s="348">
        <f t="shared" si="59"/>
        <v>0</v>
      </c>
      <c r="M489" s="348">
        <f t="shared" si="59"/>
        <v>0</v>
      </c>
      <c r="N489" s="348">
        <f t="shared" si="59"/>
        <v>0</v>
      </c>
      <c r="O489" s="348">
        <f t="shared" si="59"/>
        <v>0</v>
      </c>
      <c r="P489" s="348">
        <f t="shared" si="59"/>
        <v>4.24929178470255E-3</v>
      </c>
      <c r="Q489" s="348">
        <f t="shared" si="59"/>
        <v>0</v>
      </c>
      <c r="R489" s="348">
        <f t="shared" si="59"/>
        <v>0</v>
      </c>
      <c r="S489" s="348">
        <f t="shared" si="59"/>
        <v>0</v>
      </c>
      <c r="T489" s="348">
        <f t="shared" si="59"/>
        <v>4.8158640226628892E-2</v>
      </c>
      <c r="U489" s="348">
        <f t="shared" si="59"/>
        <v>0</v>
      </c>
      <c r="V489" s="348">
        <f t="shared" si="59"/>
        <v>0</v>
      </c>
      <c r="W489" s="348">
        <f t="shared" si="59"/>
        <v>6.0906515580736544E-2</v>
      </c>
      <c r="X489" s="348">
        <f t="shared" si="59"/>
        <v>2.1246458923512748E-2</v>
      </c>
      <c r="Y489" s="348">
        <f t="shared" si="59"/>
        <v>3.6827195467422094E-2</v>
      </c>
      <c r="Z489" s="348">
        <f t="shared" si="59"/>
        <v>7.0821529745042494E-2</v>
      </c>
      <c r="AA489" s="348">
        <f t="shared" si="59"/>
        <v>5.6657223796033997E-3</v>
      </c>
      <c r="AB489" s="348">
        <f t="shared" si="59"/>
        <v>7.0821529745042494E-3</v>
      </c>
      <c r="AC489" s="348">
        <f t="shared" si="59"/>
        <v>0</v>
      </c>
      <c r="AD489" s="348">
        <f t="shared" si="59"/>
        <v>0</v>
      </c>
      <c r="AE489" s="348">
        <f t="shared" si="59"/>
        <v>0</v>
      </c>
      <c r="AF489" s="348">
        <f t="shared" si="59"/>
        <v>0</v>
      </c>
      <c r="AG489" s="348">
        <f t="shared" si="59"/>
        <v>0</v>
      </c>
      <c r="AH489" s="348">
        <f t="shared" si="59"/>
        <v>0</v>
      </c>
      <c r="AI489" s="348">
        <f t="shared" si="59"/>
        <v>0</v>
      </c>
      <c r="AJ489" s="348">
        <f t="shared" si="59"/>
        <v>0</v>
      </c>
      <c r="AK489" s="376"/>
      <c r="AL489" s="376"/>
    </row>
    <row r="490" spans="1:38">
      <c r="A490" s="409"/>
    </row>
    <row r="492" spans="1:38">
      <c r="A492" s="165"/>
    </row>
    <row r="493" spans="1:38">
      <c r="A493" s="165">
        <f>'Conveyor Downtime (new)'!A494</f>
        <v>46266</v>
      </c>
      <c r="B493" s="377">
        <f>1+1+2</f>
        <v>4</v>
      </c>
      <c r="C493" s="346"/>
      <c r="D493" s="346"/>
      <c r="E493" s="346"/>
      <c r="F493" s="346">
        <v>1</v>
      </c>
      <c r="G493" s="346"/>
      <c r="H493" s="346"/>
      <c r="I493" s="346"/>
      <c r="J493" s="346"/>
      <c r="K493" s="346"/>
      <c r="L493" s="346"/>
      <c r="M493" s="346"/>
      <c r="N493" s="346"/>
      <c r="O493" s="346"/>
      <c r="P493" s="346"/>
      <c r="Q493" s="346"/>
      <c r="R493" s="346"/>
      <c r="S493" s="346"/>
      <c r="T493" s="346"/>
      <c r="U493" s="346"/>
      <c r="V493" s="346"/>
      <c r="W493" s="346"/>
      <c r="X493" s="346"/>
      <c r="Y493" s="346"/>
      <c r="Z493" s="346"/>
      <c r="AA493" s="346">
        <f>35</f>
        <v>35</v>
      </c>
      <c r="AB493" s="346"/>
      <c r="AC493" s="346"/>
      <c r="AD493" s="346"/>
      <c r="AE493" s="346"/>
      <c r="AF493" s="346"/>
      <c r="AG493" s="346"/>
      <c r="AH493" s="346"/>
      <c r="AI493" s="346"/>
      <c r="AJ493" s="346"/>
      <c r="AK493">
        <f t="shared" ref="AK493:AK527" si="60">SUM(B493:AJ493)</f>
        <v>40</v>
      </c>
      <c r="AL493" s="351">
        <f t="shared" ref="AL493:AL548" si="61">AK493/$AK$183</f>
        <v>6.1162079510703363E-2</v>
      </c>
    </row>
    <row r="494" spans="1:38">
      <c r="A494" s="165">
        <f>'Conveyor Downtime (new)'!A495</f>
        <v>46266</v>
      </c>
      <c r="F494">
        <v>1</v>
      </c>
      <c r="Y494">
        <f>4</f>
        <v>4</v>
      </c>
      <c r="AK494">
        <f t="shared" si="60"/>
        <v>5</v>
      </c>
      <c r="AL494" s="351">
        <f t="shared" si="61"/>
        <v>7.6452599388379203E-3</v>
      </c>
    </row>
    <row r="495" spans="1:38">
      <c r="A495" s="165">
        <f>'Conveyor Downtime (new)'!A496</f>
        <v>46267</v>
      </c>
      <c r="B495" s="346">
        <v>2</v>
      </c>
      <c r="C495" s="346"/>
      <c r="D495" s="346"/>
      <c r="E495" s="346"/>
      <c r="F495" s="346">
        <f>1+1</f>
        <v>2</v>
      </c>
      <c r="G495" s="346"/>
      <c r="H495" s="346"/>
      <c r="I495" s="346"/>
      <c r="J495" s="346"/>
      <c r="K495" s="346"/>
      <c r="L495" s="346"/>
      <c r="M495" s="346"/>
      <c r="N495" s="346"/>
      <c r="O495" s="346"/>
      <c r="P495" s="346"/>
      <c r="Q495" s="346"/>
      <c r="R495" s="346"/>
      <c r="S495" s="346"/>
      <c r="T495" s="346"/>
      <c r="U495" s="346"/>
      <c r="V495" s="346"/>
      <c r="W495" s="346"/>
      <c r="X495" s="346"/>
      <c r="Y495" s="346"/>
      <c r="Z495" s="346"/>
      <c r="AA495" s="346">
        <f>3</f>
        <v>3</v>
      </c>
      <c r="AB495" s="346"/>
      <c r="AC495" s="346"/>
      <c r="AD495" s="346"/>
      <c r="AE495" s="346"/>
      <c r="AF495" s="346"/>
      <c r="AG495" s="346"/>
      <c r="AH495" s="346"/>
      <c r="AI495" s="346"/>
      <c r="AJ495" s="346"/>
      <c r="AK495">
        <f t="shared" si="60"/>
        <v>7</v>
      </c>
      <c r="AL495" s="351">
        <f t="shared" si="61"/>
        <v>1.0703363914373088E-2</v>
      </c>
    </row>
    <row r="496" spans="1:38">
      <c r="A496" s="165">
        <f>'Conveyor Downtime (new)'!A497</f>
        <v>46267</v>
      </c>
      <c r="B496">
        <f>3</f>
        <v>3</v>
      </c>
      <c r="F496">
        <f>3+1</f>
        <v>4</v>
      </c>
      <c r="V496">
        <v>7</v>
      </c>
      <c r="Y496">
        <f>4+10+5</f>
        <v>19</v>
      </c>
      <c r="AK496">
        <f t="shared" si="60"/>
        <v>33</v>
      </c>
      <c r="AL496" s="351">
        <f t="shared" si="61"/>
        <v>5.0458715596330278E-2</v>
      </c>
    </row>
    <row r="497" spans="1:38">
      <c r="A497" s="165">
        <f>'Conveyor Downtime (new)'!A498</f>
        <v>46267</v>
      </c>
      <c r="B497" s="346">
        <f>2</f>
        <v>2</v>
      </c>
      <c r="C497" s="346"/>
      <c r="D497" s="346"/>
      <c r="E497" s="346"/>
      <c r="F497" s="346">
        <f>1</f>
        <v>1</v>
      </c>
      <c r="G497" s="346"/>
      <c r="H497" s="346"/>
      <c r="I497" s="346"/>
      <c r="J497" s="346"/>
      <c r="K497" s="346"/>
      <c r="L497" s="346"/>
      <c r="M497" s="346"/>
      <c r="N497" s="346"/>
      <c r="O497" s="346"/>
      <c r="P497" s="346"/>
      <c r="Q497" s="346"/>
      <c r="R497" s="346"/>
      <c r="S497" s="346"/>
      <c r="T497" s="346"/>
      <c r="U497" s="346"/>
      <c r="V497" s="346"/>
      <c r="W497" s="346"/>
      <c r="X497" s="346"/>
      <c r="Y497" s="346">
        <f>1</f>
        <v>1</v>
      </c>
      <c r="Z497" s="346"/>
      <c r="AA497" s="346"/>
      <c r="AB497" s="346"/>
      <c r="AC497" s="346"/>
      <c r="AD497" s="346"/>
      <c r="AE497" s="346"/>
      <c r="AF497" s="346"/>
      <c r="AG497" s="346"/>
      <c r="AH497" s="346"/>
      <c r="AI497" s="346"/>
      <c r="AJ497" s="346"/>
      <c r="AK497">
        <f t="shared" si="60"/>
        <v>4</v>
      </c>
      <c r="AL497" s="351">
        <f t="shared" si="61"/>
        <v>6.1162079510703364E-3</v>
      </c>
    </row>
    <row r="498" spans="1:38">
      <c r="A498" s="165">
        <f>'Conveyor Downtime (new)'!A499</f>
        <v>46268</v>
      </c>
      <c r="Y498">
        <v>1</v>
      </c>
      <c r="AK498">
        <f t="shared" si="60"/>
        <v>1</v>
      </c>
      <c r="AL498" s="351">
        <f t="shared" si="61"/>
        <v>1.5290519877675841E-3</v>
      </c>
    </row>
    <row r="499" spans="1:38">
      <c r="A499" s="165">
        <f>'Conveyor Downtime (new)'!A500</f>
        <v>46268</v>
      </c>
      <c r="B499" s="346">
        <f>2</f>
        <v>2</v>
      </c>
      <c r="C499" s="346"/>
      <c r="D499" s="346"/>
      <c r="E499" s="346"/>
      <c r="F499" s="346">
        <f>1+1</f>
        <v>2</v>
      </c>
      <c r="G499" s="346"/>
      <c r="H499" s="346"/>
      <c r="I499" s="346"/>
      <c r="J499" s="346"/>
      <c r="K499" s="346"/>
      <c r="L499" s="346"/>
      <c r="M499" s="346"/>
      <c r="N499" s="346"/>
      <c r="O499" s="346"/>
      <c r="P499" s="346"/>
      <c r="Q499" s="346"/>
      <c r="R499" s="346"/>
      <c r="S499" s="346"/>
      <c r="T499" s="346"/>
      <c r="U499" s="346"/>
      <c r="V499" s="346"/>
      <c r="W499" s="346"/>
      <c r="X499" s="346"/>
      <c r="Y499" s="346"/>
      <c r="Z499" s="346"/>
      <c r="AA499" s="346"/>
      <c r="AB499" s="346"/>
      <c r="AC499" s="346"/>
      <c r="AD499" s="346"/>
      <c r="AE499" s="346"/>
      <c r="AF499" s="346"/>
      <c r="AG499" s="346"/>
      <c r="AH499" s="346"/>
      <c r="AI499" s="346"/>
      <c r="AJ499" s="346"/>
      <c r="AK499">
        <f t="shared" si="60"/>
        <v>4</v>
      </c>
      <c r="AL499" s="351">
        <f t="shared" si="61"/>
        <v>6.1162079510703364E-3</v>
      </c>
    </row>
    <row r="500" spans="1:38" ht="12" customHeight="1">
      <c r="A500" s="165">
        <f>'Conveyor Downtime (new)'!A501</f>
        <v>46268</v>
      </c>
      <c r="AK500">
        <f t="shared" si="60"/>
        <v>0</v>
      </c>
      <c r="AL500" s="351">
        <f t="shared" si="61"/>
        <v>0</v>
      </c>
    </row>
    <row r="501" spans="1:38">
      <c r="A501" s="165">
        <f>'Conveyor Downtime (new)'!A502</f>
        <v>46269</v>
      </c>
      <c r="B501" s="346"/>
      <c r="C501" s="346"/>
      <c r="D501" s="346"/>
      <c r="E501" s="346"/>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f t="shared" si="60"/>
        <v>0</v>
      </c>
      <c r="AL501" s="351">
        <f t="shared" si="61"/>
        <v>0</v>
      </c>
    </row>
    <row r="502" spans="1:38">
      <c r="A502" s="165">
        <f>'Conveyor Downtime (new)'!A503</f>
        <v>46273</v>
      </c>
      <c r="B502">
        <f>1+1</f>
        <v>2</v>
      </c>
      <c r="F502">
        <f>1+1</f>
        <v>2</v>
      </c>
      <c r="AK502">
        <f t="shared" si="60"/>
        <v>4</v>
      </c>
      <c r="AL502" s="351">
        <f t="shared" si="61"/>
        <v>6.1162079510703364E-3</v>
      </c>
    </row>
    <row r="503" spans="1:38">
      <c r="A503" s="165">
        <f>'Conveyor Downtime (new)'!A504</f>
        <v>46274</v>
      </c>
      <c r="B503" s="346"/>
      <c r="C503" s="346"/>
      <c r="D503" s="346"/>
      <c r="E503" s="346"/>
      <c r="F503" s="346">
        <f>1+1+1+2+2</f>
        <v>7</v>
      </c>
      <c r="G503" s="346"/>
      <c r="H503" s="346"/>
      <c r="I503" s="346"/>
      <c r="J503" s="346"/>
      <c r="K503" s="346"/>
      <c r="L503" s="346"/>
      <c r="M503" s="346"/>
      <c r="N503" s="346"/>
      <c r="O503" s="346"/>
      <c r="P503" s="346"/>
      <c r="Q503" s="346"/>
      <c r="R503" s="346"/>
      <c r="S503" s="346"/>
      <c r="T503" s="346">
        <f>2</f>
        <v>2</v>
      </c>
      <c r="U503" s="346"/>
      <c r="V503" s="346"/>
      <c r="W503" s="346"/>
      <c r="X503" s="346"/>
      <c r="Y503" s="346"/>
      <c r="Z503" s="346"/>
      <c r="AA503" s="346"/>
      <c r="AB503" s="346"/>
      <c r="AC503" s="346"/>
      <c r="AD503" s="346"/>
      <c r="AE503" s="346"/>
      <c r="AF503" s="346"/>
      <c r="AG503" s="346"/>
      <c r="AH503" s="346"/>
      <c r="AI503" s="346"/>
      <c r="AJ503" s="346"/>
      <c r="AK503">
        <f t="shared" si="60"/>
        <v>9</v>
      </c>
      <c r="AL503" s="351">
        <f t="shared" si="61"/>
        <v>1.3761467889908258E-2</v>
      </c>
    </row>
    <row r="504" spans="1:38" ht="13.5" customHeight="1">
      <c r="A504" s="165">
        <f>'Conveyor Downtime (new)'!A505</f>
        <v>46275</v>
      </c>
      <c r="B504">
        <f>2</f>
        <v>2</v>
      </c>
      <c r="F504">
        <f>1</f>
        <v>1</v>
      </c>
      <c r="AK504">
        <f t="shared" si="60"/>
        <v>3</v>
      </c>
      <c r="AL504" s="351">
        <f t="shared" si="61"/>
        <v>4.5871559633027525E-3</v>
      </c>
    </row>
    <row r="505" spans="1:38">
      <c r="A505" s="165">
        <f>'Conveyor Downtime (new)'!A506</f>
        <v>46276</v>
      </c>
      <c r="B505" s="346"/>
      <c r="C505" s="346"/>
      <c r="D505" s="346"/>
      <c r="E505" s="346"/>
      <c r="F505" s="346">
        <f>1</f>
        <v>1</v>
      </c>
      <c r="G505" s="346"/>
      <c r="H505" s="346"/>
      <c r="I505" s="346"/>
      <c r="J505" s="346"/>
      <c r="K505" s="346"/>
      <c r="L505" s="346"/>
      <c r="M505" s="346"/>
      <c r="N505" s="346"/>
      <c r="O505" s="346"/>
      <c r="P505" s="346"/>
      <c r="Q505" s="346"/>
      <c r="R505" s="346"/>
      <c r="S505" s="346"/>
      <c r="T505" s="346"/>
      <c r="U505" s="346"/>
      <c r="V505" s="346"/>
      <c r="W505" s="346"/>
      <c r="X505" s="346"/>
      <c r="Y505" s="346"/>
      <c r="Z505" s="346"/>
      <c r="AA505" s="346"/>
      <c r="AB505" s="346"/>
      <c r="AC505" s="346"/>
      <c r="AD505" s="346"/>
      <c r="AE505" s="346"/>
      <c r="AF505" s="346"/>
      <c r="AG505" s="346"/>
      <c r="AH505" s="346"/>
      <c r="AI505" s="346"/>
      <c r="AJ505" s="346"/>
      <c r="AK505">
        <f t="shared" si="60"/>
        <v>1</v>
      </c>
      <c r="AL505" s="351">
        <f t="shared" si="61"/>
        <v>1.5290519877675841E-3</v>
      </c>
    </row>
    <row r="506" spans="1:38">
      <c r="A506" s="165">
        <f>'Conveyor Downtime (new)'!A507</f>
        <v>46276</v>
      </c>
      <c r="F506">
        <v>1</v>
      </c>
      <c r="AK506">
        <f t="shared" si="60"/>
        <v>1</v>
      </c>
      <c r="AL506" s="351">
        <f t="shared" si="61"/>
        <v>1.5290519877675841E-3</v>
      </c>
    </row>
    <row r="507" spans="1:38">
      <c r="A507" s="165">
        <f>'Conveyor Downtime (new)'!A508</f>
        <v>46279</v>
      </c>
      <c r="B507" s="346"/>
      <c r="C507" s="346"/>
      <c r="D507" s="346"/>
      <c r="E507" s="346"/>
      <c r="F507" s="346">
        <f>1</f>
        <v>1</v>
      </c>
      <c r="G507" s="346"/>
      <c r="H507" s="346"/>
      <c r="I507" s="346"/>
      <c r="J507" s="346"/>
      <c r="K507" s="346"/>
      <c r="L507" s="346"/>
      <c r="M507" s="346"/>
      <c r="N507" s="346"/>
      <c r="O507" s="346"/>
      <c r="P507" s="346"/>
      <c r="Q507" s="346"/>
      <c r="R507" s="346"/>
      <c r="S507" s="346"/>
      <c r="T507" s="346">
        <f>5</f>
        <v>5</v>
      </c>
      <c r="U507" s="346"/>
      <c r="V507" s="346"/>
      <c r="W507" s="346"/>
      <c r="X507" s="346"/>
      <c r="Y507" s="346">
        <f>6+10+5+8+6+20+5+4+7+2+2+1+4</f>
        <v>80</v>
      </c>
      <c r="Z507" s="346"/>
      <c r="AA507" s="346"/>
      <c r="AB507" s="346"/>
      <c r="AC507" s="346"/>
      <c r="AD507" s="346"/>
      <c r="AE507" s="346"/>
      <c r="AF507" s="346"/>
      <c r="AG507" s="346"/>
      <c r="AH507" s="346"/>
      <c r="AI507" s="346"/>
      <c r="AJ507" s="346"/>
      <c r="AK507">
        <f t="shared" si="60"/>
        <v>86</v>
      </c>
      <c r="AL507" s="351">
        <f t="shared" si="61"/>
        <v>0.13149847094801223</v>
      </c>
    </row>
    <row r="508" spans="1:38">
      <c r="A508" s="165">
        <f>'Conveyor Downtime (new)'!A509</f>
        <v>46279</v>
      </c>
      <c r="B508">
        <f>1+2+2+1+1</f>
        <v>7</v>
      </c>
      <c r="F508">
        <f>1</f>
        <v>1</v>
      </c>
      <c r="Y508">
        <f>13+3+6+17</f>
        <v>39</v>
      </c>
      <c r="AK508">
        <f t="shared" ref="AK508:AK513" si="62">SUM(B508:AJ508)</f>
        <v>47</v>
      </c>
      <c r="AL508" s="351">
        <f t="shared" ref="AL508:AL513" si="63">AK508/$AK$183</f>
        <v>7.1865443425076447E-2</v>
      </c>
    </row>
    <row r="509" spans="1:38">
      <c r="A509" s="165">
        <f>'Conveyor Downtime (new)'!A510</f>
        <v>46280</v>
      </c>
      <c r="B509">
        <f>3</f>
        <v>3</v>
      </c>
      <c r="V509">
        <f>2</f>
        <v>2</v>
      </c>
      <c r="AK509">
        <f t="shared" si="62"/>
        <v>5</v>
      </c>
      <c r="AL509" s="351">
        <f t="shared" si="63"/>
        <v>7.6452599388379203E-3</v>
      </c>
    </row>
    <row r="510" spans="1:38">
      <c r="A510" s="165">
        <f>'Conveyor Downtime (new)'!A511</f>
        <v>46280</v>
      </c>
      <c r="B510">
        <f>2</f>
        <v>2</v>
      </c>
      <c r="C510">
        <f>10</f>
        <v>10</v>
      </c>
      <c r="F510">
        <f>1+1</f>
        <v>2</v>
      </c>
      <c r="H510">
        <f>14</f>
        <v>14</v>
      </c>
      <c r="V510">
        <f>5+16</f>
        <v>21</v>
      </c>
      <c r="Y510">
        <f>12</f>
        <v>12</v>
      </c>
      <c r="AK510">
        <f t="shared" si="62"/>
        <v>61</v>
      </c>
      <c r="AL510" s="351">
        <f t="shared" si="63"/>
        <v>9.3272171253822631E-2</v>
      </c>
    </row>
    <row r="511" spans="1:38">
      <c r="A511" s="165">
        <f>'Conveyor Downtime (new)'!A512</f>
        <v>46281</v>
      </c>
      <c r="B511" s="346">
        <f>3</f>
        <v>3</v>
      </c>
      <c r="C511" s="346"/>
      <c r="D511" s="346"/>
      <c r="E511" s="346"/>
      <c r="F511" s="346">
        <f>1+1</f>
        <v>2</v>
      </c>
      <c r="G511" s="346"/>
      <c r="H511" s="346"/>
      <c r="I511" s="346"/>
      <c r="J511" s="346"/>
      <c r="K511" s="346"/>
      <c r="L511" s="346"/>
      <c r="M511" s="346"/>
      <c r="N511" s="346"/>
      <c r="O511" s="346"/>
      <c r="P511" s="346"/>
      <c r="Q511" s="346"/>
      <c r="R511" s="346"/>
      <c r="S511" s="346"/>
      <c r="T511" s="346"/>
      <c r="U511" s="346"/>
      <c r="V511" s="346">
        <f>3+31</f>
        <v>34</v>
      </c>
      <c r="W511" s="346"/>
      <c r="X511" s="346"/>
      <c r="Y511" s="346"/>
      <c r="Z511" s="346"/>
      <c r="AA511" s="346"/>
      <c r="AB511" s="346"/>
      <c r="AC511" s="346"/>
      <c r="AD511" s="346"/>
      <c r="AE511" s="346"/>
      <c r="AF511" s="346"/>
      <c r="AG511" s="346"/>
      <c r="AH511" s="346"/>
      <c r="AI511" s="346"/>
      <c r="AJ511" s="346"/>
      <c r="AK511">
        <f t="shared" si="62"/>
        <v>39</v>
      </c>
      <c r="AL511" s="351">
        <f t="shared" si="63"/>
        <v>5.9633027522935783E-2</v>
      </c>
    </row>
    <row r="512" spans="1:38">
      <c r="A512" s="165">
        <f>'Conveyor Downtime (new)'!A513</f>
        <v>46281</v>
      </c>
      <c r="AF512">
        <f>5+6</f>
        <v>11</v>
      </c>
      <c r="AK512">
        <f t="shared" si="62"/>
        <v>11</v>
      </c>
      <c r="AL512" s="351">
        <f t="shared" si="63"/>
        <v>1.6819571865443424E-2</v>
      </c>
    </row>
    <row r="513" spans="1:38">
      <c r="A513" s="165">
        <f>'Conveyor Downtime (new)'!A514</f>
        <v>46282</v>
      </c>
      <c r="B513" s="346"/>
      <c r="C513" s="346"/>
      <c r="D513" s="346"/>
      <c r="E513" s="346"/>
      <c r="F513" s="346">
        <v>1</v>
      </c>
      <c r="G513" s="346"/>
      <c r="H513" s="346"/>
      <c r="I513" s="346"/>
      <c r="J513" s="346"/>
      <c r="K513" s="346"/>
      <c r="L513" s="346"/>
      <c r="M513" s="346"/>
      <c r="N513" s="346"/>
      <c r="O513" s="346"/>
      <c r="P513" s="346">
        <f>1</f>
        <v>1</v>
      </c>
      <c r="Q513" s="346"/>
      <c r="R513" s="346"/>
      <c r="S513" s="346"/>
      <c r="T513" s="346"/>
      <c r="U513" s="346"/>
      <c r="V513" s="346"/>
      <c r="W513" s="346"/>
      <c r="X513" s="346"/>
      <c r="Y513" s="346"/>
      <c r="Z513" s="346"/>
      <c r="AA513" s="346"/>
      <c r="AB513" s="346"/>
      <c r="AC513" s="346"/>
      <c r="AD513" s="346"/>
      <c r="AE513" s="346"/>
      <c r="AF513" s="346"/>
      <c r="AG513" s="346"/>
      <c r="AH513" s="346"/>
      <c r="AI513" s="346"/>
      <c r="AJ513" s="346"/>
      <c r="AK513">
        <f t="shared" si="62"/>
        <v>2</v>
      </c>
      <c r="AL513" s="351">
        <f t="shared" si="63"/>
        <v>3.0581039755351682E-3</v>
      </c>
    </row>
    <row r="514" spans="1:38" ht="16.5" customHeight="1">
      <c r="A514" s="165">
        <f>'Conveyor Downtime (new)'!A515</f>
        <v>46282</v>
      </c>
      <c r="B514">
        <v>2</v>
      </c>
      <c r="AD514">
        <v>10</v>
      </c>
      <c r="AF514">
        <f>4+4</f>
        <v>8</v>
      </c>
      <c r="AK514">
        <f t="shared" si="60"/>
        <v>20</v>
      </c>
      <c r="AL514" s="351">
        <f t="shared" si="61"/>
        <v>3.0581039755351681E-2</v>
      </c>
    </row>
    <row r="515" spans="1:38">
      <c r="A515" s="165">
        <f>'Conveyor Downtime (new)'!A516</f>
        <v>46282</v>
      </c>
      <c r="B515" s="346">
        <f>2</f>
        <v>2</v>
      </c>
      <c r="C515" s="346"/>
      <c r="D515" s="346"/>
      <c r="E515" s="346"/>
      <c r="F515" s="346"/>
      <c r="G515" s="346"/>
      <c r="H515" s="346"/>
      <c r="I515" s="346"/>
      <c r="J515" s="346"/>
      <c r="K515" s="346"/>
      <c r="L515" s="346"/>
      <c r="M515" s="346"/>
      <c r="N515" s="346"/>
      <c r="O515" s="346"/>
      <c r="P515" s="346"/>
      <c r="Q515" s="346"/>
      <c r="R515" s="346"/>
      <c r="S515" s="346"/>
      <c r="T515" s="346">
        <v>5</v>
      </c>
      <c r="U515" s="346"/>
      <c r="V515" s="346"/>
      <c r="W515" s="346"/>
      <c r="X515" s="346"/>
      <c r="Y515" s="346"/>
      <c r="Z515" s="346"/>
      <c r="AA515" s="346"/>
      <c r="AB515" s="346"/>
      <c r="AC515" s="346"/>
      <c r="AD515" s="346"/>
      <c r="AE515" s="346"/>
      <c r="AF515" s="346"/>
      <c r="AG515" s="346"/>
      <c r="AH515" s="346"/>
      <c r="AI515" s="346"/>
      <c r="AJ515" s="346"/>
      <c r="AK515">
        <f t="shared" si="60"/>
        <v>7</v>
      </c>
      <c r="AL515" s="351">
        <f t="shared" si="61"/>
        <v>1.0703363914373088E-2</v>
      </c>
    </row>
    <row r="516" spans="1:38">
      <c r="A516" s="165">
        <f>'Conveyor Downtime (new)'!A517</f>
        <v>46283</v>
      </c>
      <c r="B516">
        <f>2+2+2+2</f>
        <v>8</v>
      </c>
      <c r="F516">
        <f>1+1+1</f>
        <v>3</v>
      </c>
      <c r="S516">
        <f>10</f>
        <v>10</v>
      </c>
      <c r="V516">
        <f>45+33</f>
        <v>78</v>
      </c>
      <c r="AC516">
        <f>3</f>
        <v>3</v>
      </c>
      <c r="AK516">
        <f t="shared" si="60"/>
        <v>102</v>
      </c>
      <c r="AL516" s="351">
        <f t="shared" si="61"/>
        <v>0.15596330275229359</v>
      </c>
    </row>
    <row r="517" spans="1:38">
      <c r="A517" s="165">
        <f>'Conveyor Downtime (new)'!A518</f>
        <v>46283</v>
      </c>
      <c r="B517" s="346">
        <f>1+1+2</f>
        <v>4</v>
      </c>
      <c r="C517" s="346"/>
      <c r="D517" s="346"/>
      <c r="E517" s="346"/>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346"/>
      <c r="AK517">
        <f t="shared" si="60"/>
        <v>4</v>
      </c>
      <c r="AL517" s="351">
        <f t="shared" si="61"/>
        <v>6.1162079510703364E-3</v>
      </c>
    </row>
    <row r="518" spans="1:38">
      <c r="A518" s="165">
        <f>'Conveyor Downtime (new)'!A519</f>
        <v>46283</v>
      </c>
      <c r="B518">
        <f>1+1+1</f>
        <v>3</v>
      </c>
      <c r="AK518">
        <f t="shared" si="60"/>
        <v>3</v>
      </c>
      <c r="AL518" s="351">
        <f t="shared" si="61"/>
        <v>4.5871559633027525E-3</v>
      </c>
    </row>
    <row r="519" spans="1:38">
      <c r="A519" s="165">
        <f>'Conveyor Downtime (new)'!A520</f>
        <v>46286</v>
      </c>
      <c r="B519" s="346"/>
      <c r="C519" s="346"/>
      <c r="D519" s="346"/>
      <c r="E519" s="346"/>
      <c r="F519" s="346"/>
      <c r="G519" s="346"/>
      <c r="H519" s="346"/>
      <c r="I519" s="346"/>
      <c r="J519" s="346"/>
      <c r="K519" s="346"/>
      <c r="L519" s="346"/>
      <c r="M519" s="346"/>
      <c r="N519" s="346">
        <f>4</f>
        <v>4</v>
      </c>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f t="shared" si="60"/>
        <v>4</v>
      </c>
      <c r="AL519" s="351">
        <f t="shared" si="61"/>
        <v>6.1162079510703364E-3</v>
      </c>
    </row>
    <row r="520" spans="1:38">
      <c r="A520" s="165">
        <f>'Conveyor Downtime (new)'!A521</f>
        <v>46286</v>
      </c>
      <c r="B520" s="346">
        <f>6+2+2+3+2+3+2+2+2+2+1+2+2+3+2+2</f>
        <v>38</v>
      </c>
      <c r="C520" s="346"/>
      <c r="D520" s="346"/>
      <c r="E520" s="346"/>
      <c r="F520" s="346"/>
      <c r="G520" s="346"/>
      <c r="H520" s="346"/>
      <c r="I520" s="346"/>
      <c r="J520" s="346"/>
      <c r="K520" s="346"/>
      <c r="L520" s="346"/>
      <c r="M520" s="346"/>
      <c r="N520" s="346"/>
      <c r="O520" s="346"/>
      <c r="P520" s="346"/>
      <c r="Q520" s="346"/>
      <c r="R520" s="346"/>
      <c r="S520" s="346"/>
      <c r="T520" s="346"/>
      <c r="U520" s="346"/>
      <c r="V520" s="346"/>
      <c r="W520" s="346"/>
      <c r="X520" s="346"/>
      <c r="Y520" s="346"/>
      <c r="Z520" s="346"/>
      <c r="AA520" s="346"/>
      <c r="AB520" s="346"/>
      <c r="AC520" s="346"/>
      <c r="AD520" s="346"/>
      <c r="AE520" s="346"/>
      <c r="AF520" s="346"/>
      <c r="AG520" s="346"/>
      <c r="AH520" s="346"/>
      <c r="AI520" s="346"/>
      <c r="AJ520" s="346"/>
      <c r="AK520">
        <f>SUM(B520:AJ520)</f>
        <v>38</v>
      </c>
      <c r="AL520" s="351">
        <f>AK520/$AK$183</f>
        <v>5.8103975535168197E-2</v>
      </c>
    </row>
    <row r="521" spans="1:38">
      <c r="A521" s="165">
        <f>'Conveyor Downtime (new)'!A522</f>
        <v>46287</v>
      </c>
      <c r="B521">
        <f>2+2+1+1</f>
        <v>6</v>
      </c>
      <c r="F521">
        <f>2</f>
        <v>2</v>
      </c>
      <c r="V521">
        <f>20</f>
        <v>20</v>
      </c>
      <c r="AK521">
        <f>SUM(B521:AJ521)</f>
        <v>28</v>
      </c>
      <c r="AL521" s="351">
        <f>AK521/$AK$183</f>
        <v>4.2813455657492352E-2</v>
      </c>
    </row>
    <row r="522" spans="1:38">
      <c r="A522" s="165">
        <f>'Conveyor Downtime (new)'!A523</f>
        <v>46288</v>
      </c>
      <c r="B522" s="346">
        <f>3</f>
        <v>3</v>
      </c>
      <c r="C522" s="346"/>
      <c r="D522" s="346"/>
      <c r="E522" s="346"/>
      <c r="F522" s="346"/>
      <c r="G522" s="346"/>
      <c r="H522" s="346"/>
      <c r="I522" s="346"/>
      <c r="J522" s="346"/>
      <c r="K522" s="346"/>
      <c r="L522" s="346"/>
      <c r="M522" s="346"/>
      <c r="N522" s="346"/>
      <c r="O522" s="346"/>
      <c r="P522" s="346"/>
      <c r="Q522" s="346"/>
      <c r="R522" s="346"/>
      <c r="S522" s="346"/>
      <c r="T522" s="346"/>
      <c r="U522" s="346"/>
      <c r="V522" s="346"/>
      <c r="W522" s="346"/>
      <c r="X522" s="346"/>
      <c r="Y522" s="346"/>
      <c r="Z522" s="346"/>
      <c r="AA522" s="346"/>
      <c r="AB522" s="346"/>
      <c r="AC522" s="346"/>
      <c r="AD522" s="346"/>
      <c r="AE522" s="346"/>
      <c r="AF522" s="346"/>
      <c r="AG522" s="346"/>
      <c r="AH522" s="346"/>
      <c r="AI522" s="346"/>
      <c r="AJ522" s="346"/>
      <c r="AK522">
        <f t="shared" si="60"/>
        <v>3</v>
      </c>
      <c r="AL522" s="351">
        <f t="shared" si="61"/>
        <v>4.5871559633027525E-3</v>
      </c>
    </row>
    <row r="523" spans="1:38">
      <c r="A523" s="165">
        <f>'Conveyor Downtime (new)'!A524</f>
        <v>46288</v>
      </c>
      <c r="F523">
        <v>1</v>
      </c>
      <c r="AK523">
        <f t="shared" si="60"/>
        <v>1</v>
      </c>
      <c r="AL523" s="360">
        <f t="shared" si="61"/>
        <v>1.5290519877675841E-3</v>
      </c>
    </row>
    <row r="524" spans="1:38">
      <c r="A524" s="165">
        <f>'Conveyor Downtime (new)'!A525</f>
        <v>46289</v>
      </c>
      <c r="B524" s="346">
        <f>1+1+2</f>
        <v>4</v>
      </c>
      <c r="C524" s="346"/>
      <c r="D524" s="346"/>
      <c r="E524" s="346"/>
      <c r="F524" s="346"/>
      <c r="G524" s="346"/>
      <c r="H524" s="346"/>
      <c r="I524" s="346"/>
      <c r="J524" s="346"/>
      <c r="K524" s="346"/>
      <c r="L524" s="346"/>
      <c r="M524" s="346"/>
      <c r="N524" s="346"/>
      <c r="O524" s="346"/>
      <c r="P524" s="346"/>
      <c r="Q524" s="346"/>
      <c r="R524" s="346"/>
      <c r="S524" s="346"/>
      <c r="T524" s="346"/>
      <c r="U524" s="346"/>
      <c r="V524" s="346">
        <f>50+10</f>
        <v>60</v>
      </c>
      <c r="W524" s="346"/>
      <c r="X524" s="346"/>
      <c r="Y524" s="346"/>
      <c r="Z524" s="346"/>
      <c r="AA524" s="346"/>
      <c r="AB524" s="346"/>
      <c r="AC524" s="346"/>
      <c r="AD524" s="346"/>
      <c r="AE524" s="346"/>
      <c r="AF524" s="346"/>
      <c r="AG524" s="346"/>
      <c r="AH524" s="346"/>
      <c r="AI524" s="346"/>
      <c r="AJ524" s="346"/>
      <c r="AK524">
        <f t="shared" si="60"/>
        <v>64</v>
      </c>
      <c r="AL524" s="351">
        <f t="shared" si="61"/>
        <v>9.7859327217125383E-2</v>
      </c>
    </row>
    <row r="525" spans="1:38" ht="13.5" customHeight="1">
      <c r="A525" s="165">
        <f>'Conveyor Downtime (new)'!A526</f>
        <v>46290</v>
      </c>
      <c r="F525">
        <f>1</f>
        <v>1</v>
      </c>
      <c r="AK525">
        <f t="shared" si="60"/>
        <v>1</v>
      </c>
      <c r="AL525" s="351">
        <f t="shared" si="61"/>
        <v>1.5290519877675841E-3</v>
      </c>
    </row>
    <row r="526" spans="1:38">
      <c r="A526" s="165">
        <f>'Conveyor Downtime (new)'!A527</f>
        <v>46290</v>
      </c>
      <c r="B526" s="346"/>
      <c r="C526" s="346"/>
      <c r="D526" s="346"/>
      <c r="E526" s="346"/>
      <c r="F526" s="346"/>
      <c r="G526" s="346"/>
      <c r="H526" s="346"/>
      <c r="I526" s="346"/>
      <c r="J526" s="346"/>
      <c r="K526" s="346"/>
      <c r="L526" s="346"/>
      <c r="M526" s="346"/>
      <c r="N526" s="346"/>
      <c r="O526" s="346"/>
      <c r="P526" s="346"/>
      <c r="Q526" s="346"/>
      <c r="R526" s="346"/>
      <c r="S526" s="346"/>
      <c r="T526" s="346"/>
      <c r="U526" s="346"/>
      <c r="V526" s="346"/>
      <c r="W526" s="346"/>
      <c r="X526" s="346"/>
      <c r="Y526" s="346"/>
      <c r="Z526" s="346"/>
      <c r="AA526" s="346"/>
      <c r="AB526" s="346"/>
      <c r="AC526" s="346"/>
      <c r="AD526" s="346"/>
      <c r="AE526" s="346"/>
      <c r="AF526" s="346"/>
      <c r="AG526" s="346"/>
      <c r="AH526" s="346"/>
      <c r="AI526" s="346"/>
      <c r="AJ526" s="346"/>
      <c r="AK526">
        <f t="shared" si="60"/>
        <v>0</v>
      </c>
      <c r="AL526" s="351">
        <f t="shared" si="61"/>
        <v>0</v>
      </c>
    </row>
    <row r="527" spans="1:38">
      <c r="A527" s="165">
        <f>'Conveyor Downtime (new)'!A528</f>
        <v>46293</v>
      </c>
      <c r="Z527">
        <f>15</f>
        <v>15</v>
      </c>
      <c r="AK527">
        <f t="shared" si="60"/>
        <v>15</v>
      </c>
      <c r="AL527" s="351">
        <f t="shared" si="61"/>
        <v>2.2935779816513763E-2</v>
      </c>
    </row>
    <row r="528" spans="1:38">
      <c r="A528" s="165">
        <f>'Conveyor Downtime (new)'!A529</f>
        <v>46294</v>
      </c>
      <c r="B528" s="346"/>
      <c r="C528" s="346"/>
      <c r="D528" s="346"/>
      <c r="E528" s="346"/>
      <c r="F528" s="346"/>
      <c r="G528" s="346"/>
      <c r="H528" s="346"/>
      <c r="I528" s="346"/>
      <c r="J528" s="346"/>
      <c r="K528" s="346"/>
      <c r="L528" s="346"/>
      <c r="M528" s="346"/>
      <c r="N528" s="346"/>
      <c r="O528" s="346"/>
      <c r="P528" s="346"/>
      <c r="Q528" s="346"/>
      <c r="R528" s="346"/>
      <c r="S528" s="346"/>
      <c r="T528" s="346"/>
      <c r="U528" s="346"/>
      <c r="V528" s="346"/>
      <c r="W528" s="346"/>
      <c r="X528" s="346"/>
      <c r="Y528" s="346"/>
      <c r="Z528" s="346"/>
      <c r="AA528" s="346"/>
      <c r="AB528" s="346"/>
      <c r="AC528" s="346"/>
      <c r="AD528" s="346"/>
      <c r="AE528" s="346"/>
      <c r="AF528" s="346"/>
      <c r="AG528" s="346"/>
      <c r="AH528" s="346"/>
      <c r="AI528" s="346"/>
      <c r="AJ528" s="346"/>
      <c r="AK528">
        <f t="shared" ref="AK528:AK548" si="64">SUM(B528:AJ528)</f>
        <v>0</v>
      </c>
      <c r="AL528" s="351">
        <f t="shared" si="61"/>
        <v>0</v>
      </c>
    </row>
    <row r="529" spans="1:38">
      <c r="A529" s="165">
        <f>'Conveyor Downtime (new)'!A530</f>
        <v>46294</v>
      </c>
      <c r="B529">
        <f>5+1+1+1</f>
        <v>8</v>
      </c>
      <c r="F529">
        <f>1</f>
        <v>1</v>
      </c>
      <c r="AK529">
        <f t="shared" si="64"/>
        <v>9</v>
      </c>
      <c r="AL529" s="351">
        <f t="shared" si="61"/>
        <v>1.3761467889908258E-2</v>
      </c>
    </row>
    <row r="530" spans="1:38">
      <c r="A530" s="165">
        <f>'Conveyor Downtime (new)'!A531</f>
        <v>46295</v>
      </c>
      <c r="B530" s="346"/>
      <c r="C530" s="346"/>
      <c r="D530" s="346"/>
      <c r="E530" s="346"/>
      <c r="F530" s="346">
        <f>1+1</f>
        <v>2</v>
      </c>
      <c r="G530" s="346"/>
      <c r="H530" s="346"/>
      <c r="I530" s="346"/>
      <c r="J530" s="346"/>
      <c r="K530" s="346"/>
      <c r="L530" s="346"/>
      <c r="M530" s="346"/>
      <c r="N530" s="346"/>
      <c r="O530" s="346"/>
      <c r="P530" s="346"/>
      <c r="Q530" s="346"/>
      <c r="R530" s="346"/>
      <c r="S530" s="346"/>
      <c r="T530" s="346"/>
      <c r="U530" s="346"/>
      <c r="V530" s="346"/>
      <c r="W530" s="346"/>
      <c r="X530" s="346"/>
      <c r="Y530" s="346"/>
      <c r="Z530" s="346"/>
      <c r="AA530" s="346"/>
      <c r="AB530" s="346"/>
      <c r="AC530" s="346"/>
      <c r="AD530" s="346"/>
      <c r="AE530" s="346"/>
      <c r="AF530" s="346"/>
      <c r="AG530" s="346"/>
      <c r="AH530" s="346"/>
      <c r="AI530" s="346"/>
      <c r="AJ530" s="346"/>
      <c r="AK530">
        <f t="shared" si="64"/>
        <v>2</v>
      </c>
      <c r="AL530" s="351">
        <f t="shared" si="61"/>
        <v>3.0581039755351682E-3</v>
      </c>
    </row>
    <row r="531" spans="1:38">
      <c r="A531" s="165">
        <f>'Conveyor Downtime (new)'!A532</f>
        <v>46295</v>
      </c>
      <c r="B531">
        <f>1</f>
        <v>1</v>
      </c>
      <c r="AK531">
        <f t="shared" si="64"/>
        <v>1</v>
      </c>
      <c r="AL531" s="351">
        <f t="shared" si="61"/>
        <v>1.5290519877675841E-3</v>
      </c>
    </row>
    <row r="532" spans="1:38">
      <c r="A532" s="165">
        <f>'Conveyor Downtime (new)'!A533</f>
        <v>0</v>
      </c>
      <c r="B532" s="346"/>
      <c r="C532" s="346"/>
      <c r="D532" s="346"/>
      <c r="E532" s="346"/>
      <c r="F532" s="346"/>
      <c r="G532" s="346"/>
      <c r="H532" s="346"/>
      <c r="I532" s="346"/>
      <c r="J532" s="346"/>
      <c r="K532" s="346"/>
      <c r="L532" s="346"/>
      <c r="M532" s="346"/>
      <c r="N532" s="346"/>
      <c r="O532" s="346"/>
      <c r="P532" s="346"/>
      <c r="Q532" s="346"/>
      <c r="R532" s="346"/>
      <c r="S532" s="346"/>
      <c r="T532" s="346"/>
      <c r="U532" s="346"/>
      <c r="V532" s="346"/>
      <c r="W532" s="346"/>
      <c r="X532" s="346"/>
      <c r="Y532" s="346"/>
      <c r="Z532" s="346"/>
      <c r="AA532" s="346"/>
      <c r="AB532" s="346"/>
      <c r="AC532" s="346"/>
      <c r="AD532" s="346"/>
      <c r="AE532" s="346"/>
      <c r="AF532" s="346"/>
      <c r="AG532" s="346"/>
      <c r="AH532" s="346"/>
      <c r="AI532" s="346"/>
      <c r="AJ532" s="346"/>
      <c r="AK532">
        <f t="shared" si="64"/>
        <v>0</v>
      </c>
      <c r="AL532" s="351">
        <f t="shared" si="61"/>
        <v>0</v>
      </c>
    </row>
    <row r="533" spans="1:38">
      <c r="A533" s="165"/>
      <c r="AK533">
        <f t="shared" si="64"/>
        <v>0</v>
      </c>
      <c r="AL533" s="351">
        <f t="shared" si="61"/>
        <v>0</v>
      </c>
    </row>
    <row r="534" spans="1:38">
      <c r="A534" s="165"/>
      <c r="B534" s="346"/>
      <c r="C534" s="346"/>
      <c r="D534" s="346"/>
      <c r="E534" s="346"/>
      <c r="F534" s="346"/>
      <c r="G534" s="346"/>
      <c r="H534" s="346"/>
      <c r="I534" s="346"/>
      <c r="J534" s="346"/>
      <c r="K534" s="346"/>
      <c r="L534" s="346"/>
      <c r="M534" s="346"/>
      <c r="N534" s="346"/>
      <c r="O534" s="346"/>
      <c r="P534" s="346"/>
      <c r="Q534" s="346"/>
      <c r="R534" s="346"/>
      <c r="S534" s="346"/>
      <c r="T534" s="346"/>
      <c r="U534" s="346"/>
      <c r="V534" s="346"/>
      <c r="W534" s="346"/>
      <c r="X534" s="346"/>
      <c r="Y534" s="346"/>
      <c r="Z534" s="346"/>
      <c r="AA534" s="346"/>
      <c r="AB534" s="346"/>
      <c r="AC534" s="346"/>
      <c r="AD534" s="346"/>
      <c r="AE534" s="346"/>
      <c r="AF534" s="346"/>
      <c r="AG534" s="346"/>
      <c r="AH534" s="346"/>
      <c r="AI534" s="346"/>
      <c r="AJ534" s="346"/>
      <c r="AK534">
        <f t="shared" si="64"/>
        <v>0</v>
      </c>
      <c r="AL534" s="351">
        <f t="shared" si="61"/>
        <v>0</v>
      </c>
    </row>
    <row r="535" spans="1:38">
      <c r="A535" s="165"/>
      <c r="AK535">
        <f t="shared" si="64"/>
        <v>0</v>
      </c>
      <c r="AL535" s="351">
        <f t="shared" si="61"/>
        <v>0</v>
      </c>
    </row>
    <row r="536" spans="1:38">
      <c r="A536" s="165"/>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s="346"/>
      <c r="AA536" s="346"/>
      <c r="AB536" s="346"/>
      <c r="AC536" s="346"/>
      <c r="AD536" s="346"/>
      <c r="AE536" s="346"/>
      <c r="AF536" s="346"/>
      <c r="AG536" s="346"/>
      <c r="AH536" s="346"/>
      <c r="AI536" s="346"/>
      <c r="AJ536" s="346"/>
      <c r="AK536">
        <f t="shared" si="64"/>
        <v>0</v>
      </c>
      <c r="AL536" s="351">
        <f t="shared" si="61"/>
        <v>0</v>
      </c>
    </row>
    <row r="537" spans="1:38">
      <c r="A537" s="165"/>
      <c r="AK537">
        <f t="shared" si="64"/>
        <v>0</v>
      </c>
      <c r="AL537" s="351">
        <f t="shared" si="61"/>
        <v>0</v>
      </c>
    </row>
    <row r="538" spans="1:38">
      <c r="A538" s="165"/>
      <c r="B538" s="346"/>
      <c r="C538" s="346"/>
      <c r="D538" s="346"/>
      <c r="E538" s="346"/>
      <c r="F538" s="346"/>
      <c r="G538" s="346"/>
      <c r="H538" s="346"/>
      <c r="I538" s="346"/>
      <c r="J538" s="346"/>
      <c r="K538" s="346"/>
      <c r="L538" s="346"/>
      <c r="M538" s="346"/>
      <c r="N538" s="346"/>
      <c r="O538" s="346"/>
      <c r="P538" s="346"/>
      <c r="Q538" s="346"/>
      <c r="R538" s="346"/>
      <c r="S538" s="346"/>
      <c r="T538" s="346"/>
      <c r="U538" s="346"/>
      <c r="V538" s="346"/>
      <c r="W538" s="346"/>
      <c r="X538" s="346"/>
      <c r="Y538" s="346"/>
      <c r="Z538" s="346"/>
      <c r="AA538" s="346"/>
      <c r="AB538" s="346"/>
      <c r="AC538" s="346"/>
      <c r="AD538" s="346"/>
      <c r="AE538" s="346"/>
      <c r="AF538" s="346"/>
      <c r="AG538" s="346"/>
      <c r="AH538" s="346"/>
      <c r="AI538" s="346"/>
      <c r="AJ538" s="346"/>
      <c r="AK538">
        <f t="shared" si="64"/>
        <v>0</v>
      </c>
      <c r="AL538" s="351">
        <f t="shared" si="61"/>
        <v>0</v>
      </c>
    </row>
    <row r="539" spans="1:38">
      <c r="A539" s="165"/>
      <c r="AK539">
        <f t="shared" si="64"/>
        <v>0</v>
      </c>
      <c r="AL539" s="351">
        <f t="shared" si="61"/>
        <v>0</v>
      </c>
    </row>
    <row r="540" spans="1:38">
      <c r="A540" s="165"/>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s="346"/>
      <c r="AA540" s="346"/>
      <c r="AB540" s="346"/>
      <c r="AC540" s="346"/>
      <c r="AD540" s="346"/>
      <c r="AE540" s="346"/>
      <c r="AF540" s="346"/>
      <c r="AG540" s="346"/>
      <c r="AH540" s="346"/>
      <c r="AI540" s="346"/>
      <c r="AJ540" s="346"/>
      <c r="AK540">
        <f t="shared" si="64"/>
        <v>0</v>
      </c>
      <c r="AL540" s="351">
        <f t="shared" si="61"/>
        <v>0</v>
      </c>
    </row>
    <row r="541" spans="1:38">
      <c r="A541" s="165"/>
      <c r="AK541">
        <f t="shared" si="64"/>
        <v>0</v>
      </c>
      <c r="AL541" s="351">
        <f t="shared" si="61"/>
        <v>0</v>
      </c>
    </row>
    <row r="542" spans="1:38">
      <c r="A542" s="165"/>
      <c r="B542" s="346"/>
      <c r="C542" s="346"/>
      <c r="D542" s="346"/>
      <c r="E542" s="346"/>
      <c r="F542" s="346"/>
      <c r="G542" s="346"/>
      <c r="H542" s="346"/>
      <c r="I542" s="346"/>
      <c r="J542" s="346"/>
      <c r="K542" s="346"/>
      <c r="L542" s="346"/>
      <c r="M542" s="346"/>
      <c r="N542" s="346"/>
      <c r="O542" s="346"/>
      <c r="P542" s="346"/>
      <c r="Q542" s="346"/>
      <c r="R542" s="346"/>
      <c r="S542" s="346"/>
      <c r="T542" s="346"/>
      <c r="U542" s="346"/>
      <c r="V542" s="346"/>
      <c r="W542" s="346"/>
      <c r="X542" s="346"/>
      <c r="Y542" s="346"/>
      <c r="Z542" s="346"/>
      <c r="AA542" s="346"/>
      <c r="AB542" s="346"/>
      <c r="AC542" s="346"/>
      <c r="AD542" s="346"/>
      <c r="AE542" s="346"/>
      <c r="AF542" s="346"/>
      <c r="AG542" s="346"/>
      <c r="AH542" s="346"/>
      <c r="AI542" s="346"/>
      <c r="AJ542" s="346"/>
      <c r="AK542">
        <f t="shared" si="64"/>
        <v>0</v>
      </c>
      <c r="AL542" s="351">
        <f t="shared" si="61"/>
        <v>0</v>
      </c>
    </row>
    <row r="543" spans="1:38">
      <c r="A543" s="165"/>
      <c r="AK543">
        <f t="shared" si="64"/>
        <v>0</v>
      </c>
      <c r="AL543" s="351">
        <f t="shared" si="61"/>
        <v>0</v>
      </c>
    </row>
    <row r="544" spans="1:38">
      <c r="A544" s="165"/>
      <c r="B544" s="346"/>
      <c r="C544" s="346"/>
      <c r="D544" s="346"/>
      <c r="E544" s="346"/>
      <c r="F544" s="346"/>
      <c r="G544" s="346"/>
      <c r="H544" s="346"/>
      <c r="I544" s="346"/>
      <c r="J544" s="346"/>
      <c r="K544" s="346"/>
      <c r="L544" s="346"/>
      <c r="M544" s="346"/>
      <c r="N544" s="346"/>
      <c r="O544" s="346"/>
      <c r="P544" s="346"/>
      <c r="Q544" s="346"/>
      <c r="R544" s="346"/>
      <c r="S544" s="346"/>
      <c r="T544" s="346"/>
      <c r="U544" s="346"/>
      <c r="V544" s="346"/>
      <c r="W544" s="346"/>
      <c r="X544" s="346"/>
      <c r="Y544" s="346"/>
      <c r="Z544" s="346"/>
      <c r="AA544" s="346"/>
      <c r="AB544" s="346"/>
      <c r="AC544" s="346"/>
      <c r="AD544" s="346"/>
      <c r="AE544" s="346"/>
      <c r="AF544" s="346"/>
      <c r="AG544" s="346"/>
      <c r="AH544" s="346"/>
      <c r="AI544" s="346"/>
      <c r="AJ544" s="346"/>
      <c r="AK544">
        <f t="shared" si="64"/>
        <v>0</v>
      </c>
      <c r="AL544" s="351">
        <f t="shared" si="61"/>
        <v>0</v>
      </c>
    </row>
    <row r="545" spans="1:38">
      <c r="A545" s="165"/>
      <c r="AK545">
        <f t="shared" si="64"/>
        <v>0</v>
      </c>
      <c r="AL545" s="351">
        <f t="shared" si="61"/>
        <v>0</v>
      </c>
    </row>
    <row r="546" spans="1:38">
      <c r="A546" s="165"/>
      <c r="B546" s="346"/>
      <c r="C546" s="346"/>
      <c r="D546" s="346"/>
      <c r="E546" s="346"/>
      <c r="F546" s="346"/>
      <c r="G546" s="346"/>
      <c r="H546" s="346"/>
      <c r="I546" s="346"/>
      <c r="J546" s="346"/>
      <c r="K546" s="346"/>
      <c r="L546" s="346"/>
      <c r="M546" s="346"/>
      <c r="N546" s="346"/>
      <c r="O546" s="346"/>
      <c r="P546" s="346"/>
      <c r="Q546" s="346"/>
      <c r="R546" s="346"/>
      <c r="S546" s="346"/>
      <c r="T546" s="346"/>
      <c r="U546" s="346"/>
      <c r="V546" s="346"/>
      <c r="W546" s="346"/>
      <c r="X546" s="346"/>
      <c r="Y546" s="346"/>
      <c r="Z546" s="346"/>
      <c r="AA546" s="346"/>
      <c r="AB546" s="346"/>
      <c r="AC546" s="346"/>
      <c r="AD546" s="346"/>
      <c r="AE546" s="346"/>
      <c r="AF546" s="346"/>
      <c r="AG546" s="346"/>
      <c r="AH546" s="346"/>
      <c r="AI546" s="346"/>
      <c r="AJ546" s="346"/>
      <c r="AK546">
        <f t="shared" si="64"/>
        <v>0</v>
      </c>
      <c r="AL546" s="351">
        <f t="shared" si="61"/>
        <v>0</v>
      </c>
    </row>
    <row r="547" spans="1:38">
      <c r="A547" s="165"/>
      <c r="AK547">
        <f t="shared" si="64"/>
        <v>0</v>
      </c>
      <c r="AL547" s="351">
        <f t="shared" si="61"/>
        <v>0</v>
      </c>
    </row>
    <row r="548" spans="1:38">
      <c r="A548" s="165"/>
      <c r="B548" s="346"/>
      <c r="C548" s="346"/>
      <c r="D548" s="346"/>
      <c r="E548" s="346"/>
      <c r="F548" s="346"/>
      <c r="G548" s="346"/>
      <c r="H548" s="346"/>
      <c r="I548" s="346"/>
      <c r="J548" s="346"/>
      <c r="K548" s="346"/>
      <c r="L548" s="346"/>
      <c r="M548" s="346"/>
      <c r="N548" s="346"/>
      <c r="O548" s="346"/>
      <c r="P548" s="346"/>
      <c r="Q548" s="346"/>
      <c r="R548" s="346"/>
      <c r="S548" s="346"/>
      <c r="T548" s="346"/>
      <c r="U548" s="346"/>
      <c r="V548" s="346"/>
      <c r="W548" s="346"/>
      <c r="X548" s="346"/>
      <c r="Y548" s="346"/>
      <c r="Z548" s="346"/>
      <c r="AA548" s="346"/>
      <c r="AB548" s="346"/>
      <c r="AC548" s="346"/>
      <c r="AD548" s="346"/>
      <c r="AE548" s="346"/>
      <c r="AF548" s="346"/>
      <c r="AG548" s="346"/>
      <c r="AH548" s="346"/>
      <c r="AI548" s="346"/>
      <c r="AJ548" s="346"/>
      <c r="AK548">
        <f t="shared" si="64"/>
        <v>0</v>
      </c>
      <c r="AL548" s="351">
        <f t="shared" si="61"/>
        <v>0</v>
      </c>
    </row>
    <row r="549" spans="1:38" ht="15">
      <c r="A549" s="347" t="s">
        <v>113</v>
      </c>
      <c r="B549" s="347">
        <f t="shared" ref="B549:AJ549" si="65">SUM(B493:B548)</f>
        <v>111</v>
      </c>
      <c r="C549" s="347">
        <f t="shared" si="65"/>
        <v>10</v>
      </c>
      <c r="D549" s="347">
        <f t="shared" si="65"/>
        <v>0</v>
      </c>
      <c r="E549" s="347">
        <f t="shared" si="65"/>
        <v>0</v>
      </c>
      <c r="F549" s="347">
        <f t="shared" si="65"/>
        <v>40</v>
      </c>
      <c r="G549" s="347">
        <f t="shared" si="65"/>
        <v>0</v>
      </c>
      <c r="H549" s="347">
        <f t="shared" si="65"/>
        <v>14</v>
      </c>
      <c r="I549" s="347">
        <f t="shared" si="65"/>
        <v>0</v>
      </c>
      <c r="J549" s="347">
        <f t="shared" si="65"/>
        <v>0</v>
      </c>
      <c r="K549" s="347">
        <f t="shared" si="65"/>
        <v>0</v>
      </c>
      <c r="L549" s="347">
        <f t="shared" si="65"/>
        <v>0</v>
      </c>
      <c r="M549" s="347">
        <f t="shared" si="65"/>
        <v>0</v>
      </c>
      <c r="N549" s="347">
        <f t="shared" si="65"/>
        <v>4</v>
      </c>
      <c r="O549" s="347">
        <f t="shared" si="65"/>
        <v>0</v>
      </c>
      <c r="P549" s="347">
        <f t="shared" si="65"/>
        <v>1</v>
      </c>
      <c r="Q549" s="347">
        <f t="shared" si="65"/>
        <v>0</v>
      </c>
      <c r="R549" s="347">
        <f t="shared" si="65"/>
        <v>0</v>
      </c>
      <c r="S549" s="347">
        <f t="shared" si="65"/>
        <v>10</v>
      </c>
      <c r="T549" s="347">
        <f t="shared" si="65"/>
        <v>12</v>
      </c>
      <c r="U549" s="347">
        <f t="shared" si="65"/>
        <v>0</v>
      </c>
      <c r="V549" s="347">
        <f t="shared" si="65"/>
        <v>222</v>
      </c>
      <c r="W549" s="347">
        <f t="shared" si="65"/>
        <v>0</v>
      </c>
      <c r="X549" s="347">
        <f t="shared" si="65"/>
        <v>0</v>
      </c>
      <c r="Y549" s="347">
        <f t="shared" si="65"/>
        <v>156</v>
      </c>
      <c r="Z549" s="347">
        <f t="shared" si="65"/>
        <v>15</v>
      </c>
      <c r="AA549" s="347">
        <f t="shared" si="65"/>
        <v>38</v>
      </c>
      <c r="AB549" s="347">
        <f t="shared" si="65"/>
        <v>0</v>
      </c>
      <c r="AC549" s="347">
        <f t="shared" si="65"/>
        <v>3</v>
      </c>
      <c r="AD549" s="347">
        <f t="shared" si="65"/>
        <v>10</v>
      </c>
      <c r="AE549" s="347">
        <f t="shared" si="65"/>
        <v>0</v>
      </c>
      <c r="AF549" s="347">
        <f t="shared" si="65"/>
        <v>19</v>
      </c>
      <c r="AG549" s="347">
        <f t="shared" si="65"/>
        <v>0</v>
      </c>
      <c r="AH549" s="347">
        <f t="shared" si="65"/>
        <v>0</v>
      </c>
      <c r="AI549" s="347">
        <f t="shared" si="65"/>
        <v>0</v>
      </c>
      <c r="AJ549" s="347">
        <f t="shared" si="65"/>
        <v>0</v>
      </c>
      <c r="AK549" s="347">
        <f>SUM(AK493:AK548)</f>
        <v>665</v>
      </c>
      <c r="AL549" s="397">
        <f t="shared" ref="AL549" si="66">SUM(AL493:AL548)</f>
        <v>1.0168195718654434</v>
      </c>
    </row>
    <row r="550" spans="1:38" ht="15.75" thickBot="1">
      <c r="A550" s="348" t="s">
        <v>174</v>
      </c>
      <c r="B550" s="348">
        <f t="shared" ref="B550:H550" si="67">B549/$AK549</f>
        <v>0.16691729323308271</v>
      </c>
      <c r="C550" s="348">
        <f t="shared" si="67"/>
        <v>1.5037593984962405E-2</v>
      </c>
      <c r="D550" s="348">
        <f t="shared" si="67"/>
        <v>0</v>
      </c>
      <c r="E550" s="348">
        <f t="shared" si="67"/>
        <v>0</v>
      </c>
      <c r="F550" s="348">
        <f t="shared" si="67"/>
        <v>6.0150375939849621E-2</v>
      </c>
      <c r="G550" s="348">
        <f t="shared" si="67"/>
        <v>0</v>
      </c>
      <c r="H550" s="348">
        <f t="shared" si="67"/>
        <v>2.1052631578947368E-2</v>
      </c>
      <c r="I550" s="348">
        <f t="shared" ref="I550:AJ550" si="68">I549/$AK549</f>
        <v>0</v>
      </c>
      <c r="J550" s="348">
        <f t="shared" si="68"/>
        <v>0</v>
      </c>
      <c r="K550" s="348">
        <f t="shared" si="68"/>
        <v>0</v>
      </c>
      <c r="L550" s="348">
        <f t="shared" si="68"/>
        <v>0</v>
      </c>
      <c r="M550" s="348">
        <f t="shared" si="68"/>
        <v>0</v>
      </c>
      <c r="N550" s="348">
        <f t="shared" si="68"/>
        <v>6.0150375939849628E-3</v>
      </c>
      <c r="O550" s="348">
        <f t="shared" si="68"/>
        <v>0</v>
      </c>
      <c r="P550" s="348">
        <f t="shared" si="68"/>
        <v>1.5037593984962407E-3</v>
      </c>
      <c r="Q550" s="348">
        <f t="shared" si="68"/>
        <v>0</v>
      </c>
      <c r="R550" s="348">
        <f t="shared" si="68"/>
        <v>0</v>
      </c>
      <c r="S550" s="348">
        <f t="shared" si="68"/>
        <v>1.5037593984962405E-2</v>
      </c>
      <c r="T550" s="348">
        <f t="shared" si="68"/>
        <v>1.8045112781954888E-2</v>
      </c>
      <c r="U550" s="348">
        <f t="shared" si="68"/>
        <v>0</v>
      </c>
      <c r="V550" s="348">
        <f t="shared" si="68"/>
        <v>0.33383458646616543</v>
      </c>
      <c r="W550" s="348">
        <f t="shared" si="68"/>
        <v>0</v>
      </c>
      <c r="X550" s="348">
        <f t="shared" si="68"/>
        <v>0</v>
      </c>
      <c r="Y550" s="348">
        <f t="shared" si="68"/>
        <v>0.23458646616541354</v>
      </c>
      <c r="Z550" s="348">
        <f t="shared" si="68"/>
        <v>2.2556390977443608E-2</v>
      </c>
      <c r="AA550" s="348">
        <f t="shared" si="68"/>
        <v>5.7142857142857141E-2</v>
      </c>
      <c r="AB550" s="348">
        <f t="shared" si="68"/>
        <v>0</v>
      </c>
      <c r="AC550" s="348">
        <f t="shared" si="68"/>
        <v>4.5112781954887221E-3</v>
      </c>
      <c r="AD550" s="348">
        <f t="shared" si="68"/>
        <v>1.5037593984962405E-2</v>
      </c>
      <c r="AE550" s="348">
        <f t="shared" si="68"/>
        <v>0</v>
      </c>
      <c r="AF550" s="348">
        <f t="shared" si="68"/>
        <v>2.8571428571428571E-2</v>
      </c>
      <c r="AG550" s="348">
        <f t="shared" si="68"/>
        <v>0</v>
      </c>
      <c r="AH550" s="348">
        <f t="shared" si="68"/>
        <v>0</v>
      </c>
      <c r="AI550" s="348">
        <f t="shared" si="68"/>
        <v>0</v>
      </c>
      <c r="AJ550" s="348">
        <f t="shared" si="68"/>
        <v>0</v>
      </c>
      <c r="AK550" s="376"/>
      <c r="AL550" s="376"/>
    </row>
    <row r="553" spans="1:38">
      <c r="A553" s="165">
        <f>'Conveyor Downtime (new)'!A556</f>
        <v>46296</v>
      </c>
      <c r="B553" s="346"/>
      <c r="C553" s="346"/>
      <c r="D553" s="346"/>
      <c r="E553" s="346"/>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346"/>
      <c r="AK553">
        <f t="shared" ref="AK553:AK584" si="69">SUM(B553:AJ553)</f>
        <v>0</v>
      </c>
      <c r="AL553" s="351">
        <f t="shared" ref="AL553:AL606" si="70">AK553/$AK$183</f>
        <v>0</v>
      </c>
    </row>
    <row r="554" spans="1:38">
      <c r="A554" s="165">
        <f>'Conveyor Downtime (new)'!A557</f>
        <v>0</v>
      </c>
      <c r="AK554">
        <f t="shared" si="69"/>
        <v>0</v>
      </c>
      <c r="AL554" s="351">
        <f t="shared" si="70"/>
        <v>0</v>
      </c>
    </row>
    <row r="555" spans="1:38">
      <c r="A555" s="165">
        <f>'Conveyor Downtime (new)'!A558</f>
        <v>0</v>
      </c>
      <c r="B555" s="346"/>
      <c r="C555" s="346"/>
      <c r="D555" s="346"/>
      <c r="E555" s="346"/>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346"/>
      <c r="AK555">
        <f t="shared" si="69"/>
        <v>0</v>
      </c>
      <c r="AL555" s="351">
        <f t="shared" si="70"/>
        <v>0</v>
      </c>
    </row>
    <row r="556" spans="1:38">
      <c r="A556" s="165">
        <f>'Conveyor Downtime (new)'!A559</f>
        <v>0</v>
      </c>
      <c r="AK556">
        <f t="shared" si="69"/>
        <v>0</v>
      </c>
      <c r="AL556" s="351">
        <f t="shared" si="70"/>
        <v>0</v>
      </c>
    </row>
    <row r="557" spans="1:38">
      <c r="A557" s="165">
        <f>'Conveyor Downtime (new)'!A560</f>
        <v>0</v>
      </c>
      <c r="B557" s="346"/>
      <c r="C557" s="346"/>
      <c r="D557" s="346"/>
      <c r="E557" s="346"/>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346"/>
      <c r="AK557">
        <f t="shared" si="69"/>
        <v>0</v>
      </c>
      <c r="AL557" s="351">
        <f t="shared" si="70"/>
        <v>0</v>
      </c>
    </row>
    <row r="558" spans="1:38">
      <c r="A558" s="165">
        <f>'Conveyor Downtime (new)'!A561</f>
        <v>0</v>
      </c>
      <c r="AK558">
        <f t="shared" si="69"/>
        <v>0</v>
      </c>
      <c r="AL558" s="351">
        <f t="shared" si="70"/>
        <v>0</v>
      </c>
    </row>
    <row r="559" spans="1:38">
      <c r="A559" s="165">
        <f>'Conveyor Downtime (new)'!A562</f>
        <v>0</v>
      </c>
      <c r="B559" s="346"/>
      <c r="C559" s="346"/>
      <c r="D559" s="346"/>
      <c r="E559" s="346"/>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346"/>
      <c r="AK559">
        <f t="shared" si="69"/>
        <v>0</v>
      </c>
      <c r="AL559" s="351">
        <f t="shared" si="70"/>
        <v>0</v>
      </c>
    </row>
    <row r="560" spans="1:38">
      <c r="A560" s="165">
        <f>'Conveyor Downtime (new)'!A563</f>
        <v>0</v>
      </c>
      <c r="AK560">
        <f t="shared" si="69"/>
        <v>0</v>
      </c>
      <c r="AL560" s="351">
        <f t="shared" si="70"/>
        <v>0</v>
      </c>
    </row>
    <row r="561" spans="1:38">
      <c r="A561" s="165">
        <f>'Conveyor Downtime (new)'!A564</f>
        <v>0</v>
      </c>
      <c r="B561" s="346"/>
      <c r="C561" s="346"/>
      <c r="D561" s="346"/>
      <c r="E561" s="346"/>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f t="shared" si="69"/>
        <v>0</v>
      </c>
      <c r="AL561" s="351">
        <f t="shared" si="70"/>
        <v>0</v>
      </c>
    </row>
    <row r="562" spans="1:38">
      <c r="A562" s="165">
        <f>'Conveyor Downtime (new)'!A565</f>
        <v>0</v>
      </c>
      <c r="AK562">
        <f t="shared" si="69"/>
        <v>0</v>
      </c>
      <c r="AL562" s="351">
        <f t="shared" si="70"/>
        <v>0</v>
      </c>
    </row>
    <row r="563" spans="1:38">
      <c r="A563" s="165">
        <f>'Conveyor Downtime (new)'!A566</f>
        <v>0</v>
      </c>
      <c r="B563" s="346"/>
      <c r="C563" s="346"/>
      <c r="D563" s="346"/>
      <c r="E563" s="346"/>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f t="shared" si="69"/>
        <v>0</v>
      </c>
      <c r="AL563" s="351">
        <f t="shared" si="70"/>
        <v>0</v>
      </c>
    </row>
    <row r="564" spans="1:38">
      <c r="A564" s="165">
        <f>'[3]Conveyor Downtime (new)'!A565</f>
        <v>45937</v>
      </c>
      <c r="AK564">
        <f t="shared" si="69"/>
        <v>0</v>
      </c>
      <c r="AL564" s="351">
        <f t="shared" si="70"/>
        <v>0</v>
      </c>
    </row>
    <row r="565" spans="1:38">
      <c r="A565" s="165">
        <f>'[3]Conveyor Downtime (new)'!A566</f>
        <v>45937</v>
      </c>
      <c r="B565" s="346"/>
      <c r="C565" s="346"/>
      <c r="D565" s="346"/>
      <c r="E565" s="346"/>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f t="shared" si="69"/>
        <v>0</v>
      </c>
      <c r="AL565" s="351">
        <f t="shared" si="70"/>
        <v>0</v>
      </c>
    </row>
    <row r="566" spans="1:38">
      <c r="A566" s="165">
        <f>'Conveyor Downtime (new)'!A569</f>
        <v>0</v>
      </c>
      <c r="AK566">
        <f t="shared" si="69"/>
        <v>0</v>
      </c>
      <c r="AL566" s="351">
        <f t="shared" si="70"/>
        <v>0</v>
      </c>
    </row>
    <row r="567" spans="1:38">
      <c r="A567" s="165">
        <f>'Conveyor Downtime (new)'!A570</f>
        <v>0</v>
      </c>
      <c r="B567" s="346"/>
      <c r="C567" s="346"/>
      <c r="D567" s="346"/>
      <c r="E567" s="346"/>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f t="shared" si="69"/>
        <v>0</v>
      </c>
      <c r="AL567" s="351">
        <f t="shared" si="70"/>
        <v>0</v>
      </c>
    </row>
    <row r="568" spans="1:38">
      <c r="A568" s="165">
        <f>'Conveyor Downtime (new)'!A571</f>
        <v>0</v>
      </c>
      <c r="AK568">
        <f t="shared" si="69"/>
        <v>0</v>
      </c>
      <c r="AL568" s="351">
        <f t="shared" si="70"/>
        <v>0</v>
      </c>
    </row>
    <row r="569" spans="1:38">
      <c r="A569" s="165">
        <f>'Conveyor Downtime (new)'!A572</f>
        <v>0</v>
      </c>
      <c r="B569" s="346"/>
      <c r="C569" s="346"/>
      <c r="D569" s="346"/>
      <c r="E569" s="346"/>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f t="shared" si="69"/>
        <v>0</v>
      </c>
      <c r="AL569" s="351">
        <f t="shared" si="70"/>
        <v>0</v>
      </c>
    </row>
    <row r="570" spans="1:38">
      <c r="A570" s="165">
        <f>'Conveyor Downtime (new)'!A573</f>
        <v>0</v>
      </c>
      <c r="AK570">
        <f t="shared" si="69"/>
        <v>0</v>
      </c>
      <c r="AL570" s="351">
        <f t="shared" si="70"/>
        <v>0</v>
      </c>
    </row>
    <row r="571" spans="1:38">
      <c r="A571" s="165">
        <f>'Conveyor Downtime (new)'!A574</f>
        <v>0</v>
      </c>
      <c r="B571" s="346"/>
      <c r="C571" s="346"/>
      <c r="D571" s="346"/>
      <c r="E571" s="346"/>
      <c r="F571" s="346"/>
      <c r="G571" s="346"/>
      <c r="H571" s="346"/>
      <c r="I571" s="346"/>
      <c r="J571" s="346"/>
      <c r="K571" s="346"/>
      <c r="L571" s="346"/>
      <c r="M571" s="346"/>
      <c r="N571" s="346"/>
      <c r="O571" s="346"/>
      <c r="P571" s="346"/>
      <c r="Q571" s="346"/>
      <c r="R571" s="346"/>
      <c r="S571" s="346"/>
      <c r="T571" s="77"/>
      <c r="U571" s="346"/>
      <c r="V571" s="346"/>
      <c r="W571" s="346"/>
      <c r="X571" s="346"/>
      <c r="Y571" s="346"/>
      <c r="Z571" s="346"/>
      <c r="AA571" s="346"/>
      <c r="AB571" s="346"/>
      <c r="AC571" s="346"/>
      <c r="AD571" s="346"/>
      <c r="AE571" s="346"/>
      <c r="AF571" s="346"/>
      <c r="AG571" s="346"/>
      <c r="AH571" s="346"/>
      <c r="AI571" s="346"/>
      <c r="AJ571" s="346"/>
      <c r="AK571">
        <f t="shared" si="69"/>
        <v>0</v>
      </c>
      <c r="AL571" s="351">
        <f t="shared" si="70"/>
        <v>0</v>
      </c>
    </row>
    <row r="572" spans="1:38">
      <c r="A572" s="165">
        <f>'Conveyor Downtime (new)'!A575</f>
        <v>0</v>
      </c>
      <c r="AE572" s="77"/>
      <c r="AK572">
        <f t="shared" si="69"/>
        <v>0</v>
      </c>
      <c r="AL572" s="351">
        <f t="shared" si="70"/>
        <v>0</v>
      </c>
    </row>
    <row r="573" spans="1:38">
      <c r="A573" s="165">
        <f>'Conveyor Downtime (new)'!A576</f>
        <v>0</v>
      </c>
      <c r="B573" s="346"/>
      <c r="C573" s="346"/>
      <c r="D573" s="346"/>
      <c r="E573" s="346"/>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f t="shared" si="69"/>
        <v>0</v>
      </c>
      <c r="AL573" s="351">
        <f t="shared" si="70"/>
        <v>0</v>
      </c>
    </row>
    <row r="574" spans="1:38">
      <c r="A574" s="165">
        <f>'Conveyor Downtime (new)'!A577</f>
        <v>0</v>
      </c>
      <c r="AK574">
        <f t="shared" si="69"/>
        <v>0</v>
      </c>
      <c r="AL574" s="351">
        <f t="shared" si="70"/>
        <v>0</v>
      </c>
    </row>
    <row r="575" spans="1:38">
      <c r="A575" s="165">
        <f>'Conveyor Downtime (new)'!A578</f>
        <v>0</v>
      </c>
      <c r="B575" s="346"/>
      <c r="C575" s="346"/>
      <c r="D575" s="346"/>
      <c r="E575" s="346"/>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f t="shared" si="69"/>
        <v>0</v>
      </c>
      <c r="AL575" s="351">
        <f t="shared" si="70"/>
        <v>0</v>
      </c>
    </row>
    <row r="576" spans="1:38">
      <c r="A576" s="165">
        <f>'Conveyor Downtime (new)'!A579</f>
        <v>0</v>
      </c>
      <c r="AK576">
        <f t="shared" si="69"/>
        <v>0</v>
      </c>
      <c r="AL576" s="351">
        <f t="shared" si="70"/>
        <v>0</v>
      </c>
    </row>
    <row r="577" spans="1:38">
      <c r="A577" s="165">
        <f>'Conveyor Downtime (new)'!A580</f>
        <v>0</v>
      </c>
      <c r="B577" s="346"/>
      <c r="C577" s="346"/>
      <c r="D577" s="346"/>
      <c r="E577" s="346"/>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f t="shared" si="69"/>
        <v>0</v>
      </c>
      <c r="AL577" s="351">
        <f t="shared" si="70"/>
        <v>0</v>
      </c>
    </row>
    <row r="578" spans="1:38">
      <c r="A578" s="165">
        <f>'Conveyor Downtime (new)'!A581</f>
        <v>0</v>
      </c>
      <c r="AK578">
        <f t="shared" si="69"/>
        <v>0</v>
      </c>
      <c r="AL578" s="360">
        <f t="shared" si="70"/>
        <v>0</v>
      </c>
    </row>
    <row r="579" spans="1:38">
      <c r="A579" s="165">
        <f>'Conveyor Downtime (new)'!A582</f>
        <v>0</v>
      </c>
      <c r="B579" s="346"/>
      <c r="C579" s="346"/>
      <c r="D579" s="346"/>
      <c r="E579" s="346"/>
      <c r="F579" s="346"/>
      <c r="G579" s="346"/>
      <c r="H579" s="346"/>
      <c r="I579" s="346"/>
      <c r="J579" s="346"/>
      <c r="K579" s="346"/>
      <c r="L579" s="346"/>
      <c r="M579" s="346"/>
      <c r="N579" s="346"/>
      <c r="O579" s="346"/>
      <c r="P579" s="346"/>
      <c r="Q579" s="346"/>
      <c r="R579" s="346"/>
      <c r="S579" s="346"/>
      <c r="T579" s="77"/>
      <c r="U579" s="346"/>
      <c r="V579" s="346"/>
      <c r="W579" s="346"/>
      <c r="X579" s="346"/>
      <c r="Y579" s="346"/>
      <c r="Z579" s="346"/>
      <c r="AA579" s="346"/>
      <c r="AB579" s="346"/>
      <c r="AC579" s="346"/>
      <c r="AD579" s="346"/>
      <c r="AE579" s="346"/>
      <c r="AF579" s="346"/>
      <c r="AG579" s="346"/>
      <c r="AH579" s="346"/>
      <c r="AI579" s="346"/>
      <c r="AJ579" s="346"/>
      <c r="AK579">
        <f t="shared" si="69"/>
        <v>0</v>
      </c>
      <c r="AL579" s="351">
        <f t="shared" si="70"/>
        <v>0</v>
      </c>
    </row>
    <row r="580" spans="1:38">
      <c r="A580" s="165">
        <f>'Conveyor Downtime (new)'!A583</f>
        <v>0</v>
      </c>
      <c r="AK580">
        <f t="shared" si="69"/>
        <v>0</v>
      </c>
      <c r="AL580" s="351">
        <f t="shared" si="70"/>
        <v>0</v>
      </c>
    </row>
    <row r="581" spans="1:38">
      <c r="A581" s="165">
        <f>'Conveyor Downtime (new)'!A584</f>
        <v>0</v>
      </c>
      <c r="B581" s="346"/>
      <c r="C581" s="346"/>
      <c r="D581" s="346"/>
      <c r="E581" s="346"/>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f t="shared" si="69"/>
        <v>0</v>
      </c>
      <c r="AL581" s="351">
        <f t="shared" si="70"/>
        <v>0</v>
      </c>
    </row>
    <row r="582" spans="1:38">
      <c r="A582" s="165">
        <f>'Conveyor Downtime (new)'!A585</f>
        <v>0</v>
      </c>
      <c r="AK582">
        <f t="shared" si="69"/>
        <v>0</v>
      </c>
      <c r="AL582" s="351">
        <f t="shared" si="70"/>
        <v>0</v>
      </c>
    </row>
    <row r="583" spans="1:38">
      <c r="A583" s="165">
        <f>'Conveyor Downtime (new)'!A586</f>
        <v>0</v>
      </c>
      <c r="B583" s="346"/>
      <c r="C583" s="346"/>
      <c r="D583" s="346"/>
      <c r="E583" s="346"/>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s="346"/>
      <c r="AE583" s="346"/>
      <c r="AF583" s="346"/>
      <c r="AG583" s="346"/>
      <c r="AH583" s="346"/>
      <c r="AI583" s="346"/>
      <c r="AJ583" s="346"/>
      <c r="AK583">
        <f t="shared" si="69"/>
        <v>0</v>
      </c>
      <c r="AL583" s="351">
        <f t="shared" si="70"/>
        <v>0</v>
      </c>
    </row>
    <row r="584" spans="1:38">
      <c r="A584" s="165">
        <f>'Conveyor Downtime (new)'!A587</f>
        <v>0</v>
      </c>
      <c r="AK584">
        <f t="shared" si="69"/>
        <v>0</v>
      </c>
      <c r="AL584" s="351">
        <f t="shared" si="70"/>
        <v>0</v>
      </c>
    </row>
    <row r="585" spans="1:38">
      <c r="A585" s="165">
        <f>'Conveyor Downtime (new)'!A588</f>
        <v>0</v>
      </c>
      <c r="B585" s="346"/>
      <c r="C585" s="346"/>
      <c r="D585" s="346"/>
      <c r="E585" s="346"/>
      <c r="F585" s="346"/>
      <c r="G585" s="346"/>
      <c r="H585" s="346"/>
      <c r="I585" s="346"/>
      <c r="J585" s="346"/>
      <c r="K585" s="346"/>
      <c r="L585" s="346"/>
      <c r="M585" s="346"/>
      <c r="N585" s="346"/>
      <c r="O585" s="346"/>
      <c r="P585" s="346"/>
      <c r="Q585" s="346"/>
      <c r="R585" s="346"/>
      <c r="S585" s="346"/>
      <c r="T585" s="77"/>
      <c r="U585" s="346"/>
      <c r="V585" s="346"/>
      <c r="W585" s="346"/>
      <c r="X585" s="346"/>
      <c r="Y585" s="346"/>
      <c r="Z585" s="346"/>
      <c r="AA585" s="346"/>
      <c r="AB585" s="346"/>
      <c r="AC585" s="346"/>
      <c r="AD585" s="346"/>
      <c r="AE585" s="77"/>
      <c r="AF585" s="346"/>
      <c r="AG585" s="346"/>
      <c r="AH585" s="346"/>
      <c r="AI585" s="346"/>
      <c r="AJ585" s="346"/>
      <c r="AK585">
        <f t="shared" ref="AK585:AK606" si="71">SUM(B585:AJ585)</f>
        <v>0</v>
      </c>
      <c r="AL585" s="351">
        <f t="shared" si="70"/>
        <v>0</v>
      </c>
    </row>
    <row r="586" spans="1:38">
      <c r="A586" s="165">
        <f>'Conveyor Downtime (new)'!A589</f>
        <v>0</v>
      </c>
      <c r="AK586">
        <f t="shared" si="71"/>
        <v>0</v>
      </c>
      <c r="AL586" s="351">
        <f t="shared" si="70"/>
        <v>0</v>
      </c>
    </row>
    <row r="587" spans="1:38">
      <c r="A587" s="165">
        <f>'Conveyor Downtime (new)'!A590</f>
        <v>0</v>
      </c>
      <c r="B587" s="346"/>
      <c r="C587" s="346"/>
      <c r="D587" s="346"/>
      <c r="E587" s="346"/>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s="346"/>
      <c r="AE587" s="346"/>
      <c r="AF587" s="346"/>
      <c r="AG587" s="346"/>
      <c r="AH587" s="346"/>
      <c r="AI587" s="346"/>
      <c r="AJ587" s="346"/>
      <c r="AK587">
        <f t="shared" si="71"/>
        <v>0</v>
      </c>
      <c r="AL587" s="351">
        <f t="shared" si="70"/>
        <v>0</v>
      </c>
    </row>
    <row r="588" spans="1:38">
      <c r="A588" s="165">
        <f>'Conveyor Downtime (new)'!A591</f>
        <v>0</v>
      </c>
      <c r="AK588">
        <f t="shared" si="71"/>
        <v>0</v>
      </c>
      <c r="AL588" s="351">
        <f t="shared" si="70"/>
        <v>0</v>
      </c>
    </row>
    <row r="589" spans="1:38">
      <c r="A589" s="165">
        <f>'Conveyor Downtime (new)'!A592</f>
        <v>0</v>
      </c>
      <c r="B589" s="346"/>
      <c r="C589" s="346"/>
      <c r="D589" s="346"/>
      <c r="E589" s="346"/>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s="346"/>
      <c r="AE589" s="346"/>
      <c r="AF589" s="346"/>
      <c r="AG589" s="346"/>
      <c r="AH589" s="346"/>
      <c r="AI589" s="346"/>
      <c r="AJ589" s="346"/>
      <c r="AK589">
        <f t="shared" si="71"/>
        <v>0</v>
      </c>
      <c r="AL589" s="351">
        <f t="shared" si="70"/>
        <v>0</v>
      </c>
    </row>
    <row r="590" spans="1:38">
      <c r="A590" s="165">
        <f>'Conveyor Downtime (new)'!A593</f>
        <v>0</v>
      </c>
      <c r="AK590">
        <f t="shared" si="71"/>
        <v>0</v>
      </c>
      <c r="AL590" s="351">
        <f t="shared" si="70"/>
        <v>0</v>
      </c>
    </row>
    <row r="591" spans="1:38">
      <c r="A591" s="165">
        <f>'Conveyor Downtime (new)'!A594</f>
        <v>0</v>
      </c>
      <c r="B591" s="346"/>
      <c r="C591" s="346"/>
      <c r="D591" s="346"/>
      <c r="E591" s="346"/>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s="346"/>
      <c r="AE591" s="346"/>
      <c r="AF591" s="346"/>
      <c r="AG591" s="346"/>
      <c r="AH591" s="346"/>
      <c r="AI591" s="346"/>
      <c r="AJ591" s="346"/>
      <c r="AK591">
        <f t="shared" si="71"/>
        <v>0</v>
      </c>
      <c r="AL591" s="351">
        <f t="shared" si="70"/>
        <v>0</v>
      </c>
    </row>
    <row r="592" spans="1:38">
      <c r="A592" s="165">
        <f>'Conveyor Downtime (new)'!A595</f>
        <v>0</v>
      </c>
      <c r="AK592">
        <f t="shared" si="71"/>
        <v>0</v>
      </c>
      <c r="AL592" s="351">
        <f t="shared" si="70"/>
        <v>0</v>
      </c>
    </row>
    <row r="593" spans="1:38">
      <c r="A593" s="165">
        <f>'Conveyor Downtime (new)'!A596</f>
        <v>0</v>
      </c>
      <c r="B593" s="346"/>
      <c r="C593" s="346"/>
      <c r="D593" s="346"/>
      <c r="E593" s="346"/>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s="346"/>
      <c r="AE593" s="346"/>
      <c r="AF593" s="346"/>
      <c r="AG593" s="346"/>
      <c r="AH593" s="346"/>
      <c r="AI593" s="346"/>
      <c r="AJ593" s="346"/>
      <c r="AK593">
        <f t="shared" si="71"/>
        <v>0</v>
      </c>
      <c r="AL593" s="351">
        <f t="shared" si="70"/>
        <v>0</v>
      </c>
    </row>
    <row r="594" spans="1:38">
      <c r="A594" s="165">
        <f>'Conveyor Downtime (new)'!A597</f>
        <v>0</v>
      </c>
      <c r="AK594">
        <f t="shared" si="71"/>
        <v>0</v>
      </c>
      <c r="AL594" s="351">
        <f t="shared" si="70"/>
        <v>0</v>
      </c>
    </row>
    <row r="595" spans="1:38">
      <c r="A595" s="165">
        <f>'Conveyor Downtime (new)'!A598</f>
        <v>0</v>
      </c>
      <c r="B595" s="346"/>
      <c r="C595" s="346"/>
      <c r="D595" s="346"/>
      <c r="E595" s="346"/>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s="346"/>
      <c r="AE595" s="346"/>
      <c r="AF595" s="346"/>
      <c r="AG595" s="346"/>
      <c r="AH595" s="346"/>
      <c r="AI595" s="346"/>
      <c r="AJ595" s="346"/>
      <c r="AK595">
        <f t="shared" si="71"/>
        <v>0</v>
      </c>
      <c r="AL595" s="351">
        <f t="shared" si="70"/>
        <v>0</v>
      </c>
    </row>
    <row r="596" spans="1:38">
      <c r="A596" s="165">
        <f>'Conveyor Downtime (new)'!A599</f>
        <v>0</v>
      </c>
      <c r="AK596">
        <f t="shared" si="71"/>
        <v>0</v>
      </c>
      <c r="AL596" s="351">
        <f t="shared" si="70"/>
        <v>0</v>
      </c>
    </row>
    <row r="597" spans="1:38">
      <c r="A597" s="165">
        <f>'Conveyor Downtime (new)'!A600</f>
        <v>0</v>
      </c>
      <c r="B597" s="346"/>
      <c r="C597" s="346"/>
      <c r="D597" s="346"/>
      <c r="E597" s="346"/>
      <c r="F597" s="346"/>
      <c r="G597" s="346"/>
      <c r="H597" s="346"/>
      <c r="I597" s="346"/>
      <c r="J597" s="346"/>
      <c r="K597" s="346"/>
      <c r="L597" s="346"/>
      <c r="M597" s="346"/>
      <c r="N597" s="346"/>
      <c r="O597" s="346"/>
      <c r="P597" s="346"/>
      <c r="Q597" s="346"/>
      <c r="R597" s="346"/>
      <c r="S597" s="346"/>
      <c r="T597" s="346"/>
      <c r="U597" s="346"/>
      <c r="V597" s="346"/>
      <c r="W597" s="346"/>
      <c r="X597" s="346"/>
      <c r="Y597" s="346"/>
      <c r="Z597" s="346"/>
      <c r="AA597" s="346"/>
      <c r="AB597" s="346"/>
      <c r="AC597" s="346"/>
      <c r="AD597" s="346"/>
      <c r="AE597" s="346"/>
      <c r="AF597" s="346"/>
      <c r="AG597" s="346"/>
      <c r="AH597" s="346"/>
      <c r="AI597" s="346"/>
      <c r="AJ597" s="346"/>
      <c r="AK597">
        <f t="shared" si="71"/>
        <v>0</v>
      </c>
      <c r="AL597" s="351">
        <f t="shared" si="70"/>
        <v>0</v>
      </c>
    </row>
    <row r="598" spans="1:38">
      <c r="A598" s="165">
        <f>'Conveyor Downtime (new)'!A601</f>
        <v>0</v>
      </c>
      <c r="AK598">
        <f t="shared" si="71"/>
        <v>0</v>
      </c>
      <c r="AL598" s="351">
        <f t="shared" si="70"/>
        <v>0</v>
      </c>
    </row>
    <row r="599" spans="1:38">
      <c r="A599" s="165">
        <f>'Conveyor Downtime (new)'!A602</f>
        <v>0</v>
      </c>
      <c r="B599" s="346"/>
      <c r="C599" s="346"/>
      <c r="D599" s="346"/>
      <c r="E599" s="346"/>
      <c r="F599" s="346"/>
      <c r="G599" s="346"/>
      <c r="H599" s="346"/>
      <c r="I599" s="346"/>
      <c r="J599" s="346"/>
      <c r="K599" s="346"/>
      <c r="L599" s="346"/>
      <c r="M599" s="346"/>
      <c r="N599" s="346"/>
      <c r="O599" s="346"/>
      <c r="P599" s="346"/>
      <c r="Q599" s="346"/>
      <c r="R599" s="346"/>
      <c r="S599" s="346"/>
      <c r="T599" s="346"/>
      <c r="U599" s="346"/>
      <c r="V599" s="346"/>
      <c r="W599" s="346"/>
      <c r="X599" s="346"/>
      <c r="Y599" s="346"/>
      <c r="Z599" s="346"/>
      <c r="AA599" s="346"/>
      <c r="AB599" s="346"/>
      <c r="AC599" s="346"/>
      <c r="AD599" s="346"/>
      <c r="AE599" s="346"/>
      <c r="AF599" s="346"/>
      <c r="AG599" s="346"/>
      <c r="AH599" s="346"/>
      <c r="AI599" s="346"/>
      <c r="AJ599" s="346"/>
      <c r="AK599">
        <f t="shared" si="71"/>
        <v>0</v>
      </c>
      <c r="AL599" s="351">
        <f t="shared" si="70"/>
        <v>0</v>
      </c>
    </row>
    <row r="600" spans="1:38">
      <c r="A600" s="165">
        <f>'Conveyor Downtime (new)'!A603</f>
        <v>0</v>
      </c>
      <c r="AK600">
        <f t="shared" si="71"/>
        <v>0</v>
      </c>
      <c r="AL600" s="351">
        <f t="shared" si="70"/>
        <v>0</v>
      </c>
    </row>
    <row r="601" spans="1:38">
      <c r="A601" s="165">
        <f>'Conveyor Downtime (new)'!A604</f>
        <v>0</v>
      </c>
      <c r="B601" s="346"/>
      <c r="C601" s="346"/>
      <c r="D601" s="346"/>
      <c r="E601" s="346"/>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s="346"/>
      <c r="AE601" s="346"/>
      <c r="AF601" s="346"/>
      <c r="AG601" s="346"/>
      <c r="AH601" s="346"/>
      <c r="AI601" s="346"/>
      <c r="AJ601" s="346"/>
      <c r="AK601">
        <f t="shared" si="71"/>
        <v>0</v>
      </c>
      <c r="AL601" s="351">
        <f t="shared" si="70"/>
        <v>0</v>
      </c>
    </row>
    <row r="602" spans="1:38">
      <c r="A602" s="165">
        <f>'Conveyor Downtime (new)'!A605</f>
        <v>0</v>
      </c>
      <c r="AK602">
        <f t="shared" si="71"/>
        <v>0</v>
      </c>
      <c r="AL602" s="351">
        <f t="shared" si="70"/>
        <v>0</v>
      </c>
    </row>
    <row r="603" spans="1:38">
      <c r="A603" s="165">
        <f>'Conveyor Downtime (new)'!A606</f>
        <v>0</v>
      </c>
      <c r="B603" s="346"/>
      <c r="C603" s="346"/>
      <c r="D603" s="346"/>
      <c r="E603" s="346"/>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s="346"/>
      <c r="AE603" s="346"/>
      <c r="AF603" s="346"/>
      <c r="AG603" s="346"/>
      <c r="AH603" s="346"/>
      <c r="AI603" s="346"/>
      <c r="AJ603" s="346"/>
      <c r="AK603">
        <f t="shared" si="71"/>
        <v>0</v>
      </c>
      <c r="AL603" s="351">
        <f t="shared" si="70"/>
        <v>0</v>
      </c>
    </row>
    <row r="604" spans="1:38">
      <c r="A604" s="165">
        <f>'Conveyor Downtime (new)'!A607</f>
        <v>0</v>
      </c>
      <c r="AK604">
        <f t="shared" si="71"/>
        <v>0</v>
      </c>
      <c r="AL604" s="351">
        <f t="shared" si="70"/>
        <v>0</v>
      </c>
    </row>
    <row r="605" spans="1:38">
      <c r="A605" s="165"/>
      <c r="B605" s="346"/>
      <c r="C605" s="346"/>
      <c r="D605" s="346"/>
      <c r="E605" s="346"/>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s="346"/>
      <c r="AE605" s="346"/>
      <c r="AF605" s="346"/>
      <c r="AG605" s="346"/>
      <c r="AH605" s="346"/>
      <c r="AI605" s="346"/>
      <c r="AJ605" s="346"/>
      <c r="AK605">
        <f t="shared" si="71"/>
        <v>0</v>
      </c>
      <c r="AL605" s="351">
        <f t="shared" si="70"/>
        <v>0</v>
      </c>
    </row>
    <row r="606" spans="1:38">
      <c r="A606" s="165"/>
      <c r="AK606">
        <f t="shared" si="71"/>
        <v>0</v>
      </c>
      <c r="AL606" s="351">
        <f t="shared" si="70"/>
        <v>0</v>
      </c>
    </row>
    <row r="607" spans="1:38" ht="15">
      <c r="A607" s="347" t="s">
        <v>113</v>
      </c>
      <c r="B607" s="347">
        <f>SUM(B553:B606)</f>
        <v>0</v>
      </c>
      <c r="C607" s="347">
        <f t="shared" ref="C607:AK607" si="72">SUM(C553:C606)</f>
        <v>0</v>
      </c>
      <c r="D607" s="347">
        <f t="shared" si="72"/>
        <v>0</v>
      </c>
      <c r="E607" s="347">
        <f t="shared" si="72"/>
        <v>0</v>
      </c>
      <c r="F607" s="347">
        <f t="shared" si="72"/>
        <v>0</v>
      </c>
      <c r="G607" s="347">
        <f t="shared" si="72"/>
        <v>0</v>
      </c>
      <c r="H607" s="347">
        <f t="shared" si="72"/>
        <v>0</v>
      </c>
      <c r="I607" s="347">
        <f t="shared" si="72"/>
        <v>0</v>
      </c>
      <c r="J607" s="347">
        <f t="shared" si="72"/>
        <v>0</v>
      </c>
      <c r="K607" s="347">
        <f t="shared" si="72"/>
        <v>0</v>
      </c>
      <c r="L607" s="347">
        <f t="shared" si="72"/>
        <v>0</v>
      </c>
      <c r="M607" s="347">
        <f t="shared" si="72"/>
        <v>0</v>
      </c>
      <c r="N607" s="347">
        <f t="shared" si="72"/>
        <v>0</v>
      </c>
      <c r="O607" s="347">
        <f t="shared" si="72"/>
        <v>0</v>
      </c>
      <c r="P607" s="347">
        <f t="shared" si="72"/>
        <v>0</v>
      </c>
      <c r="Q607" s="347">
        <f t="shared" si="72"/>
        <v>0</v>
      </c>
      <c r="R607" s="347">
        <f t="shared" si="72"/>
        <v>0</v>
      </c>
      <c r="S607" s="347">
        <f t="shared" si="72"/>
        <v>0</v>
      </c>
      <c r="T607" s="347">
        <f t="shared" si="72"/>
        <v>0</v>
      </c>
      <c r="U607" s="347">
        <f t="shared" si="72"/>
        <v>0</v>
      </c>
      <c r="V607" s="347">
        <f t="shared" si="72"/>
        <v>0</v>
      </c>
      <c r="W607" s="347">
        <f t="shared" si="72"/>
        <v>0</v>
      </c>
      <c r="X607" s="347">
        <f t="shared" si="72"/>
        <v>0</v>
      </c>
      <c r="Y607" s="347">
        <f t="shared" si="72"/>
        <v>0</v>
      </c>
      <c r="Z607" s="347">
        <f t="shared" si="72"/>
        <v>0</v>
      </c>
      <c r="AA607" s="347">
        <f t="shared" si="72"/>
        <v>0</v>
      </c>
      <c r="AB607" s="347">
        <f t="shared" si="72"/>
        <v>0</v>
      </c>
      <c r="AC607" s="347">
        <f t="shared" si="72"/>
        <v>0</v>
      </c>
      <c r="AD607" s="347">
        <f t="shared" si="72"/>
        <v>0</v>
      </c>
      <c r="AE607" s="347">
        <f t="shared" si="72"/>
        <v>0</v>
      </c>
      <c r="AF607" s="347">
        <f t="shared" si="72"/>
        <v>0</v>
      </c>
      <c r="AG607" s="347">
        <f t="shared" si="72"/>
        <v>0</v>
      </c>
      <c r="AH607" s="347">
        <f t="shared" si="72"/>
        <v>0</v>
      </c>
      <c r="AI607" s="347">
        <f t="shared" si="72"/>
        <v>0</v>
      </c>
      <c r="AJ607" s="347">
        <f t="shared" si="72"/>
        <v>0</v>
      </c>
      <c r="AK607" s="347">
        <f t="shared" si="72"/>
        <v>0</v>
      </c>
      <c r="AL607" s="397">
        <f>SUM(AL553:AL606)</f>
        <v>0</v>
      </c>
    </row>
    <row r="608" spans="1:38" ht="15.75" thickBot="1">
      <c r="A608" s="348" t="s">
        <v>174</v>
      </c>
      <c r="B608" s="348" t="e">
        <f t="shared" ref="B608:H608" si="73">B607/$AK607</f>
        <v>#DIV/0!</v>
      </c>
      <c r="C608" s="348" t="e">
        <f t="shared" si="73"/>
        <v>#DIV/0!</v>
      </c>
      <c r="D608" s="348" t="e">
        <f t="shared" si="73"/>
        <v>#DIV/0!</v>
      </c>
      <c r="E608" s="348" t="e">
        <f t="shared" si="73"/>
        <v>#DIV/0!</v>
      </c>
      <c r="F608" s="348" t="e">
        <f t="shared" si="73"/>
        <v>#DIV/0!</v>
      </c>
      <c r="G608" s="348" t="e">
        <f t="shared" si="73"/>
        <v>#DIV/0!</v>
      </c>
      <c r="H608" s="348" t="e">
        <f t="shared" si="73"/>
        <v>#DIV/0!</v>
      </c>
      <c r="I608" s="348" t="e">
        <f t="shared" ref="I608:AJ608" si="74">I607/$AK607</f>
        <v>#DIV/0!</v>
      </c>
      <c r="J608" s="348" t="e">
        <f t="shared" si="74"/>
        <v>#DIV/0!</v>
      </c>
      <c r="K608" s="348" t="e">
        <f t="shared" si="74"/>
        <v>#DIV/0!</v>
      </c>
      <c r="L608" s="348" t="e">
        <f t="shared" si="74"/>
        <v>#DIV/0!</v>
      </c>
      <c r="M608" s="348" t="e">
        <f t="shared" si="74"/>
        <v>#DIV/0!</v>
      </c>
      <c r="N608" s="348" t="e">
        <f t="shared" si="74"/>
        <v>#DIV/0!</v>
      </c>
      <c r="O608" s="348" t="e">
        <f t="shared" si="74"/>
        <v>#DIV/0!</v>
      </c>
      <c r="P608" s="348" t="e">
        <f t="shared" si="74"/>
        <v>#DIV/0!</v>
      </c>
      <c r="Q608" s="348" t="e">
        <f t="shared" si="74"/>
        <v>#DIV/0!</v>
      </c>
      <c r="R608" s="348" t="e">
        <f t="shared" si="74"/>
        <v>#DIV/0!</v>
      </c>
      <c r="S608" s="348" t="e">
        <f t="shared" si="74"/>
        <v>#DIV/0!</v>
      </c>
      <c r="T608" s="348" t="e">
        <f t="shared" si="74"/>
        <v>#DIV/0!</v>
      </c>
      <c r="U608" s="348" t="e">
        <f t="shared" si="74"/>
        <v>#DIV/0!</v>
      </c>
      <c r="V608" s="348" t="e">
        <f t="shared" si="74"/>
        <v>#DIV/0!</v>
      </c>
      <c r="W608" s="348" t="e">
        <f t="shared" si="74"/>
        <v>#DIV/0!</v>
      </c>
      <c r="X608" s="348" t="e">
        <f t="shared" si="74"/>
        <v>#DIV/0!</v>
      </c>
      <c r="Y608" s="348" t="e">
        <f t="shared" si="74"/>
        <v>#DIV/0!</v>
      </c>
      <c r="Z608" s="348" t="e">
        <f t="shared" si="74"/>
        <v>#DIV/0!</v>
      </c>
      <c r="AA608" s="348" t="e">
        <f t="shared" si="74"/>
        <v>#DIV/0!</v>
      </c>
      <c r="AB608" s="348" t="e">
        <f t="shared" si="74"/>
        <v>#DIV/0!</v>
      </c>
      <c r="AC608" s="348" t="e">
        <f t="shared" si="74"/>
        <v>#DIV/0!</v>
      </c>
      <c r="AD608" s="348" t="e">
        <f t="shared" si="74"/>
        <v>#DIV/0!</v>
      </c>
      <c r="AE608" s="348" t="e">
        <f t="shared" si="74"/>
        <v>#DIV/0!</v>
      </c>
      <c r="AF608" s="348" t="e">
        <f t="shared" si="74"/>
        <v>#DIV/0!</v>
      </c>
      <c r="AG608" s="348" t="e">
        <f t="shared" si="74"/>
        <v>#DIV/0!</v>
      </c>
      <c r="AH608" s="348" t="e">
        <f t="shared" si="74"/>
        <v>#DIV/0!</v>
      </c>
      <c r="AI608" s="348" t="e">
        <f t="shared" si="74"/>
        <v>#DIV/0!</v>
      </c>
      <c r="AJ608" s="348" t="e">
        <f t="shared" si="74"/>
        <v>#DIV/0!</v>
      </c>
      <c r="AK608" s="376"/>
      <c r="AL608" s="376"/>
    </row>
    <row r="610" spans="1:38" ht="13.5" customHeight="1"/>
    <row r="611" spans="1:38">
      <c r="A611" s="165">
        <f>'Conveyor Downtime (new)'!A617</f>
        <v>0</v>
      </c>
      <c r="B611" s="346"/>
      <c r="C611" s="346"/>
      <c r="D611" s="346"/>
      <c r="E611" s="346"/>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s="346"/>
      <c r="AE611" s="346"/>
      <c r="AF611" s="346"/>
      <c r="AG611" s="346"/>
      <c r="AH611" s="346"/>
      <c r="AI611" s="346"/>
      <c r="AJ611" s="346"/>
      <c r="AK611">
        <f t="shared" ref="AK611:AK632" si="75">SUM(B611:AJ611)</f>
        <v>0</v>
      </c>
      <c r="AL611" s="351">
        <f t="shared" ref="AL611:AL664" si="76">AK611/$AK$183</f>
        <v>0</v>
      </c>
    </row>
    <row r="612" spans="1:38">
      <c r="A612" s="165">
        <f>'Conveyor Downtime (new)'!A618</f>
        <v>0</v>
      </c>
      <c r="AK612">
        <f t="shared" si="75"/>
        <v>0</v>
      </c>
      <c r="AL612" s="351">
        <f t="shared" si="76"/>
        <v>0</v>
      </c>
    </row>
    <row r="613" spans="1:38">
      <c r="A613" s="165">
        <f>'Conveyor Downtime (new)'!A619</f>
        <v>0</v>
      </c>
      <c r="B613" s="346"/>
      <c r="C613" s="346"/>
      <c r="D613" s="346"/>
      <c r="E613" s="346"/>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s="346"/>
      <c r="AE613" s="346"/>
      <c r="AF613" s="346"/>
      <c r="AG613" s="346"/>
      <c r="AH613" s="346"/>
      <c r="AI613" s="346"/>
      <c r="AJ613" s="346"/>
      <c r="AK613">
        <f t="shared" si="75"/>
        <v>0</v>
      </c>
      <c r="AL613" s="351">
        <f t="shared" si="76"/>
        <v>0</v>
      </c>
    </row>
    <row r="614" spans="1:38">
      <c r="A614" s="165">
        <f>'Conveyor Downtime (new)'!A620</f>
        <v>0</v>
      </c>
      <c r="Y614" s="77"/>
      <c r="AK614">
        <f t="shared" si="75"/>
        <v>0</v>
      </c>
      <c r="AL614" s="351">
        <f t="shared" si="76"/>
        <v>0</v>
      </c>
    </row>
    <row r="615" spans="1:38">
      <c r="A615" s="165">
        <f>'Conveyor Downtime (new)'!A621</f>
        <v>0</v>
      </c>
      <c r="B615" s="346"/>
      <c r="C615" s="346"/>
      <c r="D615" s="346"/>
      <c r="E615" s="346"/>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s="346"/>
      <c r="AE615" s="346"/>
      <c r="AF615" s="346"/>
      <c r="AG615" s="346"/>
      <c r="AH615" s="346"/>
      <c r="AI615" s="346"/>
      <c r="AJ615" s="346"/>
      <c r="AK615">
        <f t="shared" si="75"/>
        <v>0</v>
      </c>
      <c r="AL615" s="351">
        <f t="shared" si="76"/>
        <v>0</v>
      </c>
    </row>
    <row r="616" spans="1:38">
      <c r="A616" s="165">
        <f>'Conveyor Downtime (new)'!A622</f>
        <v>0</v>
      </c>
      <c r="AK616">
        <f t="shared" si="75"/>
        <v>0</v>
      </c>
      <c r="AL616" s="351">
        <f t="shared" si="76"/>
        <v>0</v>
      </c>
    </row>
    <row r="617" spans="1:38">
      <c r="A617" s="165">
        <f>'Conveyor Downtime (new)'!A623</f>
        <v>0</v>
      </c>
      <c r="B617" s="346"/>
      <c r="C617" s="346"/>
      <c r="D617" s="346"/>
      <c r="E617" s="346"/>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346"/>
      <c r="AK617">
        <f t="shared" si="75"/>
        <v>0</v>
      </c>
      <c r="AL617" s="351">
        <f t="shared" si="76"/>
        <v>0</v>
      </c>
    </row>
    <row r="618" spans="1:38">
      <c r="A618" s="165">
        <f>'Conveyor Downtime (new)'!A624</f>
        <v>0</v>
      </c>
      <c r="AK618">
        <f t="shared" si="75"/>
        <v>0</v>
      </c>
      <c r="AL618" s="351">
        <f t="shared" si="76"/>
        <v>0</v>
      </c>
    </row>
    <row r="619" spans="1:38">
      <c r="A619" s="165">
        <f>'Conveyor Downtime (new)'!A625</f>
        <v>0</v>
      </c>
      <c r="B619" s="346"/>
      <c r="C619" s="346"/>
      <c r="D619" s="346"/>
      <c r="E619" s="346"/>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346"/>
      <c r="AK619">
        <f t="shared" si="75"/>
        <v>0</v>
      </c>
      <c r="AL619" s="351">
        <f t="shared" si="76"/>
        <v>0</v>
      </c>
    </row>
    <row r="620" spans="1:38">
      <c r="A620" s="165">
        <f>'Conveyor Downtime (new)'!A626</f>
        <v>0</v>
      </c>
      <c r="AK620">
        <f t="shared" si="75"/>
        <v>0</v>
      </c>
      <c r="AL620" s="351">
        <f t="shared" si="76"/>
        <v>0</v>
      </c>
    </row>
    <row r="621" spans="1:38">
      <c r="A621" s="165">
        <f>'Conveyor Downtime (new)'!A627</f>
        <v>0</v>
      </c>
      <c r="B621" s="346"/>
      <c r="C621" s="346"/>
      <c r="D621" s="346"/>
      <c r="E621" s="346"/>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346"/>
      <c r="AK621">
        <f t="shared" si="75"/>
        <v>0</v>
      </c>
      <c r="AL621" s="351">
        <f t="shared" si="76"/>
        <v>0</v>
      </c>
    </row>
    <row r="622" spans="1:38">
      <c r="A622" s="165">
        <f>'Conveyor Downtime (new)'!A628</f>
        <v>0</v>
      </c>
      <c r="AK622">
        <f t="shared" si="75"/>
        <v>0</v>
      </c>
      <c r="AL622" s="351">
        <f t="shared" si="76"/>
        <v>0</v>
      </c>
    </row>
    <row r="623" spans="1:38">
      <c r="A623" s="165">
        <f>'Conveyor Downtime (new)'!A629</f>
        <v>0</v>
      </c>
      <c r="B623" s="346"/>
      <c r="C623" s="346"/>
      <c r="D623" s="346"/>
      <c r="E623" s="346"/>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346"/>
      <c r="AK623">
        <f t="shared" si="75"/>
        <v>0</v>
      </c>
      <c r="AL623" s="351">
        <f t="shared" si="76"/>
        <v>0</v>
      </c>
    </row>
    <row r="624" spans="1:38">
      <c r="A624" s="165">
        <f>'Conveyor Downtime (new)'!A630</f>
        <v>0</v>
      </c>
      <c r="AK624">
        <f t="shared" si="75"/>
        <v>0</v>
      </c>
      <c r="AL624" s="351">
        <f t="shared" si="76"/>
        <v>0</v>
      </c>
    </row>
    <row r="625" spans="1:38">
      <c r="A625" s="165">
        <f>'Conveyor Downtime (new)'!A631</f>
        <v>0</v>
      </c>
      <c r="B625" s="346"/>
      <c r="C625" s="346"/>
      <c r="D625" s="346"/>
      <c r="E625" s="346"/>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346"/>
      <c r="AK625">
        <f t="shared" si="75"/>
        <v>0</v>
      </c>
      <c r="AL625" s="351">
        <f t="shared" si="76"/>
        <v>0</v>
      </c>
    </row>
    <row r="626" spans="1:38">
      <c r="A626" s="165">
        <f>'Conveyor Downtime (new)'!A632</f>
        <v>0</v>
      </c>
      <c r="AK626">
        <f t="shared" si="75"/>
        <v>0</v>
      </c>
      <c r="AL626" s="351">
        <f t="shared" si="76"/>
        <v>0</v>
      </c>
    </row>
    <row r="627" spans="1:38">
      <c r="A627" s="165">
        <f>'Conveyor Downtime (new)'!A633</f>
        <v>0</v>
      </c>
      <c r="B627" s="346"/>
      <c r="C627" s="346"/>
      <c r="D627" s="346"/>
      <c r="E627" s="346"/>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346"/>
      <c r="AK627">
        <f t="shared" si="75"/>
        <v>0</v>
      </c>
      <c r="AL627" s="351">
        <f t="shared" si="76"/>
        <v>0</v>
      </c>
    </row>
    <row r="628" spans="1:38">
      <c r="A628" s="165">
        <f>'Conveyor Downtime (new)'!A634</f>
        <v>0</v>
      </c>
      <c r="AK628">
        <f t="shared" si="75"/>
        <v>0</v>
      </c>
      <c r="AL628" s="351">
        <f t="shared" si="76"/>
        <v>0</v>
      </c>
    </row>
    <row r="629" spans="1:38">
      <c r="A629" s="165">
        <f>'Conveyor Downtime (new)'!A635</f>
        <v>0</v>
      </c>
      <c r="B629" s="346"/>
      <c r="C629" s="346"/>
      <c r="D629" s="346"/>
      <c r="E629" s="346"/>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346"/>
      <c r="AK629">
        <f t="shared" si="75"/>
        <v>0</v>
      </c>
      <c r="AL629" s="351">
        <f t="shared" si="76"/>
        <v>0</v>
      </c>
    </row>
    <row r="630" spans="1:38">
      <c r="A630" s="165">
        <f>'Conveyor Downtime (new)'!A636</f>
        <v>0</v>
      </c>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f t="shared" si="75"/>
        <v>0</v>
      </c>
      <c r="AL630" s="351"/>
    </row>
    <row r="631" spans="1:38">
      <c r="A631" s="165">
        <f>'Conveyor Downtime (new)'!A637</f>
        <v>0</v>
      </c>
      <c r="AK631">
        <f t="shared" si="75"/>
        <v>0</v>
      </c>
      <c r="AL631" s="351">
        <f t="shared" si="76"/>
        <v>0</v>
      </c>
    </row>
    <row r="632" spans="1:38">
      <c r="A632" s="165">
        <f>'Conveyor Downtime (new)'!A638</f>
        <v>0</v>
      </c>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f t="shared" si="75"/>
        <v>0</v>
      </c>
      <c r="AL632" s="351">
        <f t="shared" si="76"/>
        <v>0</v>
      </c>
    </row>
    <row r="633" spans="1:38">
      <c r="A633" s="165">
        <f>'Conveyor Downtime (new)'!A639</f>
        <v>0</v>
      </c>
      <c r="AK633">
        <f t="shared" ref="AK633:AK664" si="77">SUM(B633:AJ633)</f>
        <v>0</v>
      </c>
      <c r="AL633" s="360">
        <f t="shared" si="76"/>
        <v>0</v>
      </c>
    </row>
    <row r="634" spans="1:38">
      <c r="A634" s="165">
        <f>'Conveyor Downtime (new)'!A640</f>
        <v>0</v>
      </c>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f t="shared" si="77"/>
        <v>0</v>
      </c>
      <c r="AL634" s="351">
        <f t="shared" si="76"/>
        <v>0</v>
      </c>
    </row>
    <row r="635" spans="1:38">
      <c r="A635" s="165">
        <f>'Conveyor Downtime (new)'!A641</f>
        <v>0</v>
      </c>
      <c r="AK635">
        <f t="shared" si="77"/>
        <v>0</v>
      </c>
      <c r="AL635" s="351">
        <f t="shared" si="76"/>
        <v>0</v>
      </c>
    </row>
    <row r="636" spans="1:38">
      <c r="A636" s="165">
        <f>'Conveyor Downtime (new)'!A642</f>
        <v>0</v>
      </c>
      <c r="B636" s="346"/>
      <c r="C636" s="346"/>
      <c r="D636" s="346"/>
      <c r="E636" s="346"/>
      <c r="F636" s="346"/>
      <c r="G636" s="346"/>
      <c r="H636" s="346"/>
      <c r="I636" s="346"/>
      <c r="J636" s="346"/>
      <c r="K636" s="346"/>
      <c r="L636" s="346"/>
      <c r="M636" s="346"/>
      <c r="N636" s="346"/>
      <c r="O636" s="346"/>
      <c r="P636" s="346"/>
      <c r="Q636" s="346"/>
      <c r="R636" s="346"/>
      <c r="S636" s="346"/>
      <c r="T636" s="346"/>
      <c r="V636" s="346"/>
      <c r="W636" s="346"/>
      <c r="X636" s="346"/>
      <c r="Y636" s="346"/>
      <c r="Z636" s="346"/>
      <c r="AA636" s="346"/>
      <c r="AB636" s="346"/>
      <c r="AC636" s="346"/>
      <c r="AD636" s="346"/>
      <c r="AE636" s="346"/>
      <c r="AF636" s="346"/>
      <c r="AG636" s="346"/>
      <c r="AH636" s="346"/>
      <c r="AI636" s="346"/>
      <c r="AJ636" s="346"/>
      <c r="AK636">
        <f t="shared" si="77"/>
        <v>0</v>
      </c>
      <c r="AL636" s="351">
        <f t="shared" si="76"/>
        <v>0</v>
      </c>
    </row>
    <row r="637" spans="1:38">
      <c r="A637" s="165">
        <f>'Conveyor Downtime (new)'!A643</f>
        <v>0</v>
      </c>
      <c r="AK637">
        <f t="shared" si="77"/>
        <v>0</v>
      </c>
      <c r="AL637" s="351">
        <f t="shared" si="76"/>
        <v>0</v>
      </c>
    </row>
    <row r="638" spans="1:38">
      <c r="A638" s="165">
        <f>'Conveyor Downtime (new)'!A644</f>
        <v>0</v>
      </c>
      <c r="B638" s="346"/>
      <c r="C638" s="346"/>
      <c r="D638" s="346"/>
      <c r="E638" s="346"/>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f t="shared" si="77"/>
        <v>0</v>
      </c>
      <c r="AL638" s="351">
        <f t="shared" si="76"/>
        <v>0</v>
      </c>
    </row>
    <row r="639" spans="1:38">
      <c r="A639" s="165">
        <f>'Conveyor Downtime (new)'!A645</f>
        <v>0</v>
      </c>
      <c r="AK639">
        <f t="shared" si="77"/>
        <v>0</v>
      </c>
      <c r="AL639" s="351">
        <f t="shared" si="76"/>
        <v>0</v>
      </c>
    </row>
    <row r="640" spans="1:38">
      <c r="A640" s="165">
        <f>'Conveyor Downtime (new)'!A646</f>
        <v>0</v>
      </c>
      <c r="B640" s="346"/>
      <c r="C640" s="346"/>
      <c r="D640" s="346"/>
      <c r="E640" s="346"/>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f t="shared" si="77"/>
        <v>0</v>
      </c>
      <c r="AL640" s="351">
        <f t="shared" si="76"/>
        <v>0</v>
      </c>
    </row>
    <row r="641" spans="1:38">
      <c r="A641" s="165">
        <f>'Conveyor Downtime (new)'!A647</f>
        <v>0</v>
      </c>
      <c r="AK641">
        <f t="shared" si="77"/>
        <v>0</v>
      </c>
      <c r="AL641" s="351">
        <f t="shared" si="76"/>
        <v>0</v>
      </c>
    </row>
    <row r="642" spans="1:38">
      <c r="A642" s="165">
        <f>'Conveyor Downtime (new)'!A648</f>
        <v>0</v>
      </c>
      <c r="B642" s="346"/>
      <c r="C642" s="346"/>
      <c r="D642" s="346"/>
      <c r="E642" s="346"/>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346"/>
      <c r="AK642">
        <f t="shared" si="77"/>
        <v>0</v>
      </c>
      <c r="AL642" s="351">
        <f t="shared" si="76"/>
        <v>0</v>
      </c>
    </row>
    <row r="643" spans="1:38">
      <c r="A643" s="165">
        <f>'Conveyor Downtime (new)'!A649</f>
        <v>0</v>
      </c>
      <c r="AK643">
        <f t="shared" si="77"/>
        <v>0</v>
      </c>
      <c r="AL643" s="351">
        <f t="shared" si="76"/>
        <v>0</v>
      </c>
    </row>
    <row r="644" spans="1:38">
      <c r="A644" s="165">
        <f>'Conveyor Downtime (new)'!A650</f>
        <v>0</v>
      </c>
      <c r="B644" s="346"/>
      <c r="C644" s="346"/>
      <c r="D644" s="346"/>
      <c r="E644" s="346"/>
      <c r="F644" s="346"/>
      <c r="G644" s="346"/>
      <c r="H644" s="346"/>
      <c r="I644" s="346"/>
      <c r="J644" s="346"/>
      <c r="K644" s="346"/>
      <c r="L644" s="346"/>
      <c r="M644" s="346"/>
      <c r="N644" s="346"/>
      <c r="O644" s="346"/>
      <c r="P644" s="346"/>
      <c r="Q644" s="346"/>
      <c r="R644" s="346"/>
      <c r="S644" s="346"/>
      <c r="T644" s="346"/>
      <c r="U644" s="346"/>
      <c r="V644" s="346"/>
      <c r="W644" s="34"/>
      <c r="X644" s="346"/>
      <c r="Y644" s="346"/>
      <c r="Z644" s="346"/>
      <c r="AA644" s="346"/>
      <c r="AB644" s="346"/>
      <c r="AC644" s="346"/>
      <c r="AD644" s="346"/>
      <c r="AE644" s="346"/>
      <c r="AF644" s="346"/>
      <c r="AG644" s="346"/>
      <c r="AH644" s="346"/>
      <c r="AI644" s="346"/>
      <c r="AJ644" s="346"/>
      <c r="AK644">
        <f t="shared" si="77"/>
        <v>0</v>
      </c>
      <c r="AL644" s="351">
        <f t="shared" si="76"/>
        <v>0</v>
      </c>
    </row>
    <row r="645" spans="1:38">
      <c r="A645" s="165">
        <f>'Conveyor Downtime (new)'!A651</f>
        <v>0</v>
      </c>
      <c r="AK645">
        <f t="shared" si="77"/>
        <v>0</v>
      </c>
      <c r="AL645" s="351">
        <f t="shared" si="76"/>
        <v>0</v>
      </c>
    </row>
    <row r="646" spans="1:38">
      <c r="A646" s="165">
        <f>'Conveyor Downtime (new)'!A652</f>
        <v>0</v>
      </c>
      <c r="B646" s="346"/>
      <c r="C646" s="346"/>
      <c r="D646" s="346"/>
      <c r="E646" s="346"/>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f t="shared" si="77"/>
        <v>0</v>
      </c>
      <c r="AL646" s="351">
        <f t="shared" si="76"/>
        <v>0</v>
      </c>
    </row>
    <row r="647" spans="1:38">
      <c r="A647" s="165">
        <f>'Conveyor Downtime (new)'!A653</f>
        <v>0</v>
      </c>
      <c r="W647" s="77"/>
      <c r="AK647">
        <f t="shared" si="77"/>
        <v>0</v>
      </c>
      <c r="AL647" s="351">
        <f t="shared" si="76"/>
        <v>0</v>
      </c>
    </row>
    <row r="648" spans="1:38">
      <c r="A648" s="165">
        <f>'Conveyor Downtime (new)'!A654</f>
        <v>0</v>
      </c>
      <c r="B648" s="346"/>
      <c r="C648" s="346"/>
      <c r="D648" s="346"/>
      <c r="E648" s="346"/>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f t="shared" si="77"/>
        <v>0</v>
      </c>
      <c r="AL648" s="351">
        <f t="shared" si="76"/>
        <v>0</v>
      </c>
    </row>
    <row r="649" spans="1:38">
      <c r="A649" s="165">
        <f>'Conveyor Downtime (new)'!A655</f>
        <v>0</v>
      </c>
      <c r="AK649">
        <f t="shared" si="77"/>
        <v>0</v>
      </c>
      <c r="AL649" s="351">
        <f t="shared" si="76"/>
        <v>0</v>
      </c>
    </row>
    <row r="650" spans="1:38">
      <c r="A650" s="165">
        <f>'Conveyor Downtime (new)'!A656</f>
        <v>0</v>
      </c>
      <c r="B650" s="346"/>
      <c r="C650" s="346"/>
      <c r="D650" s="346"/>
      <c r="E650" s="346"/>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f t="shared" si="77"/>
        <v>0</v>
      </c>
      <c r="AL650" s="351">
        <f t="shared" si="76"/>
        <v>0</v>
      </c>
    </row>
    <row r="651" spans="1:38">
      <c r="A651" s="165">
        <f>'Conveyor Downtime (new)'!A657</f>
        <v>0</v>
      </c>
      <c r="AK651">
        <f t="shared" si="77"/>
        <v>0</v>
      </c>
      <c r="AL651" s="351">
        <f t="shared" si="76"/>
        <v>0</v>
      </c>
    </row>
    <row r="652" spans="1:38">
      <c r="A652" s="165">
        <f>'Conveyor Downtime (new)'!A658</f>
        <v>0</v>
      </c>
      <c r="B652" s="346"/>
      <c r="C652" s="346"/>
      <c r="D652" s="346"/>
      <c r="E652" s="346"/>
      <c r="F652" s="346"/>
      <c r="G652" s="346"/>
      <c r="H652" s="346"/>
      <c r="I652" s="77"/>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f t="shared" si="77"/>
        <v>0</v>
      </c>
      <c r="AL652" s="351">
        <f t="shared" si="76"/>
        <v>0</v>
      </c>
    </row>
    <row r="653" spans="1:38">
      <c r="A653" s="165"/>
      <c r="AK653">
        <f t="shared" si="77"/>
        <v>0</v>
      </c>
      <c r="AL653" s="351">
        <f t="shared" si="76"/>
        <v>0</v>
      </c>
    </row>
    <row r="654" spans="1:38">
      <c r="A654" s="165"/>
      <c r="B654" s="346"/>
      <c r="C654" s="346"/>
      <c r="D654" s="346"/>
      <c r="E654" s="346"/>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f t="shared" si="77"/>
        <v>0</v>
      </c>
      <c r="AL654" s="351">
        <f t="shared" si="76"/>
        <v>0</v>
      </c>
    </row>
    <row r="655" spans="1:38">
      <c r="A655" s="165"/>
      <c r="AK655">
        <f t="shared" si="77"/>
        <v>0</v>
      </c>
      <c r="AL655" s="351">
        <f t="shared" ref="AL655:AL663" si="78">AK655/$AK$183</f>
        <v>0</v>
      </c>
    </row>
    <row r="656" spans="1:38">
      <c r="A656" s="165"/>
      <c r="B656" s="346"/>
      <c r="C656" s="346"/>
      <c r="D656" s="346"/>
      <c r="E656" s="346"/>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f t="shared" si="77"/>
        <v>0</v>
      </c>
      <c r="AL656" s="351">
        <f t="shared" si="78"/>
        <v>0</v>
      </c>
    </row>
    <row r="657" spans="1:38">
      <c r="A657" s="165"/>
      <c r="AK657">
        <f t="shared" si="77"/>
        <v>0</v>
      </c>
      <c r="AL657" s="351">
        <f t="shared" si="78"/>
        <v>0</v>
      </c>
    </row>
    <row r="658" spans="1:38">
      <c r="A658" s="165"/>
      <c r="B658" s="346"/>
      <c r="C658" s="346"/>
      <c r="D658" s="346"/>
      <c r="E658" s="346"/>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f t="shared" si="77"/>
        <v>0</v>
      </c>
      <c r="AL658" s="351">
        <f t="shared" si="78"/>
        <v>0</v>
      </c>
    </row>
    <row r="659" spans="1:38">
      <c r="A659" s="165"/>
      <c r="AK659">
        <f t="shared" si="77"/>
        <v>0</v>
      </c>
      <c r="AL659" s="351">
        <f t="shared" si="78"/>
        <v>0</v>
      </c>
    </row>
    <row r="660" spans="1:38">
      <c r="A660" s="165"/>
      <c r="B660" s="346"/>
      <c r="C660" s="346"/>
      <c r="D660" s="346"/>
      <c r="E660" s="346"/>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f t="shared" si="77"/>
        <v>0</v>
      </c>
      <c r="AL660" s="351">
        <f t="shared" si="78"/>
        <v>0</v>
      </c>
    </row>
    <row r="661" spans="1:38">
      <c r="A661" s="165"/>
      <c r="AK661">
        <f t="shared" si="77"/>
        <v>0</v>
      </c>
      <c r="AL661" s="351">
        <f t="shared" si="78"/>
        <v>0</v>
      </c>
    </row>
    <row r="662" spans="1:38">
      <c r="A662" s="165"/>
      <c r="AK662">
        <f t="shared" si="77"/>
        <v>0</v>
      </c>
      <c r="AL662" s="351">
        <f t="shared" si="78"/>
        <v>0</v>
      </c>
    </row>
    <row r="663" spans="1:38">
      <c r="A663" s="165"/>
      <c r="AK663">
        <f t="shared" si="77"/>
        <v>0</v>
      </c>
      <c r="AL663" s="351">
        <f t="shared" si="78"/>
        <v>0</v>
      </c>
    </row>
    <row r="664" spans="1:38">
      <c r="A664" s="165"/>
      <c r="B664" s="346"/>
      <c r="C664" s="346"/>
      <c r="D664" s="346"/>
      <c r="E664" s="346"/>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f t="shared" si="77"/>
        <v>0</v>
      </c>
      <c r="AL664" s="351">
        <f t="shared" si="76"/>
        <v>0</v>
      </c>
    </row>
    <row r="665" spans="1:38" ht="15">
      <c r="A665" s="347" t="s">
        <v>113</v>
      </c>
      <c r="B665" s="347">
        <f t="shared" ref="B665:AI665" si="79">SUM(B611:B664)</f>
        <v>0</v>
      </c>
      <c r="C665" s="347">
        <f t="shared" si="79"/>
        <v>0</v>
      </c>
      <c r="D665" s="347">
        <f t="shared" si="79"/>
        <v>0</v>
      </c>
      <c r="E665" s="347">
        <f t="shared" si="79"/>
        <v>0</v>
      </c>
      <c r="F665" s="347">
        <f t="shared" si="79"/>
        <v>0</v>
      </c>
      <c r="G665" s="347">
        <f t="shared" si="79"/>
        <v>0</v>
      </c>
      <c r="H665" s="347">
        <f t="shared" si="79"/>
        <v>0</v>
      </c>
      <c r="I665" s="347">
        <f t="shared" si="79"/>
        <v>0</v>
      </c>
      <c r="J665" s="347">
        <f t="shared" si="79"/>
        <v>0</v>
      </c>
      <c r="K665" s="347">
        <f t="shared" si="79"/>
        <v>0</v>
      </c>
      <c r="L665" s="347">
        <f t="shared" si="79"/>
        <v>0</v>
      </c>
      <c r="M665" s="347">
        <f t="shared" si="79"/>
        <v>0</v>
      </c>
      <c r="N665" s="347">
        <f t="shared" si="79"/>
        <v>0</v>
      </c>
      <c r="O665" s="347">
        <f t="shared" si="79"/>
        <v>0</v>
      </c>
      <c r="P665" s="347">
        <f t="shared" si="79"/>
        <v>0</v>
      </c>
      <c r="Q665" s="347">
        <f t="shared" si="79"/>
        <v>0</v>
      </c>
      <c r="R665" s="347">
        <f t="shared" si="79"/>
        <v>0</v>
      </c>
      <c r="S665" s="347">
        <f t="shared" si="79"/>
        <v>0</v>
      </c>
      <c r="T665" s="347">
        <f t="shared" si="79"/>
        <v>0</v>
      </c>
      <c r="U665" s="347">
        <f t="shared" si="79"/>
        <v>0</v>
      </c>
      <c r="V665" s="347">
        <f t="shared" si="79"/>
        <v>0</v>
      </c>
      <c r="W665" s="347">
        <f t="shared" si="79"/>
        <v>0</v>
      </c>
      <c r="X665" s="347">
        <f t="shared" si="79"/>
        <v>0</v>
      </c>
      <c r="Y665" s="347">
        <f t="shared" si="79"/>
        <v>0</v>
      </c>
      <c r="Z665" s="347">
        <f t="shared" si="79"/>
        <v>0</v>
      </c>
      <c r="AA665" s="347">
        <f t="shared" si="79"/>
        <v>0</v>
      </c>
      <c r="AB665" s="347">
        <f t="shared" si="79"/>
        <v>0</v>
      </c>
      <c r="AC665" s="347">
        <f t="shared" si="79"/>
        <v>0</v>
      </c>
      <c r="AD665" s="347">
        <f t="shared" si="79"/>
        <v>0</v>
      </c>
      <c r="AE665" s="347">
        <f t="shared" si="79"/>
        <v>0</v>
      </c>
      <c r="AF665" s="347">
        <f t="shared" si="79"/>
        <v>0</v>
      </c>
      <c r="AG665" s="347">
        <f t="shared" si="79"/>
        <v>0</v>
      </c>
      <c r="AH665" s="347">
        <f t="shared" si="79"/>
        <v>0</v>
      </c>
      <c r="AI665" s="347">
        <f t="shared" si="79"/>
        <v>0</v>
      </c>
      <c r="AJ665" s="347">
        <f>SUM(AJ611:AJ664)</f>
        <v>0</v>
      </c>
      <c r="AK665" s="347">
        <f>SUM(AK611:AK664)</f>
        <v>0</v>
      </c>
      <c r="AL665" s="397">
        <f>SUM(AL611:AL664)</f>
        <v>0</v>
      </c>
    </row>
    <row r="666" spans="1:38" ht="15.75" thickBot="1">
      <c r="A666" s="348" t="s">
        <v>174</v>
      </c>
      <c r="B666" s="348" t="e">
        <f t="shared" ref="B666:H666" si="80">B665/$AK665</f>
        <v>#DIV/0!</v>
      </c>
      <c r="C666" s="348" t="e">
        <f t="shared" si="80"/>
        <v>#DIV/0!</v>
      </c>
      <c r="D666" s="348" t="e">
        <f t="shared" si="80"/>
        <v>#DIV/0!</v>
      </c>
      <c r="E666" s="348" t="e">
        <f t="shared" si="80"/>
        <v>#DIV/0!</v>
      </c>
      <c r="F666" s="348" t="e">
        <f t="shared" si="80"/>
        <v>#DIV/0!</v>
      </c>
      <c r="G666" s="348" t="e">
        <f t="shared" si="80"/>
        <v>#DIV/0!</v>
      </c>
      <c r="H666" s="348" t="e">
        <f t="shared" si="80"/>
        <v>#DIV/0!</v>
      </c>
      <c r="I666" s="348" t="e">
        <f t="shared" ref="I666:AJ666" si="81">I665/$AK665</f>
        <v>#DIV/0!</v>
      </c>
      <c r="J666" s="348" t="e">
        <f t="shared" si="81"/>
        <v>#DIV/0!</v>
      </c>
      <c r="K666" s="348" t="e">
        <f t="shared" si="81"/>
        <v>#DIV/0!</v>
      </c>
      <c r="L666" s="348" t="e">
        <f t="shared" si="81"/>
        <v>#DIV/0!</v>
      </c>
      <c r="M666" s="348" t="e">
        <f t="shared" si="81"/>
        <v>#DIV/0!</v>
      </c>
      <c r="N666" s="348" t="e">
        <f t="shared" si="81"/>
        <v>#DIV/0!</v>
      </c>
      <c r="O666" s="348" t="e">
        <f t="shared" si="81"/>
        <v>#DIV/0!</v>
      </c>
      <c r="P666" s="348" t="e">
        <f t="shared" si="81"/>
        <v>#DIV/0!</v>
      </c>
      <c r="Q666" s="348" t="e">
        <f t="shared" si="81"/>
        <v>#DIV/0!</v>
      </c>
      <c r="R666" s="348" t="e">
        <f t="shared" si="81"/>
        <v>#DIV/0!</v>
      </c>
      <c r="S666" s="348" t="e">
        <f t="shared" si="81"/>
        <v>#DIV/0!</v>
      </c>
      <c r="T666" s="348" t="e">
        <f t="shared" si="81"/>
        <v>#DIV/0!</v>
      </c>
      <c r="U666" s="348" t="e">
        <f t="shared" si="81"/>
        <v>#DIV/0!</v>
      </c>
      <c r="V666" s="348" t="e">
        <f t="shared" si="81"/>
        <v>#DIV/0!</v>
      </c>
      <c r="W666" s="348" t="e">
        <f t="shared" si="81"/>
        <v>#DIV/0!</v>
      </c>
      <c r="X666" s="348" t="e">
        <f t="shared" si="81"/>
        <v>#DIV/0!</v>
      </c>
      <c r="Y666" s="348" t="e">
        <f t="shared" si="81"/>
        <v>#DIV/0!</v>
      </c>
      <c r="Z666" s="348" t="e">
        <f t="shared" si="81"/>
        <v>#DIV/0!</v>
      </c>
      <c r="AA666" s="348" t="e">
        <f t="shared" si="81"/>
        <v>#DIV/0!</v>
      </c>
      <c r="AB666" s="348" t="e">
        <f t="shared" si="81"/>
        <v>#DIV/0!</v>
      </c>
      <c r="AC666" s="348" t="e">
        <f t="shared" si="81"/>
        <v>#DIV/0!</v>
      </c>
      <c r="AD666" s="348" t="e">
        <f t="shared" si="81"/>
        <v>#DIV/0!</v>
      </c>
      <c r="AE666" s="348" t="e">
        <f t="shared" si="81"/>
        <v>#DIV/0!</v>
      </c>
      <c r="AF666" s="348" t="e">
        <f t="shared" si="81"/>
        <v>#DIV/0!</v>
      </c>
      <c r="AG666" s="348" t="e">
        <f t="shared" si="81"/>
        <v>#DIV/0!</v>
      </c>
      <c r="AH666" s="348" t="e">
        <f t="shared" si="81"/>
        <v>#DIV/0!</v>
      </c>
      <c r="AI666" s="348" t="e">
        <f t="shared" si="81"/>
        <v>#DIV/0!</v>
      </c>
      <c r="AJ666" s="348" t="e">
        <f t="shared" si="81"/>
        <v>#DIV/0!</v>
      </c>
      <c r="AK666" s="376"/>
      <c r="AL666" s="376"/>
    </row>
    <row r="669" spans="1:38">
      <c r="A669" s="165">
        <f>'Conveyor Downtime (new)'!A678</f>
        <v>0</v>
      </c>
      <c r="AK669">
        <f t="shared" ref="AK669:AK700" si="82">SUM(B669:AJ669)</f>
        <v>0</v>
      </c>
      <c r="AL669" s="351">
        <f t="shared" ref="AL669:AL718" si="83">AK669/$AK$183</f>
        <v>0</v>
      </c>
    </row>
    <row r="670" spans="1:38">
      <c r="A670" s="165">
        <f>'Conveyor Downtime (new)'!A679</f>
        <v>0</v>
      </c>
      <c r="B670" s="346"/>
      <c r="C670" s="346"/>
      <c r="D670" s="346"/>
      <c r="E670" s="346"/>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f t="shared" si="82"/>
        <v>0</v>
      </c>
      <c r="AL670" s="351">
        <f t="shared" si="83"/>
        <v>0</v>
      </c>
    </row>
    <row r="671" spans="1:38">
      <c r="A671" s="165">
        <f>'Conveyor Downtime (new)'!A680</f>
        <v>0</v>
      </c>
      <c r="AK671">
        <f t="shared" si="82"/>
        <v>0</v>
      </c>
      <c r="AL671" s="351">
        <f t="shared" si="83"/>
        <v>0</v>
      </c>
    </row>
    <row r="672" spans="1:38">
      <c r="A672" s="165">
        <f>'Conveyor Downtime (new)'!A681</f>
        <v>0</v>
      </c>
      <c r="B672" s="346"/>
      <c r="C672" s="346"/>
      <c r="D672" s="346"/>
      <c r="E672" s="346"/>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f t="shared" si="82"/>
        <v>0</v>
      </c>
      <c r="AL672" s="351">
        <f t="shared" si="83"/>
        <v>0</v>
      </c>
    </row>
    <row r="673" spans="1:38">
      <c r="A673" s="165">
        <f>'Conveyor Downtime (new)'!A682</f>
        <v>0</v>
      </c>
      <c r="AK673">
        <f t="shared" si="82"/>
        <v>0</v>
      </c>
      <c r="AL673" s="351">
        <f t="shared" si="83"/>
        <v>0</v>
      </c>
    </row>
    <row r="674" spans="1:38">
      <c r="A674" s="165">
        <f>'[1]Conveyor Downtime (new)'!A681</f>
        <v>45995</v>
      </c>
      <c r="B674" s="346"/>
      <c r="C674" s="346"/>
      <c r="D674" s="346"/>
      <c r="E674" s="346"/>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346"/>
      <c r="AK674">
        <f t="shared" si="82"/>
        <v>0</v>
      </c>
      <c r="AL674" s="351">
        <f t="shared" si="83"/>
        <v>0</v>
      </c>
    </row>
    <row r="675" spans="1:38">
      <c r="A675" s="165">
        <f>'[1]Conveyor Downtime (new)'!A682</f>
        <v>45995</v>
      </c>
      <c r="AK675">
        <f t="shared" si="82"/>
        <v>0</v>
      </c>
      <c r="AL675" s="351">
        <f t="shared" si="83"/>
        <v>0</v>
      </c>
    </row>
    <row r="676" spans="1:38">
      <c r="A676" s="165">
        <f>'[1]Conveyor Downtime (new)'!A683</f>
        <v>45995</v>
      </c>
      <c r="B676" s="346"/>
      <c r="C676" s="346"/>
      <c r="D676" s="346"/>
      <c r="E676" s="346"/>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346"/>
      <c r="AK676">
        <f t="shared" si="82"/>
        <v>0</v>
      </c>
      <c r="AL676" s="351">
        <f t="shared" si="83"/>
        <v>0</v>
      </c>
    </row>
    <row r="677" spans="1:38">
      <c r="A677" s="165">
        <f>'[1]Conveyor Downtime (new)'!A684</f>
        <v>45996</v>
      </c>
      <c r="AK677">
        <f t="shared" si="82"/>
        <v>0</v>
      </c>
      <c r="AL677" s="351">
        <f t="shared" si="83"/>
        <v>0</v>
      </c>
    </row>
    <row r="678" spans="1:38">
      <c r="A678" s="165">
        <f>'Conveyor Downtime (new)'!A687</f>
        <v>0</v>
      </c>
      <c r="B678" s="346"/>
      <c r="C678" s="346"/>
      <c r="D678" s="346"/>
      <c r="E678" s="346"/>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f t="shared" si="82"/>
        <v>0</v>
      </c>
      <c r="AL678" s="351">
        <f t="shared" si="83"/>
        <v>0</v>
      </c>
    </row>
    <row r="679" spans="1:38">
      <c r="A679" s="165">
        <f>'Conveyor Downtime (new)'!A688</f>
        <v>0</v>
      </c>
      <c r="AK679">
        <f t="shared" si="82"/>
        <v>0</v>
      </c>
      <c r="AL679" s="351">
        <f t="shared" si="83"/>
        <v>0</v>
      </c>
    </row>
    <row r="680" spans="1:38">
      <c r="A680" s="165">
        <f>'Conveyor Downtime (new)'!A689</f>
        <v>0</v>
      </c>
      <c r="B680" s="346"/>
      <c r="C680" s="346"/>
      <c r="D680" s="346"/>
      <c r="E680" s="346"/>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f t="shared" si="82"/>
        <v>0</v>
      </c>
      <c r="AL680" s="351">
        <f t="shared" si="83"/>
        <v>0</v>
      </c>
    </row>
    <row r="681" spans="1:38">
      <c r="A681" s="165">
        <f>'Conveyor Downtime (new)'!A690</f>
        <v>0</v>
      </c>
      <c r="AK681">
        <f t="shared" si="82"/>
        <v>0</v>
      </c>
      <c r="AL681" s="360">
        <f t="shared" si="83"/>
        <v>0</v>
      </c>
    </row>
    <row r="682" spans="1:38">
      <c r="A682" s="165">
        <f>'Conveyor Downtime (new)'!A691</f>
        <v>0</v>
      </c>
      <c r="B682" s="346"/>
      <c r="C682" s="346"/>
      <c r="D682" s="346"/>
      <c r="E682" s="346"/>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f t="shared" si="82"/>
        <v>0</v>
      </c>
      <c r="AL682" s="351">
        <f t="shared" si="83"/>
        <v>0</v>
      </c>
    </row>
    <row r="683" spans="1:38">
      <c r="A683" s="165">
        <f>'Conveyor Downtime (new)'!A692</f>
        <v>0</v>
      </c>
      <c r="AK683">
        <f t="shared" si="82"/>
        <v>0</v>
      </c>
      <c r="AL683" s="351">
        <f t="shared" si="83"/>
        <v>0</v>
      </c>
    </row>
    <row r="684" spans="1:38">
      <c r="A684" s="165">
        <f>'Conveyor Downtime (new)'!A693</f>
        <v>0</v>
      </c>
      <c r="B684" s="346"/>
      <c r="C684" s="346"/>
      <c r="D684" s="346"/>
      <c r="E684" s="346"/>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f t="shared" si="82"/>
        <v>0</v>
      </c>
      <c r="AL684" s="351">
        <f t="shared" si="83"/>
        <v>0</v>
      </c>
    </row>
    <row r="685" spans="1:38">
      <c r="A685" s="165">
        <f>'Conveyor Downtime (new)'!A694</f>
        <v>0</v>
      </c>
      <c r="AK685">
        <f t="shared" si="82"/>
        <v>0</v>
      </c>
      <c r="AL685" s="351">
        <f t="shared" si="83"/>
        <v>0</v>
      </c>
    </row>
    <row r="686" spans="1:38">
      <c r="A686" s="165">
        <f>'Conveyor Downtime (new)'!A695</f>
        <v>0</v>
      </c>
      <c r="B686" s="346"/>
      <c r="C686" s="346"/>
      <c r="D686" s="346"/>
      <c r="E686" s="346"/>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f t="shared" si="82"/>
        <v>0</v>
      </c>
      <c r="AL686" s="351">
        <f t="shared" si="83"/>
        <v>0</v>
      </c>
    </row>
    <row r="687" spans="1:38">
      <c r="A687" s="165">
        <f>'Conveyor Downtime (new)'!A696</f>
        <v>0</v>
      </c>
      <c r="AK687">
        <f t="shared" si="82"/>
        <v>0</v>
      </c>
      <c r="AL687" s="351">
        <f t="shared" si="83"/>
        <v>0</v>
      </c>
    </row>
    <row r="688" spans="1:38">
      <c r="A688" s="165">
        <f>'Conveyor Downtime (new)'!A697</f>
        <v>0</v>
      </c>
      <c r="B688" s="346"/>
      <c r="C688" s="346"/>
      <c r="D688" s="346"/>
      <c r="E688" s="346"/>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77"/>
      <c r="AB688" s="346"/>
      <c r="AC688" s="346"/>
      <c r="AD688" s="346"/>
      <c r="AE688" s="346"/>
      <c r="AF688" s="346"/>
      <c r="AG688" s="346"/>
      <c r="AH688" s="346"/>
      <c r="AI688" s="346"/>
      <c r="AJ688" s="346"/>
      <c r="AK688">
        <f t="shared" si="82"/>
        <v>0</v>
      </c>
      <c r="AL688" s="351">
        <f t="shared" si="83"/>
        <v>0</v>
      </c>
    </row>
    <row r="689" spans="1:38">
      <c r="A689" s="165">
        <f>'Conveyor Downtime (new)'!A698</f>
        <v>0</v>
      </c>
      <c r="AK689">
        <f t="shared" si="82"/>
        <v>0</v>
      </c>
      <c r="AL689" s="351">
        <f t="shared" si="83"/>
        <v>0</v>
      </c>
    </row>
    <row r="690" spans="1:38">
      <c r="A690" s="165">
        <f>'Conveyor Downtime (new)'!A699</f>
        <v>0</v>
      </c>
      <c r="B690" s="346"/>
      <c r="C690" s="346"/>
      <c r="D690" s="346"/>
      <c r="E690" s="346"/>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f t="shared" si="82"/>
        <v>0</v>
      </c>
      <c r="AL690" s="351">
        <f t="shared" si="83"/>
        <v>0</v>
      </c>
    </row>
    <row r="691" spans="1:38">
      <c r="A691" s="165">
        <f>'Conveyor Downtime (new)'!A700</f>
        <v>0</v>
      </c>
      <c r="AK691">
        <f t="shared" si="82"/>
        <v>0</v>
      </c>
      <c r="AL691" s="351">
        <f t="shared" si="83"/>
        <v>0</v>
      </c>
    </row>
    <row r="692" spans="1:38">
      <c r="A692" s="165">
        <f>'Conveyor Downtime (new)'!A701</f>
        <v>0</v>
      </c>
      <c r="B692" s="346"/>
      <c r="C692" s="346"/>
      <c r="D692" s="346"/>
      <c r="E692" s="346"/>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346"/>
      <c r="AK692">
        <f t="shared" si="82"/>
        <v>0</v>
      </c>
      <c r="AL692" s="351">
        <f t="shared" si="83"/>
        <v>0</v>
      </c>
    </row>
    <row r="693" spans="1:38">
      <c r="A693" s="165">
        <f>'Conveyor Downtime (new)'!A702</f>
        <v>0</v>
      </c>
      <c r="AK693">
        <f t="shared" si="82"/>
        <v>0</v>
      </c>
      <c r="AL693" s="351">
        <f t="shared" si="83"/>
        <v>0</v>
      </c>
    </row>
    <row r="694" spans="1:38">
      <c r="A694" s="165">
        <f>'Conveyor Downtime (new)'!A703</f>
        <v>0</v>
      </c>
      <c r="B694" s="346"/>
      <c r="C694" s="346"/>
      <c r="D694" s="346"/>
      <c r="E694" s="346"/>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346"/>
      <c r="AK694">
        <f t="shared" si="82"/>
        <v>0</v>
      </c>
      <c r="AL694" s="351">
        <f t="shared" si="83"/>
        <v>0</v>
      </c>
    </row>
    <row r="695" spans="1:38">
      <c r="A695" s="165">
        <f>'Conveyor Downtime (new)'!A704</f>
        <v>0</v>
      </c>
      <c r="AK695">
        <f t="shared" si="82"/>
        <v>0</v>
      </c>
      <c r="AL695" s="351">
        <f t="shared" si="83"/>
        <v>0</v>
      </c>
    </row>
    <row r="696" spans="1:38">
      <c r="A696" s="165">
        <f>'Conveyor Downtime (new)'!A705</f>
        <v>0</v>
      </c>
      <c r="B696" s="346"/>
      <c r="C696" s="346"/>
      <c r="D696" s="346"/>
      <c r="E696" s="346"/>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346"/>
      <c r="AK696">
        <f t="shared" si="82"/>
        <v>0</v>
      </c>
      <c r="AL696" s="351">
        <f t="shared" si="83"/>
        <v>0</v>
      </c>
    </row>
    <row r="697" spans="1:38">
      <c r="A697" s="165">
        <f>'Conveyor Downtime (new)'!A706</f>
        <v>0</v>
      </c>
      <c r="AK697">
        <f t="shared" si="82"/>
        <v>0</v>
      </c>
      <c r="AL697" s="351">
        <f t="shared" si="83"/>
        <v>0</v>
      </c>
    </row>
    <row r="698" spans="1:38">
      <c r="A698" s="165">
        <f>'Conveyor Downtime (new)'!A707</f>
        <v>0</v>
      </c>
      <c r="B698" s="346"/>
      <c r="C698" s="346"/>
      <c r="D698" s="346"/>
      <c r="E698" s="346"/>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46"/>
      <c r="AI698" s="346"/>
      <c r="AJ698" s="346"/>
      <c r="AK698">
        <f t="shared" si="82"/>
        <v>0</v>
      </c>
      <c r="AL698" s="351">
        <f t="shared" si="83"/>
        <v>0</v>
      </c>
    </row>
    <row r="699" spans="1:38">
      <c r="A699" s="165">
        <f>'Conveyor Downtime (new)'!A708</f>
        <v>0</v>
      </c>
      <c r="AK699">
        <f t="shared" si="82"/>
        <v>0</v>
      </c>
      <c r="AL699" s="351">
        <f t="shared" si="83"/>
        <v>0</v>
      </c>
    </row>
    <row r="700" spans="1:38">
      <c r="A700" s="165">
        <f>'Conveyor Downtime (new)'!A709</f>
        <v>0</v>
      </c>
      <c r="B700" s="346"/>
      <c r="C700" s="346"/>
      <c r="D700" s="346"/>
      <c r="E700" s="346"/>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346"/>
      <c r="AK700">
        <f t="shared" si="82"/>
        <v>0</v>
      </c>
      <c r="AL700" s="351">
        <f t="shared" si="83"/>
        <v>0</v>
      </c>
    </row>
    <row r="701" spans="1:38">
      <c r="A701" s="165">
        <f>'Conveyor Downtime (new)'!A710</f>
        <v>0</v>
      </c>
      <c r="AK701">
        <f t="shared" ref="AK701:AK718" si="84">SUM(B701:AJ701)</f>
        <v>0</v>
      </c>
      <c r="AL701" s="351">
        <f t="shared" si="83"/>
        <v>0</v>
      </c>
    </row>
    <row r="702" spans="1:38">
      <c r="A702" s="165">
        <f>'Conveyor Downtime (new)'!A711</f>
        <v>0</v>
      </c>
      <c r="B702" s="346"/>
      <c r="C702" s="346"/>
      <c r="D702" s="346"/>
      <c r="E702" s="346"/>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346"/>
      <c r="AK702">
        <f t="shared" si="84"/>
        <v>0</v>
      </c>
      <c r="AL702" s="351">
        <f t="shared" ref="AL702:AL717" si="85">AK702/$AK$183</f>
        <v>0</v>
      </c>
    </row>
    <row r="703" spans="1:38">
      <c r="A703" s="165">
        <f>'Conveyor Downtime (new)'!A712</f>
        <v>0</v>
      </c>
      <c r="AK703">
        <f t="shared" si="84"/>
        <v>0</v>
      </c>
      <c r="AL703" s="351">
        <f t="shared" si="85"/>
        <v>0</v>
      </c>
    </row>
    <row r="704" spans="1:38">
      <c r="A704" s="165">
        <f>'Conveyor Downtime (new)'!A713</f>
        <v>0</v>
      </c>
      <c r="B704" s="346"/>
      <c r="C704" s="346"/>
      <c r="D704" s="346"/>
      <c r="E704" s="346"/>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346"/>
      <c r="AK704">
        <f t="shared" si="84"/>
        <v>0</v>
      </c>
      <c r="AL704" s="351">
        <f t="shared" si="85"/>
        <v>0</v>
      </c>
    </row>
    <row r="705" spans="1:38">
      <c r="A705" s="165">
        <f>'Conveyor Downtime (new)'!A714</f>
        <v>0</v>
      </c>
      <c r="AK705">
        <f t="shared" si="84"/>
        <v>0</v>
      </c>
      <c r="AL705" s="351">
        <f t="shared" si="85"/>
        <v>0</v>
      </c>
    </row>
    <row r="706" spans="1:38">
      <c r="A706" s="165">
        <f>'Conveyor Downtime (new)'!A715</f>
        <v>0</v>
      </c>
      <c r="B706" s="346"/>
      <c r="C706" s="346"/>
      <c r="D706" s="346"/>
      <c r="E706" s="346"/>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346"/>
      <c r="AK706">
        <f t="shared" si="84"/>
        <v>0</v>
      </c>
      <c r="AL706" s="351">
        <f t="shared" si="85"/>
        <v>0</v>
      </c>
    </row>
    <row r="707" spans="1:38">
      <c r="A707" s="165">
        <f>'Conveyor Downtime (new)'!A716</f>
        <v>0</v>
      </c>
      <c r="AK707">
        <f t="shared" si="84"/>
        <v>0</v>
      </c>
      <c r="AL707" s="351">
        <f t="shared" si="85"/>
        <v>0</v>
      </c>
    </row>
    <row r="708" spans="1:38">
      <c r="A708" s="165">
        <f>'Conveyor Downtime (new)'!A717</f>
        <v>0</v>
      </c>
      <c r="B708" s="346"/>
      <c r="C708" s="346"/>
      <c r="D708" s="346"/>
      <c r="E708" s="346"/>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346"/>
      <c r="AK708">
        <f t="shared" si="84"/>
        <v>0</v>
      </c>
      <c r="AL708" s="351">
        <f t="shared" si="85"/>
        <v>0</v>
      </c>
    </row>
    <row r="709" spans="1:38">
      <c r="A709" s="165">
        <f>'Conveyor Downtime (new)'!A718</f>
        <v>0</v>
      </c>
      <c r="AK709">
        <f t="shared" si="84"/>
        <v>0</v>
      </c>
      <c r="AL709" s="351">
        <f t="shared" si="85"/>
        <v>0</v>
      </c>
    </row>
    <row r="710" spans="1:38">
      <c r="A710" s="165">
        <f>'Conveyor Downtime (new)'!A719</f>
        <v>0</v>
      </c>
      <c r="B710" s="346"/>
      <c r="C710" s="346"/>
      <c r="D710" s="346"/>
      <c r="E710" s="346"/>
      <c r="F710" s="346"/>
      <c r="G710" s="346"/>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46"/>
      <c r="AE710" s="346"/>
      <c r="AF710" s="346"/>
      <c r="AG710" s="346"/>
      <c r="AH710" s="346"/>
      <c r="AI710" s="346"/>
      <c r="AJ710" s="346"/>
      <c r="AK710">
        <f t="shared" si="84"/>
        <v>0</v>
      </c>
      <c r="AL710" s="351">
        <f t="shared" si="85"/>
        <v>0</v>
      </c>
    </row>
    <row r="711" spans="1:38">
      <c r="A711" s="165">
        <f>'Conveyor Downtime (new)'!A720</f>
        <v>0</v>
      </c>
      <c r="AK711">
        <f t="shared" si="84"/>
        <v>0</v>
      </c>
      <c r="AL711" s="351">
        <f t="shared" si="85"/>
        <v>0</v>
      </c>
    </row>
    <row r="712" spans="1:38">
      <c r="A712" s="165">
        <f>'Conveyor Downtime (new)'!A721</f>
        <v>0</v>
      </c>
      <c r="B712" s="346"/>
      <c r="C712" s="346"/>
      <c r="D712" s="346"/>
      <c r="E712" s="346"/>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346"/>
      <c r="AK712">
        <f t="shared" si="84"/>
        <v>0</v>
      </c>
      <c r="AL712" s="351">
        <f t="shared" si="85"/>
        <v>0</v>
      </c>
    </row>
    <row r="713" spans="1:38">
      <c r="A713" s="165">
        <f>'Conveyor Downtime (new)'!A722</f>
        <v>0</v>
      </c>
      <c r="AK713">
        <f t="shared" si="84"/>
        <v>0</v>
      </c>
      <c r="AL713" s="351">
        <f t="shared" si="85"/>
        <v>0</v>
      </c>
    </row>
    <row r="714" spans="1:38">
      <c r="A714" s="165">
        <f>'Conveyor Downtime (new)'!A723</f>
        <v>0</v>
      </c>
      <c r="B714" s="346"/>
      <c r="C714" s="346"/>
      <c r="D714" s="346"/>
      <c r="E714" s="346"/>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346"/>
      <c r="AK714">
        <f t="shared" si="84"/>
        <v>0</v>
      </c>
      <c r="AL714" s="351">
        <f t="shared" si="85"/>
        <v>0</v>
      </c>
    </row>
    <row r="715" spans="1:38">
      <c r="A715" s="165">
        <f>'Conveyor Downtime (new)'!A724</f>
        <v>0</v>
      </c>
      <c r="AK715">
        <f t="shared" si="84"/>
        <v>0</v>
      </c>
      <c r="AL715" s="351">
        <f t="shared" si="85"/>
        <v>0</v>
      </c>
    </row>
    <row r="716" spans="1:38">
      <c r="A716" s="165">
        <f>'Conveyor Downtime (new)'!A725</f>
        <v>0</v>
      </c>
      <c r="B716" s="346"/>
      <c r="C716" s="346"/>
      <c r="D716" s="346"/>
      <c r="E716" s="346"/>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346"/>
      <c r="AK716">
        <f t="shared" si="84"/>
        <v>0</v>
      </c>
      <c r="AL716" s="351">
        <f t="shared" si="85"/>
        <v>0</v>
      </c>
    </row>
    <row r="717" spans="1:38">
      <c r="A717" s="165">
        <f>'Conveyor Downtime (new)'!A726</f>
        <v>0</v>
      </c>
      <c r="AK717">
        <f t="shared" si="84"/>
        <v>0</v>
      </c>
      <c r="AL717" s="351">
        <f t="shared" si="85"/>
        <v>0</v>
      </c>
    </row>
    <row r="718" spans="1:38">
      <c r="A718" s="165"/>
      <c r="B718" s="346"/>
      <c r="C718" s="346"/>
      <c r="D718" s="346"/>
      <c r="E718" s="346"/>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346"/>
      <c r="AK718">
        <f t="shared" si="84"/>
        <v>0</v>
      </c>
      <c r="AL718" s="351">
        <f t="shared" si="83"/>
        <v>0</v>
      </c>
    </row>
    <row r="719" spans="1:38" ht="15">
      <c r="A719" s="347" t="s">
        <v>113</v>
      </c>
      <c r="B719" s="347">
        <f>SUM(B669:B718)</f>
        <v>0</v>
      </c>
      <c r="C719" s="347">
        <f t="shared" ref="C719:AK719" si="86">SUM(C669:C718)</f>
        <v>0</v>
      </c>
      <c r="D719" s="347">
        <f t="shared" si="86"/>
        <v>0</v>
      </c>
      <c r="E719" s="347">
        <f t="shared" si="86"/>
        <v>0</v>
      </c>
      <c r="F719" s="347">
        <f t="shared" si="86"/>
        <v>0</v>
      </c>
      <c r="G719" s="347">
        <f t="shared" si="86"/>
        <v>0</v>
      </c>
      <c r="H719" s="347">
        <f t="shared" si="86"/>
        <v>0</v>
      </c>
      <c r="I719" s="347">
        <f t="shared" si="86"/>
        <v>0</v>
      </c>
      <c r="J719" s="347">
        <f t="shared" si="86"/>
        <v>0</v>
      </c>
      <c r="K719" s="347">
        <f t="shared" si="86"/>
        <v>0</v>
      </c>
      <c r="L719" s="347">
        <f t="shared" si="86"/>
        <v>0</v>
      </c>
      <c r="M719" s="347">
        <f t="shared" si="86"/>
        <v>0</v>
      </c>
      <c r="N719" s="347">
        <f t="shared" si="86"/>
        <v>0</v>
      </c>
      <c r="O719" s="347">
        <f t="shared" si="86"/>
        <v>0</v>
      </c>
      <c r="P719" s="347">
        <f t="shared" si="86"/>
        <v>0</v>
      </c>
      <c r="Q719" s="347">
        <f t="shared" si="86"/>
        <v>0</v>
      </c>
      <c r="R719" s="347">
        <f t="shared" si="86"/>
        <v>0</v>
      </c>
      <c r="S719" s="347">
        <f t="shared" si="86"/>
        <v>0</v>
      </c>
      <c r="T719" s="347">
        <f t="shared" si="86"/>
        <v>0</v>
      </c>
      <c r="U719" s="347">
        <f t="shared" si="86"/>
        <v>0</v>
      </c>
      <c r="V719" s="347">
        <f t="shared" si="86"/>
        <v>0</v>
      </c>
      <c r="W719" s="347">
        <f t="shared" si="86"/>
        <v>0</v>
      </c>
      <c r="X719" s="347">
        <f t="shared" si="86"/>
        <v>0</v>
      </c>
      <c r="Y719" s="347">
        <f t="shared" si="86"/>
        <v>0</v>
      </c>
      <c r="Z719" s="347">
        <f t="shared" si="86"/>
        <v>0</v>
      </c>
      <c r="AA719" s="347">
        <f t="shared" si="86"/>
        <v>0</v>
      </c>
      <c r="AB719" s="347">
        <f t="shared" si="86"/>
        <v>0</v>
      </c>
      <c r="AC719" s="347">
        <f t="shared" si="86"/>
        <v>0</v>
      </c>
      <c r="AD719" s="347">
        <f t="shared" si="86"/>
        <v>0</v>
      </c>
      <c r="AE719" s="347">
        <f t="shared" si="86"/>
        <v>0</v>
      </c>
      <c r="AF719" s="347">
        <f t="shared" si="86"/>
        <v>0</v>
      </c>
      <c r="AG719" s="347">
        <f t="shared" si="86"/>
        <v>0</v>
      </c>
      <c r="AH719" s="347">
        <f t="shared" si="86"/>
        <v>0</v>
      </c>
      <c r="AI719" s="347">
        <f t="shared" si="86"/>
        <v>0</v>
      </c>
      <c r="AJ719" s="347">
        <f t="shared" si="86"/>
        <v>0</v>
      </c>
      <c r="AK719" s="347">
        <f t="shared" si="86"/>
        <v>0</v>
      </c>
      <c r="AL719" s="397">
        <f>SUM(AL669:AL718)</f>
        <v>0</v>
      </c>
    </row>
    <row r="720" spans="1:38" ht="15.75" thickBot="1">
      <c r="A720" s="348" t="s">
        <v>174</v>
      </c>
      <c r="B720" s="348" t="e">
        <f t="shared" ref="B720:H720" si="87">B719/$AK719</f>
        <v>#DIV/0!</v>
      </c>
      <c r="C720" s="348" t="e">
        <f t="shared" si="87"/>
        <v>#DIV/0!</v>
      </c>
      <c r="D720" s="348" t="e">
        <f t="shared" si="87"/>
        <v>#DIV/0!</v>
      </c>
      <c r="E720" s="348" t="e">
        <f t="shared" si="87"/>
        <v>#DIV/0!</v>
      </c>
      <c r="F720" s="348" t="e">
        <f t="shared" si="87"/>
        <v>#DIV/0!</v>
      </c>
      <c r="G720" s="348" t="e">
        <f t="shared" si="87"/>
        <v>#DIV/0!</v>
      </c>
      <c r="H720" s="348" t="e">
        <f t="shared" si="87"/>
        <v>#DIV/0!</v>
      </c>
      <c r="I720" s="348" t="e">
        <f t="shared" ref="I720:AJ720" si="88">I719/$AK719</f>
        <v>#DIV/0!</v>
      </c>
      <c r="J720" s="348" t="e">
        <f t="shared" si="88"/>
        <v>#DIV/0!</v>
      </c>
      <c r="K720" s="348" t="e">
        <f t="shared" si="88"/>
        <v>#DIV/0!</v>
      </c>
      <c r="L720" s="348" t="e">
        <f t="shared" si="88"/>
        <v>#DIV/0!</v>
      </c>
      <c r="M720" s="348" t="e">
        <f t="shared" si="88"/>
        <v>#DIV/0!</v>
      </c>
      <c r="N720" s="348" t="e">
        <f t="shared" si="88"/>
        <v>#DIV/0!</v>
      </c>
      <c r="O720" s="348" t="e">
        <f t="shared" si="88"/>
        <v>#DIV/0!</v>
      </c>
      <c r="P720" s="348" t="e">
        <f t="shared" si="88"/>
        <v>#DIV/0!</v>
      </c>
      <c r="Q720" s="348" t="e">
        <f t="shared" si="88"/>
        <v>#DIV/0!</v>
      </c>
      <c r="R720" s="348" t="e">
        <f t="shared" si="88"/>
        <v>#DIV/0!</v>
      </c>
      <c r="S720" s="348" t="e">
        <f t="shared" si="88"/>
        <v>#DIV/0!</v>
      </c>
      <c r="T720" s="348" t="e">
        <f t="shared" si="88"/>
        <v>#DIV/0!</v>
      </c>
      <c r="U720" s="348" t="e">
        <f t="shared" si="88"/>
        <v>#DIV/0!</v>
      </c>
      <c r="V720" s="348" t="e">
        <f t="shared" si="88"/>
        <v>#DIV/0!</v>
      </c>
      <c r="W720" s="348" t="e">
        <f t="shared" si="88"/>
        <v>#DIV/0!</v>
      </c>
      <c r="X720" s="348" t="e">
        <f t="shared" si="88"/>
        <v>#DIV/0!</v>
      </c>
      <c r="Y720" s="348" t="e">
        <f t="shared" si="88"/>
        <v>#DIV/0!</v>
      </c>
      <c r="Z720" s="348" t="e">
        <f t="shared" si="88"/>
        <v>#DIV/0!</v>
      </c>
      <c r="AA720" s="348" t="e">
        <f t="shared" si="88"/>
        <v>#DIV/0!</v>
      </c>
      <c r="AB720" s="348" t="e">
        <f t="shared" si="88"/>
        <v>#DIV/0!</v>
      </c>
      <c r="AC720" s="348" t="e">
        <f t="shared" si="88"/>
        <v>#DIV/0!</v>
      </c>
      <c r="AD720" s="348" t="e">
        <f t="shared" si="88"/>
        <v>#DIV/0!</v>
      </c>
      <c r="AE720" s="348" t="e">
        <f t="shared" si="88"/>
        <v>#DIV/0!</v>
      </c>
      <c r="AF720" s="348" t="e">
        <f t="shared" si="88"/>
        <v>#DIV/0!</v>
      </c>
      <c r="AG720" s="348" t="e">
        <f t="shared" si="88"/>
        <v>#DIV/0!</v>
      </c>
      <c r="AH720" s="348" t="e">
        <f t="shared" si="88"/>
        <v>#DIV/0!</v>
      </c>
      <c r="AI720" s="348" t="e">
        <f t="shared" si="88"/>
        <v>#DIV/0!</v>
      </c>
      <c r="AJ720" s="348" t="e">
        <f t="shared" si="88"/>
        <v>#DIV/0!</v>
      </c>
      <c r="AK720" s="376"/>
      <c r="AL720" s="376"/>
    </row>
    <row r="723" spans="1:41" s="184" customFormat="1" ht="15">
      <c r="A723" s="519" t="s">
        <v>173</v>
      </c>
      <c r="B723" s="519">
        <f t="shared" ref="B723:AK723" si="89">SUM(B62,B121,B183,B245,B306,B369,B428,B488,B549,B607,B665,B719)</f>
        <v>726</v>
      </c>
      <c r="C723" s="519">
        <f t="shared" si="89"/>
        <v>42</v>
      </c>
      <c r="D723" s="519">
        <f t="shared" si="89"/>
        <v>0</v>
      </c>
      <c r="E723" s="519">
        <f t="shared" si="89"/>
        <v>0</v>
      </c>
      <c r="F723" s="519">
        <f t="shared" si="89"/>
        <v>396</v>
      </c>
      <c r="G723" s="519">
        <f t="shared" si="89"/>
        <v>9</v>
      </c>
      <c r="H723" s="519">
        <f t="shared" si="89"/>
        <v>74</v>
      </c>
      <c r="I723" s="519">
        <f t="shared" si="89"/>
        <v>130</v>
      </c>
      <c r="J723" s="519">
        <f t="shared" si="89"/>
        <v>0</v>
      </c>
      <c r="K723" s="519">
        <f t="shared" si="89"/>
        <v>449</v>
      </c>
      <c r="L723" s="519">
        <f t="shared" si="89"/>
        <v>65</v>
      </c>
      <c r="M723" s="519">
        <f t="shared" si="89"/>
        <v>0</v>
      </c>
      <c r="N723" s="519">
        <f t="shared" si="89"/>
        <v>4</v>
      </c>
      <c r="O723" s="519">
        <f t="shared" si="89"/>
        <v>15</v>
      </c>
      <c r="P723" s="519">
        <f t="shared" si="89"/>
        <v>256</v>
      </c>
      <c r="Q723" s="519">
        <f t="shared" si="89"/>
        <v>0</v>
      </c>
      <c r="R723" s="519">
        <f t="shared" si="89"/>
        <v>0</v>
      </c>
      <c r="S723" s="519">
        <f t="shared" si="89"/>
        <v>172</v>
      </c>
      <c r="T723" s="519">
        <f t="shared" si="89"/>
        <v>178</v>
      </c>
      <c r="U723" s="519">
        <f t="shared" si="89"/>
        <v>2</v>
      </c>
      <c r="V723" s="519">
        <f t="shared" si="89"/>
        <v>325</v>
      </c>
      <c r="W723" s="519">
        <f t="shared" si="89"/>
        <v>135</v>
      </c>
      <c r="X723" s="519">
        <f t="shared" si="89"/>
        <v>15</v>
      </c>
      <c r="Y723" s="519">
        <f t="shared" si="89"/>
        <v>741</v>
      </c>
      <c r="Z723" s="519">
        <f t="shared" si="89"/>
        <v>408</v>
      </c>
      <c r="AA723" s="519">
        <f t="shared" si="89"/>
        <v>50</v>
      </c>
      <c r="AB723" s="519">
        <f t="shared" si="89"/>
        <v>8</v>
      </c>
      <c r="AC723" s="519">
        <f t="shared" si="89"/>
        <v>121</v>
      </c>
      <c r="AD723" s="519">
        <f t="shared" si="89"/>
        <v>25</v>
      </c>
      <c r="AE723" s="519">
        <f t="shared" si="89"/>
        <v>9</v>
      </c>
      <c r="AF723" s="519">
        <f t="shared" si="89"/>
        <v>1610</v>
      </c>
      <c r="AG723" s="519">
        <f t="shared" si="89"/>
        <v>5</v>
      </c>
      <c r="AH723" s="519">
        <f t="shared" si="89"/>
        <v>0</v>
      </c>
      <c r="AI723" s="519">
        <f t="shared" si="89"/>
        <v>115</v>
      </c>
      <c r="AJ723" s="519">
        <f t="shared" si="89"/>
        <v>569</v>
      </c>
      <c r="AK723" s="519">
        <f t="shared" si="89"/>
        <v>6654</v>
      </c>
      <c r="AL723" s="519"/>
      <c r="AM723" s="519"/>
      <c r="AN723" s="519"/>
      <c r="AO723" s="519"/>
    </row>
    <row r="724" spans="1:41" s="184" customFormat="1" ht="15.75" thickBot="1">
      <c r="A724" s="521" t="s">
        <v>43</v>
      </c>
      <c r="B724" s="521">
        <f>B723/$AK723</f>
        <v>0.109107303877367</v>
      </c>
      <c r="C724" s="521">
        <f t="shared" ref="C724:AJ724" si="90">C723/$AK723</f>
        <v>6.3119927862939585E-3</v>
      </c>
      <c r="D724" s="521">
        <f t="shared" si="90"/>
        <v>0</v>
      </c>
      <c r="E724" s="521">
        <f t="shared" si="90"/>
        <v>0</v>
      </c>
      <c r="F724" s="521">
        <f t="shared" si="90"/>
        <v>5.9513074842200184E-2</v>
      </c>
      <c r="G724" s="521">
        <f t="shared" si="90"/>
        <v>1.3525698827772769E-3</v>
      </c>
      <c r="H724" s="521">
        <f t="shared" si="90"/>
        <v>1.1121130147279832E-2</v>
      </c>
      <c r="I724" s="521">
        <f t="shared" si="90"/>
        <v>1.9537120529005109E-2</v>
      </c>
      <c r="J724" s="521">
        <f t="shared" si="90"/>
        <v>0</v>
      </c>
      <c r="K724" s="521">
        <f t="shared" si="90"/>
        <v>6.7478208596333036E-2</v>
      </c>
      <c r="L724" s="521">
        <f t="shared" si="90"/>
        <v>9.7685602645025543E-3</v>
      </c>
      <c r="M724" s="521">
        <f t="shared" si="90"/>
        <v>0</v>
      </c>
      <c r="N724" s="521">
        <f t="shared" si="90"/>
        <v>6.0114217012323412E-4</v>
      </c>
      <c r="O724" s="521">
        <f t="shared" si="90"/>
        <v>2.254283137962128E-3</v>
      </c>
      <c r="P724" s="521">
        <f t="shared" si="90"/>
        <v>3.8473098887886983E-2</v>
      </c>
      <c r="Q724" s="521">
        <f t="shared" si="90"/>
        <v>0</v>
      </c>
      <c r="R724" s="521">
        <f t="shared" si="90"/>
        <v>0</v>
      </c>
      <c r="S724" s="521">
        <f t="shared" si="90"/>
        <v>2.5849113315299068E-2</v>
      </c>
      <c r="T724" s="521">
        <f t="shared" si="90"/>
        <v>2.6750826570483919E-2</v>
      </c>
      <c r="U724" s="521">
        <f t="shared" si="90"/>
        <v>3.0057108506161706E-4</v>
      </c>
      <c r="V724" s="521">
        <f t="shared" si="90"/>
        <v>4.8842801322512772E-2</v>
      </c>
      <c r="W724" s="521">
        <f t="shared" si="90"/>
        <v>2.0288548241659151E-2</v>
      </c>
      <c r="X724" s="521">
        <f t="shared" si="90"/>
        <v>2.254283137962128E-3</v>
      </c>
      <c r="Y724" s="521">
        <f t="shared" si="90"/>
        <v>0.11136158701532912</v>
      </c>
      <c r="Z724" s="521">
        <f t="shared" si="90"/>
        <v>6.1316501352569885E-2</v>
      </c>
      <c r="AA724" s="521">
        <f t="shared" si="90"/>
        <v>7.5142771265404272E-3</v>
      </c>
      <c r="AB724" s="521">
        <f t="shared" si="90"/>
        <v>1.2022843402464682E-3</v>
      </c>
      <c r="AC724" s="521">
        <f t="shared" si="90"/>
        <v>1.8184550646227832E-2</v>
      </c>
      <c r="AD724" s="521">
        <f t="shared" si="90"/>
        <v>3.7571385632702136E-3</v>
      </c>
      <c r="AE724" s="521">
        <f t="shared" si="90"/>
        <v>1.3525698827772769E-3</v>
      </c>
      <c r="AF724" s="521">
        <f t="shared" si="90"/>
        <v>0.24195972347460173</v>
      </c>
      <c r="AG724" s="521">
        <f t="shared" si="90"/>
        <v>7.514277126540427E-4</v>
      </c>
      <c r="AH724" s="521">
        <f t="shared" si="90"/>
        <v>0</v>
      </c>
      <c r="AI724" s="521">
        <f t="shared" si="90"/>
        <v>1.7282837391042982E-2</v>
      </c>
      <c r="AJ724" s="521">
        <f t="shared" si="90"/>
        <v>8.5512473700030053E-2</v>
      </c>
      <c r="AK724" s="523"/>
      <c r="AL724" s="523"/>
      <c r="AM724" s="523"/>
      <c r="AO724" s="522"/>
    </row>
    <row r="734" spans="1:41">
      <c r="V734" s="5"/>
      <c r="W734" s="5"/>
      <c r="X734" s="5"/>
    </row>
  </sheetData>
  <mergeCells count="2">
    <mergeCell ref="B2:AJ2"/>
    <mergeCell ref="A4:XFD4"/>
  </mergeCells>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theme="2" tint="-0.499984740745262"/>
  </sheetPr>
  <dimension ref="A2:AP710"/>
  <sheetViews>
    <sheetView zoomScale="90" zoomScaleNormal="90" workbookViewId="0">
      <pane xSplit="1" ySplit="3" topLeftCell="F486" activePane="bottomRight" state="frozen"/>
      <selection pane="topRight"/>
      <selection pane="bottomLeft"/>
      <selection pane="bottomRight" activeCell="X517" sqref="X517"/>
    </sheetView>
  </sheetViews>
  <sheetFormatPr defaultColWidth="9" defaultRowHeight="12.75"/>
  <cols>
    <col min="1" max="1" width="10.5703125" customWidth="1"/>
    <col min="2" max="10" width="14.42578125" customWidth="1"/>
    <col min="11" max="20" width="12.5703125" customWidth="1"/>
    <col min="21" max="23" width="9.5703125" customWidth="1"/>
    <col min="24" max="25" width="12.5703125" customWidth="1"/>
  </cols>
  <sheetData>
    <row r="2" spans="1:27" ht="15">
      <c r="B2" s="644" t="s">
        <v>211</v>
      </c>
      <c r="C2" s="644"/>
      <c r="D2" s="644"/>
      <c r="E2" s="644"/>
      <c r="F2" s="644"/>
      <c r="G2" s="644"/>
      <c r="H2" s="644"/>
      <c r="I2" s="644"/>
      <c r="J2" s="644"/>
      <c r="K2" s="644"/>
      <c r="L2" s="644"/>
      <c r="M2" s="644"/>
      <c r="N2" s="644"/>
      <c r="O2" s="644"/>
      <c r="P2" s="644"/>
      <c r="Q2" s="644"/>
      <c r="R2" s="644"/>
      <c r="S2" s="644"/>
      <c r="T2" s="343"/>
      <c r="U2" s="343"/>
      <c r="V2" s="343"/>
      <c r="W2" s="343"/>
      <c r="X2" s="343"/>
      <c r="Y2" s="343"/>
    </row>
    <row r="3" spans="1:27" ht="39">
      <c r="A3" s="279" t="s">
        <v>81</v>
      </c>
      <c r="B3" s="344" t="s">
        <v>212</v>
      </c>
      <c r="C3" s="344" t="s">
        <v>213</v>
      </c>
      <c r="D3" s="344" t="s">
        <v>214</v>
      </c>
      <c r="E3" s="344" t="s">
        <v>215</v>
      </c>
      <c r="F3" s="344" t="s">
        <v>216</v>
      </c>
      <c r="G3" s="349" t="s">
        <v>217</v>
      </c>
      <c r="H3" s="349" t="s">
        <v>218</v>
      </c>
      <c r="I3" s="349" t="s">
        <v>219</v>
      </c>
      <c r="J3" s="344" t="s">
        <v>220</v>
      </c>
      <c r="K3" s="562" t="s">
        <v>221</v>
      </c>
      <c r="L3" s="344" t="s">
        <v>222</v>
      </c>
      <c r="M3" s="344" t="s">
        <v>223</v>
      </c>
      <c r="N3" s="344" t="s">
        <v>224</v>
      </c>
      <c r="O3" s="344" t="s">
        <v>225</v>
      </c>
      <c r="P3" s="344" t="s">
        <v>226</v>
      </c>
      <c r="Q3" s="344" t="s">
        <v>227</v>
      </c>
      <c r="R3" s="344" t="s">
        <v>228</v>
      </c>
      <c r="S3" s="344" t="s">
        <v>229</v>
      </c>
      <c r="T3" s="344" t="s">
        <v>230</v>
      </c>
      <c r="U3" s="344" t="s">
        <v>231</v>
      </c>
      <c r="V3" s="344" t="s">
        <v>500</v>
      </c>
      <c r="W3" s="344" t="s">
        <v>232</v>
      </c>
      <c r="X3" s="349" t="s">
        <v>145</v>
      </c>
      <c r="Y3" s="344" t="s">
        <v>233</v>
      </c>
    </row>
    <row r="4" spans="1:27" s="378" customFormat="1" ht="26.25">
      <c r="A4" s="379">
        <v>2026</v>
      </c>
    </row>
    <row r="5" spans="1:27">
      <c r="A5" s="165">
        <f>'Conveyor Downtime (new)'!A6</f>
        <v>46024</v>
      </c>
      <c r="Z5">
        <f t="shared" ref="Z5:Z51" si="0">SUM(B5:Y5)</f>
        <v>0</v>
      </c>
      <c r="AA5" s="351">
        <f t="shared" ref="AA5:AA51" si="1">Z5/$Z$68</f>
        <v>0</v>
      </c>
    </row>
    <row r="6" spans="1:27">
      <c r="A6" s="165">
        <f>'Conveyor Downtime (new)'!A7</f>
        <v>46027</v>
      </c>
      <c r="B6" s="346"/>
      <c r="C6" s="346"/>
      <c r="D6" s="346"/>
      <c r="E6" s="346"/>
      <c r="F6" s="346"/>
      <c r="G6" s="346"/>
      <c r="H6" s="346"/>
      <c r="I6" s="346"/>
      <c r="J6" s="346"/>
      <c r="K6" s="346"/>
      <c r="L6" s="346"/>
      <c r="M6" s="346"/>
      <c r="N6" s="346"/>
      <c r="O6" s="346"/>
      <c r="P6" s="346"/>
      <c r="Q6" s="346"/>
      <c r="R6" s="346"/>
      <c r="S6" s="346"/>
      <c r="T6" s="346"/>
      <c r="U6" s="346"/>
      <c r="V6" s="346"/>
      <c r="W6" s="346"/>
      <c r="X6" s="346"/>
      <c r="Y6" s="346"/>
      <c r="Z6">
        <f t="shared" si="0"/>
        <v>0</v>
      </c>
      <c r="AA6" s="351">
        <f t="shared" si="1"/>
        <v>0</v>
      </c>
    </row>
    <row r="7" spans="1:27">
      <c r="A7" s="165">
        <f>'Conveyor Downtime (new)'!A8</f>
        <v>46028</v>
      </c>
      <c r="Z7">
        <f t="shared" si="0"/>
        <v>0</v>
      </c>
      <c r="AA7" s="351">
        <f t="shared" si="1"/>
        <v>0</v>
      </c>
    </row>
    <row r="8" spans="1:27">
      <c r="A8" s="165">
        <f>'Conveyor Downtime (new)'!A9</f>
        <v>46029</v>
      </c>
      <c r="B8" s="346"/>
      <c r="C8" s="346"/>
      <c r="D8" s="346"/>
      <c r="E8" s="346"/>
      <c r="F8" s="346"/>
      <c r="G8" s="346"/>
      <c r="H8" s="346"/>
      <c r="I8" s="346"/>
      <c r="J8" s="346"/>
      <c r="K8" s="346"/>
      <c r="L8" s="346"/>
      <c r="M8" s="346"/>
      <c r="N8" s="346"/>
      <c r="O8" s="346"/>
      <c r="P8" s="346"/>
      <c r="Q8" s="346"/>
      <c r="R8" s="346"/>
      <c r="S8" s="346"/>
      <c r="T8" s="346"/>
      <c r="U8" s="346"/>
      <c r="V8" s="346"/>
      <c r="W8" s="346"/>
      <c r="X8" s="346"/>
      <c r="Y8" s="346"/>
      <c r="Z8">
        <f t="shared" si="0"/>
        <v>0</v>
      </c>
      <c r="AA8" s="351">
        <f t="shared" si="1"/>
        <v>0</v>
      </c>
    </row>
    <row r="9" spans="1:27">
      <c r="A9" s="165">
        <f>'Conveyor Downtime (new)'!A10</f>
        <v>46030</v>
      </c>
      <c r="Z9">
        <f t="shared" si="0"/>
        <v>0</v>
      </c>
      <c r="AA9" s="351">
        <f t="shared" si="1"/>
        <v>0</v>
      </c>
    </row>
    <row r="10" spans="1:27">
      <c r="A10" s="165">
        <f>'Conveyor Downtime (new)'!A11</f>
        <v>46031</v>
      </c>
      <c r="B10" s="346"/>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f t="shared" si="0"/>
        <v>0</v>
      </c>
      <c r="AA10" s="351">
        <f t="shared" si="1"/>
        <v>0</v>
      </c>
    </row>
    <row r="11" spans="1:27">
      <c r="A11" s="165">
        <f>'Conveyor Downtime (new)'!A12</f>
        <v>46031</v>
      </c>
      <c r="Z11">
        <f t="shared" si="0"/>
        <v>0</v>
      </c>
      <c r="AA11" s="351">
        <f t="shared" si="1"/>
        <v>0</v>
      </c>
    </row>
    <row r="12" spans="1:27">
      <c r="A12" s="165">
        <f>'Conveyor Downtime (new)'!A13</f>
        <v>46032</v>
      </c>
      <c r="B12" s="346"/>
      <c r="C12" s="346"/>
      <c r="D12" s="346"/>
      <c r="E12" s="346"/>
      <c r="F12" s="346"/>
      <c r="G12" s="346"/>
      <c r="H12" s="346"/>
      <c r="I12" s="346"/>
      <c r="J12" s="346"/>
      <c r="K12" s="346"/>
      <c r="L12" s="346"/>
      <c r="M12" s="346"/>
      <c r="N12" s="346"/>
      <c r="O12" s="346"/>
      <c r="P12" s="346"/>
      <c r="Q12" s="346"/>
      <c r="R12" s="346"/>
      <c r="S12" s="346"/>
      <c r="T12" s="346"/>
      <c r="U12" s="346"/>
      <c r="V12" s="346"/>
      <c r="W12" s="346"/>
      <c r="X12" s="346"/>
      <c r="Y12" s="346"/>
      <c r="Z12">
        <f t="shared" si="0"/>
        <v>0</v>
      </c>
      <c r="AA12" s="351">
        <f t="shared" si="1"/>
        <v>0</v>
      </c>
    </row>
    <row r="13" spans="1:27">
      <c r="A13" s="165">
        <f>'Conveyor Downtime (new)'!A14</f>
        <v>46034</v>
      </c>
      <c r="Z13">
        <f t="shared" si="0"/>
        <v>0</v>
      </c>
      <c r="AA13" s="351">
        <f t="shared" si="1"/>
        <v>0</v>
      </c>
    </row>
    <row r="14" spans="1:27">
      <c r="A14" s="165">
        <f>'Conveyor Downtime (new)'!A15</f>
        <v>46034</v>
      </c>
      <c r="B14" s="346"/>
      <c r="C14" s="346"/>
      <c r="D14" s="346"/>
      <c r="E14" s="346"/>
      <c r="F14" s="346"/>
      <c r="G14" s="346"/>
      <c r="H14" s="346"/>
      <c r="I14" s="346"/>
      <c r="J14" s="346"/>
      <c r="K14" s="346"/>
      <c r="L14" s="346"/>
      <c r="M14" s="346"/>
      <c r="N14" s="346"/>
      <c r="O14" s="346"/>
      <c r="P14" s="346"/>
      <c r="Q14" s="346"/>
      <c r="R14" s="346"/>
      <c r="S14" s="346"/>
      <c r="T14" s="346"/>
      <c r="U14" s="346"/>
      <c r="V14" s="346"/>
      <c r="W14" s="346"/>
      <c r="X14" s="346"/>
      <c r="Y14" s="346"/>
      <c r="Z14">
        <f t="shared" si="0"/>
        <v>0</v>
      </c>
      <c r="AA14" s="351">
        <f t="shared" si="1"/>
        <v>0</v>
      </c>
    </row>
    <row r="15" spans="1:27">
      <c r="A15" s="165">
        <f>'Conveyor Downtime (new)'!A16</f>
        <v>46034</v>
      </c>
      <c r="Z15">
        <f t="shared" si="0"/>
        <v>0</v>
      </c>
      <c r="AA15" s="351">
        <f t="shared" si="1"/>
        <v>0</v>
      </c>
    </row>
    <row r="16" spans="1:27">
      <c r="A16" s="165">
        <f>'Conveyor Downtime (new)'!A17</f>
        <v>46035</v>
      </c>
      <c r="B16" s="346"/>
      <c r="C16" s="346"/>
      <c r="D16" s="346"/>
      <c r="E16" s="346"/>
      <c r="F16" s="346"/>
      <c r="G16" s="346"/>
      <c r="H16" s="346"/>
      <c r="I16" s="346"/>
      <c r="J16" s="346"/>
      <c r="K16" s="346"/>
      <c r="L16" s="346"/>
      <c r="M16" s="346"/>
      <c r="N16" s="346"/>
      <c r="O16" s="346"/>
      <c r="P16" s="346"/>
      <c r="Q16" s="346"/>
      <c r="R16" s="346"/>
      <c r="S16" s="346"/>
      <c r="T16" s="346"/>
      <c r="U16" s="346"/>
      <c r="V16" s="346"/>
      <c r="W16" s="346"/>
      <c r="X16" s="346"/>
      <c r="Y16" s="346"/>
      <c r="Z16">
        <f t="shared" si="0"/>
        <v>0</v>
      </c>
      <c r="AA16" s="351">
        <f t="shared" si="1"/>
        <v>0</v>
      </c>
    </row>
    <row r="17" spans="1:27">
      <c r="A17" s="165">
        <f>'Conveyor Downtime (new)'!A18</f>
        <v>46035</v>
      </c>
      <c r="Z17">
        <f t="shared" si="0"/>
        <v>0</v>
      </c>
      <c r="AA17" s="351">
        <f t="shared" si="1"/>
        <v>0</v>
      </c>
    </row>
    <row r="18" spans="1:27">
      <c r="A18" s="165">
        <f>'Conveyor Downtime (new)'!A19</f>
        <v>46036</v>
      </c>
      <c r="B18" s="346"/>
      <c r="C18" s="346"/>
      <c r="D18" s="346"/>
      <c r="E18" s="346"/>
      <c r="F18" s="346"/>
      <c r="G18" s="346"/>
      <c r="H18" s="346"/>
      <c r="I18" s="346"/>
      <c r="J18" s="346"/>
      <c r="K18" s="346"/>
      <c r="L18" s="346"/>
      <c r="M18" s="346"/>
      <c r="N18" s="346"/>
      <c r="O18" s="346"/>
      <c r="P18" s="346"/>
      <c r="Q18" s="346"/>
      <c r="R18" s="346"/>
      <c r="S18" s="346"/>
      <c r="T18" s="346"/>
      <c r="U18" s="346"/>
      <c r="V18" s="346"/>
      <c r="W18" s="346"/>
      <c r="X18" s="346"/>
      <c r="Y18" s="346"/>
      <c r="Z18">
        <f t="shared" si="0"/>
        <v>0</v>
      </c>
      <c r="AA18" s="351">
        <f t="shared" si="1"/>
        <v>0</v>
      </c>
    </row>
    <row r="19" spans="1:27">
      <c r="A19" s="165">
        <f>'Conveyor Downtime (new)'!A20</f>
        <v>46036</v>
      </c>
      <c r="K19">
        <f>16</f>
        <v>16</v>
      </c>
      <c r="Z19">
        <f t="shared" si="0"/>
        <v>16</v>
      </c>
      <c r="AA19" s="351">
        <f t="shared" si="1"/>
        <v>1.8497109826589597E-2</v>
      </c>
    </row>
    <row r="20" spans="1:27">
      <c r="A20" s="165">
        <f>'Conveyor Downtime (new)'!A21</f>
        <v>46037</v>
      </c>
      <c r="B20" s="346"/>
      <c r="C20" s="346"/>
      <c r="D20" s="346"/>
      <c r="E20" s="346"/>
      <c r="F20" s="346"/>
      <c r="G20" s="346"/>
      <c r="H20" s="346"/>
      <c r="I20" s="346">
        <v>26</v>
      </c>
      <c r="J20" s="346"/>
      <c r="K20" s="346"/>
      <c r="L20" s="346"/>
      <c r="M20" s="346"/>
      <c r="N20" s="346"/>
      <c r="O20" s="346"/>
      <c r="P20" s="346"/>
      <c r="Q20" s="346"/>
      <c r="R20" s="346"/>
      <c r="S20" s="346"/>
      <c r="T20" s="346"/>
      <c r="U20" s="346"/>
      <c r="V20" s="346"/>
      <c r="W20" s="346"/>
      <c r="X20" s="346"/>
      <c r="Y20" s="346"/>
      <c r="Z20">
        <f t="shared" si="0"/>
        <v>26</v>
      </c>
      <c r="AA20" s="351">
        <f t="shared" si="1"/>
        <v>3.0057803468208091E-2</v>
      </c>
    </row>
    <row r="21" spans="1:27" ht="12" customHeight="1">
      <c r="A21" s="165">
        <f>'Conveyor Downtime (new)'!A22</f>
        <v>46037</v>
      </c>
      <c r="Z21">
        <f t="shared" si="0"/>
        <v>0</v>
      </c>
      <c r="AA21" s="351">
        <f t="shared" si="1"/>
        <v>0</v>
      </c>
    </row>
    <row r="22" spans="1:27">
      <c r="A22" s="165">
        <f>'Conveyor Downtime (new)'!A23</f>
        <v>46038</v>
      </c>
      <c r="B22" s="346"/>
      <c r="C22" s="346"/>
      <c r="D22" s="346"/>
      <c r="E22" s="346"/>
      <c r="F22" s="346"/>
      <c r="G22" s="346"/>
      <c r="H22" s="346"/>
      <c r="I22" s="346"/>
      <c r="J22" s="346"/>
      <c r="K22" s="346">
        <f>30</f>
        <v>30</v>
      </c>
      <c r="L22" s="346"/>
      <c r="M22" s="346"/>
      <c r="N22" s="346"/>
      <c r="O22" s="346"/>
      <c r="P22" s="346"/>
      <c r="Q22" s="346"/>
      <c r="R22" s="346"/>
      <c r="S22" s="346"/>
      <c r="T22" s="346"/>
      <c r="U22" s="346"/>
      <c r="V22" s="346"/>
      <c r="W22" s="346"/>
      <c r="X22" s="346"/>
      <c r="Y22" s="346"/>
      <c r="Z22">
        <f t="shared" si="0"/>
        <v>30</v>
      </c>
      <c r="AA22" s="351">
        <f t="shared" si="1"/>
        <v>3.4682080924855488E-2</v>
      </c>
    </row>
    <row r="23" spans="1:27">
      <c r="A23" s="165">
        <f>'Conveyor Downtime (new)'!A24</f>
        <v>46038</v>
      </c>
      <c r="F23">
        <v>2</v>
      </c>
      <c r="Z23">
        <f t="shared" si="0"/>
        <v>2</v>
      </c>
      <c r="AA23" s="351">
        <f t="shared" si="1"/>
        <v>2.3121387283236996E-3</v>
      </c>
    </row>
    <row r="24" spans="1:27">
      <c r="A24" s="165">
        <f>'Conveyor Downtime (new)'!A25</f>
        <v>46041</v>
      </c>
      <c r="B24" s="346"/>
      <c r="C24" s="346"/>
      <c r="D24" s="346"/>
      <c r="E24" s="346"/>
      <c r="F24" s="346"/>
      <c r="G24" s="346"/>
      <c r="H24" s="346"/>
      <c r="I24" s="346"/>
      <c r="J24" s="346"/>
      <c r="K24" s="346"/>
      <c r="L24" s="346"/>
      <c r="M24" s="346"/>
      <c r="N24" s="346"/>
      <c r="O24" s="346"/>
      <c r="P24" s="346"/>
      <c r="Q24" s="346"/>
      <c r="R24" s="346"/>
      <c r="S24" s="346"/>
      <c r="T24" s="346"/>
      <c r="U24" s="346"/>
      <c r="V24" s="346"/>
      <c r="W24" s="346"/>
      <c r="X24" s="346"/>
      <c r="Y24" s="346"/>
      <c r="Z24">
        <f t="shared" si="0"/>
        <v>0</v>
      </c>
      <c r="AA24" s="351">
        <f t="shared" si="1"/>
        <v>0</v>
      </c>
    </row>
    <row r="25" spans="1:27">
      <c r="A25" s="165">
        <f>'Conveyor Downtime (new)'!A26</f>
        <v>46041</v>
      </c>
      <c r="Z25">
        <f t="shared" si="0"/>
        <v>0</v>
      </c>
      <c r="AA25" s="351">
        <f t="shared" si="1"/>
        <v>0</v>
      </c>
    </row>
    <row r="26" spans="1:27">
      <c r="A26" s="165">
        <f>'Conveyor Downtime (new)'!A27</f>
        <v>46042</v>
      </c>
      <c r="B26" s="346">
        <f>3+3</f>
        <v>6</v>
      </c>
      <c r="C26" s="346"/>
      <c r="D26" s="346"/>
      <c r="E26" s="346"/>
      <c r="F26" s="346"/>
      <c r="G26" s="346"/>
      <c r="H26" s="346"/>
      <c r="I26" s="346"/>
      <c r="J26" s="346"/>
      <c r="K26" s="346"/>
      <c r="L26" s="346"/>
      <c r="M26" s="346"/>
      <c r="N26" s="346"/>
      <c r="O26" s="346"/>
      <c r="P26" s="346"/>
      <c r="Q26" s="346"/>
      <c r="R26" s="346"/>
      <c r="S26" s="346"/>
      <c r="T26" s="346"/>
      <c r="U26" s="346"/>
      <c r="V26" s="346"/>
      <c r="W26" s="346"/>
      <c r="X26" s="346"/>
      <c r="Y26" s="346"/>
      <c r="Z26">
        <f t="shared" si="0"/>
        <v>6</v>
      </c>
      <c r="AA26" s="351">
        <f t="shared" si="1"/>
        <v>6.9364161849710983E-3</v>
      </c>
    </row>
    <row r="27" spans="1:27">
      <c r="A27" s="165">
        <f>'Conveyor Downtime (new)'!A28</f>
        <v>46042</v>
      </c>
      <c r="B27">
        <f>9</f>
        <v>9</v>
      </c>
      <c r="Z27">
        <f t="shared" si="0"/>
        <v>9</v>
      </c>
      <c r="AA27" s="351">
        <f t="shared" si="1"/>
        <v>1.0404624277456647E-2</v>
      </c>
    </row>
    <row r="28" spans="1:27">
      <c r="A28" s="165">
        <f>'Conveyor Downtime (new)'!A29</f>
        <v>46043</v>
      </c>
      <c r="B28" s="346"/>
      <c r="C28" s="346"/>
      <c r="D28" s="346"/>
      <c r="E28" s="346"/>
      <c r="F28" s="346"/>
      <c r="G28" s="346"/>
      <c r="H28" s="346"/>
      <c r="I28" s="346"/>
      <c r="J28" s="346"/>
      <c r="K28" s="346"/>
      <c r="L28" s="346"/>
      <c r="M28" s="346"/>
      <c r="N28" s="346"/>
      <c r="O28" s="346"/>
      <c r="P28" s="346"/>
      <c r="Q28" s="346"/>
      <c r="R28" s="346"/>
      <c r="S28" s="346"/>
      <c r="T28" s="346"/>
      <c r="U28" s="346"/>
      <c r="V28" s="346"/>
      <c r="W28" s="346"/>
      <c r="X28" s="346"/>
      <c r="Y28" s="346"/>
      <c r="Z28">
        <f t="shared" si="0"/>
        <v>0</v>
      </c>
      <c r="AA28" s="351">
        <f t="shared" si="1"/>
        <v>0</v>
      </c>
    </row>
    <row r="29" spans="1:27">
      <c r="A29" s="165">
        <f>'Conveyor Downtime (new)'!A30</f>
        <v>46043</v>
      </c>
      <c r="Z29">
        <f t="shared" si="0"/>
        <v>0</v>
      </c>
      <c r="AA29" s="351">
        <f t="shared" si="1"/>
        <v>0</v>
      </c>
    </row>
    <row r="30" spans="1:27">
      <c r="A30" s="165">
        <f>'Conveyor Downtime (new)'!A31</f>
        <v>46043</v>
      </c>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f t="shared" si="0"/>
        <v>0</v>
      </c>
      <c r="AA30" s="351">
        <f t="shared" si="1"/>
        <v>0</v>
      </c>
    </row>
    <row r="31" spans="1:27">
      <c r="A31" s="165">
        <f>'Conveyor Downtime (new)'!A32</f>
        <v>46043</v>
      </c>
      <c r="Z31">
        <f t="shared" si="0"/>
        <v>0</v>
      </c>
      <c r="AA31" s="351">
        <f t="shared" si="1"/>
        <v>0</v>
      </c>
    </row>
    <row r="32" spans="1:27">
      <c r="A32" s="165">
        <f>'Conveyor Downtime (new)'!A33</f>
        <v>46044</v>
      </c>
      <c r="B32" s="346"/>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f t="shared" si="0"/>
        <v>0</v>
      </c>
      <c r="AA32" s="351">
        <f t="shared" si="1"/>
        <v>0</v>
      </c>
    </row>
    <row r="33" spans="1:27">
      <c r="A33" s="165">
        <f>'Conveyor Downtime (new)'!A34</f>
        <v>46045</v>
      </c>
      <c r="Z33">
        <f t="shared" si="0"/>
        <v>0</v>
      </c>
      <c r="AA33" s="351">
        <f t="shared" si="1"/>
        <v>0</v>
      </c>
    </row>
    <row r="34" spans="1:27">
      <c r="A34" s="165">
        <f>'Conveyor Downtime (new)'!A35</f>
        <v>46045</v>
      </c>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f t="shared" si="0"/>
        <v>0</v>
      </c>
      <c r="AA34" s="351">
        <f t="shared" si="1"/>
        <v>0</v>
      </c>
    </row>
    <row r="35" spans="1:27">
      <c r="A35" s="165">
        <f>'Conveyor Downtime (new)'!A36</f>
        <v>46045</v>
      </c>
      <c r="Z35">
        <f t="shared" si="0"/>
        <v>0</v>
      </c>
      <c r="AA35" s="351">
        <f t="shared" si="1"/>
        <v>0</v>
      </c>
    </row>
    <row r="36" spans="1:27">
      <c r="A36" s="165">
        <f>'Conveyor Downtime (new)'!A37</f>
        <v>46045</v>
      </c>
      <c r="B36" s="346"/>
      <c r="C36" s="346"/>
      <c r="D36" s="346"/>
      <c r="E36" s="346"/>
      <c r="F36" s="346"/>
      <c r="G36" s="346"/>
      <c r="H36" s="346"/>
      <c r="I36" s="346"/>
      <c r="J36" s="346"/>
      <c r="K36" s="346"/>
      <c r="L36" s="346"/>
      <c r="M36" s="346"/>
      <c r="N36" s="346"/>
      <c r="O36" s="346"/>
      <c r="P36" s="346"/>
      <c r="Q36" s="346"/>
      <c r="R36" s="346"/>
      <c r="S36" s="346"/>
      <c r="T36" s="346"/>
      <c r="U36" s="346"/>
      <c r="V36" s="346"/>
      <c r="W36" s="346"/>
      <c r="X36" s="346"/>
      <c r="Y36" s="346"/>
      <c r="Z36">
        <f t="shared" si="0"/>
        <v>0</v>
      </c>
      <c r="AA36" s="351">
        <f t="shared" si="1"/>
        <v>0</v>
      </c>
    </row>
    <row r="37" spans="1:27">
      <c r="A37" s="165">
        <f>'Conveyor Downtime (new)'!A38</f>
        <v>46048</v>
      </c>
      <c r="Z37">
        <f t="shared" si="0"/>
        <v>0</v>
      </c>
      <c r="AA37" s="351">
        <f t="shared" si="1"/>
        <v>0</v>
      </c>
    </row>
    <row r="38" spans="1:27">
      <c r="A38" s="165">
        <f>'Conveyor Downtime (new)'!A39</f>
        <v>46048</v>
      </c>
      <c r="B38" s="346"/>
      <c r="C38" s="346"/>
      <c r="D38" s="346"/>
      <c r="E38" s="346"/>
      <c r="F38" s="346">
        <f>51+480+60+60+21</f>
        <v>672</v>
      </c>
      <c r="G38" s="346">
        <f>7</f>
        <v>7</v>
      </c>
      <c r="H38" s="346"/>
      <c r="I38" s="346"/>
      <c r="J38" s="346"/>
      <c r="K38" s="346">
        <f>12+60+25</f>
        <v>97</v>
      </c>
      <c r="L38" s="346"/>
      <c r="M38" s="346"/>
      <c r="N38" s="346"/>
      <c r="O38" s="346"/>
      <c r="P38" s="346"/>
      <c r="Q38" s="346"/>
      <c r="R38" s="346"/>
      <c r="S38" s="346"/>
      <c r="T38" s="346"/>
      <c r="U38" s="346"/>
      <c r="V38" s="346"/>
      <c r="W38" s="346"/>
      <c r="X38" s="346"/>
      <c r="Y38" s="346"/>
      <c r="Z38">
        <f t="shared" si="0"/>
        <v>776</v>
      </c>
      <c r="AA38" s="351">
        <f t="shared" si="1"/>
        <v>0.89710982658959537</v>
      </c>
    </row>
    <row r="39" spans="1:27">
      <c r="A39" s="165">
        <f>'Conveyor Downtime (new)'!A40</f>
        <v>46049</v>
      </c>
      <c r="Z39">
        <f t="shared" si="0"/>
        <v>0</v>
      </c>
      <c r="AA39" s="351">
        <f t="shared" si="1"/>
        <v>0</v>
      </c>
    </row>
    <row r="40" spans="1:27">
      <c r="A40" s="165">
        <f>'Conveyor Downtime (new)'!A41</f>
        <v>46049</v>
      </c>
      <c r="B40" s="346"/>
      <c r="C40" s="346"/>
      <c r="D40" s="346"/>
      <c r="E40" s="346"/>
      <c r="F40" s="346"/>
      <c r="G40" s="346"/>
      <c r="H40" s="346"/>
      <c r="I40" s="346"/>
      <c r="J40" s="346"/>
      <c r="K40" s="346"/>
      <c r="L40" s="346"/>
      <c r="M40" s="346"/>
      <c r="N40" s="346"/>
      <c r="O40" s="346"/>
      <c r="P40" s="346"/>
      <c r="Q40" s="346"/>
      <c r="R40" s="346"/>
      <c r="S40" s="346"/>
      <c r="T40" s="346"/>
      <c r="U40" s="346"/>
      <c r="V40" s="346"/>
      <c r="W40" s="346"/>
      <c r="X40" s="346"/>
      <c r="Y40" s="346"/>
      <c r="Z40">
        <f t="shared" si="0"/>
        <v>0</v>
      </c>
      <c r="AA40" s="351">
        <f t="shared" si="1"/>
        <v>0</v>
      </c>
    </row>
    <row r="41" spans="1:27">
      <c r="A41" s="165">
        <f>'Conveyor Downtime (new)'!A42</f>
        <v>46050</v>
      </c>
      <c r="Z41">
        <f t="shared" si="0"/>
        <v>0</v>
      </c>
      <c r="AA41" s="351">
        <f t="shared" si="1"/>
        <v>0</v>
      </c>
    </row>
    <row r="42" spans="1:27">
      <c r="A42" s="165">
        <f>'Conveyor Downtime (new)'!A43</f>
        <v>46050</v>
      </c>
      <c r="B42" s="346"/>
      <c r="C42" s="346"/>
      <c r="D42" s="346"/>
      <c r="E42" s="346"/>
      <c r="F42" s="346"/>
      <c r="G42" s="346"/>
      <c r="H42" s="346"/>
      <c r="I42" s="346"/>
      <c r="J42" s="346"/>
      <c r="K42" s="346"/>
      <c r="L42" s="346"/>
      <c r="M42" s="346"/>
      <c r="N42" s="346"/>
      <c r="O42" s="346"/>
      <c r="P42" s="346"/>
      <c r="Q42" s="346"/>
      <c r="R42" s="346"/>
      <c r="S42" s="346"/>
      <c r="T42" s="346"/>
      <c r="U42" s="346"/>
      <c r="V42" s="346"/>
      <c r="W42" s="346"/>
      <c r="X42" s="346"/>
      <c r="Y42" s="346"/>
      <c r="Z42">
        <f t="shared" si="0"/>
        <v>0</v>
      </c>
      <c r="AA42" s="351">
        <f t="shared" si="1"/>
        <v>0</v>
      </c>
    </row>
    <row r="43" spans="1:27">
      <c r="A43" s="165">
        <f>'Conveyor Downtime (new)'!A44</f>
        <v>46050</v>
      </c>
      <c r="Z43">
        <f t="shared" si="0"/>
        <v>0</v>
      </c>
      <c r="AA43" s="351">
        <f t="shared" si="1"/>
        <v>0</v>
      </c>
    </row>
    <row r="44" spans="1:27" hidden="1">
      <c r="A44" s="165">
        <f>'Conveyor Downtime (new)'!A45</f>
        <v>46051</v>
      </c>
      <c r="B44" s="346"/>
      <c r="C44" s="346"/>
      <c r="D44" s="346"/>
      <c r="E44" s="346"/>
      <c r="F44" s="346"/>
      <c r="G44" s="346"/>
      <c r="H44" s="346"/>
      <c r="I44" s="346"/>
      <c r="J44" s="346"/>
      <c r="K44" s="346"/>
      <c r="L44" s="346"/>
      <c r="M44" s="346"/>
      <c r="N44" s="346"/>
      <c r="O44" s="346"/>
      <c r="P44" s="346"/>
      <c r="Q44" s="346"/>
      <c r="R44" s="346"/>
      <c r="S44" s="346"/>
      <c r="T44" s="346"/>
      <c r="U44" s="346"/>
      <c r="V44" s="346"/>
      <c r="W44" s="346"/>
      <c r="X44" s="346"/>
      <c r="Y44" s="346"/>
      <c r="Z44">
        <f t="shared" si="0"/>
        <v>0</v>
      </c>
      <c r="AA44" s="351">
        <f t="shared" si="1"/>
        <v>0</v>
      </c>
    </row>
    <row r="45" spans="1:27" hidden="1">
      <c r="A45" s="165">
        <f>'Conveyor Downtime (new)'!A46</f>
        <v>46051</v>
      </c>
      <c r="Z45">
        <f t="shared" si="0"/>
        <v>0</v>
      </c>
      <c r="AA45" s="351">
        <f t="shared" si="1"/>
        <v>0</v>
      </c>
    </row>
    <row r="46" spans="1:27" hidden="1">
      <c r="A46" s="165">
        <f>'Conveyor Downtime (new)'!A47</f>
        <v>46051</v>
      </c>
      <c r="B46" s="346"/>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f t="shared" si="0"/>
        <v>0</v>
      </c>
      <c r="AA46" s="351">
        <f t="shared" si="1"/>
        <v>0</v>
      </c>
    </row>
    <row r="47" spans="1:27" hidden="1">
      <c r="A47" s="165">
        <f>'Conveyor Downtime (new)'!A48</f>
        <v>46051</v>
      </c>
      <c r="Z47">
        <f t="shared" si="0"/>
        <v>0</v>
      </c>
      <c r="AA47" s="351">
        <f t="shared" si="1"/>
        <v>0</v>
      </c>
    </row>
    <row r="48" spans="1:27" hidden="1">
      <c r="A48" s="165">
        <f>'Conveyor Downtime (new)'!A49</f>
        <v>46052</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f t="shared" si="0"/>
        <v>0</v>
      </c>
      <c r="AA48" s="351">
        <f t="shared" si="1"/>
        <v>0</v>
      </c>
    </row>
    <row r="49" spans="1:27" hidden="1">
      <c r="A49" s="165">
        <f>'Conveyor Downtime (new)'!A50</f>
        <v>46052</v>
      </c>
      <c r="Z49">
        <f t="shared" si="0"/>
        <v>0</v>
      </c>
      <c r="AA49" s="351">
        <f t="shared" si="1"/>
        <v>0</v>
      </c>
    </row>
    <row r="50" spans="1:27" hidden="1">
      <c r="A50" s="165">
        <f>'Conveyor Downtime (new)'!A51</f>
        <v>0</v>
      </c>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f t="shared" si="0"/>
        <v>0</v>
      </c>
      <c r="AA50" s="351">
        <f t="shared" si="1"/>
        <v>0</v>
      </c>
    </row>
    <row r="51" spans="1:27" hidden="1">
      <c r="A51" s="165">
        <f>'Conveyor Downtime (new)'!A52</f>
        <v>0</v>
      </c>
      <c r="Z51">
        <f t="shared" si="0"/>
        <v>0</v>
      </c>
      <c r="AA51" s="351">
        <f t="shared" si="1"/>
        <v>0</v>
      </c>
    </row>
    <row r="52" spans="1:27" hidden="1">
      <c r="A52" s="165">
        <f>'Conveyor Downtime (new)'!A53</f>
        <v>0</v>
      </c>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f t="shared" ref="Z52:Z67" si="2">SUM(B52:Y52)</f>
        <v>0</v>
      </c>
      <c r="AA52" s="351">
        <f t="shared" ref="AA52:AA67" si="3">Z52/$Z$68</f>
        <v>0</v>
      </c>
    </row>
    <row r="53" spans="1:27" hidden="1">
      <c r="A53" s="165">
        <f>'Conveyor Downtime (new)'!A54</f>
        <v>0</v>
      </c>
      <c r="Z53">
        <f t="shared" si="2"/>
        <v>0</v>
      </c>
      <c r="AA53" s="351">
        <f t="shared" si="3"/>
        <v>0</v>
      </c>
    </row>
    <row r="54" spans="1:27" hidden="1">
      <c r="A54" s="165">
        <f>'Conveyor Downtime (new)'!A55</f>
        <v>0</v>
      </c>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f t="shared" si="2"/>
        <v>0</v>
      </c>
      <c r="AA54" s="351">
        <f t="shared" si="3"/>
        <v>0</v>
      </c>
    </row>
    <row r="55" spans="1:27" hidden="1">
      <c r="A55" s="165">
        <f>'Conveyor Downtime (new)'!A56</f>
        <v>0</v>
      </c>
      <c r="Z55">
        <f t="shared" si="2"/>
        <v>0</v>
      </c>
      <c r="AA55" s="351">
        <f t="shared" si="3"/>
        <v>0</v>
      </c>
    </row>
    <row r="56" spans="1:27" hidden="1">
      <c r="A56" s="165">
        <f>'Conveyor Downtime (new)'!A57</f>
        <v>0</v>
      </c>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f t="shared" si="2"/>
        <v>0</v>
      </c>
      <c r="AA56" s="351">
        <f t="shared" si="3"/>
        <v>0</v>
      </c>
    </row>
    <row r="57" spans="1:27" hidden="1">
      <c r="A57" s="165">
        <f>'Conveyor Downtime (new)'!A58</f>
        <v>0</v>
      </c>
      <c r="Z57">
        <f t="shared" si="2"/>
        <v>0</v>
      </c>
      <c r="AA57" s="351">
        <f t="shared" si="3"/>
        <v>0</v>
      </c>
    </row>
    <row r="58" spans="1:27" hidden="1">
      <c r="A58" s="165">
        <f>'Conveyor Downtime (new)'!A59</f>
        <v>0</v>
      </c>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f t="shared" si="2"/>
        <v>0</v>
      </c>
      <c r="AA58" s="351">
        <f t="shared" si="3"/>
        <v>0</v>
      </c>
    </row>
    <row r="59" spans="1:27" hidden="1">
      <c r="A59" s="165">
        <f>'Conveyor Downtime (new)'!A60</f>
        <v>0</v>
      </c>
      <c r="Z59">
        <f t="shared" si="2"/>
        <v>0</v>
      </c>
      <c r="AA59" s="351">
        <f t="shared" si="3"/>
        <v>0</v>
      </c>
    </row>
    <row r="60" spans="1:27" hidden="1">
      <c r="A60" s="165">
        <f>'Conveyor Downtime (new)'!A61</f>
        <v>0</v>
      </c>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f t="shared" si="2"/>
        <v>0</v>
      </c>
      <c r="AA60" s="351">
        <f t="shared" si="3"/>
        <v>0</v>
      </c>
    </row>
    <row r="61" spans="1:27" hidden="1">
      <c r="A61" s="165">
        <f>'Conveyor Downtime (new)'!A62</f>
        <v>0</v>
      </c>
      <c r="Z61">
        <f t="shared" si="2"/>
        <v>0</v>
      </c>
      <c r="AA61" s="351">
        <f t="shared" si="3"/>
        <v>0</v>
      </c>
    </row>
    <row r="62" spans="1:27" hidden="1">
      <c r="A62" s="165"/>
      <c r="B62" s="346"/>
      <c r="C62" s="346"/>
      <c r="D62" s="346"/>
      <c r="E62" s="346"/>
      <c r="F62" s="346"/>
      <c r="G62" s="346"/>
      <c r="H62" s="346"/>
      <c r="I62" s="346"/>
      <c r="J62" s="346"/>
      <c r="K62" s="346"/>
      <c r="L62" s="346"/>
      <c r="M62" s="346"/>
      <c r="N62" s="346"/>
      <c r="O62" s="346"/>
      <c r="P62" s="346"/>
      <c r="Q62" s="346"/>
      <c r="R62" s="346"/>
      <c r="S62" s="346"/>
      <c r="T62" s="346"/>
      <c r="U62" s="346"/>
      <c r="V62" s="346"/>
      <c r="W62" s="346"/>
      <c r="X62" s="346"/>
      <c r="Y62" s="346"/>
      <c r="Z62">
        <f t="shared" si="2"/>
        <v>0</v>
      </c>
      <c r="AA62" s="351">
        <f t="shared" si="3"/>
        <v>0</v>
      </c>
    </row>
    <row r="63" spans="1:27" hidden="1">
      <c r="A63" s="165"/>
      <c r="Z63">
        <f t="shared" si="2"/>
        <v>0</v>
      </c>
      <c r="AA63" s="351">
        <f t="shared" si="3"/>
        <v>0</v>
      </c>
    </row>
    <row r="64" spans="1:27" hidden="1">
      <c r="A64" s="165"/>
      <c r="B64" s="346"/>
      <c r="C64" s="346"/>
      <c r="D64" s="346"/>
      <c r="E64" s="346"/>
      <c r="F64" s="346"/>
      <c r="G64" s="346"/>
      <c r="H64" s="346"/>
      <c r="I64" s="346"/>
      <c r="J64" s="346"/>
      <c r="K64" s="346"/>
      <c r="L64" s="346"/>
      <c r="M64" s="346"/>
      <c r="N64" s="346"/>
      <c r="O64" s="346"/>
      <c r="P64" s="346"/>
      <c r="Q64" s="346"/>
      <c r="R64" s="346"/>
      <c r="S64" s="346"/>
      <c r="T64" s="346"/>
      <c r="U64" s="346"/>
      <c r="V64" s="346"/>
      <c r="W64" s="346"/>
      <c r="X64" s="346"/>
      <c r="Y64" s="346"/>
      <c r="Z64">
        <f t="shared" si="2"/>
        <v>0</v>
      </c>
      <c r="AA64" s="351">
        <f t="shared" si="3"/>
        <v>0</v>
      </c>
    </row>
    <row r="65" spans="1:28" hidden="1">
      <c r="A65" s="165"/>
      <c r="Z65">
        <f t="shared" si="2"/>
        <v>0</v>
      </c>
      <c r="AA65" s="351">
        <f t="shared" si="3"/>
        <v>0</v>
      </c>
    </row>
    <row r="66" spans="1:28" hidden="1">
      <c r="A66" s="165"/>
      <c r="B66" s="346"/>
      <c r="C66" s="346"/>
      <c r="D66" s="346"/>
      <c r="E66" s="346"/>
      <c r="F66" s="346"/>
      <c r="G66" s="346"/>
      <c r="H66" s="346"/>
      <c r="I66" s="346"/>
      <c r="J66" s="346"/>
      <c r="K66" s="346"/>
      <c r="L66" s="346"/>
      <c r="M66" s="346"/>
      <c r="N66" s="346"/>
      <c r="O66" s="346"/>
      <c r="P66" s="346"/>
      <c r="Q66" s="346"/>
      <c r="R66" s="346"/>
      <c r="S66" s="346"/>
      <c r="T66" s="346"/>
      <c r="U66" s="346"/>
      <c r="V66" s="346"/>
      <c r="W66" s="346"/>
      <c r="X66" s="346"/>
      <c r="Y66" s="346"/>
      <c r="Z66">
        <f t="shared" si="2"/>
        <v>0</v>
      </c>
      <c r="AA66" s="351">
        <f t="shared" si="3"/>
        <v>0</v>
      </c>
    </row>
    <row r="67" spans="1:28" hidden="1">
      <c r="A67" s="165"/>
      <c r="Z67">
        <f t="shared" si="2"/>
        <v>0</v>
      </c>
      <c r="AA67" s="351">
        <f t="shared" si="3"/>
        <v>0</v>
      </c>
    </row>
    <row r="68" spans="1:28" ht="15">
      <c r="A68" s="347" t="s">
        <v>173</v>
      </c>
      <c r="B68" s="347">
        <f>SUM(B5:B67)</f>
        <v>15</v>
      </c>
      <c r="C68" s="347">
        <f t="shared" ref="C68:Y68" si="4">SUM(C5:C67)</f>
        <v>0</v>
      </c>
      <c r="D68" s="347">
        <f t="shared" si="4"/>
        <v>0</v>
      </c>
      <c r="E68" s="347">
        <f t="shared" si="4"/>
        <v>0</v>
      </c>
      <c r="F68" s="347">
        <f t="shared" si="4"/>
        <v>674</v>
      </c>
      <c r="G68" s="347">
        <f t="shared" si="4"/>
        <v>7</v>
      </c>
      <c r="H68" s="347">
        <f t="shared" si="4"/>
        <v>0</v>
      </c>
      <c r="I68" s="347">
        <f t="shared" si="4"/>
        <v>26</v>
      </c>
      <c r="J68" s="347">
        <f t="shared" si="4"/>
        <v>0</v>
      </c>
      <c r="K68" s="347">
        <f t="shared" si="4"/>
        <v>143</v>
      </c>
      <c r="L68" s="347">
        <f t="shared" si="4"/>
        <v>0</v>
      </c>
      <c r="M68" s="347">
        <f t="shared" si="4"/>
        <v>0</v>
      </c>
      <c r="N68" s="347">
        <f t="shared" si="4"/>
        <v>0</v>
      </c>
      <c r="O68" s="347">
        <f t="shared" si="4"/>
        <v>0</v>
      </c>
      <c r="P68" s="347">
        <f t="shared" si="4"/>
        <v>0</v>
      </c>
      <c r="Q68" s="347">
        <f t="shared" si="4"/>
        <v>0</v>
      </c>
      <c r="R68" s="347">
        <f t="shared" si="4"/>
        <v>0</v>
      </c>
      <c r="S68" s="347">
        <f t="shared" si="4"/>
        <v>0</v>
      </c>
      <c r="T68" s="347">
        <f t="shared" si="4"/>
        <v>0</v>
      </c>
      <c r="U68" s="347">
        <f t="shared" si="4"/>
        <v>0</v>
      </c>
      <c r="V68" s="347"/>
      <c r="W68" s="347">
        <f t="shared" si="4"/>
        <v>0</v>
      </c>
      <c r="X68" s="347">
        <f t="shared" si="4"/>
        <v>0</v>
      </c>
      <c r="Y68" s="347">
        <f t="shared" si="4"/>
        <v>0</v>
      </c>
      <c r="Z68" s="347">
        <f>SUM(Z5:Z67)</f>
        <v>865</v>
      </c>
      <c r="AA68" s="347"/>
      <c r="AB68" s="347"/>
    </row>
    <row r="69" spans="1:28" ht="15.75" thickBot="1">
      <c r="A69" s="348" t="s">
        <v>174</v>
      </c>
      <c r="B69" s="348">
        <f t="shared" ref="B69:M69" si="5">B68/$Z68</f>
        <v>1.7341040462427744E-2</v>
      </c>
      <c r="C69" s="348">
        <f t="shared" si="5"/>
        <v>0</v>
      </c>
      <c r="D69" s="348">
        <f t="shared" si="5"/>
        <v>0</v>
      </c>
      <c r="E69" s="348">
        <f t="shared" si="5"/>
        <v>0</v>
      </c>
      <c r="F69" s="348">
        <f t="shared" si="5"/>
        <v>0.77919075144508676</v>
      </c>
      <c r="G69" s="348">
        <f t="shared" si="5"/>
        <v>8.0924855491329474E-3</v>
      </c>
      <c r="H69" s="348">
        <f t="shared" si="5"/>
        <v>0</v>
      </c>
      <c r="I69" s="348">
        <f t="shared" si="5"/>
        <v>3.0057803468208091E-2</v>
      </c>
      <c r="J69" s="348">
        <f t="shared" si="5"/>
        <v>0</v>
      </c>
      <c r="K69" s="348">
        <f t="shared" si="5"/>
        <v>0.16531791907514451</v>
      </c>
      <c r="L69" s="348">
        <f t="shared" si="5"/>
        <v>0</v>
      </c>
      <c r="M69" s="348">
        <f t="shared" si="5"/>
        <v>0</v>
      </c>
      <c r="N69" s="348"/>
      <c r="O69" s="348">
        <f t="shared" ref="O69:U69" si="6">O68/$Z68</f>
        <v>0</v>
      </c>
      <c r="P69" s="348">
        <f t="shared" si="6"/>
        <v>0</v>
      </c>
      <c r="Q69" s="348">
        <f t="shared" si="6"/>
        <v>0</v>
      </c>
      <c r="R69" s="348">
        <f t="shared" si="6"/>
        <v>0</v>
      </c>
      <c r="S69" s="348">
        <f t="shared" si="6"/>
        <v>0</v>
      </c>
      <c r="T69" s="348">
        <f t="shared" si="6"/>
        <v>0</v>
      </c>
      <c r="U69" s="348">
        <f t="shared" si="6"/>
        <v>0</v>
      </c>
      <c r="V69" s="348"/>
      <c r="W69" s="348"/>
      <c r="X69" s="348">
        <f>X68/$Z68</f>
        <v>0</v>
      </c>
      <c r="Y69" s="348">
        <f>Y68/$Z68</f>
        <v>0</v>
      </c>
      <c r="Z69" s="347"/>
      <c r="AA69" s="347"/>
      <c r="AB69" s="347"/>
    </row>
    <row r="70" spans="1:28">
      <c r="A70" s="314"/>
      <c r="B70" s="314"/>
      <c r="C70" s="314"/>
      <c r="D70" s="314"/>
      <c r="E70" s="314"/>
      <c r="F70" s="314"/>
      <c r="G70" s="314"/>
      <c r="H70" s="314"/>
      <c r="I70" s="314"/>
      <c r="J70" s="314"/>
      <c r="K70" s="314"/>
      <c r="L70" s="314"/>
      <c r="M70" s="314"/>
      <c r="N70" s="314"/>
      <c r="O70" s="314"/>
      <c r="P70" s="314"/>
      <c r="Q70" s="314"/>
      <c r="R70" s="314"/>
      <c r="S70" s="314"/>
      <c r="T70" s="314"/>
      <c r="U70" s="314"/>
      <c r="V70" s="314"/>
      <c r="W70" s="314"/>
      <c r="X70" s="314"/>
      <c r="Y70" s="314"/>
      <c r="Z70" s="314"/>
      <c r="AA70" s="314"/>
      <c r="AB70" s="314"/>
    </row>
    <row r="71" spans="1:28">
      <c r="A71" s="314"/>
      <c r="B71" s="314"/>
      <c r="C71" s="314"/>
      <c r="D71" s="314"/>
      <c r="E71" s="314"/>
      <c r="F71" s="314"/>
      <c r="G71" s="314"/>
      <c r="H71" s="314"/>
      <c r="I71" s="314"/>
      <c r="J71" s="314"/>
      <c r="K71" s="314"/>
      <c r="L71" s="314"/>
      <c r="M71" s="314"/>
      <c r="N71" s="314"/>
      <c r="O71" s="314"/>
      <c r="P71" s="314"/>
      <c r="Q71" s="314"/>
      <c r="R71" s="314"/>
      <c r="S71" s="314"/>
      <c r="T71" s="314"/>
      <c r="U71" s="314"/>
      <c r="V71" s="314"/>
      <c r="W71" s="314"/>
      <c r="X71" s="314"/>
      <c r="Y71" s="314"/>
      <c r="Z71" s="314"/>
      <c r="AA71" s="314"/>
      <c r="AB71" s="314"/>
    </row>
    <row r="72" spans="1:28">
      <c r="A72" s="165">
        <f>'Conveyor Downtime (new)'!A67</f>
        <v>46055</v>
      </c>
      <c r="Z72">
        <f t="shared" ref="Z72:Z122" si="7">SUM(B72:Y72)</f>
        <v>0</v>
      </c>
      <c r="AA72" s="351">
        <f t="shared" ref="AA72:AA91" si="8">Z72/$Z$123</f>
        <v>0</v>
      </c>
    </row>
    <row r="73" spans="1:28">
      <c r="A73" s="165">
        <f>'Conveyor Downtime (new)'!A68</f>
        <v>46055</v>
      </c>
      <c r="B73" s="346"/>
      <c r="C73" s="346"/>
      <c r="D73" s="346"/>
      <c r="E73" s="346"/>
      <c r="F73" s="346"/>
      <c r="G73" s="346"/>
      <c r="H73" s="346"/>
      <c r="I73" s="346"/>
      <c r="J73" s="346"/>
      <c r="K73" s="346"/>
      <c r="L73" s="346"/>
      <c r="M73" s="346"/>
      <c r="N73" s="346"/>
      <c r="O73" s="346"/>
      <c r="P73" s="346"/>
      <c r="Q73" s="346"/>
      <c r="R73" s="346"/>
      <c r="S73" s="346"/>
      <c r="T73" s="346"/>
      <c r="U73" s="346"/>
      <c r="V73" s="346"/>
      <c r="W73" s="346"/>
      <c r="X73" s="346"/>
      <c r="Y73" s="346"/>
      <c r="Z73">
        <f t="shared" si="7"/>
        <v>0</v>
      </c>
      <c r="AA73" s="351">
        <f t="shared" si="8"/>
        <v>0</v>
      </c>
    </row>
    <row r="74" spans="1:28">
      <c r="A74" s="165">
        <f>'Conveyor Downtime (new)'!A69</f>
        <v>46056</v>
      </c>
      <c r="Z74">
        <f t="shared" si="7"/>
        <v>0</v>
      </c>
      <c r="AA74" s="351">
        <f t="shared" si="8"/>
        <v>0</v>
      </c>
    </row>
    <row r="75" spans="1:28">
      <c r="A75" s="165">
        <f>'Conveyor Downtime (new)'!A70</f>
        <v>46057</v>
      </c>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f t="shared" si="7"/>
        <v>0</v>
      </c>
      <c r="AA75" s="351">
        <f t="shared" si="8"/>
        <v>0</v>
      </c>
    </row>
    <row r="76" spans="1:28">
      <c r="A76" s="165">
        <f>'Conveyor Downtime (new)'!A71</f>
        <v>46057</v>
      </c>
      <c r="Z76">
        <f t="shared" si="7"/>
        <v>0</v>
      </c>
      <c r="AA76" s="351">
        <f t="shared" si="8"/>
        <v>0</v>
      </c>
    </row>
    <row r="77" spans="1:28">
      <c r="A77" s="165">
        <f>'Conveyor Downtime (new)'!A72</f>
        <v>46058</v>
      </c>
      <c r="B77" s="346"/>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f t="shared" si="7"/>
        <v>0</v>
      </c>
      <c r="AA77" s="351">
        <f t="shared" si="8"/>
        <v>0</v>
      </c>
    </row>
    <row r="78" spans="1:28">
      <c r="A78" s="165">
        <f>'Conveyor Downtime (new)'!A73</f>
        <v>46058</v>
      </c>
      <c r="Z78">
        <f t="shared" si="7"/>
        <v>0</v>
      </c>
      <c r="AA78" s="351">
        <f t="shared" si="8"/>
        <v>0</v>
      </c>
    </row>
    <row r="79" spans="1:28">
      <c r="A79" s="165">
        <f>'Conveyor Downtime (new)'!A74</f>
        <v>46058</v>
      </c>
      <c r="B79" s="346"/>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f t="shared" si="7"/>
        <v>0</v>
      </c>
      <c r="AA79" s="351">
        <f t="shared" si="8"/>
        <v>0</v>
      </c>
    </row>
    <row r="80" spans="1:28">
      <c r="A80" s="165">
        <f>'Conveyor Downtime (new)'!A75</f>
        <v>46059</v>
      </c>
      <c r="Z80">
        <f t="shared" si="7"/>
        <v>0</v>
      </c>
      <c r="AA80" s="351">
        <f t="shared" si="8"/>
        <v>0</v>
      </c>
    </row>
    <row r="81" spans="1:27">
      <c r="A81" s="165">
        <f>'Conveyor Downtime (new)'!A76</f>
        <v>46059</v>
      </c>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f t="shared" si="7"/>
        <v>0</v>
      </c>
      <c r="AA81" s="351">
        <f t="shared" si="8"/>
        <v>0</v>
      </c>
    </row>
    <row r="82" spans="1:27">
      <c r="A82" s="165">
        <f>'Conveyor Downtime (new)'!A77</f>
        <v>46062</v>
      </c>
      <c r="Z82">
        <f t="shared" si="7"/>
        <v>0</v>
      </c>
      <c r="AA82" s="351">
        <f t="shared" si="8"/>
        <v>0</v>
      </c>
    </row>
    <row r="83" spans="1:27">
      <c r="A83" s="165">
        <f>'Conveyor Downtime (new)'!A78</f>
        <v>46062</v>
      </c>
      <c r="B83" s="346"/>
      <c r="C83" s="346"/>
      <c r="D83" s="346"/>
      <c r="E83" s="346"/>
      <c r="F83" s="346"/>
      <c r="G83" s="346"/>
      <c r="H83" s="346"/>
      <c r="I83" s="346"/>
      <c r="J83" s="346"/>
      <c r="K83" s="346"/>
      <c r="L83" s="346"/>
      <c r="M83" s="346"/>
      <c r="N83" s="346"/>
      <c r="O83" s="346"/>
      <c r="P83" s="346"/>
      <c r="Q83" s="346"/>
      <c r="R83" s="346"/>
      <c r="S83" s="346"/>
      <c r="T83" s="346"/>
      <c r="U83" s="346"/>
      <c r="V83" s="346"/>
      <c r="W83" s="346"/>
      <c r="X83" s="346"/>
      <c r="Y83" s="346"/>
      <c r="Z83">
        <f t="shared" si="7"/>
        <v>0</v>
      </c>
      <c r="AA83" s="351">
        <f t="shared" si="8"/>
        <v>0</v>
      </c>
    </row>
    <row r="84" spans="1:27">
      <c r="A84" s="165">
        <f>'Conveyor Downtime (new)'!A79</f>
        <v>46062</v>
      </c>
      <c r="Z84">
        <f t="shared" si="7"/>
        <v>0</v>
      </c>
      <c r="AA84" s="351">
        <f t="shared" si="8"/>
        <v>0</v>
      </c>
    </row>
    <row r="85" spans="1:27">
      <c r="A85" s="165">
        <f>'Conveyor Downtime (new)'!A80</f>
        <v>46063</v>
      </c>
      <c r="B85" s="346"/>
      <c r="C85" s="346"/>
      <c r="D85" s="346"/>
      <c r="E85" s="346"/>
      <c r="F85" s="346"/>
      <c r="G85" s="346"/>
      <c r="H85" s="346"/>
      <c r="I85" s="346"/>
      <c r="J85" s="346"/>
      <c r="K85" s="346"/>
      <c r="L85" s="346"/>
      <c r="M85" s="346"/>
      <c r="N85" s="346"/>
      <c r="O85" s="346"/>
      <c r="P85" s="346"/>
      <c r="Q85" s="346"/>
      <c r="R85" s="346"/>
      <c r="S85" s="346"/>
      <c r="T85" s="346"/>
      <c r="U85" s="346"/>
      <c r="V85" s="346"/>
      <c r="W85" s="346"/>
      <c r="X85" s="346"/>
      <c r="Y85" s="346"/>
      <c r="Z85">
        <f t="shared" si="7"/>
        <v>0</v>
      </c>
      <c r="AA85" s="351">
        <f t="shared" si="8"/>
        <v>0</v>
      </c>
    </row>
    <row r="86" spans="1:27">
      <c r="A86" s="165">
        <f>'Conveyor Downtime (new)'!A81</f>
        <v>46063</v>
      </c>
      <c r="Z86">
        <f t="shared" si="7"/>
        <v>0</v>
      </c>
      <c r="AA86" s="351">
        <f t="shared" si="8"/>
        <v>0</v>
      </c>
    </row>
    <row r="87" spans="1:27">
      <c r="A87" s="165">
        <f>'Conveyor Downtime (new)'!A82</f>
        <v>46063</v>
      </c>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f t="shared" si="7"/>
        <v>0</v>
      </c>
      <c r="AA87" s="351">
        <f t="shared" si="8"/>
        <v>0</v>
      </c>
    </row>
    <row r="88" spans="1:27">
      <c r="A88" s="165">
        <f>'Conveyor Downtime (new)'!A83</f>
        <v>46064</v>
      </c>
      <c r="Z88">
        <f t="shared" si="7"/>
        <v>0</v>
      </c>
      <c r="AA88" s="351">
        <f t="shared" si="8"/>
        <v>0</v>
      </c>
    </row>
    <row r="89" spans="1:27">
      <c r="A89" s="165">
        <f>'Conveyor Downtime (new)'!A84</f>
        <v>46064</v>
      </c>
      <c r="B89" s="346"/>
      <c r="C89" s="346"/>
      <c r="D89" s="346"/>
      <c r="E89" s="346"/>
      <c r="F89" s="346"/>
      <c r="G89" s="346"/>
      <c r="H89" s="346"/>
      <c r="I89" s="346"/>
      <c r="J89" s="346"/>
      <c r="K89" s="346"/>
      <c r="L89" s="346"/>
      <c r="M89" s="346"/>
      <c r="N89" s="346"/>
      <c r="O89" s="346"/>
      <c r="P89" s="346"/>
      <c r="Q89" s="346"/>
      <c r="R89" s="346"/>
      <c r="S89" s="346"/>
      <c r="T89" s="346"/>
      <c r="U89" s="346"/>
      <c r="V89" s="346"/>
      <c r="W89" s="346"/>
      <c r="X89" s="346"/>
      <c r="Y89" s="346"/>
      <c r="Z89">
        <f t="shared" si="7"/>
        <v>0</v>
      </c>
      <c r="AA89" s="351">
        <f t="shared" si="8"/>
        <v>0</v>
      </c>
    </row>
    <row r="90" spans="1:27">
      <c r="A90" s="165">
        <f>'Conveyor Downtime (new)'!A85</f>
        <v>46065</v>
      </c>
      <c r="Z90">
        <f t="shared" si="7"/>
        <v>0</v>
      </c>
      <c r="AA90" s="351">
        <f t="shared" si="8"/>
        <v>0</v>
      </c>
    </row>
    <row r="91" spans="1:27">
      <c r="A91" s="165">
        <f>'Conveyor Downtime (new)'!A86</f>
        <v>46066</v>
      </c>
      <c r="B91" s="346"/>
      <c r="C91" s="346"/>
      <c r="D91" s="346"/>
      <c r="E91" s="346"/>
      <c r="F91" s="346"/>
      <c r="G91" s="346"/>
      <c r="H91" s="346"/>
      <c r="I91" s="346"/>
      <c r="J91" s="346"/>
      <c r="K91" s="346"/>
      <c r="L91" s="346"/>
      <c r="M91" s="346"/>
      <c r="N91" s="346"/>
      <c r="O91" s="346"/>
      <c r="P91" s="346"/>
      <c r="Q91" s="346"/>
      <c r="R91" s="346"/>
      <c r="S91" s="346"/>
      <c r="T91" s="346"/>
      <c r="U91" s="346"/>
      <c r="V91" s="346"/>
      <c r="W91" s="346"/>
      <c r="X91" s="346"/>
      <c r="Y91" s="346"/>
      <c r="Z91">
        <f t="shared" si="7"/>
        <v>0</v>
      </c>
      <c r="AA91" s="351">
        <f t="shared" si="8"/>
        <v>0</v>
      </c>
    </row>
    <row r="92" spans="1:27">
      <c r="A92" s="165">
        <f>'Conveyor Downtime (new)'!A87</f>
        <v>46066</v>
      </c>
      <c r="Z92">
        <f t="shared" ref="Z92:Z98" si="9">SUM(B92:Y92)</f>
        <v>0</v>
      </c>
      <c r="AA92" s="351">
        <f t="shared" ref="AA92:AA98" si="10">Z92/$Z$123</f>
        <v>0</v>
      </c>
    </row>
    <row r="93" spans="1:27">
      <c r="A93" s="165">
        <f>'Conveyor Downtime (new)'!A88</f>
        <v>46069</v>
      </c>
      <c r="B93" s="346"/>
      <c r="C93" s="346"/>
      <c r="D93" s="346"/>
      <c r="E93" s="346"/>
      <c r="F93" s="346"/>
      <c r="G93" s="346"/>
      <c r="H93" s="346"/>
      <c r="I93" s="346"/>
      <c r="J93" s="346"/>
      <c r="K93" s="346"/>
      <c r="L93" s="346"/>
      <c r="M93" s="346"/>
      <c r="N93" s="346"/>
      <c r="O93" s="346"/>
      <c r="P93" s="346"/>
      <c r="Q93" s="346"/>
      <c r="R93" s="346"/>
      <c r="S93" s="346"/>
      <c r="T93" s="346"/>
      <c r="U93" s="346"/>
      <c r="V93" s="346"/>
      <c r="W93" s="346"/>
      <c r="X93" s="346"/>
      <c r="Y93" s="346"/>
      <c r="Z93">
        <f t="shared" si="9"/>
        <v>0</v>
      </c>
      <c r="AA93" s="351">
        <f t="shared" si="10"/>
        <v>0</v>
      </c>
    </row>
    <row r="94" spans="1:27">
      <c r="A94" s="165">
        <f>'Conveyor Downtime (new)'!A89</f>
        <v>46070</v>
      </c>
      <c r="Z94">
        <f t="shared" si="9"/>
        <v>0</v>
      </c>
      <c r="AA94" s="351">
        <f t="shared" si="10"/>
        <v>0</v>
      </c>
    </row>
    <row r="95" spans="1:27">
      <c r="A95" s="165">
        <f>'Conveyor Downtime (new)'!A90</f>
        <v>46071</v>
      </c>
      <c r="B95" s="346"/>
      <c r="C95" s="346"/>
      <c r="D95" s="346"/>
      <c r="E95" s="346"/>
      <c r="F95" s="346"/>
      <c r="G95" s="346"/>
      <c r="H95" s="346"/>
      <c r="I95" s="346"/>
      <c r="J95" s="346"/>
      <c r="K95" s="346"/>
      <c r="L95" s="346"/>
      <c r="M95" s="346"/>
      <c r="N95" s="346"/>
      <c r="O95" s="346"/>
      <c r="P95" s="346"/>
      <c r="Q95" s="346"/>
      <c r="R95" s="346"/>
      <c r="S95" s="346"/>
      <c r="T95" s="346"/>
      <c r="U95" s="346"/>
      <c r="V95" s="346"/>
      <c r="W95" s="346"/>
      <c r="X95" s="346"/>
      <c r="Y95" s="346"/>
      <c r="Z95">
        <f t="shared" si="9"/>
        <v>0</v>
      </c>
      <c r="AA95" s="351">
        <f t="shared" si="10"/>
        <v>0</v>
      </c>
    </row>
    <row r="96" spans="1:27">
      <c r="A96" s="165">
        <f>'Conveyor Downtime (new)'!A91</f>
        <v>46072</v>
      </c>
      <c r="Z96">
        <f t="shared" si="9"/>
        <v>0</v>
      </c>
      <c r="AA96" s="351">
        <f t="shared" si="10"/>
        <v>0</v>
      </c>
    </row>
    <row r="97" spans="1:27">
      <c r="A97" s="165">
        <f>'Conveyor Downtime (new)'!A92</f>
        <v>46072</v>
      </c>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f t="shared" si="9"/>
        <v>0</v>
      </c>
      <c r="AA97" s="351">
        <f t="shared" si="10"/>
        <v>0</v>
      </c>
    </row>
    <row r="98" spans="1:27">
      <c r="A98" s="165">
        <f>'Conveyor Downtime (new)'!A93</f>
        <v>46072</v>
      </c>
      <c r="Z98">
        <f t="shared" si="9"/>
        <v>0</v>
      </c>
      <c r="AA98" s="351">
        <f t="shared" si="10"/>
        <v>0</v>
      </c>
    </row>
    <row r="99" spans="1:27">
      <c r="A99" s="165">
        <f>'Conveyor Downtime (new)'!A94</f>
        <v>46073</v>
      </c>
      <c r="B99" s="346"/>
      <c r="C99" s="346"/>
      <c r="D99" s="346"/>
      <c r="E99" s="346"/>
      <c r="F99" s="346"/>
      <c r="G99" s="346"/>
      <c r="H99" s="346"/>
      <c r="I99" s="346"/>
      <c r="J99" s="346"/>
      <c r="K99" s="346"/>
      <c r="L99" s="346"/>
      <c r="M99" s="346"/>
      <c r="N99" s="346"/>
      <c r="O99" s="346"/>
      <c r="P99" s="346"/>
      <c r="Q99" s="346"/>
      <c r="R99" s="346"/>
      <c r="S99" s="346"/>
      <c r="T99" s="346"/>
      <c r="U99" s="346"/>
      <c r="V99" s="346"/>
      <c r="W99" s="346"/>
      <c r="X99" s="346"/>
      <c r="Y99" s="346"/>
      <c r="Z99">
        <f t="shared" si="7"/>
        <v>0</v>
      </c>
      <c r="AA99" s="351">
        <f t="shared" ref="AA99:AA122" si="11">Z99/$Z$123</f>
        <v>0</v>
      </c>
    </row>
    <row r="100" spans="1:27">
      <c r="A100" s="165">
        <f>'Conveyor Downtime (new)'!A95</f>
        <v>46073</v>
      </c>
      <c r="S100">
        <v>29</v>
      </c>
      <c r="Z100">
        <f t="shared" si="7"/>
        <v>29</v>
      </c>
      <c r="AA100" s="351">
        <f t="shared" si="11"/>
        <v>4.2397660818713448E-2</v>
      </c>
    </row>
    <row r="101" spans="1:27">
      <c r="A101" s="165">
        <f>'Conveyor Downtime (new)'!A96</f>
        <v>46076</v>
      </c>
      <c r="B101" s="346"/>
      <c r="C101" s="346"/>
      <c r="D101" s="346"/>
      <c r="E101" s="346"/>
      <c r="F101" s="346"/>
      <c r="G101" s="346">
        <f>14</f>
        <v>14</v>
      </c>
      <c r="H101" s="346"/>
      <c r="I101" s="346"/>
      <c r="J101" s="346"/>
      <c r="K101" s="346"/>
      <c r="L101" s="346"/>
      <c r="M101" s="346"/>
      <c r="N101" s="346"/>
      <c r="O101" s="346"/>
      <c r="P101" s="346"/>
      <c r="Q101" s="346"/>
      <c r="R101" s="346"/>
      <c r="S101" s="346">
        <f>3</f>
        <v>3</v>
      </c>
      <c r="T101" s="346"/>
      <c r="U101" s="346"/>
      <c r="V101" s="346"/>
      <c r="W101" s="346"/>
      <c r="X101" s="346"/>
      <c r="Y101" s="346"/>
      <c r="Z101">
        <f t="shared" si="7"/>
        <v>17</v>
      </c>
      <c r="AA101" s="351">
        <f t="shared" si="11"/>
        <v>2.4853801169590642E-2</v>
      </c>
    </row>
    <row r="102" spans="1:27">
      <c r="A102" s="165">
        <f>'Conveyor Downtime (new)'!A97</f>
        <v>46077</v>
      </c>
      <c r="Z102">
        <f t="shared" si="7"/>
        <v>0</v>
      </c>
      <c r="AA102" s="351">
        <f t="shared" si="11"/>
        <v>0</v>
      </c>
    </row>
    <row r="103" spans="1:27">
      <c r="A103" s="165">
        <f>'Conveyor Downtime (new)'!A98</f>
        <v>46077</v>
      </c>
      <c r="B103" s="346"/>
      <c r="C103" s="346"/>
      <c r="D103" s="346"/>
      <c r="E103" s="346"/>
      <c r="F103" s="346">
        <f>57+60+60+60+43</f>
        <v>280</v>
      </c>
      <c r="G103" s="346"/>
      <c r="H103" s="346"/>
      <c r="I103" s="346"/>
      <c r="J103" s="346"/>
      <c r="K103" s="346"/>
      <c r="L103" s="346"/>
      <c r="M103" s="346"/>
      <c r="N103" s="346"/>
      <c r="O103" s="346"/>
      <c r="P103" s="346"/>
      <c r="Q103" s="346"/>
      <c r="R103" s="346"/>
      <c r="S103" s="346"/>
      <c r="T103" s="346"/>
      <c r="U103" s="346"/>
      <c r="V103" s="346"/>
      <c r="W103" s="346"/>
      <c r="X103" s="346"/>
      <c r="Y103" s="346"/>
      <c r="Z103">
        <f t="shared" si="7"/>
        <v>280</v>
      </c>
      <c r="AA103" s="351">
        <f t="shared" si="11"/>
        <v>0.40935672514619881</v>
      </c>
    </row>
    <row r="104" spans="1:27">
      <c r="A104" s="165">
        <f>'Conveyor Downtime (new)'!A99</f>
        <v>46078</v>
      </c>
      <c r="F104">
        <f>60+60+60+60+47</f>
        <v>287</v>
      </c>
      <c r="Z104">
        <f t="shared" si="7"/>
        <v>287</v>
      </c>
      <c r="AA104" s="351">
        <f t="shared" si="11"/>
        <v>0.41959064327485379</v>
      </c>
    </row>
    <row r="105" spans="1:27">
      <c r="A105" s="165">
        <f>'Conveyor Downtime (new)'!A100</f>
        <v>46079</v>
      </c>
      <c r="B105" s="346"/>
      <c r="C105" s="346"/>
      <c r="D105" s="346"/>
      <c r="E105" s="346"/>
      <c r="F105" s="346"/>
      <c r="G105" s="346"/>
      <c r="H105" s="346"/>
      <c r="I105" s="346"/>
      <c r="J105" s="346"/>
      <c r="K105" s="346"/>
      <c r="L105" s="346"/>
      <c r="M105" s="346"/>
      <c r="N105" s="346"/>
      <c r="O105" s="346"/>
      <c r="P105" s="346"/>
      <c r="Q105" s="346"/>
      <c r="R105" s="346"/>
      <c r="S105" s="346"/>
      <c r="T105" s="346"/>
      <c r="U105" s="346"/>
      <c r="V105" s="346"/>
      <c r="W105" s="346"/>
      <c r="X105" s="346"/>
      <c r="Y105" s="346"/>
      <c r="Z105">
        <f t="shared" si="7"/>
        <v>0</v>
      </c>
      <c r="AA105" s="351">
        <f t="shared" si="11"/>
        <v>0</v>
      </c>
    </row>
    <row r="106" spans="1:27">
      <c r="A106" s="165">
        <f>'Conveyor Downtime (new)'!A101</f>
        <v>46079</v>
      </c>
      <c r="Z106">
        <f t="shared" si="7"/>
        <v>0</v>
      </c>
      <c r="AA106" s="351">
        <f t="shared" si="11"/>
        <v>0</v>
      </c>
    </row>
    <row r="107" spans="1:27">
      <c r="A107" s="165">
        <f>'Conveyor Downtime (new)'!A102</f>
        <v>46080</v>
      </c>
      <c r="B107" s="346"/>
      <c r="C107" s="346"/>
      <c r="D107" s="346"/>
      <c r="E107" s="346"/>
      <c r="F107" s="346"/>
      <c r="G107" s="346"/>
      <c r="H107" s="346"/>
      <c r="I107" s="346"/>
      <c r="J107" s="346"/>
      <c r="K107" s="346"/>
      <c r="L107" s="346"/>
      <c r="M107" s="346"/>
      <c r="N107" s="346"/>
      <c r="O107" s="346"/>
      <c r="P107" s="346"/>
      <c r="Q107" s="346"/>
      <c r="R107" s="346"/>
      <c r="S107" s="346"/>
      <c r="T107" s="346"/>
      <c r="U107" s="346"/>
      <c r="V107" s="346"/>
      <c r="W107" s="346"/>
      <c r="X107" s="346"/>
      <c r="Y107" s="346"/>
      <c r="Z107">
        <f t="shared" si="7"/>
        <v>0</v>
      </c>
      <c r="AA107" s="351">
        <f t="shared" si="11"/>
        <v>0</v>
      </c>
    </row>
    <row r="108" spans="1:27">
      <c r="A108" s="165">
        <f>'Conveyor Downtime (new)'!A103</f>
        <v>46080</v>
      </c>
      <c r="I108">
        <f>30+12</f>
        <v>42</v>
      </c>
      <c r="Z108">
        <f t="shared" si="7"/>
        <v>42</v>
      </c>
      <c r="AA108" s="351">
        <f t="shared" si="11"/>
        <v>6.1403508771929821E-2</v>
      </c>
    </row>
    <row r="109" spans="1:27">
      <c r="A109" s="165">
        <f>'Conveyor Downtime (new)'!A104</f>
        <v>46080</v>
      </c>
      <c r="B109" s="346"/>
      <c r="C109" s="346"/>
      <c r="D109" s="346"/>
      <c r="E109" s="346"/>
      <c r="F109" s="346"/>
      <c r="G109" s="346"/>
      <c r="H109" s="346"/>
      <c r="I109" s="346"/>
      <c r="J109" s="346"/>
      <c r="K109" s="346"/>
      <c r="L109" s="346"/>
      <c r="M109" s="346"/>
      <c r="N109" s="346"/>
      <c r="O109" s="346"/>
      <c r="P109" s="346"/>
      <c r="Q109" s="346"/>
      <c r="R109" s="346"/>
      <c r="S109" s="346"/>
      <c r="T109" s="346"/>
      <c r="U109" s="346"/>
      <c r="V109" s="346"/>
      <c r="W109" s="346"/>
      <c r="X109" s="346"/>
      <c r="Y109" s="346"/>
      <c r="Z109">
        <f t="shared" si="7"/>
        <v>0</v>
      </c>
      <c r="AA109" s="351">
        <f t="shared" si="11"/>
        <v>0</v>
      </c>
    </row>
    <row r="110" spans="1:27">
      <c r="A110" s="165">
        <f>'Conveyor Downtime (new)'!A105</f>
        <v>46081</v>
      </c>
      <c r="K110">
        <f>29</f>
        <v>29</v>
      </c>
      <c r="Z110">
        <f t="shared" si="7"/>
        <v>29</v>
      </c>
      <c r="AA110" s="351">
        <f t="shared" si="11"/>
        <v>4.2397660818713448E-2</v>
      </c>
    </row>
    <row r="111" spans="1:27">
      <c r="A111" s="165">
        <f>'Conveyor Downtime (new)'!A106</f>
        <v>46081</v>
      </c>
      <c r="B111" s="346"/>
      <c r="C111" s="346"/>
      <c r="D111" s="346"/>
      <c r="E111" s="346"/>
      <c r="F111" s="346"/>
      <c r="G111" s="346"/>
      <c r="H111" s="346"/>
      <c r="I111" s="346"/>
      <c r="J111" s="346"/>
      <c r="K111" s="346"/>
      <c r="L111" s="346"/>
      <c r="M111" s="346"/>
      <c r="N111" s="346"/>
      <c r="O111" s="346"/>
      <c r="P111" s="346"/>
      <c r="Q111" s="346"/>
      <c r="R111" s="346"/>
      <c r="S111" s="346"/>
      <c r="T111" s="346"/>
      <c r="U111" s="346"/>
      <c r="V111" s="346"/>
      <c r="W111" s="346"/>
      <c r="X111" s="346"/>
      <c r="Y111" s="346"/>
      <c r="Z111">
        <f t="shared" si="7"/>
        <v>0</v>
      </c>
      <c r="AA111" s="351">
        <f t="shared" si="11"/>
        <v>0</v>
      </c>
    </row>
    <row r="112" spans="1:27">
      <c r="A112" s="165">
        <f>'Conveyor Downtime (new)'!A107</f>
        <v>0</v>
      </c>
      <c r="Z112">
        <f t="shared" si="7"/>
        <v>0</v>
      </c>
      <c r="AA112" s="351">
        <f t="shared" si="11"/>
        <v>0</v>
      </c>
    </row>
    <row r="113" spans="1:27">
      <c r="A113" s="165">
        <f>'Conveyor Downtime (new)'!A108</f>
        <v>0</v>
      </c>
      <c r="B113" s="346"/>
      <c r="C113" s="346"/>
      <c r="D113" s="346"/>
      <c r="E113" s="346"/>
      <c r="F113" s="346"/>
      <c r="G113" s="346"/>
      <c r="H113" s="346"/>
      <c r="I113" s="346"/>
      <c r="J113" s="346"/>
      <c r="K113" s="346"/>
      <c r="L113" s="346"/>
      <c r="M113" s="346"/>
      <c r="N113" s="346"/>
      <c r="O113" s="346"/>
      <c r="P113" s="346"/>
      <c r="Q113" s="346"/>
      <c r="R113" s="346"/>
      <c r="S113" s="346"/>
      <c r="T113" s="346"/>
      <c r="U113" s="346"/>
      <c r="V113" s="346"/>
      <c r="W113" s="346"/>
      <c r="X113" s="346"/>
      <c r="Y113" s="346"/>
      <c r="Z113">
        <f t="shared" si="7"/>
        <v>0</v>
      </c>
      <c r="AA113" s="351">
        <f t="shared" si="11"/>
        <v>0</v>
      </c>
    </row>
    <row r="114" spans="1:27">
      <c r="A114" s="165">
        <f>'Conveyor Downtime (new)'!A109</f>
        <v>0</v>
      </c>
      <c r="Z114">
        <f t="shared" si="7"/>
        <v>0</v>
      </c>
      <c r="AA114" s="351">
        <f t="shared" si="11"/>
        <v>0</v>
      </c>
    </row>
    <row r="115" spans="1:27">
      <c r="A115" s="165">
        <f>'Conveyor Downtime (new)'!A110</f>
        <v>0</v>
      </c>
      <c r="B115" s="346"/>
      <c r="C115" s="346"/>
      <c r="D115" s="346"/>
      <c r="E115" s="346"/>
      <c r="F115" s="346"/>
      <c r="G115" s="346"/>
      <c r="H115" s="346"/>
      <c r="I115" s="346"/>
      <c r="J115" s="346"/>
      <c r="K115" s="346"/>
      <c r="L115" s="346"/>
      <c r="M115" s="346"/>
      <c r="N115" s="346"/>
      <c r="O115" s="346"/>
      <c r="P115" s="346"/>
      <c r="Q115" s="346"/>
      <c r="R115" s="346"/>
      <c r="S115" s="346"/>
      <c r="T115" s="346"/>
      <c r="U115" s="346"/>
      <c r="V115" s="346"/>
      <c r="W115" s="346"/>
      <c r="X115" s="346"/>
      <c r="Y115" s="346"/>
      <c r="Z115">
        <f t="shared" si="7"/>
        <v>0</v>
      </c>
      <c r="AA115" s="351">
        <f t="shared" si="11"/>
        <v>0</v>
      </c>
    </row>
    <row r="116" spans="1:27">
      <c r="A116" s="165">
        <f>'Conveyor Downtime (new)'!A111</f>
        <v>0</v>
      </c>
      <c r="Z116">
        <f t="shared" si="7"/>
        <v>0</v>
      </c>
      <c r="AA116" s="351">
        <f t="shared" si="11"/>
        <v>0</v>
      </c>
    </row>
    <row r="117" spans="1:27">
      <c r="A117" s="165">
        <f>'Conveyor Downtime (new)'!A112</f>
        <v>0</v>
      </c>
      <c r="B117" s="346"/>
      <c r="C117" s="346"/>
      <c r="D117" s="346"/>
      <c r="E117" s="346"/>
      <c r="F117" s="346"/>
      <c r="G117" s="346"/>
      <c r="H117" s="346"/>
      <c r="I117" s="346"/>
      <c r="J117" s="346"/>
      <c r="K117" s="346"/>
      <c r="L117" s="346"/>
      <c r="M117" s="346"/>
      <c r="N117" s="346"/>
      <c r="O117" s="346"/>
      <c r="P117" s="346"/>
      <c r="Q117" s="346"/>
      <c r="R117" s="346"/>
      <c r="S117" s="346"/>
      <c r="T117" s="346"/>
      <c r="U117" s="346"/>
      <c r="V117" s="346"/>
      <c r="W117" s="346"/>
      <c r="X117" s="346"/>
      <c r="Y117" s="346"/>
      <c r="Z117">
        <f t="shared" si="7"/>
        <v>0</v>
      </c>
      <c r="AA117" s="351">
        <f t="shared" si="11"/>
        <v>0</v>
      </c>
    </row>
    <row r="118" spans="1:27">
      <c r="A118" s="165">
        <f>'Conveyor Downtime (new)'!A113</f>
        <v>0</v>
      </c>
      <c r="Z118">
        <f t="shared" si="7"/>
        <v>0</v>
      </c>
      <c r="AA118" s="351">
        <f t="shared" si="11"/>
        <v>0</v>
      </c>
    </row>
    <row r="119" spans="1:27">
      <c r="A119" s="165">
        <f>'Conveyor Downtime (new)'!A114</f>
        <v>0</v>
      </c>
      <c r="B119" s="346"/>
      <c r="C119" s="346"/>
      <c r="D119" s="346"/>
      <c r="E119" s="346"/>
      <c r="F119" s="346"/>
      <c r="G119" s="346"/>
      <c r="H119" s="346"/>
      <c r="I119" s="346"/>
      <c r="J119" s="346"/>
      <c r="K119" s="346"/>
      <c r="L119" s="346"/>
      <c r="M119" s="346"/>
      <c r="N119" s="346"/>
      <c r="O119" s="346"/>
      <c r="P119" s="346"/>
      <c r="Q119" s="346"/>
      <c r="R119" s="346"/>
      <c r="S119" s="346"/>
      <c r="T119" s="346"/>
      <c r="U119" s="346"/>
      <c r="V119" s="346"/>
      <c r="W119" s="346"/>
      <c r="X119" s="346"/>
      <c r="Y119" s="346"/>
      <c r="Z119">
        <f t="shared" si="7"/>
        <v>0</v>
      </c>
      <c r="AA119" s="351">
        <f t="shared" si="11"/>
        <v>0</v>
      </c>
    </row>
    <row r="120" spans="1:27">
      <c r="A120" s="165"/>
      <c r="Z120">
        <f t="shared" si="7"/>
        <v>0</v>
      </c>
      <c r="AA120" s="351">
        <f t="shared" si="11"/>
        <v>0</v>
      </c>
    </row>
    <row r="121" spans="1:27">
      <c r="A121" s="165"/>
      <c r="B121" s="346"/>
      <c r="C121" s="346"/>
      <c r="D121" s="346"/>
      <c r="E121" s="346"/>
      <c r="F121" s="346"/>
      <c r="G121" s="346"/>
      <c r="H121" s="346"/>
      <c r="I121" s="346"/>
      <c r="J121" s="346"/>
      <c r="K121" s="346"/>
      <c r="L121" s="346"/>
      <c r="M121" s="346"/>
      <c r="N121" s="346"/>
      <c r="O121" s="346"/>
      <c r="P121" s="346"/>
      <c r="Q121" s="346"/>
      <c r="R121" s="346"/>
      <c r="S121" s="346"/>
      <c r="T121" s="346"/>
      <c r="U121" s="346"/>
      <c r="V121" s="346"/>
      <c r="W121" s="346"/>
      <c r="X121" s="346"/>
      <c r="Y121" s="346"/>
      <c r="Z121">
        <f t="shared" si="7"/>
        <v>0</v>
      </c>
      <c r="AA121" s="351">
        <f t="shared" si="11"/>
        <v>0</v>
      </c>
    </row>
    <row r="122" spans="1:27">
      <c r="A122" s="165"/>
      <c r="Z122">
        <f t="shared" si="7"/>
        <v>0</v>
      </c>
      <c r="AA122" s="351">
        <f t="shared" si="11"/>
        <v>0</v>
      </c>
    </row>
    <row r="123" spans="1:27" ht="15">
      <c r="A123" s="347" t="s">
        <v>173</v>
      </c>
      <c r="B123" s="347">
        <f t="shared" ref="B123:X123" si="12">SUM(B72:B122)</f>
        <v>0</v>
      </c>
      <c r="C123" s="347">
        <f t="shared" si="12"/>
        <v>0</v>
      </c>
      <c r="D123" s="347">
        <f t="shared" si="12"/>
        <v>0</v>
      </c>
      <c r="E123" s="347">
        <f t="shared" si="12"/>
        <v>0</v>
      </c>
      <c r="F123" s="347">
        <f t="shared" si="12"/>
        <v>567</v>
      </c>
      <c r="G123" s="347">
        <f t="shared" si="12"/>
        <v>14</v>
      </c>
      <c r="H123" s="347">
        <f t="shared" si="12"/>
        <v>0</v>
      </c>
      <c r="I123" s="347">
        <f t="shared" si="12"/>
        <v>42</v>
      </c>
      <c r="J123" s="347">
        <f t="shared" si="12"/>
        <v>0</v>
      </c>
      <c r="K123" s="347">
        <f t="shared" si="12"/>
        <v>29</v>
      </c>
      <c r="L123" s="347">
        <f t="shared" si="12"/>
        <v>0</v>
      </c>
      <c r="M123" s="347">
        <f t="shared" si="12"/>
        <v>0</v>
      </c>
      <c r="N123" s="347">
        <f t="shared" si="12"/>
        <v>0</v>
      </c>
      <c r="O123" s="347">
        <f t="shared" si="12"/>
        <v>0</v>
      </c>
      <c r="P123" s="347">
        <f t="shared" si="12"/>
        <v>0</v>
      </c>
      <c r="Q123" s="347">
        <f t="shared" si="12"/>
        <v>0</v>
      </c>
      <c r="R123" s="347">
        <f t="shared" si="12"/>
        <v>0</v>
      </c>
      <c r="S123" s="347">
        <f t="shared" si="12"/>
        <v>32</v>
      </c>
      <c r="T123" s="347">
        <f t="shared" si="12"/>
        <v>0</v>
      </c>
      <c r="U123" s="347">
        <f t="shared" si="12"/>
        <v>0</v>
      </c>
      <c r="V123" s="347"/>
      <c r="W123" s="347">
        <f t="shared" si="12"/>
        <v>0</v>
      </c>
      <c r="X123" s="347">
        <f t="shared" si="12"/>
        <v>0</v>
      </c>
      <c r="Y123" s="347">
        <f>SUM(Y72:Y122)</f>
        <v>0</v>
      </c>
      <c r="Z123" s="347">
        <f>SUM(Z72:Z122)</f>
        <v>684</v>
      </c>
    </row>
    <row r="124" spans="1:27" ht="15.75" thickBot="1">
      <c r="A124" s="348" t="s">
        <v>174</v>
      </c>
      <c r="B124" s="348">
        <f t="shared" ref="B124:U124" si="13">B123/$Z123</f>
        <v>0</v>
      </c>
      <c r="C124" s="348">
        <f t="shared" si="13"/>
        <v>0</v>
      </c>
      <c r="D124" s="348">
        <f t="shared" si="13"/>
        <v>0</v>
      </c>
      <c r="E124" s="348">
        <f t="shared" si="13"/>
        <v>0</v>
      </c>
      <c r="F124" s="348">
        <f t="shared" si="13"/>
        <v>0.82894736842105265</v>
      </c>
      <c r="G124" s="348">
        <f t="shared" si="13"/>
        <v>2.046783625730994E-2</v>
      </c>
      <c r="H124" s="348">
        <f t="shared" si="13"/>
        <v>0</v>
      </c>
      <c r="I124" s="348">
        <f t="shared" si="13"/>
        <v>6.1403508771929821E-2</v>
      </c>
      <c r="J124" s="348">
        <f t="shared" si="13"/>
        <v>0</v>
      </c>
      <c r="K124" s="348">
        <f t="shared" si="13"/>
        <v>4.2397660818713448E-2</v>
      </c>
      <c r="L124" s="348">
        <f t="shared" si="13"/>
        <v>0</v>
      </c>
      <c r="M124" s="348">
        <f t="shared" si="13"/>
        <v>0</v>
      </c>
      <c r="N124" s="348">
        <f t="shared" si="13"/>
        <v>0</v>
      </c>
      <c r="O124" s="348">
        <f t="shared" si="13"/>
        <v>0</v>
      </c>
      <c r="P124" s="348">
        <f t="shared" si="13"/>
        <v>0</v>
      </c>
      <c r="Q124" s="348">
        <f t="shared" si="13"/>
        <v>0</v>
      </c>
      <c r="R124" s="348">
        <f t="shared" si="13"/>
        <v>0</v>
      </c>
      <c r="S124" s="348">
        <f t="shared" si="13"/>
        <v>4.6783625730994149E-2</v>
      </c>
      <c r="T124" s="348">
        <f t="shared" si="13"/>
        <v>0</v>
      </c>
      <c r="U124" s="348">
        <f t="shared" si="13"/>
        <v>0</v>
      </c>
      <c r="V124" s="348"/>
      <c r="W124" s="348">
        <f>W123/$Z123</f>
        <v>0</v>
      </c>
      <c r="X124" s="348">
        <f>X123/$Z123</f>
        <v>0</v>
      </c>
      <c r="Y124" s="348">
        <f>Y123/$Z123</f>
        <v>0</v>
      </c>
    </row>
    <row r="129" spans="1:27">
      <c r="A129" s="165"/>
      <c r="AA129" s="351"/>
    </row>
    <row r="130" spans="1:27">
      <c r="A130" s="165">
        <f>'Conveyor Downtime (new)'!A124</f>
        <v>46083</v>
      </c>
      <c r="B130" s="346"/>
      <c r="C130" s="346"/>
      <c r="D130" s="346"/>
      <c r="E130" s="346"/>
      <c r="F130" s="346"/>
      <c r="G130" s="346"/>
      <c r="H130" s="346"/>
      <c r="I130" s="346"/>
      <c r="J130" s="346"/>
      <c r="K130" s="346"/>
      <c r="L130" s="346"/>
      <c r="M130" s="346"/>
      <c r="N130" s="346"/>
      <c r="O130" s="346"/>
      <c r="P130" s="346"/>
      <c r="Q130" s="346"/>
      <c r="R130" s="346"/>
      <c r="S130" s="346"/>
      <c r="T130" s="346"/>
      <c r="U130" s="346"/>
      <c r="V130" s="346"/>
      <c r="W130" s="346"/>
      <c r="X130" s="346"/>
      <c r="Y130" s="346"/>
      <c r="Z130">
        <f t="shared" ref="Z130:Z183" si="14">SUM(B130:Y130)</f>
        <v>0</v>
      </c>
      <c r="AA130" s="351">
        <f t="shared" ref="AA130:AA134" si="15">Z130/$Z$184</f>
        <v>0</v>
      </c>
    </row>
    <row r="131" spans="1:27">
      <c r="A131" s="165">
        <f>'Conveyor Downtime (new)'!A125</f>
        <v>46083</v>
      </c>
      <c r="Z131">
        <f t="shared" si="14"/>
        <v>0</v>
      </c>
      <c r="AA131" s="351">
        <f t="shared" si="15"/>
        <v>0</v>
      </c>
    </row>
    <row r="132" spans="1:27">
      <c r="A132" s="165">
        <f>'Conveyor Downtime (new)'!A126</f>
        <v>46084</v>
      </c>
      <c r="B132" s="346"/>
      <c r="C132" s="346"/>
      <c r="D132" s="346"/>
      <c r="E132" s="346"/>
      <c r="F132" s="346"/>
      <c r="G132" s="346"/>
      <c r="H132" s="346"/>
      <c r="I132" s="346"/>
      <c r="J132" s="346"/>
      <c r="K132" s="346"/>
      <c r="L132" s="346"/>
      <c r="M132" s="346"/>
      <c r="N132" s="346"/>
      <c r="O132" s="346"/>
      <c r="P132" s="346"/>
      <c r="Q132" s="346"/>
      <c r="R132" s="346"/>
      <c r="S132" s="346"/>
      <c r="T132" s="346"/>
      <c r="U132" s="346"/>
      <c r="V132" s="346"/>
      <c r="W132" s="346"/>
      <c r="X132" s="346"/>
      <c r="Y132" s="346"/>
      <c r="Z132">
        <f t="shared" si="14"/>
        <v>0</v>
      </c>
      <c r="AA132" s="351">
        <f t="shared" si="15"/>
        <v>0</v>
      </c>
    </row>
    <row r="133" spans="1:27">
      <c r="A133" s="165">
        <f>'Conveyor Downtime (new)'!A127</f>
        <v>46085</v>
      </c>
      <c r="B133" s="346"/>
      <c r="C133" s="346"/>
      <c r="D133" s="346"/>
      <c r="E133" s="346"/>
      <c r="F133" s="346"/>
      <c r="G133" s="346"/>
      <c r="H133" s="346"/>
      <c r="I133" s="346"/>
      <c r="J133" s="346"/>
      <c r="K133" s="346"/>
      <c r="L133" s="346"/>
      <c r="M133" s="346"/>
      <c r="N133" s="346"/>
      <c r="O133" s="346"/>
      <c r="P133" s="346"/>
      <c r="Q133" s="346"/>
      <c r="R133" s="346"/>
      <c r="S133" s="346"/>
      <c r="T133" s="346"/>
      <c r="U133" s="346"/>
      <c r="V133" s="346"/>
      <c r="W133" s="346"/>
      <c r="X133" s="346"/>
      <c r="Y133" s="346"/>
      <c r="Z133">
        <f t="shared" si="14"/>
        <v>0</v>
      </c>
      <c r="AA133" s="351">
        <f t="shared" si="15"/>
        <v>0</v>
      </c>
    </row>
    <row r="134" spans="1:27">
      <c r="A134" s="165">
        <f>'Conveyor Downtime (new)'!A128</f>
        <v>46085</v>
      </c>
      <c r="Z134">
        <f t="shared" si="14"/>
        <v>0</v>
      </c>
      <c r="AA134" s="351">
        <f t="shared" si="15"/>
        <v>0</v>
      </c>
    </row>
    <row r="135" spans="1:27">
      <c r="A135" s="165">
        <f>'Conveyor Downtime (new)'!A129</f>
        <v>46086</v>
      </c>
      <c r="B135" s="346"/>
      <c r="C135" s="346"/>
      <c r="D135" s="346"/>
      <c r="E135" s="346"/>
      <c r="F135" s="346"/>
      <c r="G135" s="346"/>
      <c r="H135" s="346"/>
      <c r="I135" s="346"/>
      <c r="J135" s="346"/>
      <c r="K135" s="346"/>
      <c r="L135" s="346"/>
      <c r="M135" s="346"/>
      <c r="N135" s="346"/>
      <c r="O135" s="346"/>
      <c r="P135" s="346"/>
      <c r="Q135" s="346"/>
      <c r="R135" s="346"/>
      <c r="S135" s="346"/>
      <c r="T135" s="346"/>
      <c r="U135" s="346"/>
      <c r="V135" s="346"/>
      <c r="W135" s="346"/>
      <c r="X135" s="346"/>
      <c r="Y135" s="346"/>
      <c r="Z135">
        <f t="shared" si="14"/>
        <v>0</v>
      </c>
      <c r="AA135" s="351">
        <f t="shared" ref="AA135:AA166" si="16">Z135/$Z$184</f>
        <v>0</v>
      </c>
    </row>
    <row r="136" spans="1:27">
      <c r="A136" s="165">
        <f>'Conveyor Downtime (new)'!A130</f>
        <v>46086</v>
      </c>
      <c r="Z136">
        <f t="shared" si="14"/>
        <v>0</v>
      </c>
      <c r="AA136" s="351">
        <f t="shared" si="16"/>
        <v>0</v>
      </c>
    </row>
    <row r="137" spans="1:27">
      <c r="A137" s="165">
        <f>'Conveyor Downtime (new)'!A131</f>
        <v>46087</v>
      </c>
      <c r="B137" s="346"/>
      <c r="C137" s="346"/>
      <c r="D137" s="346"/>
      <c r="E137" s="346"/>
      <c r="F137" s="346"/>
      <c r="G137" s="346"/>
      <c r="H137" s="346"/>
      <c r="I137" s="346"/>
      <c r="J137" s="346"/>
      <c r="K137" s="346"/>
      <c r="L137" s="346"/>
      <c r="M137" s="346"/>
      <c r="N137" s="346"/>
      <c r="O137" s="346"/>
      <c r="P137" s="346"/>
      <c r="Q137" s="346"/>
      <c r="R137" s="346"/>
      <c r="S137" s="346"/>
      <c r="T137" s="346"/>
      <c r="U137" s="346"/>
      <c r="V137" s="346"/>
      <c r="W137" s="346"/>
      <c r="X137" s="346"/>
      <c r="Y137" s="346"/>
      <c r="Z137">
        <f t="shared" si="14"/>
        <v>0</v>
      </c>
      <c r="AA137" s="351">
        <f t="shared" si="16"/>
        <v>0</v>
      </c>
    </row>
    <row r="138" spans="1:27">
      <c r="A138" s="165">
        <f>'Conveyor Downtime (new)'!A132</f>
        <v>46087</v>
      </c>
      <c r="Z138">
        <f t="shared" si="14"/>
        <v>0</v>
      </c>
      <c r="AA138" s="351">
        <f t="shared" si="16"/>
        <v>0</v>
      </c>
    </row>
    <row r="139" spans="1:27">
      <c r="A139" s="165">
        <f>'Conveyor Downtime (new)'!A133</f>
        <v>46087</v>
      </c>
      <c r="B139" s="346"/>
      <c r="C139" s="346"/>
      <c r="D139" s="346"/>
      <c r="E139" s="346"/>
      <c r="F139" s="346"/>
      <c r="G139" s="346"/>
      <c r="H139" s="346"/>
      <c r="I139" s="346"/>
      <c r="J139" s="346"/>
      <c r="K139" s="346"/>
      <c r="L139" s="346"/>
      <c r="M139" s="346"/>
      <c r="N139" s="346"/>
      <c r="O139" s="346"/>
      <c r="P139" s="346"/>
      <c r="Q139" s="346"/>
      <c r="R139" s="346"/>
      <c r="S139" s="346"/>
      <c r="T139" s="346"/>
      <c r="U139" s="346"/>
      <c r="V139" s="346"/>
      <c r="W139" s="346"/>
      <c r="X139" s="346"/>
      <c r="Y139" s="346"/>
      <c r="Z139">
        <f t="shared" si="14"/>
        <v>0</v>
      </c>
      <c r="AA139" s="351">
        <f t="shared" si="16"/>
        <v>0</v>
      </c>
    </row>
    <row r="140" spans="1:27">
      <c r="A140" s="165">
        <f>'Conveyor Downtime (new)'!A134</f>
        <v>46089</v>
      </c>
      <c r="Z140">
        <f t="shared" si="14"/>
        <v>0</v>
      </c>
      <c r="AA140" s="351">
        <f t="shared" si="16"/>
        <v>0</v>
      </c>
    </row>
    <row r="141" spans="1:27">
      <c r="A141" s="165">
        <f>'Conveyor Downtime (new)'!A135</f>
        <v>46090</v>
      </c>
      <c r="B141" s="346">
        <f>6</f>
        <v>6</v>
      </c>
      <c r="C141" s="346"/>
      <c r="D141" s="346"/>
      <c r="E141" s="346"/>
      <c r="F141" s="346"/>
      <c r="G141" s="346"/>
      <c r="H141" s="346"/>
      <c r="I141" s="346"/>
      <c r="J141" s="346"/>
      <c r="K141" s="346"/>
      <c r="L141" s="346"/>
      <c r="M141" s="346"/>
      <c r="N141" s="346"/>
      <c r="O141" s="346"/>
      <c r="P141" s="346"/>
      <c r="Q141" s="346"/>
      <c r="R141" s="346"/>
      <c r="S141" s="346"/>
      <c r="T141" s="346"/>
      <c r="U141" s="346"/>
      <c r="V141" s="346"/>
      <c r="W141" s="346"/>
      <c r="X141" s="346"/>
      <c r="Y141" s="346"/>
      <c r="Z141">
        <f t="shared" si="14"/>
        <v>6</v>
      </c>
      <c r="AA141" s="351">
        <f t="shared" si="16"/>
        <v>9.9667774086378731E-3</v>
      </c>
    </row>
    <row r="142" spans="1:27">
      <c r="A142" s="165">
        <f>'Conveyor Downtime (new)'!A136</f>
        <v>46091</v>
      </c>
      <c r="B142">
        <f>3</f>
        <v>3</v>
      </c>
      <c r="Z142">
        <f t="shared" si="14"/>
        <v>3</v>
      </c>
      <c r="AA142" s="351">
        <f t="shared" si="16"/>
        <v>4.9833887043189366E-3</v>
      </c>
    </row>
    <row r="143" spans="1:27">
      <c r="A143" s="165">
        <f>'Conveyor Downtime (new)'!A137</f>
        <v>46091</v>
      </c>
      <c r="B143" s="346"/>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f t="shared" si="14"/>
        <v>0</v>
      </c>
      <c r="AA143" s="351">
        <f t="shared" si="16"/>
        <v>0</v>
      </c>
    </row>
    <row r="144" spans="1:27">
      <c r="A144" s="165">
        <f>'Conveyor Downtime (new)'!A138</f>
        <v>46092</v>
      </c>
      <c r="Z144">
        <f t="shared" si="14"/>
        <v>0</v>
      </c>
      <c r="AA144" s="351">
        <f t="shared" si="16"/>
        <v>0</v>
      </c>
    </row>
    <row r="145" spans="1:27">
      <c r="A145" s="165">
        <f>'Conveyor Downtime (new)'!A139</f>
        <v>46092</v>
      </c>
      <c r="B145" s="346"/>
      <c r="C145" s="346"/>
      <c r="D145" s="346"/>
      <c r="E145" s="346"/>
      <c r="F145" s="346"/>
      <c r="G145" s="346"/>
      <c r="H145" s="346"/>
      <c r="I145" s="346"/>
      <c r="J145" s="346"/>
      <c r="K145" s="346"/>
      <c r="L145" s="346"/>
      <c r="M145" s="346"/>
      <c r="N145" s="346"/>
      <c r="O145" s="346"/>
      <c r="P145" s="346"/>
      <c r="Q145" s="346"/>
      <c r="R145" s="346"/>
      <c r="S145" s="346"/>
      <c r="T145" s="346"/>
      <c r="U145" s="346"/>
      <c r="V145" s="346"/>
      <c r="W145" s="346"/>
      <c r="X145" s="346"/>
      <c r="Y145" s="346"/>
      <c r="Z145">
        <f t="shared" si="14"/>
        <v>0</v>
      </c>
      <c r="AA145" s="351">
        <f t="shared" si="16"/>
        <v>0</v>
      </c>
    </row>
    <row r="146" spans="1:27">
      <c r="A146" s="165">
        <f>'Conveyor Downtime (new)'!A140</f>
        <v>46092</v>
      </c>
      <c r="Z146">
        <f t="shared" si="14"/>
        <v>0</v>
      </c>
      <c r="AA146" s="351">
        <f t="shared" si="16"/>
        <v>0</v>
      </c>
    </row>
    <row r="147" spans="1:27">
      <c r="A147" s="165">
        <f>'Conveyor Downtime (new)'!A141</f>
        <v>46093</v>
      </c>
      <c r="B147" s="346"/>
      <c r="C147" s="346"/>
      <c r="D147" s="346"/>
      <c r="E147" s="346"/>
      <c r="F147" s="346"/>
      <c r="G147" s="346"/>
      <c r="H147" s="346"/>
      <c r="I147" s="346"/>
      <c r="J147" s="346"/>
      <c r="K147" s="346"/>
      <c r="L147" s="346"/>
      <c r="M147" s="346"/>
      <c r="N147" s="346"/>
      <c r="O147" s="346"/>
      <c r="P147" s="346"/>
      <c r="Q147" s="346"/>
      <c r="R147" s="346"/>
      <c r="S147" s="346"/>
      <c r="T147" s="346"/>
      <c r="U147" s="346"/>
      <c r="V147" s="346"/>
      <c r="W147" s="346"/>
      <c r="X147" s="77"/>
      <c r="Y147" s="346"/>
      <c r="Z147">
        <f t="shared" si="14"/>
        <v>0</v>
      </c>
      <c r="AA147" s="351">
        <f t="shared" si="16"/>
        <v>0</v>
      </c>
    </row>
    <row r="148" spans="1:27">
      <c r="A148" s="165">
        <f>'Conveyor Downtime (new)'!A142</f>
        <v>46093</v>
      </c>
      <c r="I148">
        <f>60</f>
        <v>60</v>
      </c>
      <c r="K148">
        <v>13</v>
      </c>
      <c r="Z148">
        <f t="shared" si="14"/>
        <v>73</v>
      </c>
      <c r="AA148" s="351">
        <f t="shared" si="16"/>
        <v>0.1212624584717608</v>
      </c>
    </row>
    <row r="149" spans="1:27">
      <c r="A149" s="165">
        <f>'Conveyor Downtime (new)'!A143</f>
        <v>46094</v>
      </c>
      <c r="B149" s="346"/>
      <c r="C149" s="346"/>
      <c r="D149" s="346"/>
      <c r="E149" s="346"/>
      <c r="F149" s="346"/>
      <c r="G149" s="346"/>
      <c r="H149" s="346"/>
      <c r="I149" s="346"/>
      <c r="J149" s="346"/>
      <c r="K149" s="346"/>
      <c r="L149" s="346"/>
      <c r="M149" s="346"/>
      <c r="N149" s="346"/>
      <c r="O149" s="346"/>
      <c r="P149" s="346"/>
      <c r="Q149" s="346"/>
      <c r="R149" s="346"/>
      <c r="S149" s="346"/>
      <c r="T149" s="346"/>
      <c r="U149" s="346"/>
      <c r="V149" s="346"/>
      <c r="W149" s="346"/>
      <c r="X149" s="346"/>
      <c r="Y149" s="346"/>
      <c r="Z149">
        <f t="shared" si="14"/>
        <v>0</v>
      </c>
      <c r="AA149" s="351">
        <f t="shared" si="16"/>
        <v>0</v>
      </c>
    </row>
    <row r="150" spans="1:27">
      <c r="A150" s="165">
        <f>'Conveyor Downtime (new)'!A144</f>
        <v>46094</v>
      </c>
      <c r="I150">
        <f>60+32</f>
        <v>92</v>
      </c>
      <c r="Z150">
        <f t="shared" si="14"/>
        <v>92</v>
      </c>
      <c r="AA150" s="351">
        <f t="shared" si="16"/>
        <v>0.15282392026578073</v>
      </c>
    </row>
    <row r="151" spans="1:27">
      <c r="A151" s="165">
        <f>'Conveyor Downtime (new)'!A145</f>
        <v>46097</v>
      </c>
      <c r="B151" s="346"/>
      <c r="C151" s="346"/>
      <c r="D151" s="346"/>
      <c r="E151" s="346"/>
      <c r="F151" s="346"/>
      <c r="G151" s="346"/>
      <c r="H151" s="346"/>
      <c r="I151" s="346"/>
      <c r="J151" s="346"/>
      <c r="K151" s="346"/>
      <c r="L151" s="346"/>
      <c r="M151" s="346"/>
      <c r="N151" s="346"/>
      <c r="O151" s="346"/>
      <c r="P151" s="346"/>
      <c r="Q151" s="346"/>
      <c r="R151" s="346"/>
      <c r="S151" s="346"/>
      <c r="T151" s="346"/>
      <c r="U151" s="346"/>
      <c r="V151" s="346"/>
      <c r="W151" s="346"/>
      <c r="X151" s="346"/>
      <c r="Y151" s="346"/>
      <c r="Z151">
        <f t="shared" si="14"/>
        <v>0</v>
      </c>
      <c r="AA151" s="351">
        <f t="shared" si="16"/>
        <v>0</v>
      </c>
    </row>
    <row r="152" spans="1:27">
      <c r="A152" s="165">
        <f>'Conveyor Downtime (new)'!A146</f>
        <v>46098</v>
      </c>
      <c r="Z152">
        <f t="shared" si="14"/>
        <v>0</v>
      </c>
      <c r="AA152" s="351">
        <f t="shared" si="16"/>
        <v>0</v>
      </c>
    </row>
    <row r="153" spans="1:27">
      <c r="A153" s="165">
        <f>'Conveyor Downtime (new)'!A147</f>
        <v>46099</v>
      </c>
      <c r="B153" s="346"/>
      <c r="C153" s="346"/>
      <c r="D153" s="346"/>
      <c r="E153" s="346"/>
      <c r="F153" s="346"/>
      <c r="G153" s="346"/>
      <c r="H153" s="346"/>
      <c r="I153" s="346"/>
      <c r="J153" s="346"/>
      <c r="K153" s="346"/>
      <c r="L153" s="346"/>
      <c r="M153" s="346"/>
      <c r="N153" s="346"/>
      <c r="O153" s="346"/>
      <c r="P153" s="346"/>
      <c r="Q153" s="346"/>
      <c r="R153" s="346"/>
      <c r="S153" s="346"/>
      <c r="T153" s="346"/>
      <c r="U153" s="346"/>
      <c r="V153" s="346"/>
      <c r="W153" s="346"/>
      <c r="X153" s="346"/>
      <c r="Y153" s="346"/>
      <c r="Z153">
        <f t="shared" si="14"/>
        <v>0</v>
      </c>
      <c r="AA153" s="351">
        <f t="shared" si="16"/>
        <v>0</v>
      </c>
    </row>
    <row r="154" spans="1:27">
      <c r="A154" s="165">
        <f>'Conveyor Downtime (new)'!A148</f>
        <v>46099</v>
      </c>
      <c r="Z154">
        <f t="shared" si="14"/>
        <v>0</v>
      </c>
      <c r="AA154" s="351">
        <f t="shared" si="16"/>
        <v>0</v>
      </c>
    </row>
    <row r="155" spans="1:27">
      <c r="A155" s="165">
        <f>'Conveyor Downtime (new)'!A149</f>
        <v>46100</v>
      </c>
      <c r="B155" s="346"/>
      <c r="C155" s="346"/>
      <c r="D155" s="346"/>
      <c r="E155" s="346"/>
      <c r="F155" s="346"/>
      <c r="G155" s="346"/>
      <c r="H155" s="346"/>
      <c r="I155" s="346"/>
      <c r="J155" s="346"/>
      <c r="K155" s="346"/>
      <c r="L155" s="346"/>
      <c r="M155" s="346"/>
      <c r="N155" s="346"/>
      <c r="O155" s="346"/>
      <c r="P155" s="346"/>
      <c r="Q155" s="346"/>
      <c r="R155" s="346"/>
      <c r="S155" s="346"/>
      <c r="T155" s="346"/>
      <c r="U155" s="346"/>
      <c r="V155" s="346"/>
      <c r="W155" s="346"/>
      <c r="X155" s="346"/>
      <c r="Y155" s="346"/>
      <c r="Z155">
        <f t="shared" si="14"/>
        <v>0</v>
      </c>
      <c r="AA155" s="351">
        <f t="shared" si="16"/>
        <v>0</v>
      </c>
    </row>
    <row r="156" spans="1:27">
      <c r="A156" s="165">
        <f>'Conveyor Downtime (new)'!A150</f>
        <v>46100</v>
      </c>
      <c r="Z156">
        <f t="shared" si="14"/>
        <v>0</v>
      </c>
      <c r="AA156" s="351">
        <f t="shared" si="16"/>
        <v>0</v>
      </c>
    </row>
    <row r="157" spans="1:27">
      <c r="A157" s="165">
        <f>'Conveyor Downtime (new)'!A151</f>
        <v>46100</v>
      </c>
      <c r="B157" s="346"/>
      <c r="C157" s="346"/>
      <c r="D157" s="346"/>
      <c r="E157" s="346"/>
      <c r="F157" s="346"/>
      <c r="G157" s="346"/>
      <c r="H157" s="346"/>
      <c r="I157" s="346"/>
      <c r="J157" s="346"/>
      <c r="K157" s="346"/>
      <c r="L157" s="346"/>
      <c r="M157" s="346"/>
      <c r="N157" s="346"/>
      <c r="O157" s="346"/>
      <c r="P157" s="346"/>
      <c r="Q157" s="346"/>
      <c r="R157" s="346"/>
      <c r="S157" s="346"/>
      <c r="T157" s="346"/>
      <c r="U157" s="346"/>
      <c r="V157" s="346"/>
      <c r="W157" s="346"/>
      <c r="X157" s="346"/>
      <c r="Y157" s="346"/>
      <c r="Z157">
        <f t="shared" si="14"/>
        <v>0</v>
      </c>
      <c r="AA157" s="351">
        <f t="shared" si="16"/>
        <v>0</v>
      </c>
    </row>
    <row r="158" spans="1:27">
      <c r="A158" s="165">
        <f>'Conveyor Downtime (new)'!A152</f>
        <v>46101</v>
      </c>
      <c r="Z158">
        <f t="shared" si="14"/>
        <v>0</v>
      </c>
      <c r="AA158" s="351">
        <f t="shared" si="16"/>
        <v>0</v>
      </c>
    </row>
    <row r="159" spans="1:27">
      <c r="A159" s="165">
        <f>'Conveyor Downtime (new)'!A153</f>
        <v>46101</v>
      </c>
      <c r="B159" s="346"/>
      <c r="C159" s="346"/>
      <c r="D159" s="346"/>
      <c r="E159" s="346"/>
      <c r="F159" s="346"/>
      <c r="G159" s="346"/>
      <c r="H159" s="346"/>
      <c r="I159" s="346"/>
      <c r="J159" s="346"/>
      <c r="K159" s="346"/>
      <c r="L159" s="346"/>
      <c r="M159" s="346"/>
      <c r="N159" s="346"/>
      <c r="O159" s="346"/>
      <c r="P159" s="346"/>
      <c r="Q159" s="346"/>
      <c r="R159" s="346"/>
      <c r="S159" s="346"/>
      <c r="T159" s="346"/>
      <c r="U159" s="346"/>
      <c r="V159" s="346"/>
      <c r="W159" s="346"/>
      <c r="X159" s="346"/>
      <c r="Y159" s="346"/>
      <c r="Z159">
        <f t="shared" si="14"/>
        <v>0</v>
      </c>
      <c r="AA159" s="351">
        <f t="shared" si="16"/>
        <v>0</v>
      </c>
    </row>
    <row r="160" spans="1:27">
      <c r="A160" s="165">
        <f>'Conveyor Downtime (new)'!A154</f>
        <v>46104</v>
      </c>
      <c r="Z160">
        <f t="shared" si="14"/>
        <v>0</v>
      </c>
      <c r="AA160" s="351">
        <f t="shared" si="16"/>
        <v>0</v>
      </c>
    </row>
    <row r="161" spans="1:27">
      <c r="A161" s="165">
        <f>'Conveyor Downtime (new)'!A155</f>
        <v>46104</v>
      </c>
      <c r="B161">
        <f>12</f>
        <v>12</v>
      </c>
      <c r="C161" s="346"/>
      <c r="D161" s="346"/>
      <c r="E161" s="346"/>
      <c r="F161" s="346"/>
      <c r="G161" s="346"/>
      <c r="H161" s="346"/>
      <c r="I161" s="346"/>
      <c r="J161" s="346"/>
      <c r="K161" s="346"/>
      <c r="L161" s="346"/>
      <c r="M161" s="346"/>
      <c r="N161" s="346"/>
      <c r="O161" s="346"/>
      <c r="P161" s="346"/>
      <c r="Q161" s="346"/>
      <c r="R161" s="346"/>
      <c r="S161" s="346"/>
      <c r="T161" s="346"/>
      <c r="U161" s="346"/>
      <c r="V161" s="346"/>
      <c r="W161" s="346"/>
      <c r="X161" s="346"/>
      <c r="Y161" s="346"/>
      <c r="Z161">
        <f t="shared" si="14"/>
        <v>12</v>
      </c>
      <c r="AA161" s="351">
        <f t="shared" si="16"/>
        <v>1.9933554817275746E-2</v>
      </c>
    </row>
    <row r="162" spans="1:27">
      <c r="A162" s="165">
        <f>'Conveyor Downtime (new)'!A156</f>
        <v>46104</v>
      </c>
      <c r="B162" s="346">
        <f>4</f>
        <v>4</v>
      </c>
      <c r="Z162">
        <f t="shared" si="14"/>
        <v>4</v>
      </c>
      <c r="AA162" s="351">
        <f t="shared" si="16"/>
        <v>6.6445182724252493E-3</v>
      </c>
    </row>
    <row r="163" spans="1:27">
      <c r="A163" s="165">
        <f>'Conveyor Downtime (new)'!A157</f>
        <v>46105</v>
      </c>
      <c r="C163" s="346"/>
      <c r="D163" s="346"/>
      <c r="E163" s="346"/>
      <c r="F163" s="346"/>
      <c r="G163" s="346"/>
      <c r="H163" s="346"/>
      <c r="I163" s="346"/>
      <c r="J163" s="346"/>
      <c r="K163" s="346"/>
      <c r="L163" s="346"/>
      <c r="M163" s="346"/>
      <c r="N163" s="346"/>
      <c r="O163" s="346"/>
      <c r="P163" s="346"/>
      <c r="Q163" s="346"/>
      <c r="R163" s="346"/>
      <c r="S163" s="346"/>
      <c r="T163" s="346"/>
      <c r="U163" s="346"/>
      <c r="V163" s="346"/>
      <c r="W163" s="346"/>
      <c r="X163" s="346"/>
      <c r="Y163" s="346"/>
      <c r="Z163">
        <f t="shared" si="14"/>
        <v>0</v>
      </c>
      <c r="AA163" s="351">
        <f t="shared" si="16"/>
        <v>0</v>
      </c>
    </row>
    <row r="164" spans="1:27">
      <c r="A164" s="165">
        <f>'Conveyor Downtime (new)'!A158</f>
        <v>46105</v>
      </c>
      <c r="B164" s="346">
        <f>60+60+22+16</f>
        <v>158</v>
      </c>
      <c r="I164">
        <v>30</v>
      </c>
      <c r="Z164">
        <f t="shared" si="14"/>
        <v>188</v>
      </c>
      <c r="AA164" s="351">
        <f t="shared" si="16"/>
        <v>0.3122923588039867</v>
      </c>
    </row>
    <row r="165" spans="1:27">
      <c r="A165" s="165">
        <f>'Conveyor Downtime (new)'!A159</f>
        <v>46106</v>
      </c>
      <c r="B165" s="346"/>
      <c r="C165" s="346"/>
      <c r="D165" s="346"/>
      <c r="E165" s="346"/>
      <c r="F165" s="346"/>
      <c r="G165" s="346"/>
      <c r="H165" s="346"/>
      <c r="I165" s="346"/>
      <c r="J165" s="346"/>
      <c r="K165" s="346"/>
      <c r="L165" s="346"/>
      <c r="M165" s="346"/>
      <c r="N165" s="346"/>
      <c r="O165" s="346"/>
      <c r="P165" s="346"/>
      <c r="Q165" s="346"/>
      <c r="R165" s="346"/>
      <c r="S165" s="346"/>
      <c r="T165" s="346"/>
      <c r="U165" s="346"/>
      <c r="V165" s="346"/>
      <c r="W165" s="346"/>
      <c r="X165" s="346"/>
      <c r="Y165" s="346"/>
      <c r="Z165">
        <f t="shared" si="14"/>
        <v>0</v>
      </c>
      <c r="AA165" s="351">
        <f t="shared" si="16"/>
        <v>0</v>
      </c>
    </row>
    <row r="166" spans="1:27">
      <c r="A166" s="165">
        <f>'Conveyor Downtime (new)'!A160</f>
        <v>46106</v>
      </c>
      <c r="Z166">
        <f t="shared" si="14"/>
        <v>0</v>
      </c>
      <c r="AA166" s="351">
        <f t="shared" si="16"/>
        <v>0</v>
      </c>
    </row>
    <row r="167" spans="1:27">
      <c r="A167" s="165">
        <f>'Conveyor Downtime (new)'!A161</f>
        <v>46106</v>
      </c>
      <c r="B167" s="346"/>
      <c r="C167" s="346"/>
      <c r="D167" s="346"/>
      <c r="E167" s="346"/>
      <c r="F167" s="346"/>
      <c r="G167" s="346"/>
      <c r="H167" s="346"/>
      <c r="I167" s="346"/>
      <c r="J167" s="346"/>
      <c r="K167" s="346"/>
      <c r="L167" s="346"/>
      <c r="M167" s="346"/>
      <c r="N167" s="346"/>
      <c r="O167" s="346"/>
      <c r="P167" s="346"/>
      <c r="Q167" s="346"/>
      <c r="R167" s="346"/>
      <c r="S167" s="346"/>
      <c r="T167" s="346"/>
      <c r="U167" s="346"/>
      <c r="V167" s="346"/>
      <c r="W167" s="346"/>
      <c r="X167" s="346"/>
      <c r="Y167" s="346"/>
      <c r="Z167">
        <f t="shared" si="14"/>
        <v>0</v>
      </c>
      <c r="AA167" s="351">
        <f t="shared" ref="AA167:AA183" si="17">Z167/$Z$184</f>
        <v>0</v>
      </c>
    </row>
    <row r="168" spans="1:27">
      <c r="A168" s="165">
        <f>'Conveyor Downtime (new)'!A162</f>
        <v>46106</v>
      </c>
      <c r="Z168">
        <f t="shared" si="14"/>
        <v>0</v>
      </c>
      <c r="AA168" s="351">
        <f t="shared" si="17"/>
        <v>0</v>
      </c>
    </row>
    <row r="169" spans="1:27">
      <c r="A169" s="165">
        <f>'Conveyor Downtime (new)'!A163</f>
        <v>46107</v>
      </c>
      <c r="B169" s="346"/>
      <c r="C169" s="346"/>
      <c r="D169" s="346"/>
      <c r="E169" s="346"/>
      <c r="F169" s="346"/>
      <c r="G169" s="346"/>
      <c r="H169" s="346"/>
      <c r="I169" s="346"/>
      <c r="J169" s="346"/>
      <c r="K169" s="346"/>
      <c r="L169" s="346"/>
      <c r="M169" s="346"/>
      <c r="N169" s="346"/>
      <c r="O169" s="346"/>
      <c r="P169" s="346"/>
      <c r="Q169" s="346"/>
      <c r="R169" s="346"/>
      <c r="S169" s="346"/>
      <c r="T169" s="346"/>
      <c r="U169" s="346"/>
      <c r="V169" s="346"/>
      <c r="W169" s="346"/>
      <c r="X169" s="346"/>
      <c r="Y169" s="346"/>
      <c r="Z169">
        <f t="shared" si="14"/>
        <v>0</v>
      </c>
      <c r="AA169" s="351">
        <f t="shared" si="17"/>
        <v>0</v>
      </c>
    </row>
    <row r="170" spans="1:27">
      <c r="A170" s="165">
        <f>'Conveyor Downtime (new)'!A164</f>
        <v>46107</v>
      </c>
      <c r="Z170">
        <f t="shared" si="14"/>
        <v>0</v>
      </c>
      <c r="AA170" s="351">
        <f t="shared" si="17"/>
        <v>0</v>
      </c>
    </row>
    <row r="171" spans="1:27">
      <c r="A171" s="165">
        <f>'Conveyor Downtime (new)'!A165</f>
        <v>46107</v>
      </c>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f t="shared" si="14"/>
        <v>0</v>
      </c>
      <c r="AA171" s="351">
        <f t="shared" si="17"/>
        <v>0</v>
      </c>
    </row>
    <row r="172" spans="1:27">
      <c r="A172" s="165">
        <f>'Conveyor Downtime (new)'!A166</f>
        <v>46107</v>
      </c>
      <c r="Z172">
        <f t="shared" si="14"/>
        <v>0</v>
      </c>
      <c r="AA172" s="351">
        <f t="shared" si="17"/>
        <v>0</v>
      </c>
    </row>
    <row r="173" spans="1:27">
      <c r="A173" s="165">
        <f>'Conveyor Downtime (new)'!A167</f>
        <v>46108</v>
      </c>
      <c r="B173" s="346"/>
      <c r="C173" s="346"/>
      <c r="D173" s="346"/>
      <c r="E173" s="346"/>
      <c r="F173" s="346"/>
      <c r="G173" s="346"/>
      <c r="H173" s="346"/>
      <c r="I173" s="346"/>
      <c r="J173" s="346"/>
      <c r="K173" s="346"/>
      <c r="L173" s="346"/>
      <c r="M173" s="346"/>
      <c r="N173" s="346"/>
      <c r="O173" s="346"/>
      <c r="P173" s="346"/>
      <c r="Q173" s="346"/>
      <c r="R173" s="346"/>
      <c r="S173" s="346"/>
      <c r="T173" s="346"/>
      <c r="U173" s="346"/>
      <c r="V173" s="346"/>
      <c r="W173" s="346"/>
      <c r="X173" s="346"/>
      <c r="Y173" s="346"/>
      <c r="Z173">
        <f t="shared" si="14"/>
        <v>0</v>
      </c>
      <c r="AA173" s="351">
        <f t="shared" si="17"/>
        <v>0</v>
      </c>
    </row>
    <row r="174" spans="1:27">
      <c r="A174" s="165">
        <f>'Conveyor Downtime (new)'!A168</f>
        <v>46108</v>
      </c>
      <c r="K174">
        <f>18+60+54</f>
        <v>132</v>
      </c>
      <c r="Z174">
        <f t="shared" si="14"/>
        <v>132</v>
      </c>
      <c r="AA174" s="351">
        <f t="shared" si="17"/>
        <v>0.21926910299003322</v>
      </c>
    </row>
    <row r="175" spans="1:27">
      <c r="A175" s="165">
        <f>'Conveyor Downtime (new)'!A169</f>
        <v>46111</v>
      </c>
      <c r="B175" s="346">
        <f>4+5+4+5</f>
        <v>18</v>
      </c>
      <c r="C175" s="346"/>
      <c r="D175" s="346"/>
      <c r="E175" s="346"/>
      <c r="F175" s="346"/>
      <c r="G175" s="346"/>
      <c r="H175" s="346"/>
      <c r="I175" s="346"/>
      <c r="J175" s="346"/>
      <c r="K175" s="346"/>
      <c r="L175" s="346"/>
      <c r="M175" s="346"/>
      <c r="N175" s="346"/>
      <c r="O175" s="346"/>
      <c r="P175" s="346"/>
      <c r="Q175" s="346"/>
      <c r="R175" s="346"/>
      <c r="S175" s="346"/>
      <c r="T175" s="346"/>
      <c r="U175" s="346"/>
      <c r="V175" s="346"/>
      <c r="W175" s="346"/>
      <c r="X175" s="346"/>
      <c r="Y175" s="346"/>
      <c r="Z175">
        <f t="shared" si="14"/>
        <v>18</v>
      </c>
      <c r="AA175" s="351">
        <f t="shared" si="17"/>
        <v>2.9900332225913623E-2</v>
      </c>
    </row>
    <row r="176" spans="1:27">
      <c r="A176" s="165">
        <f>'Conveyor Downtime (new)'!A170</f>
        <v>46112</v>
      </c>
      <c r="Z176">
        <f t="shared" si="14"/>
        <v>0</v>
      </c>
      <c r="AA176" s="351">
        <f t="shared" si="17"/>
        <v>0</v>
      </c>
    </row>
    <row r="177" spans="1:27">
      <c r="A177" s="165">
        <f>'Conveyor Downtime (new)'!A171</f>
        <v>46112</v>
      </c>
      <c r="B177" s="346"/>
      <c r="C177" s="346"/>
      <c r="D177" s="346"/>
      <c r="E177" s="346"/>
      <c r="F177" s="346"/>
      <c r="G177" s="346"/>
      <c r="H177" s="346"/>
      <c r="I177" s="346"/>
      <c r="J177" s="346"/>
      <c r="K177" s="346"/>
      <c r="L177" s="346"/>
      <c r="M177" s="346"/>
      <c r="N177" s="346"/>
      <c r="O177" s="346"/>
      <c r="P177" s="346"/>
      <c r="Q177" s="346"/>
      <c r="R177" s="346"/>
      <c r="S177" s="346"/>
      <c r="T177" s="346"/>
      <c r="U177" s="346"/>
      <c r="V177" s="346"/>
      <c r="W177" s="346"/>
      <c r="X177" s="346"/>
      <c r="Y177" s="346"/>
      <c r="Z177">
        <f t="shared" ref="Z177:Z182" si="18">SUM(B177:Y177)</f>
        <v>0</v>
      </c>
      <c r="AA177" s="351">
        <f t="shared" si="17"/>
        <v>0</v>
      </c>
    </row>
    <row r="178" spans="1:27">
      <c r="A178" s="165">
        <f>'Conveyor Downtime (new)'!A172</f>
        <v>46112</v>
      </c>
      <c r="Z178">
        <f t="shared" si="18"/>
        <v>0</v>
      </c>
      <c r="AA178" s="351">
        <f t="shared" si="17"/>
        <v>0</v>
      </c>
    </row>
    <row r="179" spans="1:27">
      <c r="A179" s="165">
        <f>'Conveyor Downtime (new)'!A173</f>
        <v>46112</v>
      </c>
      <c r="B179" s="346"/>
      <c r="C179" s="346"/>
      <c r="D179" s="346"/>
      <c r="E179" s="346"/>
      <c r="F179" s="346"/>
      <c r="G179" s="346"/>
      <c r="H179" s="346"/>
      <c r="I179" s="346">
        <f>24+50</f>
        <v>74</v>
      </c>
      <c r="J179" s="346"/>
      <c r="K179" s="346"/>
      <c r="L179" s="346"/>
      <c r="M179" s="346"/>
      <c r="N179" s="346"/>
      <c r="O179" s="346"/>
      <c r="P179" s="346"/>
      <c r="Q179" s="346"/>
      <c r="R179" s="346"/>
      <c r="S179" s="346"/>
      <c r="T179" s="346"/>
      <c r="U179" s="346"/>
      <c r="V179" s="346"/>
      <c r="W179" s="346"/>
      <c r="X179" s="346"/>
      <c r="Y179" s="346"/>
      <c r="Z179">
        <f t="shared" si="18"/>
        <v>74</v>
      </c>
      <c r="AA179" s="351">
        <f t="shared" si="17"/>
        <v>0.12292358803986711</v>
      </c>
    </row>
    <row r="180" spans="1:27">
      <c r="A180" s="165">
        <f>'Conveyor Downtime (new)'!A174</f>
        <v>0</v>
      </c>
      <c r="Z180">
        <f t="shared" si="18"/>
        <v>0</v>
      </c>
      <c r="AA180" s="351">
        <f t="shared" si="17"/>
        <v>0</v>
      </c>
    </row>
    <row r="181" spans="1:27">
      <c r="A181" s="165"/>
      <c r="B181" s="346"/>
      <c r="C181" s="346"/>
      <c r="D181" s="346"/>
      <c r="E181" s="346"/>
      <c r="F181" s="346"/>
      <c r="G181" s="346"/>
      <c r="H181" s="346"/>
      <c r="I181" s="346"/>
      <c r="J181" s="346"/>
      <c r="K181" s="346"/>
      <c r="L181" s="346"/>
      <c r="M181" s="346"/>
      <c r="N181" s="346"/>
      <c r="O181" s="346"/>
      <c r="P181" s="346"/>
      <c r="Q181" s="346"/>
      <c r="R181" s="346"/>
      <c r="S181" s="346"/>
      <c r="T181" s="346"/>
      <c r="U181" s="346"/>
      <c r="V181" s="346"/>
      <c r="W181" s="346"/>
      <c r="X181" s="346"/>
      <c r="Y181" s="346"/>
      <c r="Z181">
        <f t="shared" si="18"/>
        <v>0</v>
      </c>
      <c r="AA181" s="351">
        <f t="shared" si="17"/>
        <v>0</v>
      </c>
    </row>
    <row r="182" spans="1:27">
      <c r="A182" s="165"/>
      <c r="Z182">
        <f t="shared" si="18"/>
        <v>0</v>
      </c>
      <c r="AA182" s="351">
        <f t="shared" si="17"/>
        <v>0</v>
      </c>
    </row>
    <row r="183" spans="1:27">
      <c r="A183" s="165"/>
      <c r="B183" s="346"/>
      <c r="C183" s="346"/>
      <c r="D183" s="346"/>
      <c r="E183" s="346"/>
      <c r="F183" s="346"/>
      <c r="G183" s="346"/>
      <c r="H183" s="346"/>
      <c r="I183" s="346"/>
      <c r="J183" s="346"/>
      <c r="K183" s="346"/>
      <c r="L183" s="346"/>
      <c r="M183" s="346"/>
      <c r="N183" s="346"/>
      <c r="O183" s="346"/>
      <c r="P183" s="346"/>
      <c r="Q183" s="346"/>
      <c r="R183" s="346"/>
      <c r="S183" s="346"/>
      <c r="T183" s="346"/>
      <c r="U183" s="346"/>
      <c r="V183" s="346"/>
      <c r="W183" s="346"/>
      <c r="X183" s="346"/>
      <c r="Y183" s="346"/>
      <c r="Z183">
        <f t="shared" si="14"/>
        <v>0</v>
      </c>
      <c r="AA183" s="351">
        <f t="shared" si="17"/>
        <v>0</v>
      </c>
    </row>
    <row r="184" spans="1:27" ht="15">
      <c r="A184" s="347" t="s">
        <v>173</v>
      </c>
      <c r="B184" s="347">
        <f>SUM(B129:B183)</f>
        <v>201</v>
      </c>
      <c r="C184" s="347">
        <f t="shared" ref="C184:Y184" si="19">SUM(C129:C183)</f>
        <v>0</v>
      </c>
      <c r="D184" s="347">
        <f t="shared" si="19"/>
        <v>0</v>
      </c>
      <c r="E184" s="347">
        <f t="shared" si="19"/>
        <v>0</v>
      </c>
      <c r="F184" s="347">
        <f t="shared" si="19"/>
        <v>0</v>
      </c>
      <c r="G184" s="347">
        <f t="shared" si="19"/>
        <v>0</v>
      </c>
      <c r="H184" s="347">
        <f t="shared" si="19"/>
        <v>0</v>
      </c>
      <c r="I184" s="347">
        <f t="shared" si="19"/>
        <v>256</v>
      </c>
      <c r="J184" s="347">
        <f t="shared" si="19"/>
        <v>0</v>
      </c>
      <c r="K184" s="347">
        <f t="shared" si="19"/>
        <v>145</v>
      </c>
      <c r="L184" s="347">
        <f t="shared" si="19"/>
        <v>0</v>
      </c>
      <c r="M184" s="347">
        <f t="shared" si="19"/>
        <v>0</v>
      </c>
      <c r="N184" s="347">
        <f t="shared" si="19"/>
        <v>0</v>
      </c>
      <c r="O184" s="347">
        <f t="shared" si="19"/>
        <v>0</v>
      </c>
      <c r="P184" s="347">
        <f t="shared" si="19"/>
        <v>0</v>
      </c>
      <c r="Q184" s="347">
        <f t="shared" si="19"/>
        <v>0</v>
      </c>
      <c r="R184" s="347">
        <f t="shared" si="19"/>
        <v>0</v>
      </c>
      <c r="S184" s="347">
        <f t="shared" si="19"/>
        <v>0</v>
      </c>
      <c r="T184" s="347">
        <f t="shared" si="19"/>
        <v>0</v>
      </c>
      <c r="U184" s="347">
        <f t="shared" si="19"/>
        <v>0</v>
      </c>
      <c r="V184" s="347"/>
      <c r="W184" s="347">
        <f t="shared" si="19"/>
        <v>0</v>
      </c>
      <c r="X184" s="347">
        <f t="shared" si="19"/>
        <v>0</v>
      </c>
      <c r="Y184" s="347">
        <f t="shared" si="19"/>
        <v>0</v>
      </c>
      <c r="Z184" s="347">
        <f>SUM(Z129:Z183)</f>
        <v>602</v>
      </c>
    </row>
    <row r="185" spans="1:27" ht="15.75" thickBot="1">
      <c r="A185" s="348" t="s">
        <v>174</v>
      </c>
      <c r="B185" s="348">
        <f t="shared" ref="B185:U185" si="20">B184/$Z184</f>
        <v>0.33388704318936879</v>
      </c>
      <c r="C185" s="348">
        <f t="shared" si="20"/>
        <v>0</v>
      </c>
      <c r="D185" s="348">
        <f t="shared" si="20"/>
        <v>0</v>
      </c>
      <c r="E185" s="348">
        <f t="shared" si="20"/>
        <v>0</v>
      </c>
      <c r="F185" s="348">
        <f t="shared" si="20"/>
        <v>0</v>
      </c>
      <c r="G185" s="348">
        <f t="shared" si="20"/>
        <v>0</v>
      </c>
      <c r="H185" s="348">
        <f t="shared" si="20"/>
        <v>0</v>
      </c>
      <c r="I185" s="348">
        <f t="shared" si="20"/>
        <v>0.42524916943521596</v>
      </c>
      <c r="J185" s="348">
        <f t="shared" si="20"/>
        <v>0</v>
      </c>
      <c r="K185" s="348">
        <f t="shared" si="20"/>
        <v>0.24086378737541528</v>
      </c>
      <c r="L185" s="348">
        <f t="shared" si="20"/>
        <v>0</v>
      </c>
      <c r="M185" s="348">
        <f t="shared" si="20"/>
        <v>0</v>
      </c>
      <c r="N185" s="348">
        <f t="shared" si="20"/>
        <v>0</v>
      </c>
      <c r="O185" s="348">
        <f t="shared" si="20"/>
        <v>0</v>
      </c>
      <c r="P185" s="348">
        <f t="shared" si="20"/>
        <v>0</v>
      </c>
      <c r="Q185" s="348">
        <f t="shared" si="20"/>
        <v>0</v>
      </c>
      <c r="R185" s="348">
        <f t="shared" si="20"/>
        <v>0</v>
      </c>
      <c r="S185" s="348">
        <f t="shared" si="20"/>
        <v>0</v>
      </c>
      <c r="T185" s="348">
        <f t="shared" si="20"/>
        <v>0</v>
      </c>
      <c r="U185" s="348">
        <f t="shared" si="20"/>
        <v>0</v>
      </c>
      <c r="V185" s="348"/>
      <c r="W185" s="348"/>
      <c r="X185" s="348">
        <f>X184/$Z184</f>
        <v>0</v>
      </c>
      <c r="Y185" s="348">
        <f>Y184/$Z184</f>
        <v>0</v>
      </c>
    </row>
    <row r="189" spans="1:27">
      <c r="A189" s="165">
        <f>'Conveyor Downtime (new)'!A187</f>
        <v>46113</v>
      </c>
      <c r="Z189">
        <f>SUM(B189:Y189)</f>
        <v>0</v>
      </c>
      <c r="AA189" s="351">
        <f t="shared" ref="AA189:AA215" si="21">Z189/$Z$304</f>
        <v>0</v>
      </c>
    </row>
    <row r="190" spans="1:27">
      <c r="A190" s="165">
        <f>'Conveyor Downtime (new)'!A188</f>
        <v>46113</v>
      </c>
      <c r="B190" s="346"/>
      <c r="C190" s="346"/>
      <c r="D190" s="346"/>
      <c r="E190" s="346"/>
      <c r="F190" s="346"/>
      <c r="G190" s="346"/>
      <c r="H190" s="346"/>
      <c r="I190" s="346"/>
      <c r="J190" s="346"/>
      <c r="K190" s="346"/>
      <c r="L190" s="346"/>
      <c r="M190" s="346"/>
      <c r="N190" s="346"/>
      <c r="O190" s="346"/>
      <c r="P190" s="346"/>
      <c r="Q190" s="346"/>
      <c r="R190" s="346"/>
      <c r="S190" s="346"/>
      <c r="T190" s="346"/>
      <c r="U190" s="346"/>
      <c r="V190" s="346"/>
      <c r="W190" s="346"/>
      <c r="X190" s="346"/>
      <c r="Y190" s="346"/>
      <c r="Z190">
        <f t="shared" ref="Z190:Z236" si="22">SUM(B190:Y190)</f>
        <v>0</v>
      </c>
      <c r="AA190" s="351">
        <f t="shared" si="21"/>
        <v>0</v>
      </c>
    </row>
    <row r="191" spans="1:27">
      <c r="A191" s="165">
        <f>'Conveyor Downtime (new)'!A189</f>
        <v>46113</v>
      </c>
      <c r="Z191">
        <f t="shared" si="22"/>
        <v>0</v>
      </c>
      <c r="AA191" s="351">
        <f t="shared" si="21"/>
        <v>0</v>
      </c>
    </row>
    <row r="192" spans="1:27">
      <c r="A192" s="165">
        <f>'Conveyor Downtime (new)'!A190</f>
        <v>46114</v>
      </c>
      <c r="B192" s="346"/>
      <c r="C192" s="346"/>
      <c r="D192" s="346"/>
      <c r="E192" s="346"/>
      <c r="F192" s="346"/>
      <c r="G192" s="346"/>
      <c r="H192" s="346"/>
      <c r="I192" s="346"/>
      <c r="J192" s="346"/>
      <c r="K192" s="346"/>
      <c r="L192" s="346"/>
      <c r="M192" s="346"/>
      <c r="N192" s="346"/>
      <c r="O192" s="346"/>
      <c r="P192" s="346"/>
      <c r="Q192" s="346"/>
      <c r="R192" s="346"/>
      <c r="S192" s="346"/>
      <c r="T192" s="346"/>
      <c r="U192" s="346"/>
      <c r="V192" s="346"/>
      <c r="W192" s="346"/>
      <c r="X192" s="346"/>
      <c r="Y192" s="346"/>
      <c r="Z192">
        <f t="shared" si="22"/>
        <v>0</v>
      </c>
      <c r="AA192" s="351">
        <f t="shared" si="21"/>
        <v>0</v>
      </c>
    </row>
    <row r="193" spans="1:27">
      <c r="A193" s="165">
        <f>'Conveyor Downtime (new)'!A191</f>
        <v>46114</v>
      </c>
      <c r="Z193">
        <f t="shared" si="22"/>
        <v>0</v>
      </c>
      <c r="AA193" s="351">
        <f t="shared" si="21"/>
        <v>0</v>
      </c>
    </row>
    <row r="194" spans="1:27">
      <c r="A194" s="165">
        <f>'Conveyor Downtime (new)'!A192</f>
        <v>46119</v>
      </c>
      <c r="B194" s="346"/>
      <c r="C194" s="346"/>
      <c r="D194" s="346"/>
      <c r="E194" s="346"/>
      <c r="F194" s="346"/>
      <c r="G194" s="346"/>
      <c r="H194" s="346"/>
      <c r="I194" s="346"/>
      <c r="J194" s="346"/>
      <c r="K194" s="346"/>
      <c r="L194" s="346"/>
      <c r="M194" s="346"/>
      <c r="N194" s="346"/>
      <c r="O194" s="346"/>
      <c r="P194" s="346"/>
      <c r="Q194" s="346"/>
      <c r="R194" s="346"/>
      <c r="S194" s="346"/>
      <c r="T194" s="346"/>
      <c r="U194" s="346"/>
      <c r="V194" s="346"/>
      <c r="W194" s="346"/>
      <c r="X194" s="346"/>
      <c r="Y194" s="346"/>
      <c r="Z194">
        <f t="shared" si="22"/>
        <v>0</v>
      </c>
      <c r="AA194" s="351">
        <f t="shared" si="21"/>
        <v>0</v>
      </c>
    </row>
    <row r="195" spans="1:27">
      <c r="A195" s="165">
        <f>'Conveyor Downtime (new)'!A193</f>
        <v>46119</v>
      </c>
      <c r="Z195">
        <f t="shared" si="22"/>
        <v>0</v>
      </c>
      <c r="AA195" s="351">
        <f t="shared" si="21"/>
        <v>0</v>
      </c>
    </row>
    <row r="196" spans="1:27">
      <c r="A196" s="165">
        <f>'Conveyor Downtime (new)'!A194</f>
        <v>46120</v>
      </c>
      <c r="B196" s="346"/>
      <c r="C196" s="346"/>
      <c r="D196" s="346"/>
      <c r="E196" s="346"/>
      <c r="F196" s="346"/>
      <c r="G196" s="346"/>
      <c r="H196" s="346"/>
      <c r="I196" s="346"/>
      <c r="J196" s="346"/>
      <c r="K196" s="346"/>
      <c r="L196" s="346"/>
      <c r="M196" s="346"/>
      <c r="N196" s="346"/>
      <c r="O196" s="346"/>
      <c r="P196" s="346"/>
      <c r="Q196" s="346"/>
      <c r="R196" s="346"/>
      <c r="S196" s="346"/>
      <c r="T196" s="346"/>
      <c r="U196" s="346"/>
      <c r="V196" s="346"/>
      <c r="W196" s="346"/>
      <c r="X196" s="346"/>
      <c r="Y196" s="346"/>
      <c r="Z196">
        <f t="shared" si="22"/>
        <v>0</v>
      </c>
      <c r="AA196" s="351">
        <f t="shared" si="21"/>
        <v>0</v>
      </c>
    </row>
    <row r="197" spans="1:27">
      <c r="A197" s="165">
        <f>'Conveyor Downtime (new)'!A195</f>
        <v>46120</v>
      </c>
      <c r="Z197">
        <f t="shared" si="22"/>
        <v>0</v>
      </c>
      <c r="AA197" s="351">
        <f t="shared" si="21"/>
        <v>0</v>
      </c>
    </row>
    <row r="198" spans="1:27">
      <c r="A198" s="165">
        <f>'Conveyor Downtime (new)'!A196</f>
        <v>46121</v>
      </c>
      <c r="B198" s="346"/>
      <c r="C198" s="346"/>
      <c r="D198" s="346"/>
      <c r="E198" s="346"/>
      <c r="F198" s="346"/>
      <c r="G198" s="346"/>
      <c r="H198" s="346"/>
      <c r="I198" s="346"/>
      <c r="J198" s="346"/>
      <c r="K198" s="77"/>
      <c r="L198" s="346"/>
      <c r="M198" s="346"/>
      <c r="N198" s="346"/>
      <c r="O198" s="346"/>
      <c r="P198" s="346"/>
      <c r="Q198" s="346"/>
      <c r="R198" s="346"/>
      <c r="S198" s="346"/>
      <c r="T198" s="346"/>
      <c r="U198" s="346"/>
      <c r="V198" s="346"/>
      <c r="W198" s="346"/>
      <c r="X198" s="346"/>
      <c r="Y198" s="346"/>
      <c r="Z198">
        <f t="shared" si="22"/>
        <v>0</v>
      </c>
      <c r="AA198" s="351">
        <f t="shared" si="21"/>
        <v>0</v>
      </c>
    </row>
    <row r="199" spans="1:27">
      <c r="A199" s="165">
        <f>'Conveyor Downtime (new)'!A197</f>
        <v>46122</v>
      </c>
      <c r="Z199">
        <f t="shared" si="22"/>
        <v>0</v>
      </c>
      <c r="AA199" s="351">
        <f t="shared" si="21"/>
        <v>0</v>
      </c>
    </row>
    <row r="200" spans="1:27">
      <c r="A200" s="165">
        <f>'Conveyor Downtime (new)'!A198</f>
        <v>46125</v>
      </c>
      <c r="B200" s="346">
        <f>32</f>
        <v>32</v>
      </c>
      <c r="C200" s="346"/>
      <c r="D200" s="346"/>
      <c r="E200" s="346"/>
      <c r="F200" s="346"/>
      <c r="G200" s="346"/>
      <c r="H200" s="346">
        <v>11</v>
      </c>
      <c r="I200" s="346">
        <v>30</v>
      </c>
      <c r="J200" s="346"/>
      <c r="K200" s="346"/>
      <c r="L200" s="346"/>
      <c r="M200" s="346"/>
      <c r="N200" s="346"/>
      <c r="O200" s="346"/>
      <c r="P200" s="346"/>
      <c r="Q200" s="346"/>
      <c r="R200" s="346"/>
      <c r="S200" s="346"/>
      <c r="T200" s="346"/>
      <c r="U200" s="346"/>
      <c r="V200" s="346"/>
      <c r="W200" s="346"/>
      <c r="X200" s="346"/>
      <c r="Y200" s="346"/>
      <c r="Z200">
        <f t="shared" si="22"/>
        <v>73</v>
      </c>
      <c r="AA200" s="351">
        <f t="shared" si="21"/>
        <v>0.76842105263157889</v>
      </c>
    </row>
    <row r="201" spans="1:27">
      <c r="A201" s="165">
        <f>'Conveyor Downtime (new)'!A199</f>
        <v>46125</v>
      </c>
      <c r="Z201">
        <f t="shared" si="22"/>
        <v>0</v>
      </c>
      <c r="AA201" s="351">
        <f t="shared" si="21"/>
        <v>0</v>
      </c>
    </row>
    <row r="202" spans="1:27">
      <c r="A202" s="165">
        <f>'Conveyor Downtime (new)'!A200</f>
        <v>46126</v>
      </c>
      <c r="B202" s="346"/>
      <c r="C202" s="346"/>
      <c r="D202" s="346"/>
      <c r="E202" s="346"/>
      <c r="F202" s="346"/>
      <c r="G202" s="346"/>
      <c r="H202" s="346"/>
      <c r="I202" s="346"/>
      <c r="J202" s="346"/>
      <c r="K202" s="346"/>
      <c r="L202" s="346"/>
      <c r="M202" s="346"/>
      <c r="N202" s="346"/>
      <c r="O202" s="346"/>
      <c r="P202" s="346"/>
      <c r="Q202" s="346"/>
      <c r="R202" s="346"/>
      <c r="S202" s="346"/>
      <c r="T202" s="346"/>
      <c r="U202" s="346"/>
      <c r="V202" s="346"/>
      <c r="W202" s="346"/>
      <c r="X202" s="346"/>
      <c r="Y202" s="346"/>
      <c r="Z202">
        <f t="shared" si="22"/>
        <v>0</v>
      </c>
      <c r="AA202" s="351">
        <f t="shared" si="21"/>
        <v>0</v>
      </c>
    </row>
    <row r="203" spans="1:27">
      <c r="A203" s="165">
        <f>'Conveyor Downtime (new)'!A201</f>
        <v>46126</v>
      </c>
      <c r="B203">
        <f>4</f>
        <v>4</v>
      </c>
      <c r="Z203">
        <f t="shared" si="22"/>
        <v>4</v>
      </c>
      <c r="AA203" s="351">
        <f t="shared" si="21"/>
        <v>4.2105263157894736E-2</v>
      </c>
    </row>
    <row r="204" spans="1:27">
      <c r="A204" s="165">
        <f>'Conveyor Downtime (new)'!A202</f>
        <v>46126</v>
      </c>
      <c r="B204" s="346">
        <f>17</f>
        <v>17</v>
      </c>
      <c r="C204" s="346"/>
      <c r="D204" s="346"/>
      <c r="E204" s="346"/>
      <c r="F204" s="346"/>
      <c r="G204" s="346"/>
      <c r="H204" s="346"/>
      <c r="I204" s="346"/>
      <c r="J204" s="346"/>
      <c r="K204" s="346"/>
      <c r="L204" s="346"/>
      <c r="M204" s="346"/>
      <c r="N204" s="346"/>
      <c r="O204" s="346"/>
      <c r="P204" s="346"/>
      <c r="Q204" s="346"/>
      <c r="R204" s="346"/>
      <c r="S204" s="346"/>
      <c r="T204" s="346"/>
      <c r="U204" s="346"/>
      <c r="V204" s="346"/>
      <c r="W204" s="346"/>
      <c r="X204" s="346"/>
      <c r="Y204" s="346"/>
      <c r="Z204">
        <f t="shared" si="22"/>
        <v>17</v>
      </c>
      <c r="AA204" s="351">
        <f t="shared" si="21"/>
        <v>0.17894736842105263</v>
      </c>
    </row>
    <row r="205" spans="1:27">
      <c r="A205" s="165">
        <f>'Conveyor Downtime (new)'!A203</f>
        <v>46126</v>
      </c>
      <c r="Q205" s="77"/>
      <c r="Z205">
        <f t="shared" si="22"/>
        <v>0</v>
      </c>
      <c r="AA205" s="351">
        <f t="shared" si="21"/>
        <v>0</v>
      </c>
    </row>
    <row r="206" spans="1:27">
      <c r="A206" s="165">
        <f>'Conveyor Downtime (new)'!A204</f>
        <v>46127</v>
      </c>
      <c r="B206" s="346"/>
      <c r="C206" s="346"/>
      <c r="D206" s="346"/>
      <c r="E206" s="346"/>
      <c r="F206" s="346"/>
      <c r="G206" s="346"/>
      <c r="H206" s="346"/>
      <c r="I206" s="346"/>
      <c r="J206" s="346"/>
      <c r="K206" s="346"/>
      <c r="L206" s="346"/>
      <c r="M206" s="346"/>
      <c r="N206" s="346"/>
      <c r="O206" s="346"/>
      <c r="P206" s="346"/>
      <c r="Q206" s="346"/>
      <c r="R206" s="346"/>
      <c r="S206" s="346"/>
      <c r="T206" s="346"/>
      <c r="U206" s="346"/>
      <c r="V206" s="346"/>
      <c r="W206" s="346"/>
      <c r="X206" s="346"/>
      <c r="Y206" s="346"/>
      <c r="Z206">
        <f t="shared" si="22"/>
        <v>0</v>
      </c>
      <c r="AA206" s="351">
        <f t="shared" si="21"/>
        <v>0</v>
      </c>
    </row>
    <row r="207" spans="1:27">
      <c r="A207" s="165">
        <f>'Conveyor Downtime (new)'!A205</f>
        <v>46127</v>
      </c>
      <c r="Z207">
        <f t="shared" si="22"/>
        <v>0</v>
      </c>
      <c r="AA207" s="351">
        <f t="shared" si="21"/>
        <v>0</v>
      </c>
    </row>
    <row r="208" spans="1:27">
      <c r="A208" s="165">
        <f>'Conveyor Downtime (new)'!A206</f>
        <v>46127</v>
      </c>
      <c r="B208" s="346"/>
      <c r="C208" s="346"/>
      <c r="D208" s="346"/>
      <c r="E208" s="346"/>
      <c r="F208" s="346"/>
      <c r="G208" s="346"/>
      <c r="H208" s="346"/>
      <c r="I208" s="346"/>
      <c r="J208" s="346"/>
      <c r="K208" s="346"/>
      <c r="L208" s="346"/>
      <c r="M208" s="346"/>
      <c r="N208" s="346"/>
      <c r="O208" s="346"/>
      <c r="P208" s="346"/>
      <c r="Q208" s="346"/>
      <c r="R208" s="346"/>
      <c r="S208" s="346"/>
      <c r="T208" s="346"/>
      <c r="U208" s="346"/>
      <c r="V208" s="346"/>
      <c r="W208" s="346"/>
      <c r="X208" s="346"/>
      <c r="Y208" s="346"/>
      <c r="Z208">
        <f t="shared" si="22"/>
        <v>0</v>
      </c>
      <c r="AA208" s="351">
        <f t="shared" si="21"/>
        <v>0</v>
      </c>
    </row>
    <row r="209" spans="1:27">
      <c r="A209" s="165">
        <f>'Conveyor Downtime (new)'!A207</f>
        <v>46128</v>
      </c>
      <c r="Z209">
        <f t="shared" si="22"/>
        <v>0</v>
      </c>
      <c r="AA209" s="351">
        <f t="shared" si="21"/>
        <v>0</v>
      </c>
    </row>
    <row r="210" spans="1:27">
      <c r="A210" s="165">
        <f>'Conveyor Downtime (new)'!A208</f>
        <v>46128</v>
      </c>
      <c r="B210" s="346"/>
      <c r="C210" s="346"/>
      <c r="D210" s="346"/>
      <c r="E210" s="346"/>
      <c r="F210" s="346"/>
      <c r="G210" s="346"/>
      <c r="H210" s="346"/>
      <c r="I210" s="346"/>
      <c r="J210" s="346"/>
      <c r="K210" s="346"/>
      <c r="L210" s="346"/>
      <c r="M210" s="346"/>
      <c r="N210" s="346"/>
      <c r="O210" s="346"/>
      <c r="P210" s="346"/>
      <c r="Q210" s="346"/>
      <c r="R210" s="346"/>
      <c r="S210" s="346"/>
      <c r="T210" s="346"/>
      <c r="U210" s="346"/>
      <c r="V210" s="346"/>
      <c r="W210" s="346"/>
      <c r="X210" s="346"/>
      <c r="Y210" s="346"/>
      <c r="Z210">
        <f t="shared" si="22"/>
        <v>0</v>
      </c>
      <c r="AA210" s="351">
        <f t="shared" si="21"/>
        <v>0</v>
      </c>
    </row>
    <row r="211" spans="1:27">
      <c r="A211" s="165">
        <f>'Conveyor Downtime (new)'!A209</f>
        <v>46129</v>
      </c>
      <c r="Z211">
        <f t="shared" si="22"/>
        <v>0</v>
      </c>
      <c r="AA211" s="351">
        <f t="shared" si="21"/>
        <v>0</v>
      </c>
    </row>
    <row r="212" spans="1:27">
      <c r="A212" s="165">
        <f>'Conveyor Downtime (new)'!A210</f>
        <v>46129</v>
      </c>
      <c r="B212" s="346"/>
      <c r="C212" s="346"/>
      <c r="D212" s="346"/>
      <c r="E212" s="346"/>
      <c r="F212" s="346"/>
      <c r="G212" s="346"/>
      <c r="H212" s="346"/>
      <c r="I212" s="346"/>
      <c r="J212" s="346"/>
      <c r="K212" s="346"/>
      <c r="L212" s="346"/>
      <c r="M212" s="346"/>
      <c r="N212" s="346"/>
      <c r="O212" s="346"/>
      <c r="P212" s="346"/>
      <c r="Q212" s="346"/>
      <c r="R212" s="346"/>
      <c r="S212" s="346"/>
      <c r="T212" s="346"/>
      <c r="U212" s="346"/>
      <c r="V212" s="346"/>
      <c r="W212" s="346"/>
      <c r="X212" s="346"/>
      <c r="Y212" s="346"/>
      <c r="Z212">
        <f t="shared" si="22"/>
        <v>0</v>
      </c>
      <c r="AA212" s="351">
        <f t="shared" si="21"/>
        <v>0</v>
      </c>
    </row>
    <row r="213" spans="1:27">
      <c r="A213" s="165">
        <f>'Conveyor Downtime (new)'!A211</f>
        <v>46132</v>
      </c>
      <c r="Z213">
        <f t="shared" si="22"/>
        <v>0</v>
      </c>
      <c r="AA213" s="351">
        <f t="shared" si="21"/>
        <v>0</v>
      </c>
    </row>
    <row r="214" spans="1:27">
      <c r="A214" s="165">
        <f>'Conveyor Downtime (new)'!A212</f>
        <v>46132</v>
      </c>
      <c r="B214" s="346"/>
      <c r="C214" s="346"/>
      <c r="D214" s="346"/>
      <c r="E214" s="346"/>
      <c r="F214" s="346"/>
      <c r="G214" s="346"/>
      <c r="H214" s="346"/>
      <c r="I214" s="346"/>
      <c r="J214" s="346"/>
      <c r="K214" s="346"/>
      <c r="L214" s="346"/>
      <c r="M214" s="346"/>
      <c r="N214" s="346"/>
      <c r="O214" s="346"/>
      <c r="P214" s="346"/>
      <c r="Q214" s="346"/>
      <c r="R214" s="346"/>
      <c r="S214" s="346"/>
      <c r="T214" s="346"/>
      <c r="U214" s="346"/>
      <c r="V214" s="346"/>
      <c r="W214" s="346"/>
      <c r="X214" s="346"/>
      <c r="Y214" s="346"/>
      <c r="Z214">
        <f t="shared" si="22"/>
        <v>0</v>
      </c>
      <c r="AA214" s="351">
        <f t="shared" si="21"/>
        <v>0</v>
      </c>
    </row>
    <row r="215" spans="1:27">
      <c r="A215" s="165">
        <f>'Conveyor Downtime (new)'!A213</f>
        <v>46132</v>
      </c>
      <c r="B215" s="346"/>
      <c r="C215" s="346"/>
      <c r="D215" s="346"/>
      <c r="E215" s="346"/>
      <c r="F215" s="346"/>
      <c r="G215" s="346"/>
      <c r="H215" s="346"/>
      <c r="I215" s="346"/>
      <c r="J215" s="346"/>
      <c r="K215" s="346"/>
      <c r="L215" s="346"/>
      <c r="M215" s="346"/>
      <c r="N215" s="346"/>
      <c r="O215" s="346"/>
      <c r="P215" s="346"/>
      <c r="Q215" s="346"/>
      <c r="R215" s="346"/>
      <c r="S215" s="346"/>
      <c r="T215" s="346"/>
      <c r="U215" s="346"/>
      <c r="V215" s="346"/>
      <c r="W215" s="346"/>
      <c r="X215" s="346"/>
      <c r="Y215" s="346"/>
      <c r="Z215">
        <f t="shared" si="22"/>
        <v>0</v>
      </c>
      <c r="AA215" s="351">
        <f t="shared" si="21"/>
        <v>0</v>
      </c>
    </row>
    <row r="216" spans="1:27">
      <c r="A216" s="165">
        <f>'Conveyor Downtime (new)'!A214</f>
        <v>46133</v>
      </c>
      <c r="Z216">
        <f t="shared" si="22"/>
        <v>0</v>
      </c>
      <c r="AA216" s="351">
        <f t="shared" ref="AA216:AA221" si="23">Z216/$Z$304</f>
        <v>0</v>
      </c>
    </row>
    <row r="217" spans="1:27">
      <c r="A217" s="165">
        <f>'Conveyor Downtime (new)'!A215</f>
        <v>46133</v>
      </c>
      <c r="B217" s="346">
        <f>4+7</f>
        <v>11</v>
      </c>
      <c r="C217" s="346"/>
      <c r="D217" s="346"/>
      <c r="E217" s="346"/>
      <c r="F217" s="346"/>
      <c r="G217" s="346"/>
      <c r="H217" s="346"/>
      <c r="I217" s="346"/>
      <c r="J217" s="346"/>
      <c r="K217" s="346"/>
      <c r="L217" s="346"/>
      <c r="M217" s="346"/>
      <c r="N217" s="346"/>
      <c r="O217" s="346"/>
      <c r="P217" s="346"/>
      <c r="Q217" s="346"/>
      <c r="R217" s="346"/>
      <c r="S217" s="346"/>
      <c r="T217" s="346"/>
      <c r="U217" s="346"/>
      <c r="V217" s="346"/>
      <c r="W217" s="346"/>
      <c r="X217" s="346"/>
      <c r="Y217" s="346"/>
      <c r="Z217">
        <f t="shared" si="22"/>
        <v>11</v>
      </c>
      <c r="AA217" s="351">
        <f t="shared" si="23"/>
        <v>0.11578947368421053</v>
      </c>
    </row>
    <row r="218" spans="1:27">
      <c r="A218" s="165">
        <f>'Conveyor Downtime (new)'!A216</f>
        <v>46134</v>
      </c>
      <c r="Z218">
        <f t="shared" si="22"/>
        <v>0</v>
      </c>
      <c r="AA218" s="351">
        <f t="shared" si="23"/>
        <v>0</v>
      </c>
    </row>
    <row r="219" spans="1:27">
      <c r="A219" s="165">
        <f>'Conveyor Downtime (new)'!A217</f>
        <v>46134</v>
      </c>
      <c r="B219" s="346"/>
      <c r="C219" s="346"/>
      <c r="D219" s="346"/>
      <c r="E219" s="346"/>
      <c r="F219" s="346"/>
      <c r="G219" s="346"/>
      <c r="H219" s="346"/>
      <c r="I219" s="346"/>
      <c r="J219" s="346"/>
      <c r="K219" s="346"/>
      <c r="L219" s="346"/>
      <c r="M219" s="346"/>
      <c r="N219" s="346"/>
      <c r="O219" s="346"/>
      <c r="P219" s="346"/>
      <c r="Q219" s="346"/>
      <c r="R219" s="346"/>
      <c r="S219" s="346"/>
      <c r="T219" s="346"/>
      <c r="U219" s="346"/>
      <c r="V219" s="346"/>
      <c r="W219" s="346"/>
      <c r="X219" s="346"/>
      <c r="Y219" s="346"/>
      <c r="Z219">
        <f t="shared" si="22"/>
        <v>0</v>
      </c>
      <c r="AA219" s="351">
        <f t="shared" si="23"/>
        <v>0</v>
      </c>
    </row>
    <row r="220" spans="1:27">
      <c r="A220" s="165">
        <f>'Conveyor Downtime (new)'!A218</f>
        <v>46135</v>
      </c>
      <c r="Z220">
        <f t="shared" si="22"/>
        <v>0</v>
      </c>
      <c r="AA220" s="351">
        <f t="shared" si="23"/>
        <v>0</v>
      </c>
    </row>
    <row r="221" spans="1:27">
      <c r="A221" s="165">
        <f>'Conveyor Downtime (new)'!A219</f>
        <v>46135</v>
      </c>
      <c r="B221" s="346"/>
      <c r="C221" s="346"/>
      <c r="D221" s="346"/>
      <c r="E221" s="346"/>
      <c r="F221" s="346"/>
      <c r="G221" s="346"/>
      <c r="H221" s="346"/>
      <c r="I221" s="346"/>
      <c r="J221" s="346"/>
      <c r="K221" s="346"/>
      <c r="L221" s="346"/>
      <c r="M221" s="346"/>
      <c r="N221" s="346"/>
      <c r="O221" s="346"/>
      <c r="P221" s="346"/>
      <c r="Q221" s="346"/>
      <c r="R221" s="346"/>
      <c r="S221" s="346"/>
      <c r="T221" s="346"/>
      <c r="U221" s="346"/>
      <c r="V221" s="346"/>
      <c r="W221" s="346"/>
      <c r="X221" s="346"/>
      <c r="Y221" s="346"/>
      <c r="Z221">
        <f t="shared" si="22"/>
        <v>0</v>
      </c>
      <c r="AA221" s="351">
        <f t="shared" si="23"/>
        <v>0</v>
      </c>
    </row>
    <row r="222" spans="1:27">
      <c r="A222" s="165">
        <f>'Conveyor Downtime (new)'!A220</f>
        <v>46136</v>
      </c>
      <c r="Z222">
        <f t="shared" si="22"/>
        <v>0</v>
      </c>
      <c r="AA222" s="351">
        <f t="shared" ref="AA222:AA257" si="24">Z222/$Z$304</f>
        <v>0</v>
      </c>
    </row>
    <row r="223" spans="1:27">
      <c r="A223" s="165">
        <f>'Conveyor Downtime (new)'!A221</f>
        <v>46136</v>
      </c>
      <c r="B223" s="346"/>
      <c r="C223" s="346"/>
      <c r="D223" s="346"/>
      <c r="E223" s="346"/>
      <c r="F223" s="346"/>
      <c r="G223" s="346"/>
      <c r="H223" s="346"/>
      <c r="I223" s="346"/>
      <c r="J223" s="346"/>
      <c r="K223" s="346"/>
      <c r="L223" s="346"/>
      <c r="M223" s="346"/>
      <c r="N223" s="346"/>
      <c r="O223" s="346"/>
      <c r="P223" s="346"/>
      <c r="Q223" s="346"/>
      <c r="R223" s="346"/>
      <c r="S223" s="346"/>
      <c r="T223" s="346"/>
      <c r="U223" s="346"/>
      <c r="V223" s="346"/>
      <c r="W223" s="346"/>
      <c r="X223" s="346"/>
      <c r="Y223" s="346"/>
      <c r="Z223">
        <f t="shared" si="22"/>
        <v>0</v>
      </c>
      <c r="AA223" s="351">
        <f t="shared" si="24"/>
        <v>0</v>
      </c>
    </row>
    <row r="224" spans="1:27">
      <c r="A224" s="165">
        <f>'Conveyor Downtime (new)'!A222</f>
        <v>46139</v>
      </c>
      <c r="Z224">
        <f t="shared" si="22"/>
        <v>0</v>
      </c>
      <c r="AA224" s="351">
        <f t="shared" si="24"/>
        <v>0</v>
      </c>
    </row>
    <row r="225" spans="1:27">
      <c r="A225" s="165">
        <f>'Conveyor Downtime (new)'!A223</f>
        <v>46140</v>
      </c>
      <c r="B225" s="346"/>
      <c r="C225" s="346"/>
      <c r="D225" s="346"/>
      <c r="E225" s="346"/>
      <c r="F225" s="346"/>
      <c r="G225" s="346"/>
      <c r="H225" s="346"/>
      <c r="I225" s="346"/>
      <c r="J225" s="346"/>
      <c r="K225" s="346"/>
      <c r="L225" s="346"/>
      <c r="M225" s="346"/>
      <c r="N225" s="346"/>
      <c r="O225" s="346"/>
      <c r="P225" s="346"/>
      <c r="Q225" s="346"/>
      <c r="R225" s="346"/>
      <c r="S225" s="346"/>
      <c r="T225" s="346"/>
      <c r="U225" s="346"/>
      <c r="V225" s="346"/>
      <c r="W225" s="346"/>
      <c r="X225" s="346"/>
      <c r="Y225" s="346"/>
      <c r="Z225">
        <f t="shared" si="22"/>
        <v>0</v>
      </c>
      <c r="AA225" s="351">
        <f t="shared" si="24"/>
        <v>0</v>
      </c>
    </row>
    <row r="226" spans="1:27">
      <c r="A226" s="165">
        <f>'Conveyor Downtime (new)'!A224</f>
        <v>46141</v>
      </c>
      <c r="Z226">
        <f t="shared" si="22"/>
        <v>0</v>
      </c>
      <c r="AA226" s="351">
        <f t="shared" si="24"/>
        <v>0</v>
      </c>
    </row>
    <row r="227" spans="1:27">
      <c r="A227" s="165">
        <f>'Conveyor Downtime (new)'!A225</f>
        <v>46141</v>
      </c>
      <c r="B227" s="346"/>
      <c r="C227" s="346"/>
      <c r="D227" s="346"/>
      <c r="E227" s="346"/>
      <c r="F227" s="346"/>
      <c r="G227" s="346"/>
      <c r="H227" s="346"/>
      <c r="I227" s="346"/>
      <c r="J227" s="346"/>
      <c r="K227" s="346"/>
      <c r="L227" s="346"/>
      <c r="M227" s="346"/>
      <c r="N227" s="346"/>
      <c r="O227" s="346"/>
      <c r="P227" s="346"/>
      <c r="Q227" s="346"/>
      <c r="R227" s="346"/>
      <c r="S227" s="346"/>
      <c r="T227" s="346"/>
      <c r="U227" s="346"/>
      <c r="V227" s="346"/>
      <c r="W227" s="346"/>
      <c r="X227" s="346"/>
      <c r="Y227" s="346"/>
      <c r="Z227">
        <f t="shared" si="22"/>
        <v>0</v>
      </c>
      <c r="AA227" s="351">
        <f t="shared" si="24"/>
        <v>0</v>
      </c>
    </row>
    <row r="228" spans="1:27">
      <c r="A228" s="165">
        <f>'Conveyor Downtime (new)'!A226</f>
        <v>46142</v>
      </c>
      <c r="Z228">
        <f t="shared" si="22"/>
        <v>0</v>
      </c>
      <c r="AA228" s="351">
        <f t="shared" si="24"/>
        <v>0</v>
      </c>
    </row>
    <row r="229" spans="1:27">
      <c r="A229" s="165">
        <f>'Conveyor Downtime (new)'!A227</f>
        <v>46142</v>
      </c>
      <c r="B229" s="346"/>
      <c r="C229" s="346"/>
      <c r="D229" s="346"/>
      <c r="E229" s="346"/>
      <c r="F229" s="346"/>
      <c r="G229" s="346"/>
      <c r="H229" s="346"/>
      <c r="I229" s="346">
        <f>9+20</f>
        <v>29</v>
      </c>
      <c r="J229" s="346"/>
      <c r="K229" s="346"/>
      <c r="L229" s="346"/>
      <c r="M229" s="346"/>
      <c r="N229" s="346"/>
      <c r="O229" s="346"/>
      <c r="P229" s="346"/>
      <c r="Q229" s="346"/>
      <c r="R229" s="346"/>
      <c r="S229" s="346"/>
      <c r="T229" s="346"/>
      <c r="U229" s="346"/>
      <c r="V229" s="346"/>
      <c r="W229" s="346"/>
      <c r="X229" s="346"/>
      <c r="Y229" s="346"/>
      <c r="Z229">
        <f t="shared" si="22"/>
        <v>29</v>
      </c>
      <c r="AA229" s="351">
        <f t="shared" si="24"/>
        <v>0.30526315789473685</v>
      </c>
    </row>
    <row r="230" spans="1:27">
      <c r="A230" s="165">
        <f>'Conveyor Downtime (new)'!A228</f>
        <v>0</v>
      </c>
      <c r="Z230">
        <f t="shared" si="22"/>
        <v>0</v>
      </c>
      <c r="AA230" s="351">
        <f t="shared" si="24"/>
        <v>0</v>
      </c>
    </row>
    <row r="231" spans="1:27">
      <c r="A231" s="165">
        <f>'Conveyor Downtime (new)'!A229</f>
        <v>0</v>
      </c>
      <c r="B231" s="346"/>
      <c r="C231" s="346"/>
      <c r="D231" s="346"/>
      <c r="E231" s="346"/>
      <c r="F231" s="346"/>
      <c r="G231" s="346"/>
      <c r="H231" s="346"/>
      <c r="I231" s="346"/>
      <c r="J231" s="346"/>
      <c r="K231" s="346"/>
      <c r="L231" s="346"/>
      <c r="M231" s="346"/>
      <c r="N231" s="346"/>
      <c r="O231" s="346"/>
      <c r="P231" s="346"/>
      <c r="Q231" s="346"/>
      <c r="R231" s="346"/>
      <c r="S231" s="346"/>
      <c r="T231" s="346"/>
      <c r="U231" s="346"/>
      <c r="V231" s="346"/>
      <c r="W231" s="346"/>
      <c r="X231" s="346"/>
      <c r="Y231" s="346"/>
      <c r="Z231">
        <f t="shared" si="22"/>
        <v>0</v>
      </c>
      <c r="AA231" s="351">
        <f t="shared" si="24"/>
        <v>0</v>
      </c>
    </row>
    <row r="232" spans="1:27">
      <c r="A232" s="165">
        <f>'Conveyor Downtime (new)'!A230</f>
        <v>0</v>
      </c>
      <c r="Z232">
        <f t="shared" si="22"/>
        <v>0</v>
      </c>
      <c r="AA232" s="351">
        <f t="shared" si="24"/>
        <v>0</v>
      </c>
    </row>
    <row r="233" spans="1:27">
      <c r="A233" s="165">
        <f>'Conveyor Downtime (new)'!A231</f>
        <v>0</v>
      </c>
      <c r="B233" s="346"/>
      <c r="C233" s="346"/>
      <c r="D233" s="346"/>
      <c r="E233" s="346"/>
      <c r="F233" s="346"/>
      <c r="G233" s="346"/>
      <c r="H233" s="346"/>
      <c r="I233" s="346"/>
      <c r="J233" s="346"/>
      <c r="K233" s="346"/>
      <c r="L233" s="346"/>
      <c r="M233" s="346"/>
      <c r="N233" s="346"/>
      <c r="O233" s="346"/>
      <c r="P233" s="346"/>
      <c r="Q233" s="346"/>
      <c r="R233" s="346"/>
      <c r="S233" s="346"/>
      <c r="T233" s="346"/>
      <c r="U233" s="346"/>
      <c r="V233" s="346"/>
      <c r="W233" s="346"/>
      <c r="X233" s="346"/>
      <c r="Y233" s="346"/>
      <c r="Z233">
        <f t="shared" si="22"/>
        <v>0</v>
      </c>
      <c r="AA233" s="351">
        <f t="shared" si="24"/>
        <v>0</v>
      </c>
    </row>
    <row r="234" spans="1:27">
      <c r="A234" s="165">
        <f>'Conveyor Downtime (new)'!A232</f>
        <v>0</v>
      </c>
      <c r="Z234">
        <f t="shared" si="22"/>
        <v>0</v>
      </c>
      <c r="AA234" s="351">
        <f t="shared" si="24"/>
        <v>0</v>
      </c>
    </row>
    <row r="235" spans="1:27">
      <c r="A235" s="165">
        <f>'Conveyor Downtime (new)'!A233</f>
        <v>0</v>
      </c>
      <c r="B235" s="346"/>
      <c r="C235" s="346"/>
      <c r="D235" s="346"/>
      <c r="E235" s="346"/>
      <c r="F235" s="346"/>
      <c r="G235" s="346"/>
      <c r="H235" s="346"/>
      <c r="I235" s="346"/>
      <c r="J235" s="346"/>
      <c r="K235" s="346"/>
      <c r="L235" s="346"/>
      <c r="M235" s="346"/>
      <c r="N235" s="346"/>
      <c r="O235" s="346"/>
      <c r="P235" s="346"/>
      <c r="Q235" s="346"/>
      <c r="R235" s="346"/>
      <c r="S235" s="346"/>
      <c r="T235" s="346"/>
      <c r="U235" s="346"/>
      <c r="V235" s="346"/>
      <c r="W235" s="346"/>
      <c r="X235" s="346"/>
      <c r="Y235" s="346"/>
      <c r="Z235">
        <f t="shared" si="22"/>
        <v>0</v>
      </c>
      <c r="AA235" s="351">
        <f t="shared" si="24"/>
        <v>0</v>
      </c>
    </row>
    <row r="236" spans="1:27">
      <c r="A236" s="165">
        <f>'Conveyor Downtime (new)'!A234</f>
        <v>0</v>
      </c>
      <c r="Z236">
        <f t="shared" si="22"/>
        <v>0</v>
      </c>
      <c r="AA236" s="351">
        <f t="shared" si="24"/>
        <v>0</v>
      </c>
    </row>
    <row r="237" spans="1:27">
      <c r="A237" s="165"/>
      <c r="B237" s="346"/>
      <c r="C237" s="346"/>
      <c r="D237" s="346"/>
      <c r="E237" s="346"/>
      <c r="F237" s="346"/>
      <c r="G237" s="346"/>
      <c r="H237" s="346"/>
      <c r="I237" s="346"/>
      <c r="J237" s="346"/>
      <c r="K237" s="346"/>
      <c r="L237" s="346"/>
      <c r="M237" s="346"/>
      <c r="N237" s="346"/>
      <c r="O237" s="346"/>
      <c r="P237" s="346"/>
      <c r="Q237" s="346"/>
      <c r="R237" s="346"/>
      <c r="S237" s="346"/>
      <c r="T237" s="346"/>
      <c r="U237" s="346"/>
      <c r="V237" s="346"/>
      <c r="W237" s="346"/>
      <c r="X237" s="346"/>
      <c r="Y237" s="346"/>
      <c r="Z237">
        <f t="shared" ref="Z237:Z243" si="25">SUM(B237:Y237)</f>
        <v>0</v>
      </c>
      <c r="AA237" s="351">
        <f t="shared" si="24"/>
        <v>0</v>
      </c>
    </row>
    <row r="238" spans="1:27">
      <c r="A238" s="165"/>
      <c r="Z238">
        <f t="shared" si="25"/>
        <v>0</v>
      </c>
      <c r="AA238" s="351">
        <f t="shared" si="24"/>
        <v>0</v>
      </c>
    </row>
    <row r="239" spans="1:27">
      <c r="A239" s="165"/>
      <c r="B239" s="346"/>
      <c r="C239" s="346"/>
      <c r="D239" s="346"/>
      <c r="E239" s="346"/>
      <c r="F239" s="346"/>
      <c r="G239" s="346"/>
      <c r="H239" s="346"/>
      <c r="I239" s="346"/>
      <c r="J239" s="346"/>
      <c r="K239" s="346"/>
      <c r="L239" s="346"/>
      <c r="M239" s="346"/>
      <c r="N239" s="346"/>
      <c r="O239" s="346"/>
      <c r="P239" s="346"/>
      <c r="Q239" s="346"/>
      <c r="R239" s="346"/>
      <c r="S239" s="346"/>
      <c r="T239" s="346"/>
      <c r="U239" s="346"/>
      <c r="V239" s="346"/>
      <c r="W239" s="346"/>
      <c r="X239" s="346"/>
      <c r="Y239" s="346"/>
      <c r="Z239">
        <f t="shared" si="25"/>
        <v>0</v>
      </c>
      <c r="AA239" s="351">
        <f t="shared" si="24"/>
        <v>0</v>
      </c>
    </row>
    <row r="240" spans="1:27">
      <c r="A240" s="165"/>
      <c r="Z240">
        <f t="shared" si="25"/>
        <v>0</v>
      </c>
      <c r="AA240" s="351">
        <f t="shared" si="24"/>
        <v>0</v>
      </c>
    </row>
    <row r="241" spans="1:27">
      <c r="A241" s="165"/>
      <c r="B241" s="346"/>
      <c r="C241" s="346"/>
      <c r="D241" s="346"/>
      <c r="E241" s="346"/>
      <c r="F241" s="346"/>
      <c r="G241" s="346"/>
      <c r="H241" s="346"/>
      <c r="I241" s="346"/>
      <c r="J241" s="346"/>
      <c r="K241" s="346"/>
      <c r="L241" s="346"/>
      <c r="M241" s="346"/>
      <c r="N241" s="346"/>
      <c r="O241" s="346"/>
      <c r="P241" s="346"/>
      <c r="Q241" s="346"/>
      <c r="R241" s="346"/>
      <c r="S241" s="346"/>
      <c r="T241" s="346"/>
      <c r="U241" s="346"/>
      <c r="V241" s="346"/>
      <c r="W241" s="346"/>
      <c r="X241" s="346"/>
      <c r="Y241" s="346"/>
      <c r="Z241">
        <f t="shared" si="25"/>
        <v>0</v>
      </c>
      <c r="AA241" s="351">
        <f t="shared" si="24"/>
        <v>0</v>
      </c>
    </row>
    <row r="242" spans="1:27">
      <c r="A242" s="165"/>
      <c r="Z242">
        <f t="shared" si="25"/>
        <v>0</v>
      </c>
      <c r="AA242" s="351">
        <f t="shared" si="24"/>
        <v>0</v>
      </c>
    </row>
    <row r="243" spans="1:27">
      <c r="A243" s="165"/>
      <c r="B243" s="346"/>
      <c r="C243" s="346"/>
      <c r="D243" s="346"/>
      <c r="E243" s="346"/>
      <c r="F243" s="346"/>
      <c r="G243" s="346"/>
      <c r="H243" s="346"/>
      <c r="I243" s="346"/>
      <c r="J243" s="346"/>
      <c r="K243" s="346"/>
      <c r="L243" s="346"/>
      <c r="M243" s="346"/>
      <c r="N243" s="346"/>
      <c r="O243" s="346"/>
      <c r="P243" s="346"/>
      <c r="Q243" s="346"/>
      <c r="R243" s="346"/>
      <c r="S243" s="346"/>
      <c r="T243" s="346"/>
      <c r="U243" s="346"/>
      <c r="V243" s="346"/>
      <c r="W243" s="346"/>
      <c r="X243" s="346"/>
      <c r="Y243" s="346"/>
      <c r="Z243">
        <f t="shared" si="25"/>
        <v>0</v>
      </c>
      <c r="AA243" s="351">
        <f t="shared" si="24"/>
        <v>0</v>
      </c>
    </row>
    <row r="244" spans="1:27" ht="15">
      <c r="A244" s="347" t="s">
        <v>173</v>
      </c>
      <c r="B244" s="347">
        <f t="shared" ref="B244:X244" si="26">SUM(B189:B243)</f>
        <v>64</v>
      </c>
      <c r="C244" s="347">
        <f t="shared" si="26"/>
        <v>0</v>
      </c>
      <c r="D244" s="347">
        <f t="shared" si="26"/>
        <v>0</v>
      </c>
      <c r="E244" s="347">
        <f t="shared" si="26"/>
        <v>0</v>
      </c>
      <c r="F244" s="347">
        <f t="shared" si="26"/>
        <v>0</v>
      </c>
      <c r="G244" s="347">
        <f t="shared" si="26"/>
        <v>0</v>
      </c>
      <c r="H244" s="347">
        <f t="shared" si="26"/>
        <v>11</v>
      </c>
      <c r="I244" s="347">
        <f t="shared" si="26"/>
        <v>59</v>
      </c>
      <c r="J244" s="347">
        <f t="shared" si="26"/>
        <v>0</v>
      </c>
      <c r="K244" s="347">
        <f t="shared" si="26"/>
        <v>0</v>
      </c>
      <c r="L244" s="347">
        <f t="shared" si="26"/>
        <v>0</v>
      </c>
      <c r="M244" s="347">
        <f t="shared" si="26"/>
        <v>0</v>
      </c>
      <c r="N244" s="347">
        <f t="shared" si="26"/>
        <v>0</v>
      </c>
      <c r="O244" s="347">
        <f t="shared" si="26"/>
        <v>0</v>
      </c>
      <c r="P244" s="347">
        <f t="shared" si="26"/>
        <v>0</v>
      </c>
      <c r="Q244" s="347">
        <f t="shared" si="26"/>
        <v>0</v>
      </c>
      <c r="R244" s="347">
        <f t="shared" si="26"/>
        <v>0</v>
      </c>
      <c r="S244" s="347">
        <f t="shared" si="26"/>
        <v>0</v>
      </c>
      <c r="T244" s="347">
        <f t="shared" si="26"/>
        <v>0</v>
      </c>
      <c r="U244" s="347">
        <f t="shared" si="26"/>
        <v>0</v>
      </c>
      <c r="V244" s="347"/>
      <c r="W244" s="347">
        <f t="shared" si="26"/>
        <v>0</v>
      </c>
      <c r="X244" s="347">
        <f t="shared" si="26"/>
        <v>0</v>
      </c>
      <c r="Y244" s="347">
        <f>SUM(Y189:Y243)</f>
        <v>0</v>
      </c>
      <c r="Z244" s="347">
        <f>SUM(Z189:Z243)</f>
        <v>134</v>
      </c>
      <c r="AA244" s="351">
        <f t="shared" si="24"/>
        <v>1.4105263157894736</v>
      </c>
    </row>
    <row r="245" spans="1:27" ht="15.75" thickBot="1">
      <c r="A245" s="348" t="s">
        <v>174</v>
      </c>
      <c r="B245" s="348">
        <f t="shared" ref="B245:U245" si="27">B244/$Z244</f>
        <v>0.47761194029850745</v>
      </c>
      <c r="C245" s="348">
        <f t="shared" si="27"/>
        <v>0</v>
      </c>
      <c r="D245" s="348">
        <f t="shared" si="27"/>
        <v>0</v>
      </c>
      <c r="E245" s="348">
        <f t="shared" si="27"/>
        <v>0</v>
      </c>
      <c r="F245" s="348">
        <f t="shared" si="27"/>
        <v>0</v>
      </c>
      <c r="G245" s="348">
        <f t="shared" si="27"/>
        <v>0</v>
      </c>
      <c r="H245" s="348">
        <f t="shared" si="27"/>
        <v>8.2089552238805971E-2</v>
      </c>
      <c r="I245" s="348">
        <f t="shared" si="27"/>
        <v>0.44029850746268656</v>
      </c>
      <c r="J245" s="348">
        <f t="shared" si="27"/>
        <v>0</v>
      </c>
      <c r="K245" s="348">
        <f t="shared" si="27"/>
        <v>0</v>
      </c>
      <c r="L245" s="348">
        <f t="shared" si="27"/>
        <v>0</v>
      </c>
      <c r="M245" s="348">
        <f t="shared" si="27"/>
        <v>0</v>
      </c>
      <c r="N245" s="348">
        <f t="shared" si="27"/>
        <v>0</v>
      </c>
      <c r="O245" s="348">
        <f t="shared" si="27"/>
        <v>0</v>
      </c>
      <c r="P245" s="348">
        <f t="shared" si="27"/>
        <v>0</v>
      </c>
      <c r="Q245" s="348">
        <f t="shared" si="27"/>
        <v>0</v>
      </c>
      <c r="R245" s="348">
        <f t="shared" si="27"/>
        <v>0</v>
      </c>
      <c r="S245" s="348">
        <f t="shared" si="27"/>
        <v>0</v>
      </c>
      <c r="T245" s="348">
        <f t="shared" si="27"/>
        <v>0</v>
      </c>
      <c r="U245" s="348">
        <f t="shared" si="27"/>
        <v>0</v>
      </c>
      <c r="V245" s="348"/>
      <c r="W245" s="348">
        <f>W244/$Z244</f>
        <v>0</v>
      </c>
      <c r="X245" s="348">
        <f>X244/$Z244</f>
        <v>0</v>
      </c>
      <c r="Y245" s="348">
        <f>Y244/$Z244</f>
        <v>0</v>
      </c>
      <c r="AA245" s="351">
        <f t="shared" si="24"/>
        <v>0</v>
      </c>
    </row>
    <row r="246" spans="1:27">
      <c r="AA246" s="351">
        <f t="shared" si="24"/>
        <v>0</v>
      </c>
    </row>
    <row r="247" spans="1:27">
      <c r="AA247" s="351">
        <f t="shared" si="24"/>
        <v>0</v>
      </c>
    </row>
    <row r="248" spans="1:27">
      <c r="AA248" s="351">
        <f t="shared" si="24"/>
        <v>0</v>
      </c>
    </row>
    <row r="249" spans="1:27">
      <c r="A249" s="165">
        <f>'Conveyor Downtime (new)'!A248</f>
        <v>46146</v>
      </c>
      <c r="Z249">
        <f t="shared" ref="Z249:Z303" si="28">SUM(B249:Y249)</f>
        <v>0</v>
      </c>
      <c r="AA249" s="351">
        <f t="shared" si="24"/>
        <v>0</v>
      </c>
    </row>
    <row r="250" spans="1:27">
      <c r="A250" s="165">
        <f>'Conveyor Downtime (new)'!A249</f>
        <v>46146</v>
      </c>
      <c r="B250" s="346"/>
      <c r="C250" s="346"/>
      <c r="D250" s="346"/>
      <c r="E250" s="346"/>
      <c r="F250" s="346"/>
      <c r="G250" s="346"/>
      <c r="H250" s="346"/>
      <c r="I250" s="346"/>
      <c r="J250" s="346"/>
      <c r="K250" s="346"/>
      <c r="L250" s="346"/>
      <c r="M250" s="346"/>
      <c r="N250" s="346"/>
      <c r="O250" s="346"/>
      <c r="P250" s="346"/>
      <c r="Q250" s="346"/>
      <c r="R250" s="346"/>
      <c r="S250" s="346"/>
      <c r="T250" s="346"/>
      <c r="U250" s="346"/>
      <c r="V250" s="346"/>
      <c r="W250" s="346"/>
      <c r="X250" s="346"/>
      <c r="Y250" s="346"/>
      <c r="Z250">
        <f t="shared" si="28"/>
        <v>0</v>
      </c>
      <c r="AA250" s="351">
        <f t="shared" si="24"/>
        <v>0</v>
      </c>
    </row>
    <row r="251" spans="1:27">
      <c r="A251" s="165">
        <f>'Conveyor Downtime (new)'!A250</f>
        <v>46147</v>
      </c>
      <c r="Z251">
        <f t="shared" si="28"/>
        <v>0</v>
      </c>
      <c r="AA251" s="351">
        <f t="shared" si="24"/>
        <v>0</v>
      </c>
    </row>
    <row r="252" spans="1:27">
      <c r="A252" s="165">
        <f>'Conveyor Downtime (new)'!A251</f>
        <v>46147</v>
      </c>
      <c r="B252" s="346"/>
      <c r="C252" s="346"/>
      <c r="D252" s="346"/>
      <c r="E252" s="346"/>
      <c r="F252" s="346"/>
      <c r="G252" s="346"/>
      <c r="H252" s="346"/>
      <c r="I252" s="346"/>
      <c r="J252" s="346"/>
      <c r="K252" s="346"/>
      <c r="L252" s="346"/>
      <c r="M252" s="346"/>
      <c r="N252" s="346"/>
      <c r="O252" s="346"/>
      <c r="P252" s="346"/>
      <c r="Q252" s="346"/>
      <c r="R252" s="346"/>
      <c r="S252" s="346"/>
      <c r="T252" s="346"/>
      <c r="U252" s="346"/>
      <c r="V252" s="346"/>
      <c r="W252" s="346"/>
      <c r="X252" s="346"/>
      <c r="Y252" s="346"/>
      <c r="Z252">
        <f t="shared" si="28"/>
        <v>0</v>
      </c>
      <c r="AA252" s="351">
        <f t="shared" si="24"/>
        <v>0</v>
      </c>
    </row>
    <row r="253" spans="1:27">
      <c r="A253" s="165">
        <f>'Conveyor Downtime (new)'!A252</f>
        <v>46148</v>
      </c>
      <c r="Z253">
        <f t="shared" si="28"/>
        <v>0</v>
      </c>
      <c r="AA253" s="351">
        <f t="shared" si="24"/>
        <v>0</v>
      </c>
    </row>
    <row r="254" spans="1:27">
      <c r="A254" s="165">
        <f>'Conveyor Downtime (new)'!A253</f>
        <v>46149</v>
      </c>
      <c r="B254" s="346"/>
      <c r="C254" s="346"/>
      <c r="D254" s="346"/>
      <c r="E254" s="346"/>
      <c r="F254" s="346"/>
      <c r="G254" s="346"/>
      <c r="H254" s="346"/>
      <c r="I254" s="346"/>
      <c r="J254" s="346"/>
      <c r="K254" s="346"/>
      <c r="L254" s="346"/>
      <c r="M254" s="346"/>
      <c r="N254" s="346"/>
      <c r="O254" s="346"/>
      <c r="P254" s="346"/>
      <c r="Q254" s="346"/>
      <c r="R254" s="346"/>
      <c r="S254" s="346"/>
      <c r="T254" s="346"/>
      <c r="U254" s="346"/>
      <c r="V254" s="346"/>
      <c r="W254" s="346"/>
      <c r="X254" s="346"/>
      <c r="Y254" s="346"/>
      <c r="Z254">
        <f t="shared" si="28"/>
        <v>0</v>
      </c>
      <c r="AA254" s="351">
        <f t="shared" si="24"/>
        <v>0</v>
      </c>
    </row>
    <row r="255" spans="1:27">
      <c r="A255" s="165">
        <f>'Conveyor Downtime (new)'!A254</f>
        <v>46149</v>
      </c>
      <c r="Z255">
        <f t="shared" si="28"/>
        <v>0</v>
      </c>
      <c r="AA255" s="351">
        <f t="shared" si="24"/>
        <v>0</v>
      </c>
    </row>
    <row r="256" spans="1:27">
      <c r="A256" s="165">
        <f>'Conveyor Downtime (new)'!A255</f>
        <v>46149</v>
      </c>
      <c r="B256" s="346"/>
      <c r="C256" s="346"/>
      <c r="D256" s="346"/>
      <c r="E256" s="346"/>
      <c r="F256" s="346"/>
      <c r="G256" s="346"/>
      <c r="H256" s="346"/>
      <c r="I256" s="346"/>
      <c r="J256" s="346"/>
      <c r="K256" s="346"/>
      <c r="L256" s="346"/>
      <c r="M256" s="346"/>
      <c r="N256" s="346"/>
      <c r="O256" s="346"/>
      <c r="P256" s="346"/>
      <c r="Q256" s="346"/>
      <c r="R256" s="346"/>
      <c r="S256" s="346"/>
      <c r="T256" s="346"/>
      <c r="U256" s="346"/>
      <c r="V256" s="346"/>
      <c r="W256" s="346"/>
      <c r="X256" s="346"/>
      <c r="Y256" s="346"/>
      <c r="Z256">
        <f t="shared" si="28"/>
        <v>0</v>
      </c>
      <c r="AA256" s="351">
        <f t="shared" si="24"/>
        <v>0</v>
      </c>
    </row>
    <row r="257" spans="1:27">
      <c r="A257" s="165">
        <f>'Conveyor Downtime (new)'!A256</f>
        <v>46150</v>
      </c>
      <c r="Z257">
        <f t="shared" si="28"/>
        <v>0</v>
      </c>
      <c r="AA257" s="351">
        <f t="shared" si="24"/>
        <v>0</v>
      </c>
    </row>
    <row r="258" spans="1:27">
      <c r="A258" s="165">
        <f>'Conveyor Downtime (new)'!A257</f>
        <v>46150</v>
      </c>
      <c r="B258" s="346"/>
      <c r="C258" s="346"/>
      <c r="D258" s="346"/>
      <c r="E258" s="346"/>
      <c r="F258" s="346"/>
      <c r="G258" s="346"/>
      <c r="H258" s="346"/>
      <c r="I258" s="346"/>
      <c r="J258" s="346"/>
      <c r="K258" s="346"/>
      <c r="L258" s="346"/>
      <c r="M258" s="346"/>
      <c r="N258" s="346"/>
      <c r="O258" s="346"/>
      <c r="P258" s="346"/>
      <c r="Q258" s="346"/>
      <c r="R258" s="346"/>
      <c r="S258" s="346"/>
      <c r="T258" s="346"/>
      <c r="U258" s="346"/>
      <c r="V258" s="346"/>
      <c r="W258" s="346"/>
      <c r="X258" s="346"/>
      <c r="Y258" s="346"/>
      <c r="Z258">
        <f t="shared" si="28"/>
        <v>0</v>
      </c>
      <c r="AA258" s="351">
        <f t="shared" ref="AA258:AA285" si="29">Z258/$Z$304</f>
        <v>0</v>
      </c>
    </row>
    <row r="259" spans="1:27">
      <c r="A259" s="165">
        <f>'Conveyor Downtime (new)'!A258</f>
        <v>46151</v>
      </c>
      <c r="Z259">
        <f t="shared" si="28"/>
        <v>0</v>
      </c>
      <c r="AA259" s="351">
        <f t="shared" si="29"/>
        <v>0</v>
      </c>
    </row>
    <row r="260" spans="1:27">
      <c r="A260" s="165">
        <f>'Conveyor Downtime (new)'!A259</f>
        <v>46153</v>
      </c>
      <c r="B260" s="346"/>
      <c r="C260" s="346"/>
      <c r="D260" s="346"/>
      <c r="E260" s="346"/>
      <c r="F260" s="346"/>
      <c r="G260" s="346"/>
      <c r="H260" s="346"/>
      <c r="I260" s="346"/>
      <c r="J260" s="346"/>
      <c r="K260" s="346"/>
      <c r="L260" s="346"/>
      <c r="M260" s="346"/>
      <c r="N260" s="346"/>
      <c r="O260" s="346"/>
      <c r="P260" s="346"/>
      <c r="Q260" s="346"/>
      <c r="R260" s="346"/>
      <c r="S260" s="346"/>
      <c r="T260" s="346"/>
      <c r="U260" s="346"/>
      <c r="V260" s="346"/>
      <c r="W260" s="346"/>
      <c r="X260" s="346"/>
      <c r="Y260" s="346"/>
      <c r="Z260">
        <f t="shared" si="28"/>
        <v>0</v>
      </c>
      <c r="AA260" s="351">
        <f t="shared" si="29"/>
        <v>0</v>
      </c>
    </row>
    <row r="261" spans="1:27">
      <c r="A261" s="165">
        <f>'Conveyor Downtime (new)'!A260</f>
        <v>46154</v>
      </c>
      <c r="Z261">
        <f t="shared" si="28"/>
        <v>0</v>
      </c>
      <c r="AA261" s="351">
        <f t="shared" si="29"/>
        <v>0</v>
      </c>
    </row>
    <row r="262" spans="1:27">
      <c r="A262" s="165">
        <f>'Conveyor Downtime (new)'!A261</f>
        <v>46154</v>
      </c>
      <c r="B262" s="346"/>
      <c r="C262" s="346"/>
      <c r="D262" s="346"/>
      <c r="E262" s="346"/>
      <c r="F262" s="346"/>
      <c r="G262" s="346"/>
      <c r="H262" s="346"/>
      <c r="I262" s="346"/>
      <c r="J262" s="346"/>
      <c r="K262" s="346"/>
      <c r="L262" s="346"/>
      <c r="M262" s="346"/>
      <c r="N262" s="346"/>
      <c r="O262" s="346"/>
      <c r="P262" s="346"/>
      <c r="Q262" s="346"/>
      <c r="R262" s="346"/>
      <c r="S262" s="346"/>
      <c r="T262" s="346"/>
      <c r="U262" s="346"/>
      <c r="V262" s="346"/>
      <c r="W262" s="346"/>
      <c r="X262" s="346"/>
      <c r="Y262" s="346"/>
      <c r="Z262">
        <f t="shared" si="28"/>
        <v>0</v>
      </c>
      <c r="AA262" s="351">
        <f t="shared" si="29"/>
        <v>0</v>
      </c>
    </row>
    <row r="263" spans="1:27">
      <c r="A263" s="165">
        <f>'Conveyor Downtime (new)'!A262</f>
        <v>46155</v>
      </c>
      <c r="Z263">
        <f t="shared" si="28"/>
        <v>0</v>
      </c>
      <c r="AA263" s="351">
        <f t="shared" si="29"/>
        <v>0</v>
      </c>
    </row>
    <row r="264" spans="1:27">
      <c r="A264" s="165">
        <f>'Conveyor Downtime (new)'!A263</f>
        <v>46155</v>
      </c>
      <c r="B264" s="346"/>
      <c r="C264" s="346"/>
      <c r="D264" s="346"/>
      <c r="E264" s="346"/>
      <c r="F264" s="346"/>
      <c r="G264" s="346"/>
      <c r="H264" s="346"/>
      <c r="I264" s="346"/>
      <c r="J264" s="346"/>
      <c r="K264" s="346"/>
      <c r="L264" s="346"/>
      <c r="M264" s="346"/>
      <c r="N264" s="346"/>
      <c r="O264" s="346"/>
      <c r="P264" s="346"/>
      <c r="Q264" s="346"/>
      <c r="R264" s="346"/>
      <c r="S264" s="346"/>
      <c r="T264" s="346"/>
      <c r="U264" s="346"/>
      <c r="V264" s="346"/>
      <c r="W264" s="346"/>
      <c r="X264" s="346"/>
      <c r="Y264" s="346"/>
      <c r="Z264">
        <f t="shared" si="28"/>
        <v>0</v>
      </c>
      <c r="AA264" s="351">
        <f t="shared" si="29"/>
        <v>0</v>
      </c>
    </row>
    <row r="265" spans="1:27">
      <c r="A265" s="165">
        <f>'Conveyor Downtime (new)'!A264</f>
        <v>46156</v>
      </c>
      <c r="Z265">
        <f t="shared" si="28"/>
        <v>0</v>
      </c>
      <c r="AA265" s="351">
        <f t="shared" si="29"/>
        <v>0</v>
      </c>
    </row>
    <row r="266" spans="1:27">
      <c r="A266" s="165">
        <f>'Conveyor Downtime (new)'!A265</f>
        <v>46156</v>
      </c>
      <c r="B266" s="346"/>
      <c r="C266" s="346"/>
      <c r="D266" s="346"/>
      <c r="E266" s="346"/>
      <c r="F266" s="346"/>
      <c r="G266" s="346"/>
      <c r="H266" s="346"/>
      <c r="I266" s="346"/>
      <c r="J266" s="346"/>
      <c r="K266" s="346"/>
      <c r="L266" s="346"/>
      <c r="M266" s="346"/>
      <c r="N266" s="346"/>
      <c r="O266" s="346"/>
      <c r="P266" s="346"/>
      <c r="Q266" s="346"/>
      <c r="R266" s="346"/>
      <c r="S266" s="346"/>
      <c r="T266" s="346"/>
      <c r="U266" s="346"/>
      <c r="V266" s="346"/>
      <c r="W266" s="346"/>
      <c r="X266" s="346"/>
      <c r="Y266" s="346"/>
      <c r="Z266">
        <f t="shared" si="28"/>
        <v>0</v>
      </c>
      <c r="AA266" s="351">
        <f t="shared" si="29"/>
        <v>0</v>
      </c>
    </row>
    <row r="267" spans="1:27">
      <c r="A267" s="165">
        <f>'Conveyor Downtime (new)'!A266</f>
        <v>46156</v>
      </c>
      <c r="Z267">
        <f t="shared" si="28"/>
        <v>0</v>
      </c>
      <c r="AA267" s="351">
        <f t="shared" si="29"/>
        <v>0</v>
      </c>
    </row>
    <row r="268" spans="1:27">
      <c r="A268" s="165">
        <f>'Conveyor Downtime (new)'!A267</f>
        <v>46156</v>
      </c>
      <c r="B268" s="346"/>
      <c r="C268" s="346"/>
      <c r="D268" s="346"/>
      <c r="E268" s="346"/>
      <c r="F268" s="346"/>
      <c r="G268" s="346"/>
      <c r="H268" s="346"/>
      <c r="I268" s="346">
        <f>31</f>
        <v>31</v>
      </c>
      <c r="J268" s="346"/>
      <c r="K268" s="346"/>
      <c r="L268" s="346"/>
      <c r="M268" s="346"/>
      <c r="N268" s="346"/>
      <c r="O268" s="346"/>
      <c r="P268" s="346"/>
      <c r="Q268" s="346"/>
      <c r="R268" s="346"/>
      <c r="S268" s="346"/>
      <c r="T268" s="346"/>
      <c r="U268" s="346"/>
      <c r="V268" s="346"/>
      <c r="W268" s="346"/>
      <c r="X268" s="346"/>
      <c r="Y268" s="346"/>
      <c r="Z268">
        <f t="shared" si="28"/>
        <v>31</v>
      </c>
      <c r="AA268" s="351">
        <f t="shared" si="29"/>
        <v>0.32631578947368423</v>
      </c>
    </row>
    <row r="269" spans="1:27">
      <c r="A269" s="165">
        <f>'Conveyor Downtime (new)'!A268</f>
        <v>46157</v>
      </c>
      <c r="Z269">
        <f t="shared" si="28"/>
        <v>0</v>
      </c>
      <c r="AA269" s="351">
        <f t="shared" si="29"/>
        <v>0</v>
      </c>
    </row>
    <row r="270" spans="1:27">
      <c r="A270" s="165">
        <f>'Conveyor Downtime (new)'!A269</f>
        <v>46157</v>
      </c>
      <c r="B270" s="346"/>
      <c r="C270" s="346"/>
      <c r="D270" s="346"/>
      <c r="E270" s="346"/>
      <c r="F270" s="346"/>
      <c r="G270" s="346"/>
      <c r="H270" s="346"/>
      <c r="I270" s="346"/>
      <c r="J270" s="346"/>
      <c r="K270" s="346"/>
      <c r="L270" s="346"/>
      <c r="M270" s="346"/>
      <c r="N270" s="346"/>
      <c r="O270" s="346"/>
      <c r="P270" s="346"/>
      <c r="Q270" s="346"/>
      <c r="R270" s="346"/>
      <c r="S270" s="346"/>
      <c r="T270" s="346"/>
      <c r="U270" s="346"/>
      <c r="V270" s="346"/>
      <c r="W270" s="346"/>
      <c r="X270" s="346"/>
      <c r="Y270" s="346"/>
      <c r="Z270">
        <f t="shared" si="28"/>
        <v>0</v>
      </c>
      <c r="AA270" s="351">
        <f t="shared" si="29"/>
        <v>0</v>
      </c>
    </row>
    <row r="271" spans="1:27">
      <c r="A271" s="165">
        <f>'Conveyor Downtime (new)'!A270</f>
        <v>46158</v>
      </c>
      <c r="Z271">
        <f t="shared" si="28"/>
        <v>0</v>
      </c>
      <c r="AA271" s="351">
        <f t="shared" si="29"/>
        <v>0</v>
      </c>
    </row>
    <row r="272" spans="1:27">
      <c r="A272" s="165">
        <f>'Conveyor Downtime (new)'!A271</f>
        <v>46160</v>
      </c>
      <c r="B272" s="346">
        <f>2</f>
        <v>2</v>
      </c>
      <c r="C272" s="346"/>
      <c r="D272" s="346">
        <v>4</v>
      </c>
      <c r="E272" s="346"/>
      <c r="F272" s="346"/>
      <c r="G272" s="346"/>
      <c r="H272" s="346"/>
      <c r="I272" s="346"/>
      <c r="J272" s="346"/>
      <c r="K272" s="346"/>
      <c r="L272" s="346"/>
      <c r="M272" s="346"/>
      <c r="N272" s="346"/>
      <c r="O272" s="346"/>
      <c r="P272" s="346"/>
      <c r="Q272" s="346"/>
      <c r="R272" s="346"/>
      <c r="S272" s="346"/>
      <c r="T272" s="346"/>
      <c r="U272" s="346"/>
      <c r="V272" s="346"/>
      <c r="W272" s="346"/>
      <c r="X272" s="346"/>
      <c r="Y272" s="346"/>
      <c r="Z272">
        <f t="shared" si="28"/>
        <v>6</v>
      </c>
      <c r="AA272" s="351">
        <f t="shared" si="29"/>
        <v>6.3157894736842107E-2</v>
      </c>
    </row>
    <row r="273" spans="1:27">
      <c r="A273" s="165">
        <f>'Conveyor Downtime (new)'!A272</f>
        <v>46160</v>
      </c>
      <c r="Z273">
        <f t="shared" si="28"/>
        <v>0</v>
      </c>
      <c r="AA273" s="351">
        <f t="shared" si="29"/>
        <v>0</v>
      </c>
    </row>
    <row r="274" spans="1:27">
      <c r="A274" s="165">
        <f>'Conveyor Downtime (new)'!A273</f>
        <v>46161</v>
      </c>
      <c r="B274" s="346"/>
      <c r="C274" s="346"/>
      <c r="D274" s="346"/>
      <c r="E274" s="346"/>
      <c r="F274" s="346"/>
      <c r="G274" s="346"/>
      <c r="H274" s="346"/>
      <c r="I274" s="346"/>
      <c r="J274" s="346"/>
      <c r="K274" s="346"/>
      <c r="L274" s="346"/>
      <c r="M274" s="346"/>
      <c r="N274" s="346"/>
      <c r="O274" s="346"/>
      <c r="P274" s="346"/>
      <c r="Q274" s="346"/>
      <c r="R274" s="346"/>
      <c r="S274" s="346"/>
      <c r="T274" s="346"/>
      <c r="U274" s="346"/>
      <c r="V274" s="346"/>
      <c r="W274" s="346"/>
      <c r="X274" s="346"/>
      <c r="Y274" s="346"/>
      <c r="Z274">
        <f t="shared" si="28"/>
        <v>0</v>
      </c>
      <c r="AA274" s="351">
        <f t="shared" si="29"/>
        <v>0</v>
      </c>
    </row>
    <row r="275" spans="1:27">
      <c r="A275" s="165">
        <f>'Conveyor Downtime (new)'!A274</f>
        <v>46161</v>
      </c>
      <c r="Z275">
        <f t="shared" si="28"/>
        <v>0</v>
      </c>
      <c r="AA275" s="351">
        <f t="shared" si="29"/>
        <v>0</v>
      </c>
    </row>
    <row r="276" spans="1:27">
      <c r="A276" s="165">
        <f>'Conveyor Downtime (new)'!A275</f>
        <v>46161</v>
      </c>
      <c r="B276" s="346"/>
      <c r="C276" s="346"/>
      <c r="D276" s="346"/>
      <c r="E276" s="346"/>
      <c r="F276" s="346"/>
      <c r="G276" s="346"/>
      <c r="H276" s="346"/>
      <c r="I276" s="346"/>
      <c r="J276" s="346"/>
      <c r="K276" s="346"/>
      <c r="L276" s="346"/>
      <c r="M276" s="346"/>
      <c r="N276" s="346"/>
      <c r="O276" s="346"/>
      <c r="P276" s="346"/>
      <c r="Q276" s="346"/>
      <c r="R276" s="346"/>
      <c r="S276" s="346"/>
      <c r="T276" s="346"/>
      <c r="U276" s="346"/>
      <c r="V276" s="346"/>
      <c r="W276" s="346"/>
      <c r="X276" s="346"/>
      <c r="Y276" s="346"/>
      <c r="Z276">
        <f t="shared" si="28"/>
        <v>0</v>
      </c>
      <c r="AA276" s="351">
        <f t="shared" si="29"/>
        <v>0</v>
      </c>
    </row>
    <row r="277" spans="1:27">
      <c r="A277" s="165">
        <f>'Conveyor Downtime (new)'!A276</f>
        <v>46162</v>
      </c>
      <c r="Z277">
        <f t="shared" si="28"/>
        <v>0</v>
      </c>
      <c r="AA277" s="351">
        <f t="shared" si="29"/>
        <v>0</v>
      </c>
    </row>
    <row r="278" spans="1:27">
      <c r="A278" s="165">
        <f>'Conveyor Downtime (new)'!A277</f>
        <v>46162</v>
      </c>
      <c r="B278" s="346"/>
      <c r="C278" s="346"/>
      <c r="D278" s="346"/>
      <c r="E278" s="346"/>
      <c r="F278" s="346"/>
      <c r="G278" s="346"/>
      <c r="H278" s="346"/>
      <c r="I278" s="346"/>
      <c r="J278" s="346"/>
      <c r="K278" s="346"/>
      <c r="L278" s="346"/>
      <c r="M278" s="346"/>
      <c r="N278" s="346"/>
      <c r="O278" s="346"/>
      <c r="P278" s="346"/>
      <c r="Q278" s="346"/>
      <c r="R278" s="346"/>
      <c r="S278" s="346"/>
      <c r="T278" s="346"/>
      <c r="U278" s="346"/>
      <c r="V278" s="346"/>
      <c r="W278" s="346"/>
      <c r="X278" s="346"/>
      <c r="Y278" s="346"/>
      <c r="Z278">
        <f t="shared" si="28"/>
        <v>0</v>
      </c>
      <c r="AA278" s="351">
        <f t="shared" si="29"/>
        <v>0</v>
      </c>
    </row>
    <row r="279" spans="1:27">
      <c r="A279" s="165">
        <f>'Conveyor Downtime (new)'!A278</f>
        <v>46163</v>
      </c>
      <c r="Z279">
        <f t="shared" si="28"/>
        <v>0</v>
      </c>
      <c r="AA279" s="351">
        <f t="shared" si="29"/>
        <v>0</v>
      </c>
    </row>
    <row r="280" spans="1:27">
      <c r="A280" s="165">
        <f>'Conveyor Downtime (new)'!A279</f>
        <v>46163</v>
      </c>
      <c r="B280" s="346"/>
      <c r="C280" s="346"/>
      <c r="D280" s="346"/>
      <c r="E280" s="346"/>
      <c r="F280" s="346"/>
      <c r="G280" s="346"/>
      <c r="H280" s="346"/>
      <c r="I280" s="346"/>
      <c r="J280" s="346"/>
      <c r="K280" s="346"/>
      <c r="L280" s="346"/>
      <c r="M280" s="346"/>
      <c r="N280" s="346"/>
      <c r="O280" s="346"/>
      <c r="P280" s="346"/>
      <c r="Q280" s="346"/>
      <c r="R280" s="346"/>
      <c r="S280" s="346"/>
      <c r="T280" s="346"/>
      <c r="U280" s="346"/>
      <c r="V280" s="346"/>
      <c r="W280" s="346"/>
      <c r="X280" s="346"/>
      <c r="Y280" s="346"/>
      <c r="Z280">
        <f t="shared" si="28"/>
        <v>0</v>
      </c>
      <c r="AA280" s="351">
        <f t="shared" si="29"/>
        <v>0</v>
      </c>
    </row>
    <row r="281" spans="1:27">
      <c r="A281" s="165">
        <f>'Conveyor Downtime (new)'!A280</f>
        <v>46163</v>
      </c>
      <c r="Z281">
        <f t="shared" si="28"/>
        <v>0</v>
      </c>
      <c r="AA281" s="351">
        <f t="shared" si="29"/>
        <v>0</v>
      </c>
    </row>
    <row r="282" spans="1:27">
      <c r="A282" s="165">
        <f>'Conveyor Downtime (new)'!A281</f>
        <v>46164</v>
      </c>
      <c r="B282" s="346"/>
      <c r="C282" s="346"/>
      <c r="D282" s="346"/>
      <c r="E282" s="346"/>
      <c r="F282" s="346"/>
      <c r="G282" s="346"/>
      <c r="H282" s="346"/>
      <c r="I282" s="346"/>
      <c r="J282" s="346"/>
      <c r="K282" s="346"/>
      <c r="L282" s="346"/>
      <c r="M282" s="346"/>
      <c r="N282" s="346"/>
      <c r="O282" s="346"/>
      <c r="P282" s="346"/>
      <c r="Q282" s="346"/>
      <c r="R282" s="346"/>
      <c r="S282" s="346"/>
      <c r="T282" s="346"/>
      <c r="U282" s="346"/>
      <c r="V282" s="346"/>
      <c r="W282" s="346"/>
      <c r="X282" s="346"/>
      <c r="Y282" s="346"/>
      <c r="Z282">
        <f t="shared" si="28"/>
        <v>0</v>
      </c>
      <c r="AA282" s="351">
        <f t="shared" si="29"/>
        <v>0</v>
      </c>
    </row>
    <row r="283" spans="1:27">
      <c r="A283" s="165">
        <f>'Conveyor Downtime (new)'!A282</f>
        <v>46164</v>
      </c>
      <c r="Z283">
        <f t="shared" si="28"/>
        <v>0</v>
      </c>
      <c r="AA283" s="351">
        <f t="shared" si="29"/>
        <v>0</v>
      </c>
    </row>
    <row r="284" spans="1:27">
      <c r="A284" s="165">
        <f>'Conveyor Downtime (new)'!A283</f>
        <v>46164</v>
      </c>
      <c r="B284" s="346"/>
      <c r="C284" s="346"/>
      <c r="D284" s="346"/>
      <c r="E284" s="346"/>
      <c r="F284" s="346"/>
      <c r="G284" s="346"/>
      <c r="H284" s="346"/>
      <c r="I284" s="346"/>
      <c r="J284" s="346"/>
      <c r="K284" s="346"/>
      <c r="L284" s="346"/>
      <c r="M284" s="346"/>
      <c r="N284" s="346"/>
      <c r="O284" s="346"/>
      <c r="P284" s="346"/>
      <c r="Q284" s="346"/>
      <c r="R284" s="346"/>
      <c r="S284" s="346"/>
      <c r="T284" s="346"/>
      <c r="U284" s="346"/>
      <c r="V284" s="346"/>
      <c r="W284" s="346"/>
      <c r="X284" s="346"/>
      <c r="Y284" s="346"/>
      <c r="Z284">
        <f t="shared" si="28"/>
        <v>0</v>
      </c>
      <c r="AA284" s="351">
        <f t="shared" si="29"/>
        <v>0</v>
      </c>
    </row>
    <row r="285" spans="1:27">
      <c r="A285" s="165">
        <f>'Conveyor Downtime (new)'!A284</f>
        <v>46168</v>
      </c>
      <c r="Z285">
        <f t="shared" si="28"/>
        <v>0</v>
      </c>
      <c r="AA285" s="351">
        <f t="shared" si="29"/>
        <v>0</v>
      </c>
    </row>
    <row r="286" spans="1:27">
      <c r="A286" s="165">
        <f>'Conveyor Downtime (new)'!A285</f>
        <v>46169</v>
      </c>
      <c r="B286" s="346"/>
      <c r="C286" s="346"/>
      <c r="D286" s="346"/>
      <c r="E286" s="346"/>
      <c r="F286" s="346"/>
      <c r="G286" s="346"/>
      <c r="H286" s="346"/>
      <c r="I286" s="346"/>
      <c r="J286" s="346"/>
      <c r="K286" s="346">
        <v>15</v>
      </c>
      <c r="L286" s="346"/>
      <c r="M286" s="346"/>
      <c r="N286" s="346"/>
      <c r="O286" s="346"/>
      <c r="P286" s="346"/>
      <c r="Q286" s="346"/>
      <c r="R286" s="346"/>
      <c r="S286" s="346"/>
      <c r="T286" s="346"/>
      <c r="U286" s="346"/>
      <c r="V286" s="346"/>
      <c r="W286" s="346"/>
      <c r="X286" s="346"/>
      <c r="Y286" s="346"/>
      <c r="Z286">
        <f t="shared" si="28"/>
        <v>15</v>
      </c>
      <c r="AA286" s="351">
        <f t="shared" ref="AA286:AA303" si="30">Z286/$Z$304</f>
        <v>0.15789473684210525</v>
      </c>
    </row>
    <row r="287" spans="1:27">
      <c r="A287" s="165">
        <f>'Conveyor Downtime (new)'!A286</f>
        <v>46169</v>
      </c>
      <c r="I287">
        <f>8+23</f>
        <v>31</v>
      </c>
      <c r="K287">
        <v>12</v>
      </c>
      <c r="Z287">
        <f t="shared" si="28"/>
        <v>43</v>
      </c>
      <c r="AA287" s="351">
        <f t="shared" si="30"/>
        <v>0.45263157894736844</v>
      </c>
    </row>
    <row r="288" spans="1:27">
      <c r="A288" s="165">
        <f>'Conveyor Downtime (new)'!A287</f>
        <v>46170</v>
      </c>
      <c r="B288" s="346"/>
      <c r="C288" s="346"/>
      <c r="D288" s="346"/>
      <c r="E288" s="346"/>
      <c r="F288" s="346"/>
      <c r="G288" s="346"/>
      <c r="H288" s="346"/>
      <c r="I288" s="346"/>
      <c r="J288" s="346"/>
      <c r="K288" s="346"/>
      <c r="L288" s="346"/>
      <c r="M288" s="346"/>
      <c r="N288" s="346"/>
      <c r="O288" s="346"/>
      <c r="P288" s="346"/>
      <c r="Q288" s="346"/>
      <c r="R288" s="346"/>
      <c r="S288" s="346"/>
      <c r="T288" s="346"/>
      <c r="U288" s="346"/>
      <c r="V288" s="346"/>
      <c r="W288" s="346"/>
      <c r="X288" s="346"/>
      <c r="Y288" s="346"/>
      <c r="Z288">
        <f t="shared" si="28"/>
        <v>0</v>
      </c>
      <c r="AA288" s="351">
        <f t="shared" si="30"/>
        <v>0</v>
      </c>
    </row>
    <row r="289" spans="1:27">
      <c r="A289" s="165">
        <f>'Conveyor Downtime (new)'!A288</f>
        <v>0</v>
      </c>
      <c r="Z289">
        <f t="shared" si="28"/>
        <v>0</v>
      </c>
      <c r="AA289" s="351">
        <f t="shared" si="30"/>
        <v>0</v>
      </c>
    </row>
    <row r="290" spans="1:27">
      <c r="A290" s="165">
        <f>'Conveyor Downtime (new)'!A289</f>
        <v>0</v>
      </c>
      <c r="B290" s="346"/>
      <c r="C290" s="346"/>
      <c r="D290" s="346"/>
      <c r="E290" s="346"/>
      <c r="F290" s="346"/>
      <c r="G290" s="346"/>
      <c r="H290" s="346"/>
      <c r="I290" s="346"/>
      <c r="J290" s="346"/>
      <c r="K290" s="346"/>
      <c r="L290" s="346"/>
      <c r="M290" s="346"/>
      <c r="N290" s="346"/>
      <c r="O290" s="346"/>
      <c r="P290" s="346"/>
      <c r="Q290" s="346"/>
      <c r="R290" s="346"/>
      <c r="S290" s="346"/>
      <c r="T290" s="346"/>
      <c r="U290" s="346"/>
      <c r="V290" s="346"/>
      <c r="W290" s="346"/>
      <c r="X290" s="346"/>
      <c r="Y290" s="346"/>
      <c r="Z290">
        <f t="shared" si="28"/>
        <v>0</v>
      </c>
      <c r="AA290" s="351">
        <f t="shared" si="30"/>
        <v>0</v>
      </c>
    </row>
    <row r="291" spans="1:27">
      <c r="A291" s="165">
        <f>'Conveyor Downtime (new)'!A290</f>
        <v>0</v>
      </c>
      <c r="Z291">
        <f t="shared" si="28"/>
        <v>0</v>
      </c>
      <c r="AA291" s="351">
        <f t="shared" si="30"/>
        <v>0</v>
      </c>
    </row>
    <row r="292" spans="1:27">
      <c r="A292" s="165">
        <f>'Conveyor Downtime (new)'!A291</f>
        <v>0</v>
      </c>
      <c r="B292" s="346"/>
      <c r="C292" s="346"/>
      <c r="D292" s="346"/>
      <c r="E292" s="346"/>
      <c r="F292" s="346"/>
      <c r="G292" s="346"/>
      <c r="H292" s="346"/>
      <c r="I292" s="346"/>
      <c r="J292" s="346"/>
      <c r="K292" s="346"/>
      <c r="L292" s="346"/>
      <c r="M292" s="346"/>
      <c r="N292" s="346"/>
      <c r="O292" s="346"/>
      <c r="P292" s="346"/>
      <c r="Q292" s="346"/>
      <c r="R292" s="346"/>
      <c r="S292" s="346"/>
      <c r="T292" s="346"/>
      <c r="U292" s="346"/>
      <c r="V292" s="346"/>
      <c r="W292" s="346"/>
      <c r="X292" s="346"/>
      <c r="Y292" s="346"/>
      <c r="Z292">
        <f t="shared" si="28"/>
        <v>0</v>
      </c>
      <c r="AA292" s="351">
        <f t="shared" si="30"/>
        <v>0</v>
      </c>
    </row>
    <row r="293" spans="1:27">
      <c r="A293" s="165">
        <f>'Conveyor Downtime (new)'!A292</f>
        <v>0</v>
      </c>
      <c r="Z293">
        <f t="shared" si="28"/>
        <v>0</v>
      </c>
      <c r="AA293" s="351">
        <f t="shared" si="30"/>
        <v>0</v>
      </c>
    </row>
    <row r="294" spans="1:27">
      <c r="A294" s="165">
        <f>'Conveyor Downtime (new)'!A293</f>
        <v>0</v>
      </c>
      <c r="B294" s="346"/>
      <c r="C294" s="346"/>
      <c r="D294" s="346"/>
      <c r="E294" s="346"/>
      <c r="F294" s="346"/>
      <c r="G294" s="346"/>
      <c r="H294" s="346"/>
      <c r="I294" s="346"/>
      <c r="J294" s="346"/>
      <c r="K294" s="346"/>
      <c r="L294" s="346"/>
      <c r="M294" s="346"/>
      <c r="N294" s="346"/>
      <c r="O294" s="346"/>
      <c r="P294" s="346"/>
      <c r="Q294" s="346"/>
      <c r="R294" s="346"/>
      <c r="S294" s="346"/>
      <c r="T294" s="346"/>
      <c r="U294" s="346"/>
      <c r="V294" s="346"/>
      <c r="W294" s="346"/>
      <c r="X294" s="346"/>
      <c r="Y294" s="346"/>
      <c r="Z294">
        <f t="shared" si="28"/>
        <v>0</v>
      </c>
      <c r="AA294" s="351">
        <f t="shared" si="30"/>
        <v>0</v>
      </c>
    </row>
    <row r="295" spans="1:27">
      <c r="A295" s="165">
        <f>'Conveyor Downtime (new)'!A294</f>
        <v>0</v>
      </c>
      <c r="Z295">
        <f t="shared" si="28"/>
        <v>0</v>
      </c>
      <c r="AA295" s="351">
        <f t="shared" si="30"/>
        <v>0</v>
      </c>
    </row>
    <row r="296" spans="1:27">
      <c r="A296" s="165">
        <f>'Conveyor Downtime (new)'!A295</f>
        <v>0</v>
      </c>
      <c r="B296" s="346"/>
      <c r="C296" s="346"/>
      <c r="D296" s="346"/>
      <c r="E296" s="346"/>
      <c r="F296" s="346"/>
      <c r="G296" s="346"/>
      <c r="H296" s="346"/>
      <c r="I296" s="346"/>
      <c r="J296" s="346"/>
      <c r="K296" s="346"/>
      <c r="L296" s="346"/>
      <c r="M296" s="346"/>
      <c r="N296" s="346"/>
      <c r="O296" s="346"/>
      <c r="P296" s="346"/>
      <c r="Q296" s="346"/>
      <c r="R296" s="346"/>
      <c r="S296" s="346"/>
      <c r="T296" s="346"/>
      <c r="U296" s="346"/>
      <c r="V296" s="346"/>
      <c r="W296" s="346"/>
      <c r="X296" s="346"/>
      <c r="Y296" s="346"/>
      <c r="Z296">
        <f t="shared" si="28"/>
        <v>0</v>
      </c>
      <c r="AA296" s="351">
        <f t="shared" si="30"/>
        <v>0</v>
      </c>
    </row>
    <row r="297" spans="1:27">
      <c r="A297" s="165">
        <f>'Conveyor Downtime (new)'!A296</f>
        <v>0</v>
      </c>
      <c r="Z297">
        <f t="shared" si="28"/>
        <v>0</v>
      </c>
      <c r="AA297" s="351">
        <f t="shared" si="30"/>
        <v>0</v>
      </c>
    </row>
    <row r="298" spans="1:27">
      <c r="A298" s="165">
        <f>'Conveyor Downtime (new)'!A297</f>
        <v>0</v>
      </c>
      <c r="B298" s="346"/>
      <c r="C298" s="346"/>
      <c r="D298" s="346"/>
      <c r="E298" s="346"/>
      <c r="F298" s="346"/>
      <c r="G298" s="346"/>
      <c r="H298" s="346"/>
      <c r="I298" s="346"/>
      <c r="J298" s="346"/>
      <c r="K298" s="346"/>
      <c r="L298" s="346"/>
      <c r="M298" s="346"/>
      <c r="N298" s="346"/>
      <c r="O298" s="346"/>
      <c r="P298" s="346"/>
      <c r="Q298" s="346"/>
      <c r="R298" s="346"/>
      <c r="S298" s="346"/>
      <c r="T298" s="346"/>
      <c r="U298" s="346"/>
      <c r="V298" s="346"/>
      <c r="W298" s="346"/>
      <c r="X298" s="346"/>
      <c r="Y298" s="346"/>
      <c r="Z298">
        <f t="shared" si="28"/>
        <v>0</v>
      </c>
      <c r="AA298" s="351">
        <f t="shared" si="30"/>
        <v>0</v>
      </c>
    </row>
    <row r="299" spans="1:27">
      <c r="A299" s="165">
        <f>'Conveyor Downtime (new)'!A298</f>
        <v>0</v>
      </c>
      <c r="Z299">
        <f t="shared" si="28"/>
        <v>0</v>
      </c>
      <c r="AA299" s="351">
        <f t="shared" si="30"/>
        <v>0</v>
      </c>
    </row>
    <row r="300" spans="1:27">
      <c r="A300" s="165">
        <f>'Conveyor Downtime (new)'!A299</f>
        <v>0</v>
      </c>
      <c r="Z300">
        <f t="shared" si="28"/>
        <v>0</v>
      </c>
      <c r="AA300" s="351">
        <f t="shared" si="30"/>
        <v>0</v>
      </c>
    </row>
    <row r="301" spans="1:27">
      <c r="A301" s="165">
        <f>'Conveyor Downtime (new)'!A300</f>
        <v>0</v>
      </c>
      <c r="Z301">
        <f t="shared" si="28"/>
        <v>0</v>
      </c>
      <c r="AA301" s="351">
        <f t="shared" si="30"/>
        <v>0</v>
      </c>
    </row>
    <row r="302" spans="1:27">
      <c r="A302" s="165">
        <f>'Conveyor Downtime (new)'!A301</f>
        <v>0</v>
      </c>
      <c r="Z302">
        <f t="shared" si="28"/>
        <v>0</v>
      </c>
      <c r="AA302" s="351">
        <f t="shared" si="30"/>
        <v>0</v>
      </c>
    </row>
    <row r="303" spans="1:27">
      <c r="A303" s="165">
        <f>'Conveyor Downtime (new)'!A302</f>
        <v>0</v>
      </c>
      <c r="Z303">
        <f t="shared" si="28"/>
        <v>0</v>
      </c>
      <c r="AA303" s="351">
        <f t="shared" si="30"/>
        <v>0</v>
      </c>
    </row>
    <row r="304" spans="1:27" ht="15">
      <c r="A304" s="347" t="s">
        <v>173</v>
      </c>
      <c r="B304" s="347">
        <f>SUM(B249:B303)</f>
        <v>2</v>
      </c>
      <c r="C304" s="347">
        <f t="shared" ref="C304:Y304" si="31">SUM(C249:C303)</f>
        <v>0</v>
      </c>
      <c r="D304" s="347">
        <f t="shared" si="31"/>
        <v>4</v>
      </c>
      <c r="E304" s="347">
        <f t="shared" si="31"/>
        <v>0</v>
      </c>
      <c r="F304" s="347">
        <f t="shared" si="31"/>
        <v>0</v>
      </c>
      <c r="G304" s="347">
        <f t="shared" si="31"/>
        <v>0</v>
      </c>
      <c r="H304" s="347">
        <f t="shared" si="31"/>
        <v>0</v>
      </c>
      <c r="I304" s="347">
        <f t="shared" si="31"/>
        <v>62</v>
      </c>
      <c r="J304" s="347">
        <f t="shared" si="31"/>
        <v>0</v>
      </c>
      <c r="K304" s="347">
        <f t="shared" si="31"/>
        <v>27</v>
      </c>
      <c r="L304" s="347">
        <f t="shared" si="31"/>
        <v>0</v>
      </c>
      <c r="M304" s="347">
        <f t="shared" si="31"/>
        <v>0</v>
      </c>
      <c r="N304" s="347">
        <f t="shared" si="31"/>
        <v>0</v>
      </c>
      <c r="O304" s="347">
        <f t="shared" si="31"/>
        <v>0</v>
      </c>
      <c r="P304" s="347">
        <f t="shared" si="31"/>
        <v>0</v>
      </c>
      <c r="Q304" s="347">
        <f t="shared" si="31"/>
        <v>0</v>
      </c>
      <c r="R304" s="347">
        <f t="shared" si="31"/>
        <v>0</v>
      </c>
      <c r="S304" s="347">
        <f t="shared" si="31"/>
        <v>0</v>
      </c>
      <c r="T304" s="347">
        <f t="shared" si="31"/>
        <v>0</v>
      </c>
      <c r="U304" s="347">
        <f t="shared" si="31"/>
        <v>0</v>
      </c>
      <c r="V304" s="347"/>
      <c r="W304" s="347">
        <f t="shared" ref="W304" si="32">SUM(W249:W303)</f>
        <v>0</v>
      </c>
      <c r="X304" s="347">
        <f t="shared" ref="X304" si="33">SUM(X249:X303)</f>
        <v>0</v>
      </c>
      <c r="Y304" s="347">
        <f t="shared" si="31"/>
        <v>0</v>
      </c>
      <c r="Z304" s="347">
        <f>SUM(Z249:Z303)</f>
        <v>95</v>
      </c>
      <c r="AA304" s="351"/>
    </row>
    <row r="305" spans="1:27" ht="15.75" thickBot="1">
      <c r="A305" s="348" t="s">
        <v>174</v>
      </c>
      <c r="B305" s="348">
        <f t="shared" ref="B305:U305" si="34">B304/$Z304</f>
        <v>2.1052631578947368E-2</v>
      </c>
      <c r="C305" s="348">
        <f t="shared" si="34"/>
        <v>0</v>
      </c>
      <c r="D305" s="348">
        <f t="shared" si="34"/>
        <v>4.2105263157894736E-2</v>
      </c>
      <c r="E305" s="348">
        <f t="shared" si="34"/>
        <v>0</v>
      </c>
      <c r="F305" s="348">
        <f t="shared" si="34"/>
        <v>0</v>
      </c>
      <c r="G305" s="348">
        <f t="shared" si="34"/>
        <v>0</v>
      </c>
      <c r="H305" s="348">
        <f t="shared" si="34"/>
        <v>0</v>
      </c>
      <c r="I305" s="348">
        <f t="shared" si="34"/>
        <v>0.65263157894736845</v>
      </c>
      <c r="J305" s="348">
        <f t="shared" si="34"/>
        <v>0</v>
      </c>
      <c r="K305" s="348">
        <f t="shared" si="34"/>
        <v>0.28421052631578947</v>
      </c>
      <c r="L305" s="348">
        <f t="shared" si="34"/>
        <v>0</v>
      </c>
      <c r="M305" s="348">
        <f t="shared" si="34"/>
        <v>0</v>
      </c>
      <c r="N305" s="348">
        <f t="shared" si="34"/>
        <v>0</v>
      </c>
      <c r="O305" s="348">
        <f t="shared" si="34"/>
        <v>0</v>
      </c>
      <c r="P305" s="348">
        <f t="shared" si="34"/>
        <v>0</v>
      </c>
      <c r="Q305" s="348">
        <f t="shared" si="34"/>
        <v>0</v>
      </c>
      <c r="R305" s="348">
        <f t="shared" si="34"/>
        <v>0</v>
      </c>
      <c r="S305" s="348">
        <f t="shared" si="34"/>
        <v>0</v>
      </c>
      <c r="T305" s="348">
        <f t="shared" si="34"/>
        <v>0</v>
      </c>
      <c r="U305" s="348">
        <f t="shared" si="34"/>
        <v>0</v>
      </c>
      <c r="V305" s="348"/>
      <c r="W305" s="348">
        <f t="shared" ref="W305:X305" si="35">W304/$Z304</f>
        <v>0</v>
      </c>
      <c r="X305" s="348">
        <f t="shared" si="35"/>
        <v>0</v>
      </c>
      <c r="Y305" s="348">
        <f>Y304/$Z304</f>
        <v>0</v>
      </c>
      <c r="AA305" s="351"/>
    </row>
    <row r="306" spans="1:27" ht="14.25" customHeight="1">
      <c r="A306" s="376"/>
      <c r="B306" s="376"/>
      <c r="C306" s="376"/>
      <c r="D306" s="376"/>
      <c r="E306" s="376"/>
      <c r="F306" s="376"/>
      <c r="G306" s="376"/>
      <c r="H306" s="376"/>
      <c r="I306" s="376"/>
      <c r="J306" s="376"/>
      <c r="K306" s="376"/>
      <c r="L306" s="376"/>
      <c r="M306" s="376"/>
      <c r="N306" s="376"/>
      <c r="O306" s="376"/>
      <c r="P306" s="376"/>
      <c r="Q306" s="376"/>
      <c r="R306" s="376"/>
      <c r="S306" s="376"/>
      <c r="T306" s="376"/>
      <c r="U306" s="376"/>
      <c r="V306" s="376"/>
      <c r="W306" s="376"/>
      <c r="X306" s="376"/>
      <c r="Y306" s="376"/>
      <c r="Z306" s="376"/>
      <c r="AA306" s="360"/>
    </row>
    <row r="307" spans="1:27" ht="14.25" customHeight="1">
      <c r="A307" s="376"/>
      <c r="B307" s="376"/>
      <c r="C307" s="376"/>
      <c r="D307" s="376"/>
      <c r="E307" s="376"/>
      <c r="F307" s="376"/>
      <c r="G307" s="376"/>
      <c r="H307" s="376"/>
      <c r="I307" s="376"/>
      <c r="J307" s="376"/>
      <c r="K307" s="376"/>
      <c r="L307" s="376"/>
      <c r="M307" s="376"/>
      <c r="N307" s="376"/>
      <c r="O307" s="376"/>
      <c r="P307" s="376"/>
      <c r="Q307" s="376"/>
      <c r="R307" s="376"/>
      <c r="S307" s="376"/>
      <c r="T307" s="376"/>
      <c r="U307" s="376"/>
      <c r="V307" s="376"/>
      <c r="W307" s="376"/>
      <c r="X307" s="376"/>
      <c r="Y307" s="376"/>
      <c r="Z307" s="376"/>
      <c r="AA307" s="360"/>
    </row>
    <row r="308" spans="1:27">
      <c r="A308" s="165">
        <f>'Conveyor Downtime (new)'!A308</f>
        <v>46192</v>
      </c>
      <c r="D308">
        <v>24</v>
      </c>
      <c r="Z308">
        <f t="shared" ref="Z308:Z360" si="36">SUM(B308:Y308)</f>
        <v>24</v>
      </c>
      <c r="AA308" s="351">
        <f t="shared" ref="AA308:AA361" si="37">Z308/$Z$304</f>
        <v>0.25263157894736843</v>
      </c>
    </row>
    <row r="309" spans="1:27">
      <c r="A309" s="165">
        <f>'Conveyor Downtime (new)'!A309</f>
        <v>46193</v>
      </c>
      <c r="B309" s="346"/>
      <c r="C309" s="346"/>
      <c r="D309" s="346"/>
      <c r="E309" s="346"/>
      <c r="F309" s="346"/>
      <c r="G309" s="346"/>
      <c r="H309" s="346"/>
      <c r="I309" s="346">
        <f>12+50</f>
        <v>62</v>
      </c>
      <c r="J309" s="346"/>
      <c r="K309" s="346">
        <f>21+48</f>
        <v>69</v>
      </c>
      <c r="L309" s="346"/>
      <c r="M309" s="346"/>
      <c r="N309" s="346"/>
      <c r="O309" s="346"/>
      <c r="P309" s="346"/>
      <c r="Q309" s="346"/>
      <c r="R309" s="346"/>
      <c r="S309" s="346"/>
      <c r="T309" s="346"/>
      <c r="U309" s="346"/>
      <c r="V309" s="346">
        <v>14</v>
      </c>
      <c r="W309" s="346"/>
      <c r="X309" s="377">
        <f>8+2+28</f>
        <v>38</v>
      </c>
      <c r="Y309" s="346"/>
      <c r="Z309">
        <f t="shared" si="36"/>
        <v>183</v>
      </c>
      <c r="AA309" s="351">
        <f t="shared" si="37"/>
        <v>1.9263157894736842</v>
      </c>
    </row>
    <row r="310" spans="1:27">
      <c r="A310" s="165">
        <f>'Conveyor Downtime (new)'!A310</f>
        <v>46194</v>
      </c>
      <c r="D310">
        <f>60+60+65</f>
        <v>185</v>
      </c>
      <c r="F310">
        <f>15+2</f>
        <v>17</v>
      </c>
      <c r="I310">
        <v>45</v>
      </c>
      <c r="Z310">
        <f t="shared" si="36"/>
        <v>247</v>
      </c>
      <c r="AA310" s="351">
        <f t="shared" si="37"/>
        <v>2.6</v>
      </c>
    </row>
    <row r="311" spans="1:27">
      <c r="A311" s="165">
        <f>'Conveyor Downtime (new)'!A311</f>
        <v>46195</v>
      </c>
      <c r="B311" s="346"/>
      <c r="C311" s="346"/>
      <c r="D311" s="346"/>
      <c r="E311" s="346"/>
      <c r="F311" s="346">
        <f>34+60+5+6+48+5+16+17</f>
        <v>191</v>
      </c>
      <c r="G311" s="346"/>
      <c r="H311" s="346">
        <f>13</f>
        <v>13</v>
      </c>
      <c r="I311" s="346">
        <f>60+25</f>
        <v>85</v>
      </c>
      <c r="J311" s="346"/>
      <c r="K311" s="346"/>
      <c r="L311" s="346"/>
      <c r="M311" s="346"/>
      <c r="N311" s="346"/>
      <c r="O311" s="346"/>
      <c r="P311" s="346"/>
      <c r="Q311" s="346"/>
      <c r="R311" s="346"/>
      <c r="S311" s="346"/>
      <c r="T311" s="346"/>
      <c r="U311" s="346"/>
      <c r="V311" s="346"/>
      <c r="W311" s="346"/>
      <c r="X311" s="346"/>
      <c r="Y311" s="346"/>
      <c r="Z311">
        <f t="shared" si="36"/>
        <v>289</v>
      </c>
      <c r="AA311" s="351">
        <f t="shared" si="37"/>
        <v>3.0421052631578949</v>
      </c>
    </row>
    <row r="312" spans="1:27">
      <c r="A312" s="165">
        <f>'Conveyor Downtime (new)'!A312</f>
        <v>46195</v>
      </c>
      <c r="D312">
        <f>17</f>
        <v>17</v>
      </c>
      <c r="Z312">
        <f t="shared" si="36"/>
        <v>17</v>
      </c>
      <c r="AA312" s="351">
        <f t="shared" si="37"/>
        <v>0.17894736842105263</v>
      </c>
    </row>
    <row r="313" spans="1:27">
      <c r="A313" s="165">
        <f>'Conveyor Downtime (new)'!A313</f>
        <v>46196</v>
      </c>
      <c r="B313" s="346"/>
      <c r="C313" s="346"/>
      <c r="D313" s="346">
        <f>35+19</f>
        <v>54</v>
      </c>
      <c r="E313" s="346"/>
      <c r="F313" s="346"/>
      <c r="G313" s="346"/>
      <c r="H313" s="346"/>
      <c r="I313" s="346"/>
      <c r="J313" s="346"/>
      <c r="K313" s="346"/>
      <c r="L313" s="346"/>
      <c r="M313" s="346"/>
      <c r="N313" s="346"/>
      <c r="O313" s="346"/>
      <c r="P313" s="346"/>
      <c r="Q313" s="346"/>
      <c r="R313" s="346"/>
      <c r="S313" s="346"/>
      <c r="T313" s="346"/>
      <c r="U313" s="346"/>
      <c r="V313" s="346"/>
      <c r="W313" s="346"/>
      <c r="X313" s="346"/>
      <c r="Y313" s="346"/>
      <c r="Z313">
        <f t="shared" si="36"/>
        <v>54</v>
      </c>
      <c r="AA313" s="351">
        <f t="shared" si="37"/>
        <v>0.56842105263157894</v>
      </c>
    </row>
    <row r="314" spans="1:27">
      <c r="A314" s="165">
        <f>'Conveyor Downtime (new)'!A314</f>
        <v>46196</v>
      </c>
      <c r="D314">
        <f>22</f>
        <v>22</v>
      </c>
      <c r="Z314">
        <f t="shared" si="36"/>
        <v>22</v>
      </c>
      <c r="AA314" s="351">
        <f t="shared" si="37"/>
        <v>0.23157894736842105</v>
      </c>
    </row>
    <row r="315" spans="1:27">
      <c r="A315" s="165">
        <f>'Conveyor Downtime (new)'!A315</f>
        <v>46196</v>
      </c>
      <c r="B315" s="346"/>
      <c r="C315" s="346"/>
      <c r="D315" s="346">
        <v>4</v>
      </c>
      <c r="E315" s="346"/>
      <c r="F315" s="346"/>
      <c r="G315" s="346">
        <f>60+60</f>
        <v>120</v>
      </c>
      <c r="H315" s="346"/>
      <c r="I315" s="346">
        <v>42</v>
      </c>
      <c r="J315" s="346"/>
      <c r="K315" s="346">
        <f>60+60</f>
        <v>120</v>
      </c>
      <c r="L315" s="346"/>
      <c r="M315" s="346"/>
      <c r="N315" s="346"/>
      <c r="O315" s="346"/>
      <c r="P315" s="346"/>
      <c r="Q315" s="346"/>
      <c r="R315" s="346"/>
      <c r="S315" s="346"/>
      <c r="T315" s="346">
        <v>45</v>
      </c>
      <c r="U315" s="346"/>
      <c r="V315" s="346"/>
      <c r="W315" s="346"/>
      <c r="X315" s="346"/>
      <c r="Y315" s="346"/>
      <c r="Z315">
        <f t="shared" si="36"/>
        <v>331</v>
      </c>
      <c r="AA315" s="351">
        <f t="shared" si="37"/>
        <v>3.4842105263157896</v>
      </c>
    </row>
    <row r="316" spans="1:27">
      <c r="A316" s="165">
        <f>'Conveyor Downtime (new)'!A316</f>
        <v>46197</v>
      </c>
      <c r="D316">
        <f>4+3+9</f>
        <v>16</v>
      </c>
      <c r="K316">
        <f>6+3+7+4</f>
        <v>20</v>
      </c>
      <c r="Z316">
        <f t="shared" si="36"/>
        <v>36</v>
      </c>
      <c r="AA316" s="351">
        <f t="shared" si="37"/>
        <v>0.37894736842105264</v>
      </c>
    </row>
    <row r="317" spans="1:27">
      <c r="A317" s="165">
        <f>'Conveyor Downtime (new)'!A317</f>
        <v>46197</v>
      </c>
      <c r="B317" s="346"/>
      <c r="C317" s="346"/>
      <c r="D317" s="346">
        <f>5+3+10+4</f>
        <v>22</v>
      </c>
      <c r="E317" s="346">
        <f>10+60+24</f>
        <v>94</v>
      </c>
      <c r="F317" s="346"/>
      <c r="G317" s="346">
        <f>15+5+3+5+4+4</f>
        <v>36</v>
      </c>
      <c r="H317" s="346"/>
      <c r="I317" s="346"/>
      <c r="J317" s="346"/>
      <c r="K317" s="346">
        <f>38</f>
        <v>38</v>
      </c>
      <c r="L317" s="346">
        <f>2+5</f>
        <v>7</v>
      </c>
      <c r="M317" s="346"/>
      <c r="N317" s="346"/>
      <c r="O317" s="346"/>
      <c r="P317" s="346"/>
      <c r="Q317" s="346"/>
      <c r="R317" s="346"/>
      <c r="S317" s="346"/>
      <c r="T317" s="346"/>
      <c r="U317" s="346"/>
      <c r="V317" s="346"/>
      <c r="W317" s="346"/>
      <c r="X317" s="346"/>
      <c r="Y317" s="346"/>
      <c r="Z317">
        <f t="shared" si="36"/>
        <v>197</v>
      </c>
      <c r="AA317" s="351">
        <f t="shared" si="37"/>
        <v>2.0736842105263156</v>
      </c>
    </row>
    <row r="318" spans="1:27">
      <c r="A318" s="165">
        <f>'Conveyor Downtime (new)'!A318</f>
        <v>46198</v>
      </c>
      <c r="Z318">
        <f t="shared" si="36"/>
        <v>0</v>
      </c>
      <c r="AA318" s="351">
        <f t="shared" si="37"/>
        <v>0</v>
      </c>
    </row>
    <row r="319" spans="1:27">
      <c r="A319" s="165">
        <f>'Conveyor Downtime (new)'!A319</f>
        <v>46198</v>
      </c>
      <c r="B319" s="346"/>
      <c r="C319" s="346"/>
      <c r="D319" s="346"/>
      <c r="E319" s="346"/>
      <c r="F319" s="346">
        <f>3</f>
        <v>3</v>
      </c>
      <c r="G319" s="346"/>
      <c r="H319" s="346">
        <f>4</f>
        <v>4</v>
      </c>
      <c r="I319" s="346"/>
      <c r="J319" s="346"/>
      <c r="K319" s="346">
        <f>4</f>
        <v>4</v>
      </c>
      <c r="L319" s="346"/>
      <c r="M319" s="346"/>
      <c r="N319" s="346"/>
      <c r="O319" s="346"/>
      <c r="P319" s="346"/>
      <c r="Q319" s="346"/>
      <c r="R319" s="346"/>
      <c r="S319" s="346"/>
      <c r="T319" s="346"/>
      <c r="U319" s="346"/>
      <c r="V319" s="346"/>
      <c r="W319" s="346"/>
      <c r="X319" s="346"/>
      <c r="Y319" s="346"/>
      <c r="Z319">
        <f t="shared" si="36"/>
        <v>11</v>
      </c>
      <c r="AA319" s="351">
        <f t="shared" si="37"/>
        <v>0.11578947368421053</v>
      </c>
    </row>
    <row r="320" spans="1:27">
      <c r="A320" s="165">
        <f>'Conveyor Downtime (new)'!A320</f>
        <v>46198</v>
      </c>
      <c r="F320">
        <f>14</f>
        <v>14</v>
      </c>
      <c r="L320">
        <f>2+4+4+3</f>
        <v>13</v>
      </c>
      <c r="Z320">
        <f t="shared" si="36"/>
        <v>27</v>
      </c>
      <c r="AA320" s="351">
        <f t="shared" si="37"/>
        <v>0.28421052631578947</v>
      </c>
    </row>
    <row r="321" spans="1:27">
      <c r="A321" s="165">
        <f>'Conveyor Downtime (new)'!A321</f>
        <v>46198</v>
      </c>
      <c r="B321" s="346"/>
      <c r="C321" s="346"/>
      <c r="D321" s="346"/>
      <c r="E321" s="346"/>
      <c r="F321" s="346"/>
      <c r="G321" s="346">
        <f>3+3+4</f>
        <v>10</v>
      </c>
      <c r="H321" s="346"/>
      <c r="I321" s="346"/>
      <c r="J321" s="346"/>
      <c r="K321" s="346"/>
      <c r="L321" s="346"/>
      <c r="M321" s="346"/>
      <c r="N321" s="346"/>
      <c r="O321" s="346"/>
      <c r="P321" s="346"/>
      <c r="Q321" s="346"/>
      <c r="R321" s="346"/>
      <c r="S321" s="346"/>
      <c r="T321" s="346"/>
      <c r="U321" s="346"/>
      <c r="V321" s="346"/>
      <c r="W321" s="346"/>
      <c r="X321" s="346"/>
      <c r="Y321" s="346"/>
      <c r="Z321">
        <f t="shared" si="36"/>
        <v>10</v>
      </c>
      <c r="AA321" s="351">
        <f t="shared" si="37"/>
        <v>0.10526315789473684</v>
      </c>
    </row>
    <row r="322" spans="1:27">
      <c r="A322" s="165">
        <f>'Conveyor Downtime (new)'!A322</f>
        <v>46199</v>
      </c>
      <c r="K322">
        <f>3+4</f>
        <v>7</v>
      </c>
      <c r="Z322">
        <f t="shared" si="36"/>
        <v>7</v>
      </c>
      <c r="AA322" s="351">
        <f t="shared" si="37"/>
        <v>7.3684210526315783E-2</v>
      </c>
    </row>
    <row r="323" spans="1:27">
      <c r="A323" s="165">
        <f>'Conveyor Downtime (new)'!A323</f>
        <v>46199</v>
      </c>
      <c r="F323">
        <f>60+60+60+60+60+360</f>
        <v>660</v>
      </c>
      <c r="Z323">
        <f t="shared" ref="Z323" si="38">SUM(B323:Y323)</f>
        <v>660</v>
      </c>
      <c r="AA323" s="351">
        <f t="shared" ref="AA323" si="39">Z323/$Z$304</f>
        <v>6.9473684210526319</v>
      </c>
    </row>
    <row r="324" spans="1:27">
      <c r="A324" s="165">
        <f>'Conveyor Downtime (new)'!A324</f>
        <v>46200</v>
      </c>
      <c r="D324" s="346"/>
      <c r="E324" s="346"/>
      <c r="F324" s="346"/>
      <c r="G324" s="346"/>
      <c r="H324" s="346"/>
      <c r="L324">
        <f>20+60+60+60+10</f>
        <v>210</v>
      </c>
      <c r="Z324">
        <f t="shared" si="36"/>
        <v>210</v>
      </c>
      <c r="AA324" s="351">
        <f t="shared" si="37"/>
        <v>2.2105263157894739</v>
      </c>
    </row>
    <row r="325" spans="1:27">
      <c r="A325" s="165">
        <f>'Conveyor Downtime (new)'!A325</f>
        <v>46200</v>
      </c>
      <c r="B325" s="346"/>
      <c r="C325" s="346"/>
      <c r="D325" s="346"/>
      <c r="E325" s="346"/>
      <c r="F325" s="346"/>
      <c r="G325" s="346"/>
      <c r="H325" s="346"/>
      <c r="I325" s="346"/>
      <c r="J325" s="346"/>
      <c r="K325" s="346">
        <f>3+2+2+2+2+2+1+1</f>
        <v>15</v>
      </c>
      <c r="L325" s="346"/>
      <c r="M325" s="346"/>
      <c r="N325" s="346"/>
      <c r="O325" s="346"/>
      <c r="P325" s="346"/>
      <c r="Q325" s="346"/>
      <c r="R325" s="346"/>
      <c r="S325" s="346"/>
      <c r="T325" s="346"/>
      <c r="U325" s="346"/>
      <c r="V325" s="346"/>
      <c r="W325" s="346"/>
      <c r="X325" s="346"/>
      <c r="Y325" s="346"/>
      <c r="Z325">
        <f t="shared" si="36"/>
        <v>15</v>
      </c>
      <c r="AA325" s="351">
        <f t="shared" si="37"/>
        <v>0.15789473684210525</v>
      </c>
    </row>
    <row r="326" spans="1:27">
      <c r="A326" s="165">
        <f>'Conveyor Downtime (new)'!A326</f>
        <v>46202</v>
      </c>
      <c r="B326" s="346"/>
      <c r="C326" s="346"/>
      <c r="D326" s="346"/>
      <c r="E326" s="346"/>
      <c r="F326" s="346"/>
      <c r="G326" s="346"/>
      <c r="H326" s="346"/>
      <c r="I326">
        <v>48</v>
      </c>
      <c r="J326" s="346"/>
      <c r="K326" s="346"/>
      <c r="L326" s="346">
        <f>2+2+2+4+2+3+3+6</f>
        <v>24</v>
      </c>
      <c r="M326" s="346"/>
      <c r="N326" s="346"/>
      <c r="O326" s="346"/>
      <c r="P326" s="346"/>
      <c r="Q326" s="346"/>
      <c r="R326" s="346"/>
      <c r="S326" s="346"/>
      <c r="T326" s="346"/>
      <c r="U326" s="346"/>
      <c r="V326" s="346"/>
      <c r="W326" s="346"/>
      <c r="X326" s="346"/>
      <c r="Y326" s="346"/>
      <c r="Z326">
        <f t="shared" si="36"/>
        <v>72</v>
      </c>
      <c r="AA326" s="351">
        <f t="shared" si="37"/>
        <v>0.75789473684210529</v>
      </c>
    </row>
    <row r="327" spans="1:27">
      <c r="A327" s="165">
        <f>'Conveyor Downtime (new)'!A327</f>
        <v>46202</v>
      </c>
      <c r="I327">
        <f>60+5</f>
        <v>65</v>
      </c>
      <c r="Z327">
        <f t="shared" si="36"/>
        <v>65</v>
      </c>
      <c r="AA327" s="351">
        <f t="shared" si="37"/>
        <v>0.68421052631578949</v>
      </c>
    </row>
    <row r="328" spans="1:27">
      <c r="A328" s="165">
        <f>'Conveyor Downtime (new)'!A328</f>
        <v>46202</v>
      </c>
      <c r="K328">
        <v>19</v>
      </c>
      <c r="Z328">
        <f t="shared" si="36"/>
        <v>19</v>
      </c>
      <c r="AA328" s="351">
        <f t="shared" si="37"/>
        <v>0.2</v>
      </c>
    </row>
    <row r="329" spans="1:27">
      <c r="A329" s="165">
        <f>'Conveyor Downtime (new)'!A329</f>
        <v>46203</v>
      </c>
      <c r="B329" s="346"/>
      <c r="C329" s="346"/>
      <c r="D329" s="346"/>
      <c r="E329" s="346"/>
      <c r="F329" s="346"/>
      <c r="G329" s="346"/>
      <c r="H329" s="346"/>
      <c r="I329" s="346">
        <f>40+60+60</f>
        <v>160</v>
      </c>
      <c r="J329" s="346"/>
      <c r="K329" s="346"/>
      <c r="L329" s="346">
        <f>20+20</f>
        <v>40</v>
      </c>
      <c r="M329" s="346"/>
      <c r="N329" s="346"/>
      <c r="O329" s="346"/>
      <c r="P329" s="346"/>
      <c r="Q329" s="346"/>
      <c r="R329" s="346"/>
      <c r="S329" s="346"/>
      <c r="T329" s="346"/>
      <c r="U329" s="346"/>
      <c r="V329" s="346"/>
      <c r="W329" s="346"/>
      <c r="X329" s="346"/>
      <c r="Y329" s="346"/>
      <c r="Z329">
        <f t="shared" si="36"/>
        <v>200</v>
      </c>
      <c r="AA329" s="351">
        <f t="shared" si="37"/>
        <v>2.1052631578947367</v>
      </c>
    </row>
    <row r="330" spans="1:27">
      <c r="A330" s="165">
        <f>'Conveyor Downtime (new)'!A330</f>
        <v>46203</v>
      </c>
      <c r="Z330">
        <f t="shared" si="36"/>
        <v>0</v>
      </c>
      <c r="AA330" s="351">
        <f t="shared" si="37"/>
        <v>0</v>
      </c>
    </row>
    <row r="331" spans="1:27">
      <c r="A331" s="165">
        <f>'Conveyor Downtime (new)'!A331</f>
        <v>0</v>
      </c>
      <c r="Z331">
        <f t="shared" si="36"/>
        <v>0</v>
      </c>
      <c r="AA331" s="351">
        <f t="shared" si="37"/>
        <v>0</v>
      </c>
    </row>
    <row r="332" spans="1:27">
      <c r="A332" s="165">
        <f>'Conveyor Downtime (new)'!A332</f>
        <v>0</v>
      </c>
      <c r="Z332">
        <f t="shared" si="36"/>
        <v>0</v>
      </c>
      <c r="AA332" s="351">
        <f t="shared" si="37"/>
        <v>0</v>
      </c>
    </row>
    <row r="333" spans="1:27">
      <c r="A333" s="165">
        <f>'Conveyor Downtime (new)'!A333</f>
        <v>0</v>
      </c>
      <c r="B333" s="346"/>
      <c r="C333" s="346"/>
      <c r="D333" s="346"/>
      <c r="E333" s="346"/>
      <c r="F333" s="346"/>
      <c r="G333" s="346"/>
      <c r="H333" s="346"/>
      <c r="I333" s="346"/>
      <c r="J333" s="346"/>
      <c r="K333" s="346"/>
      <c r="L333" s="346"/>
      <c r="M333" s="346"/>
      <c r="N333" s="346"/>
      <c r="O333" s="346"/>
      <c r="P333" s="346"/>
      <c r="Q333" s="346"/>
      <c r="R333" s="346"/>
      <c r="S333" s="346"/>
      <c r="T333" s="346"/>
      <c r="U333" s="346"/>
      <c r="V333" s="346"/>
      <c r="W333" s="346"/>
      <c r="X333" s="346"/>
      <c r="Y333" s="346"/>
      <c r="Z333">
        <f t="shared" si="36"/>
        <v>0</v>
      </c>
      <c r="AA333" s="351">
        <f t="shared" si="37"/>
        <v>0</v>
      </c>
    </row>
    <row r="334" spans="1:27">
      <c r="A334" s="165">
        <f>'Conveyor Downtime (new)'!A334</f>
        <v>0</v>
      </c>
      <c r="Z334">
        <f t="shared" si="36"/>
        <v>0</v>
      </c>
      <c r="AA334" s="351">
        <f t="shared" si="37"/>
        <v>0</v>
      </c>
    </row>
    <row r="335" spans="1:27">
      <c r="A335" s="165">
        <f>'Conveyor Downtime (new)'!A335</f>
        <v>0</v>
      </c>
      <c r="B335" s="346"/>
      <c r="C335" s="346"/>
      <c r="D335" s="346"/>
      <c r="E335" s="346"/>
      <c r="F335" s="346"/>
      <c r="G335" s="346"/>
      <c r="H335" s="346"/>
      <c r="I335" s="346"/>
      <c r="J335" s="346"/>
      <c r="K335" s="346"/>
      <c r="L335" s="346"/>
      <c r="M335" s="346"/>
      <c r="N335" s="346"/>
      <c r="O335" s="346"/>
      <c r="P335" s="346"/>
      <c r="Q335" s="346"/>
      <c r="R335" s="346"/>
      <c r="S335" s="346"/>
      <c r="T335" s="346"/>
      <c r="U335" s="346"/>
      <c r="V335" s="346"/>
      <c r="W335" s="346"/>
      <c r="X335" s="346"/>
      <c r="Y335" s="346"/>
      <c r="Z335">
        <f t="shared" si="36"/>
        <v>0</v>
      </c>
      <c r="AA335" s="351">
        <f t="shared" si="37"/>
        <v>0</v>
      </c>
    </row>
    <row r="336" spans="1:27" ht="14.25" customHeight="1">
      <c r="A336" s="165">
        <f>'Conveyor Downtime (new)'!A336</f>
        <v>0</v>
      </c>
      <c r="B336" s="346"/>
      <c r="C336" s="346"/>
      <c r="D336" s="346"/>
      <c r="E336" s="346"/>
      <c r="F336" s="346"/>
      <c r="G336" s="346"/>
      <c r="H336" s="346"/>
      <c r="I336" s="346"/>
      <c r="J336" s="346"/>
      <c r="K336" s="346"/>
      <c r="L336" s="346"/>
      <c r="M336" s="346"/>
      <c r="N336" s="346"/>
      <c r="O336" s="346"/>
      <c r="P336" s="346"/>
      <c r="Q336" s="346"/>
      <c r="R336" s="346"/>
      <c r="S336" s="346"/>
      <c r="T336" s="346"/>
      <c r="U336" s="346"/>
      <c r="V336" s="346"/>
      <c r="W336" s="346"/>
      <c r="X336" s="346"/>
      <c r="Y336" s="346"/>
      <c r="Z336">
        <f t="shared" si="36"/>
        <v>0</v>
      </c>
      <c r="AA336" s="351">
        <f t="shared" si="37"/>
        <v>0</v>
      </c>
    </row>
    <row r="337" spans="1:27">
      <c r="A337" s="165">
        <f>'Conveyor Downtime (new)'!A337</f>
        <v>0</v>
      </c>
      <c r="Z337">
        <f t="shared" si="36"/>
        <v>0</v>
      </c>
      <c r="AA337" s="351">
        <f t="shared" si="37"/>
        <v>0</v>
      </c>
    </row>
    <row r="338" spans="1:27">
      <c r="A338" s="165">
        <f>'Conveyor Downtime (new)'!A338</f>
        <v>0</v>
      </c>
      <c r="B338" s="346"/>
      <c r="C338" s="346"/>
      <c r="D338" s="346"/>
      <c r="E338" s="346"/>
      <c r="F338" s="346"/>
      <c r="G338" s="346"/>
      <c r="H338" s="346"/>
      <c r="I338" s="346"/>
      <c r="J338" s="346"/>
      <c r="K338" s="346"/>
      <c r="L338" s="346"/>
      <c r="M338" s="346"/>
      <c r="N338" s="346"/>
      <c r="O338" s="346"/>
      <c r="P338" s="346"/>
      <c r="Q338" s="346"/>
      <c r="R338" s="346"/>
      <c r="S338" s="346"/>
      <c r="T338" s="346"/>
      <c r="U338" s="346"/>
      <c r="V338" s="346"/>
      <c r="W338" s="346"/>
      <c r="X338" s="346"/>
      <c r="Y338" s="346"/>
      <c r="Z338">
        <f t="shared" si="36"/>
        <v>0</v>
      </c>
      <c r="AA338" s="351">
        <f t="shared" si="37"/>
        <v>0</v>
      </c>
    </row>
    <row r="339" spans="1:27">
      <c r="A339" s="165">
        <f>'Conveyor Downtime (new)'!A339</f>
        <v>0</v>
      </c>
      <c r="B339" s="346"/>
      <c r="C339" s="346"/>
      <c r="D339" s="346"/>
      <c r="E339" s="346"/>
      <c r="F339" s="346"/>
      <c r="G339" s="346"/>
      <c r="H339" s="346"/>
      <c r="I339" s="346"/>
      <c r="J339" s="346"/>
      <c r="K339" s="346"/>
      <c r="L339" s="346"/>
      <c r="M339" s="346"/>
      <c r="N339" s="346"/>
      <c r="O339" s="346"/>
      <c r="P339" s="346"/>
      <c r="Q339" s="346"/>
      <c r="R339" s="346"/>
      <c r="S339" s="346"/>
      <c r="T339" s="346"/>
      <c r="U339" s="346"/>
      <c r="V339" s="346"/>
      <c r="W339" s="346"/>
      <c r="X339" s="346"/>
      <c r="Y339" s="346"/>
      <c r="Z339">
        <f t="shared" si="36"/>
        <v>0</v>
      </c>
      <c r="AA339" s="351">
        <f t="shared" si="37"/>
        <v>0</v>
      </c>
    </row>
    <row r="340" spans="1:27">
      <c r="A340" s="165">
        <f>'Conveyor Downtime (new)'!A340</f>
        <v>0</v>
      </c>
      <c r="B340" s="346"/>
      <c r="C340" s="346"/>
      <c r="D340" s="346"/>
      <c r="E340" s="346"/>
      <c r="F340" s="346"/>
      <c r="G340" s="346"/>
      <c r="H340" s="346"/>
      <c r="I340" s="346"/>
      <c r="J340" s="346"/>
      <c r="K340" s="346"/>
      <c r="L340" s="346"/>
      <c r="M340" s="346"/>
      <c r="N340" s="346"/>
      <c r="O340" s="346"/>
      <c r="P340" s="346"/>
      <c r="Q340" s="346"/>
      <c r="R340" s="346"/>
      <c r="S340" s="346"/>
      <c r="T340" s="346"/>
      <c r="U340" s="346"/>
      <c r="V340" s="346"/>
      <c r="W340" s="346"/>
      <c r="X340" s="346"/>
      <c r="Y340" s="346"/>
      <c r="Z340">
        <f t="shared" si="36"/>
        <v>0</v>
      </c>
      <c r="AA340" s="351">
        <f t="shared" si="37"/>
        <v>0</v>
      </c>
    </row>
    <row r="341" spans="1:27">
      <c r="A341" s="165">
        <f>'Conveyor Downtime (new)'!A341</f>
        <v>0</v>
      </c>
      <c r="Z341">
        <f t="shared" si="36"/>
        <v>0</v>
      </c>
      <c r="AA341" s="351">
        <f t="shared" si="37"/>
        <v>0</v>
      </c>
    </row>
    <row r="342" spans="1:27">
      <c r="A342" s="165">
        <f>'Conveyor Downtime (new)'!A342</f>
        <v>0</v>
      </c>
      <c r="B342" s="346"/>
      <c r="C342" s="346"/>
      <c r="D342" s="346"/>
      <c r="E342" s="346"/>
      <c r="F342" s="346"/>
      <c r="G342" s="346"/>
      <c r="H342" s="346"/>
      <c r="I342" s="346"/>
      <c r="J342" s="346"/>
      <c r="K342" s="346"/>
      <c r="L342" s="346"/>
      <c r="M342" s="346"/>
      <c r="N342" s="346"/>
      <c r="O342" s="346"/>
      <c r="P342" s="346"/>
      <c r="Q342" s="346"/>
      <c r="R342" s="346"/>
      <c r="S342" s="346"/>
      <c r="T342" s="346"/>
      <c r="U342" s="346"/>
      <c r="V342" s="346"/>
      <c r="W342" s="346"/>
      <c r="X342" s="346"/>
      <c r="Y342" s="346"/>
      <c r="Z342">
        <f t="shared" si="36"/>
        <v>0</v>
      </c>
      <c r="AA342" s="351">
        <f t="shared" si="37"/>
        <v>0</v>
      </c>
    </row>
    <row r="343" spans="1:27">
      <c r="A343" s="165">
        <f>'Conveyor Downtime (new)'!A343</f>
        <v>0</v>
      </c>
      <c r="Z343">
        <f t="shared" si="36"/>
        <v>0</v>
      </c>
      <c r="AA343" s="351">
        <f t="shared" si="37"/>
        <v>0</v>
      </c>
    </row>
    <row r="344" spans="1:27">
      <c r="A344" s="165">
        <f>'Conveyor Downtime (new)'!A344</f>
        <v>0</v>
      </c>
      <c r="B344" s="346"/>
      <c r="C344" s="346"/>
      <c r="D344" s="346"/>
      <c r="E344" s="346"/>
      <c r="F344" s="346"/>
      <c r="G344" s="346"/>
      <c r="H344" s="346"/>
      <c r="I344" s="346"/>
      <c r="J344" s="346"/>
      <c r="K344" s="346"/>
      <c r="L344" s="346"/>
      <c r="M344" s="346"/>
      <c r="N344" s="346"/>
      <c r="O344" s="346"/>
      <c r="P344" s="346"/>
      <c r="Q344" s="346"/>
      <c r="R344" s="346"/>
      <c r="S344" s="346"/>
      <c r="T344" s="346"/>
      <c r="U344" s="346"/>
      <c r="V344" s="346"/>
      <c r="W344" s="346"/>
      <c r="X344" s="346"/>
      <c r="Y344" s="346"/>
      <c r="Z344">
        <f t="shared" si="36"/>
        <v>0</v>
      </c>
      <c r="AA344" s="351">
        <f t="shared" si="37"/>
        <v>0</v>
      </c>
    </row>
    <row r="345" spans="1:27">
      <c r="A345" s="165">
        <f>'Conveyor Downtime (new)'!A345</f>
        <v>0</v>
      </c>
      <c r="Z345">
        <f t="shared" si="36"/>
        <v>0</v>
      </c>
      <c r="AA345" s="351">
        <f t="shared" si="37"/>
        <v>0</v>
      </c>
    </row>
    <row r="346" spans="1:27">
      <c r="A346" s="165">
        <f>'Conveyor Downtime (new)'!A346</f>
        <v>0</v>
      </c>
      <c r="B346" s="346"/>
      <c r="C346" s="346"/>
      <c r="D346" s="346"/>
      <c r="E346" s="346"/>
      <c r="F346" s="346"/>
      <c r="G346" s="346"/>
      <c r="H346" s="346"/>
      <c r="I346" s="346"/>
      <c r="J346" s="346"/>
      <c r="K346" s="346"/>
      <c r="L346" s="346"/>
      <c r="M346" s="346"/>
      <c r="N346" s="346"/>
      <c r="O346" s="346"/>
      <c r="P346" s="346"/>
      <c r="Q346" s="346"/>
      <c r="R346" s="346"/>
      <c r="S346" s="346"/>
      <c r="T346" s="346"/>
      <c r="U346" s="346"/>
      <c r="V346" s="346"/>
      <c r="W346" s="346"/>
      <c r="X346" s="346"/>
      <c r="Y346" s="346"/>
      <c r="Z346">
        <f t="shared" si="36"/>
        <v>0</v>
      </c>
      <c r="AA346" s="351">
        <f t="shared" si="37"/>
        <v>0</v>
      </c>
    </row>
    <row r="347" spans="1:27">
      <c r="A347" s="165">
        <f>'Conveyor Downtime (new)'!A347</f>
        <v>0</v>
      </c>
      <c r="Z347">
        <f t="shared" si="36"/>
        <v>0</v>
      </c>
      <c r="AA347" s="351">
        <f t="shared" si="37"/>
        <v>0</v>
      </c>
    </row>
    <row r="348" spans="1:27">
      <c r="A348" s="165">
        <f>'Conveyor Downtime (new)'!A348</f>
        <v>0</v>
      </c>
      <c r="B348" s="346"/>
      <c r="C348" s="346"/>
      <c r="D348" s="346"/>
      <c r="E348" s="346"/>
      <c r="F348" s="346"/>
      <c r="G348" s="346"/>
      <c r="H348" s="346"/>
      <c r="I348" s="346"/>
      <c r="J348" s="346"/>
      <c r="K348" s="346"/>
      <c r="L348" s="346"/>
      <c r="M348" s="346"/>
      <c r="N348" s="346"/>
      <c r="O348" s="346"/>
      <c r="P348" s="346"/>
      <c r="Q348" s="346"/>
      <c r="R348" s="346"/>
      <c r="S348" s="346"/>
      <c r="T348" s="346"/>
      <c r="U348" s="346"/>
      <c r="V348" s="346"/>
      <c r="W348" s="346"/>
      <c r="X348" s="346"/>
      <c r="Y348" s="346"/>
      <c r="Z348">
        <f t="shared" si="36"/>
        <v>0</v>
      </c>
      <c r="AA348" s="351">
        <f t="shared" si="37"/>
        <v>0</v>
      </c>
    </row>
    <row r="349" spans="1:27">
      <c r="A349" s="165">
        <f>'Conveyor Downtime (new)'!A349</f>
        <v>0</v>
      </c>
      <c r="Z349">
        <f t="shared" si="36"/>
        <v>0</v>
      </c>
      <c r="AA349" s="351">
        <f t="shared" si="37"/>
        <v>0</v>
      </c>
    </row>
    <row r="350" spans="1:27">
      <c r="A350" s="165">
        <f>'Conveyor Downtime (new)'!A350</f>
        <v>0</v>
      </c>
      <c r="B350" s="346"/>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f t="shared" si="36"/>
        <v>0</v>
      </c>
      <c r="AA350" s="351">
        <f t="shared" si="37"/>
        <v>0</v>
      </c>
    </row>
    <row r="351" spans="1:27">
      <c r="A351" s="165">
        <f>'Conveyor Downtime (new)'!A351</f>
        <v>0</v>
      </c>
      <c r="Z351">
        <f t="shared" si="36"/>
        <v>0</v>
      </c>
      <c r="AA351" s="351">
        <f t="shared" si="37"/>
        <v>0</v>
      </c>
    </row>
    <row r="352" spans="1:27">
      <c r="A352" s="165">
        <f>'Conveyor Downtime (new)'!A352</f>
        <v>0</v>
      </c>
      <c r="B352" s="346"/>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f t="shared" si="36"/>
        <v>0</v>
      </c>
      <c r="AA352" s="351">
        <f t="shared" si="37"/>
        <v>0</v>
      </c>
    </row>
    <row r="353" spans="1:27">
      <c r="A353" s="165">
        <f>'Conveyor Downtime (new)'!A353</f>
        <v>0</v>
      </c>
      <c r="Z353">
        <f t="shared" si="36"/>
        <v>0</v>
      </c>
      <c r="AA353" s="351">
        <f t="shared" si="37"/>
        <v>0</v>
      </c>
    </row>
    <row r="354" spans="1:27">
      <c r="A354" s="165">
        <f>'Conveyor Downtime (new)'!A354</f>
        <v>0</v>
      </c>
      <c r="B354" s="346"/>
      <c r="C354" s="346"/>
      <c r="D354" s="346"/>
      <c r="E354" s="346"/>
      <c r="F354" s="346"/>
      <c r="G354" s="346"/>
      <c r="H354" s="346"/>
      <c r="I354" s="346"/>
      <c r="J354" s="346"/>
      <c r="K354" s="346"/>
      <c r="L354" s="346"/>
      <c r="M354" s="346"/>
      <c r="N354" s="346"/>
      <c r="O354" s="346"/>
      <c r="P354" s="346"/>
      <c r="Q354" s="346"/>
      <c r="R354" s="346"/>
      <c r="S354" s="346"/>
      <c r="T354" s="346"/>
      <c r="U354" s="346"/>
      <c r="V354" s="346"/>
      <c r="W354" s="346"/>
      <c r="X354" s="346"/>
      <c r="Y354" s="346"/>
      <c r="Z354">
        <f t="shared" si="36"/>
        <v>0</v>
      </c>
      <c r="AA354" s="351">
        <f t="shared" si="37"/>
        <v>0</v>
      </c>
    </row>
    <row r="355" spans="1:27">
      <c r="A355" s="165">
        <f>'Conveyor Downtime (new)'!A355</f>
        <v>0</v>
      </c>
      <c r="Z355">
        <f t="shared" si="36"/>
        <v>0</v>
      </c>
      <c r="AA355" s="351">
        <f t="shared" si="37"/>
        <v>0</v>
      </c>
    </row>
    <row r="356" spans="1:27">
      <c r="A356" s="165"/>
      <c r="B356" s="346"/>
      <c r="C356" s="346"/>
      <c r="D356" s="346"/>
      <c r="E356" s="346"/>
      <c r="F356" s="346"/>
      <c r="G356" s="346"/>
      <c r="H356" s="346"/>
      <c r="I356" s="346"/>
      <c r="J356" s="346"/>
      <c r="K356" s="346"/>
      <c r="L356" s="346"/>
      <c r="M356" s="346"/>
      <c r="N356" s="346"/>
      <c r="O356" s="346"/>
      <c r="P356" s="346"/>
      <c r="Q356" s="346"/>
      <c r="R356" s="346"/>
      <c r="S356" s="346"/>
      <c r="T356" s="346"/>
      <c r="U356" s="346"/>
      <c r="V356" s="346"/>
      <c r="W356" s="346"/>
      <c r="X356" s="346"/>
      <c r="Y356" s="346"/>
      <c r="Z356">
        <f t="shared" si="36"/>
        <v>0</v>
      </c>
      <c r="AA356" s="351">
        <f t="shared" si="37"/>
        <v>0</v>
      </c>
    </row>
    <row r="357" spans="1:27">
      <c r="A357" s="165"/>
      <c r="Z357">
        <f t="shared" si="36"/>
        <v>0</v>
      </c>
      <c r="AA357" s="351">
        <f t="shared" si="37"/>
        <v>0</v>
      </c>
    </row>
    <row r="358" spans="1:27">
      <c r="A358" s="165"/>
      <c r="B358" s="346"/>
      <c r="C358" s="346"/>
      <c r="D358" s="346"/>
      <c r="E358" s="346"/>
      <c r="F358" s="346"/>
      <c r="G358" s="346"/>
      <c r="H358" s="346"/>
      <c r="I358" s="346"/>
      <c r="J358" s="346"/>
      <c r="K358" s="346"/>
      <c r="L358" s="346"/>
      <c r="M358" s="346"/>
      <c r="N358" s="346"/>
      <c r="O358" s="346"/>
      <c r="P358" s="346"/>
      <c r="Q358" s="346"/>
      <c r="R358" s="346"/>
      <c r="S358" s="346"/>
      <c r="T358" s="346"/>
      <c r="U358" s="346"/>
      <c r="V358" s="346"/>
      <c r="W358" s="346"/>
      <c r="X358" s="346"/>
      <c r="Y358" s="346"/>
      <c r="Z358">
        <f t="shared" si="36"/>
        <v>0</v>
      </c>
      <c r="AA358" s="351">
        <f t="shared" si="37"/>
        <v>0</v>
      </c>
    </row>
    <row r="359" spans="1:27">
      <c r="A359" s="165"/>
      <c r="Z359">
        <f t="shared" si="36"/>
        <v>0</v>
      </c>
      <c r="AA359" s="351">
        <f t="shared" si="37"/>
        <v>0</v>
      </c>
    </row>
    <row r="360" spans="1:27">
      <c r="A360" s="165"/>
      <c r="B360" s="346"/>
      <c r="C360" s="346"/>
      <c r="D360" s="346"/>
      <c r="E360" s="346"/>
      <c r="F360" s="346"/>
      <c r="G360" s="346"/>
      <c r="H360" s="346"/>
      <c r="I360" s="346"/>
      <c r="J360" s="346"/>
      <c r="K360" s="346"/>
      <c r="L360" s="346"/>
      <c r="M360" s="346"/>
      <c r="N360" s="346"/>
      <c r="O360" s="346"/>
      <c r="P360" s="346"/>
      <c r="Q360" s="346"/>
      <c r="R360" s="346"/>
      <c r="S360" s="346"/>
      <c r="T360" s="346"/>
      <c r="U360" s="346"/>
      <c r="V360" s="346"/>
      <c r="W360" s="346"/>
      <c r="X360" s="346"/>
      <c r="Y360" s="346"/>
      <c r="Z360">
        <f t="shared" si="36"/>
        <v>0</v>
      </c>
      <c r="AA360" s="351">
        <f t="shared" si="37"/>
        <v>0</v>
      </c>
    </row>
    <row r="361" spans="1:27" ht="15">
      <c r="A361" s="347" t="s">
        <v>173</v>
      </c>
      <c r="B361" s="347">
        <f t="shared" ref="B361:U361" si="40">SUM(B308:B360)</f>
        <v>0</v>
      </c>
      <c r="C361" s="347">
        <f t="shared" si="40"/>
        <v>0</v>
      </c>
      <c r="D361" s="347">
        <f t="shared" si="40"/>
        <v>344</v>
      </c>
      <c r="E361" s="347">
        <f t="shared" si="40"/>
        <v>94</v>
      </c>
      <c r="F361" s="347">
        <f t="shared" si="40"/>
        <v>885</v>
      </c>
      <c r="G361" s="347">
        <f t="shared" si="40"/>
        <v>166</v>
      </c>
      <c r="H361" s="347">
        <f t="shared" si="40"/>
        <v>17</v>
      </c>
      <c r="I361" s="347">
        <f t="shared" si="40"/>
        <v>507</v>
      </c>
      <c r="J361" s="347">
        <f t="shared" si="40"/>
        <v>0</v>
      </c>
      <c r="K361" s="347">
        <f t="shared" si="40"/>
        <v>292</v>
      </c>
      <c r="L361" s="347">
        <f t="shared" si="40"/>
        <v>294</v>
      </c>
      <c r="M361" s="347">
        <f t="shared" si="40"/>
        <v>0</v>
      </c>
      <c r="N361" s="347">
        <f t="shared" si="40"/>
        <v>0</v>
      </c>
      <c r="O361" s="347">
        <f t="shared" si="40"/>
        <v>0</v>
      </c>
      <c r="P361" s="347">
        <f t="shared" si="40"/>
        <v>0</v>
      </c>
      <c r="Q361" s="347">
        <f t="shared" si="40"/>
        <v>0</v>
      </c>
      <c r="R361" s="347">
        <f t="shared" si="40"/>
        <v>0</v>
      </c>
      <c r="S361" s="347">
        <f t="shared" si="40"/>
        <v>0</v>
      </c>
      <c r="T361" s="347">
        <f t="shared" si="40"/>
        <v>45</v>
      </c>
      <c r="U361" s="347">
        <f t="shared" si="40"/>
        <v>0</v>
      </c>
      <c r="V361" s="347">
        <f t="shared" ref="V361" si="41">SUM(V308:V360)</f>
        <v>14</v>
      </c>
      <c r="W361" s="347">
        <f>SUM(W308:W360)</f>
        <v>0</v>
      </c>
      <c r="X361" s="347">
        <f>SUM(X308:X360)</f>
        <v>38</v>
      </c>
      <c r="Y361" s="347">
        <f>SUM(Y308:Y360)</f>
        <v>0</v>
      </c>
      <c r="Z361" s="347">
        <f>SUM(Z308:Z360)</f>
        <v>2696</v>
      </c>
      <c r="AA361" s="351">
        <f t="shared" si="37"/>
        <v>28.378947368421052</v>
      </c>
    </row>
    <row r="362" spans="1:27" ht="15.75" thickBot="1">
      <c r="A362" s="348" t="s">
        <v>174</v>
      </c>
      <c r="B362" s="348">
        <f t="shared" ref="B362:U362" si="42">B361/$Z361</f>
        <v>0</v>
      </c>
      <c r="C362" s="348">
        <f t="shared" si="42"/>
        <v>0</v>
      </c>
      <c r="D362" s="348">
        <f t="shared" si="42"/>
        <v>0.12759643916913946</v>
      </c>
      <c r="E362" s="348">
        <f t="shared" si="42"/>
        <v>3.4866468842729974E-2</v>
      </c>
      <c r="F362" s="348">
        <f t="shared" si="42"/>
        <v>0.32826409495548964</v>
      </c>
      <c r="G362" s="348">
        <f t="shared" si="42"/>
        <v>6.1572700296735908E-2</v>
      </c>
      <c r="H362" s="348">
        <f t="shared" si="42"/>
        <v>6.3056379821958457E-3</v>
      </c>
      <c r="I362" s="348">
        <f t="shared" si="42"/>
        <v>0.18805637982195847</v>
      </c>
      <c r="J362" s="348">
        <f t="shared" si="42"/>
        <v>0</v>
      </c>
      <c r="K362" s="348">
        <f t="shared" si="42"/>
        <v>0.1083086053412463</v>
      </c>
      <c r="L362" s="348">
        <f t="shared" si="42"/>
        <v>0.10905044510385757</v>
      </c>
      <c r="M362" s="348">
        <f t="shared" si="42"/>
        <v>0</v>
      </c>
      <c r="N362" s="348">
        <f t="shared" si="42"/>
        <v>0</v>
      </c>
      <c r="O362" s="348">
        <f t="shared" si="42"/>
        <v>0</v>
      </c>
      <c r="P362" s="348">
        <f t="shared" si="42"/>
        <v>0</v>
      </c>
      <c r="Q362" s="348">
        <f t="shared" si="42"/>
        <v>0</v>
      </c>
      <c r="R362" s="348">
        <f t="shared" si="42"/>
        <v>0</v>
      </c>
      <c r="S362" s="348">
        <f t="shared" si="42"/>
        <v>0</v>
      </c>
      <c r="T362" s="348">
        <f t="shared" si="42"/>
        <v>1.669139465875371E-2</v>
      </c>
      <c r="U362" s="348">
        <f t="shared" si="42"/>
        <v>0</v>
      </c>
      <c r="V362" s="348">
        <f t="shared" ref="V362" si="43">V361/$Z361</f>
        <v>5.1928783382789315E-3</v>
      </c>
      <c r="W362" s="348">
        <f>W361/$Z361</f>
        <v>0</v>
      </c>
      <c r="X362" s="348">
        <f>X361/$Z361</f>
        <v>1.4094955489614243E-2</v>
      </c>
      <c r="Y362" s="348">
        <f>Y361/$Z361</f>
        <v>0</v>
      </c>
      <c r="AA362" s="351"/>
    </row>
    <row r="363" spans="1:27">
      <c r="AA363" s="351"/>
    </row>
    <row r="364" spans="1:27">
      <c r="AA364" s="351"/>
    </row>
    <row r="365" spans="1:27">
      <c r="A365" s="165">
        <f>'Conveyor Downtime (new)'!A372</f>
        <v>46204</v>
      </c>
      <c r="Z365">
        <f t="shared" ref="Z365:Z413" si="44">SUM(B365:Y365)</f>
        <v>0</v>
      </c>
      <c r="AA365" s="351">
        <f t="shared" ref="AA365:AA413" si="45">Z365/$Z$304</f>
        <v>0</v>
      </c>
    </row>
    <row r="366" spans="1:27">
      <c r="A366" s="165">
        <f>'Conveyor Downtime (new)'!A373</f>
        <v>46204</v>
      </c>
      <c r="B366" s="346"/>
      <c r="C366" s="346"/>
      <c r="D366" s="346"/>
      <c r="E366" s="346"/>
      <c r="F366" s="346"/>
      <c r="G366" s="346"/>
      <c r="H366" s="346"/>
      <c r="I366" s="346"/>
      <c r="J366" s="346"/>
      <c r="K366" s="346">
        <f>6+9</f>
        <v>15</v>
      </c>
      <c r="L366" s="346"/>
      <c r="M366" s="346"/>
      <c r="N366" s="346"/>
      <c r="O366" s="346"/>
      <c r="P366" s="346"/>
      <c r="Q366" s="346"/>
      <c r="R366" s="346"/>
      <c r="S366" s="346"/>
      <c r="T366" s="346"/>
      <c r="U366" s="346"/>
      <c r="V366" s="346"/>
      <c r="W366" s="346"/>
      <c r="X366" s="346"/>
      <c r="Y366" s="346"/>
      <c r="Z366">
        <f t="shared" si="44"/>
        <v>15</v>
      </c>
      <c r="AA366" s="351">
        <f t="shared" si="45"/>
        <v>0.15789473684210525</v>
      </c>
    </row>
    <row r="367" spans="1:27">
      <c r="A367" s="165">
        <f>'Conveyor Downtime (new)'!A374</f>
        <v>46205</v>
      </c>
      <c r="K367">
        <f>5</f>
        <v>5</v>
      </c>
      <c r="Z367">
        <f t="shared" si="44"/>
        <v>5</v>
      </c>
      <c r="AA367" s="351">
        <f t="shared" si="45"/>
        <v>5.2631578947368418E-2</v>
      </c>
    </row>
    <row r="368" spans="1:27">
      <c r="A368" s="165">
        <f>'Conveyor Downtime (new)'!A375</f>
        <v>46205</v>
      </c>
      <c r="B368" s="346"/>
      <c r="C368" s="346"/>
      <c r="D368" s="346"/>
      <c r="E368" s="346"/>
      <c r="F368" s="346"/>
      <c r="G368" s="346"/>
      <c r="H368" s="346"/>
      <c r="I368" s="346"/>
      <c r="J368" s="346"/>
      <c r="K368" s="346"/>
      <c r="L368" s="346"/>
      <c r="M368" s="346"/>
      <c r="N368" s="346"/>
      <c r="O368" s="346"/>
      <c r="P368" s="346"/>
      <c r="Q368" s="346"/>
      <c r="R368" s="346"/>
      <c r="S368" s="346"/>
      <c r="T368" s="346"/>
      <c r="U368" s="346"/>
      <c r="V368" s="346"/>
      <c r="W368" s="346"/>
      <c r="X368" s="346"/>
      <c r="Y368" s="346"/>
      <c r="Z368">
        <f t="shared" si="44"/>
        <v>0</v>
      </c>
      <c r="AA368" s="351">
        <f t="shared" si="45"/>
        <v>0</v>
      </c>
    </row>
    <row r="369" spans="1:27">
      <c r="A369" s="165">
        <f>'Conveyor Downtime (new)'!A376</f>
        <v>46205</v>
      </c>
      <c r="D369">
        <f>10</f>
        <v>10</v>
      </c>
      <c r="I369">
        <f>60</f>
        <v>60</v>
      </c>
      <c r="K369">
        <f>7+17</f>
        <v>24</v>
      </c>
      <c r="L369">
        <f>7+4</f>
        <v>11</v>
      </c>
      <c r="Z369">
        <f t="shared" si="44"/>
        <v>105</v>
      </c>
      <c r="AA369" s="351">
        <f t="shared" si="45"/>
        <v>1.1052631578947369</v>
      </c>
    </row>
    <row r="370" spans="1:27">
      <c r="A370" s="165">
        <f>'Conveyor Downtime (new)'!A377</f>
        <v>46206</v>
      </c>
      <c r="B370" s="346"/>
      <c r="C370" s="346"/>
      <c r="D370" s="346"/>
      <c r="E370" s="346"/>
      <c r="F370" s="346"/>
      <c r="G370" s="346"/>
      <c r="H370" s="346"/>
      <c r="I370" s="346"/>
      <c r="J370" s="346"/>
      <c r="K370" s="346"/>
      <c r="L370" s="346"/>
      <c r="M370" s="346"/>
      <c r="N370" s="346"/>
      <c r="O370" s="346"/>
      <c r="P370" s="346"/>
      <c r="Q370" s="346"/>
      <c r="R370" s="346"/>
      <c r="S370" s="346"/>
      <c r="T370" s="346"/>
      <c r="U370" s="346"/>
      <c r="V370" s="346"/>
      <c r="W370" s="346"/>
      <c r="X370" s="346"/>
      <c r="Y370" s="346"/>
      <c r="Z370">
        <f t="shared" si="44"/>
        <v>0</v>
      </c>
      <c r="AA370" s="351">
        <f t="shared" si="45"/>
        <v>0</v>
      </c>
    </row>
    <row r="371" spans="1:27">
      <c r="A371" s="165">
        <f>'Conveyor Downtime (new)'!A378</f>
        <v>46206</v>
      </c>
      <c r="B371" s="346"/>
      <c r="C371" s="346"/>
      <c r="D371" s="346"/>
      <c r="E371" s="346"/>
      <c r="F371" s="346"/>
      <c r="G371" s="346"/>
      <c r="H371" s="346"/>
      <c r="I371" s="346">
        <f>30+34</f>
        <v>64</v>
      </c>
      <c r="J371" s="346"/>
      <c r="K371" s="346"/>
      <c r="L371" s="346"/>
      <c r="M371" s="346"/>
      <c r="N371" s="346"/>
      <c r="O371" s="346"/>
      <c r="P371" s="346"/>
      <c r="Q371" s="346"/>
      <c r="R371" s="346"/>
      <c r="S371" s="346"/>
      <c r="T371" s="346"/>
      <c r="U371" s="346"/>
      <c r="V371" s="346"/>
      <c r="W371" s="346"/>
      <c r="X371" s="346"/>
      <c r="Y371" s="346"/>
      <c r="Z371">
        <f t="shared" si="44"/>
        <v>64</v>
      </c>
      <c r="AA371" s="351">
        <f t="shared" si="45"/>
        <v>0.67368421052631577</v>
      </c>
    </row>
    <row r="372" spans="1:27">
      <c r="A372" s="165">
        <f>'Conveyor Downtime (new)'!A379</f>
        <v>46209</v>
      </c>
      <c r="Z372">
        <f t="shared" si="44"/>
        <v>0</v>
      </c>
      <c r="AA372" s="351">
        <f t="shared" si="45"/>
        <v>0</v>
      </c>
    </row>
    <row r="373" spans="1:27" ht="12" customHeight="1">
      <c r="A373" s="165">
        <f>'Conveyor Downtime (new)'!A380</f>
        <v>46210</v>
      </c>
      <c r="B373" s="346"/>
      <c r="C373" s="346"/>
      <c r="D373" s="346"/>
      <c r="E373" s="346"/>
      <c r="F373" s="346">
        <f>58</f>
        <v>58</v>
      </c>
      <c r="G373" s="346"/>
      <c r="H373" s="346"/>
      <c r="I373" s="346"/>
      <c r="J373" s="346"/>
      <c r="K373" s="346">
        <f>54+11+12+19+13+11+14</f>
        <v>134</v>
      </c>
      <c r="L373" s="346"/>
      <c r="M373" s="346"/>
      <c r="N373" s="346"/>
      <c r="O373" s="346"/>
      <c r="P373" s="346"/>
      <c r="Q373" s="346"/>
      <c r="R373" s="346"/>
      <c r="S373" s="346"/>
      <c r="T373" s="346"/>
      <c r="U373" s="346"/>
      <c r="V373" s="346"/>
      <c r="W373" s="346"/>
      <c r="X373" s="346"/>
      <c r="Y373" s="346"/>
      <c r="Z373">
        <f t="shared" si="44"/>
        <v>192</v>
      </c>
      <c r="AA373" s="351">
        <f t="shared" si="45"/>
        <v>2.0210526315789474</v>
      </c>
    </row>
    <row r="374" spans="1:27">
      <c r="A374" s="165">
        <f>'Conveyor Downtime (new)'!A381</f>
        <v>46210</v>
      </c>
      <c r="I374">
        <f>45+60+60+60+60+60</f>
        <v>345</v>
      </c>
      <c r="Z374">
        <f t="shared" si="44"/>
        <v>345</v>
      </c>
      <c r="AA374" s="351">
        <f t="shared" si="45"/>
        <v>3.6315789473684212</v>
      </c>
    </row>
    <row r="375" spans="1:27">
      <c r="A375" s="165">
        <f>'Conveyor Downtime (new)'!A382</f>
        <v>46211</v>
      </c>
      <c r="B375" s="346"/>
      <c r="C375" s="346"/>
      <c r="D375" s="346"/>
      <c r="E375" s="346"/>
      <c r="F375" s="346"/>
      <c r="G375" s="346"/>
      <c r="H375" s="346"/>
      <c r="I375" s="501"/>
      <c r="J375" s="346"/>
      <c r="K375" s="346"/>
      <c r="L375" s="346"/>
      <c r="M375" s="346"/>
      <c r="N375" s="346"/>
      <c r="O375" s="346"/>
      <c r="P375" s="346"/>
      <c r="Q375" s="346"/>
      <c r="R375" s="346"/>
      <c r="S375" s="346"/>
      <c r="T375" s="346"/>
      <c r="U375" s="346"/>
      <c r="V375" s="346"/>
      <c r="W375" s="346"/>
      <c r="X375" s="346"/>
      <c r="Y375" s="346"/>
      <c r="Z375">
        <f t="shared" si="44"/>
        <v>0</v>
      </c>
      <c r="AA375" s="351">
        <f t="shared" si="45"/>
        <v>0</v>
      </c>
    </row>
    <row r="376" spans="1:27">
      <c r="A376" s="165">
        <f>'Conveyor Downtime (new)'!A383</f>
        <v>46211</v>
      </c>
      <c r="Z376">
        <f t="shared" si="44"/>
        <v>0</v>
      </c>
      <c r="AA376" s="351">
        <f t="shared" si="45"/>
        <v>0</v>
      </c>
    </row>
    <row r="377" spans="1:27">
      <c r="A377" s="165">
        <f>'Conveyor Downtime (new)'!A384</f>
        <v>46211</v>
      </c>
      <c r="B377" s="346"/>
      <c r="C377" s="346"/>
      <c r="D377" s="346"/>
      <c r="E377" s="346"/>
      <c r="F377" s="346"/>
      <c r="G377" s="346"/>
      <c r="H377" s="346"/>
      <c r="I377" s="346"/>
      <c r="J377" s="346"/>
      <c r="K377" s="346"/>
      <c r="L377" s="346"/>
      <c r="M377" s="346"/>
      <c r="N377" s="346"/>
      <c r="O377" s="346"/>
      <c r="P377" s="346"/>
      <c r="Q377" s="346"/>
      <c r="R377" s="346"/>
      <c r="S377" s="346"/>
      <c r="T377" s="346"/>
      <c r="U377" s="346"/>
      <c r="V377" s="346"/>
      <c r="W377" s="346"/>
      <c r="X377" s="346"/>
      <c r="Y377" s="346"/>
      <c r="Z377">
        <f t="shared" si="44"/>
        <v>0</v>
      </c>
      <c r="AA377" s="351">
        <f t="shared" si="45"/>
        <v>0</v>
      </c>
    </row>
    <row r="378" spans="1:27">
      <c r="A378" s="165">
        <f>'Conveyor Downtime (new)'!A385</f>
        <v>46211</v>
      </c>
      <c r="Z378">
        <f t="shared" si="44"/>
        <v>0</v>
      </c>
      <c r="AA378" s="351">
        <f t="shared" si="45"/>
        <v>0</v>
      </c>
    </row>
    <row r="379" spans="1:27">
      <c r="A379" s="165">
        <f>'Conveyor Downtime (new)'!A386</f>
        <v>46211</v>
      </c>
      <c r="B379" s="346"/>
      <c r="C379" s="346"/>
      <c r="D379" s="346"/>
      <c r="E379" s="346"/>
      <c r="F379" s="346"/>
      <c r="G379" s="346"/>
      <c r="H379" s="346"/>
      <c r="I379" s="346"/>
      <c r="J379" s="346"/>
      <c r="K379" s="346"/>
      <c r="L379" s="346"/>
      <c r="M379" s="346"/>
      <c r="N379" s="346"/>
      <c r="O379" s="346"/>
      <c r="P379" s="346"/>
      <c r="Q379" s="346"/>
      <c r="R379" s="346"/>
      <c r="S379" s="346"/>
      <c r="T379" s="346"/>
      <c r="U379" s="346"/>
      <c r="V379" s="346"/>
      <c r="W379" s="346"/>
      <c r="X379" s="346"/>
      <c r="Y379" s="346"/>
      <c r="Z379">
        <f t="shared" si="44"/>
        <v>0</v>
      </c>
      <c r="AA379" s="351">
        <f t="shared" si="45"/>
        <v>0</v>
      </c>
    </row>
    <row r="380" spans="1:27">
      <c r="A380" s="165">
        <f>'Conveyor Downtime (new)'!A387</f>
        <v>46212</v>
      </c>
      <c r="Z380">
        <f t="shared" si="44"/>
        <v>0</v>
      </c>
      <c r="AA380" s="351">
        <f t="shared" si="45"/>
        <v>0</v>
      </c>
    </row>
    <row r="381" spans="1:27">
      <c r="A381" s="165">
        <f>'Conveyor Downtime (new)'!A388</f>
        <v>46212</v>
      </c>
      <c r="B381" s="346"/>
      <c r="C381" s="346"/>
      <c r="D381" s="346">
        <v>14</v>
      </c>
      <c r="E381" s="346"/>
      <c r="F381" s="346"/>
      <c r="G381" s="346"/>
      <c r="H381" s="346"/>
      <c r="I381" s="346"/>
      <c r="J381" s="346"/>
      <c r="K381" s="346"/>
      <c r="L381" s="346"/>
      <c r="M381" s="346"/>
      <c r="N381" s="346"/>
      <c r="O381" s="346"/>
      <c r="P381" s="346"/>
      <c r="Q381" s="346"/>
      <c r="R381" s="346"/>
      <c r="S381" s="346"/>
      <c r="T381" s="346"/>
      <c r="U381" s="346"/>
      <c r="V381" s="346"/>
      <c r="W381" s="346"/>
      <c r="X381" s="346"/>
      <c r="Y381" s="346"/>
      <c r="Z381">
        <f t="shared" si="44"/>
        <v>14</v>
      </c>
      <c r="AA381" s="351">
        <f t="shared" si="45"/>
        <v>0.14736842105263157</v>
      </c>
    </row>
    <row r="382" spans="1:27">
      <c r="A382" s="165">
        <f>'Conveyor Downtime (new)'!A389</f>
        <v>46212</v>
      </c>
      <c r="K382">
        <v>4</v>
      </c>
      <c r="Z382">
        <f t="shared" si="44"/>
        <v>4</v>
      </c>
      <c r="AA382" s="351">
        <f t="shared" si="45"/>
        <v>4.2105263157894736E-2</v>
      </c>
    </row>
    <row r="383" spans="1:27">
      <c r="A383" s="165">
        <f>'Conveyor Downtime (new)'!A390</f>
        <v>46213</v>
      </c>
      <c r="B383" s="346"/>
      <c r="C383" s="346"/>
      <c r="D383" s="346"/>
      <c r="E383" s="346"/>
      <c r="F383" s="346"/>
      <c r="G383" s="346"/>
      <c r="H383" s="346"/>
      <c r="I383" s="346">
        <f>45+60</f>
        <v>105</v>
      </c>
      <c r="J383" s="346"/>
      <c r="K383" s="346">
        <f>8+22</f>
        <v>30</v>
      </c>
      <c r="L383" s="346"/>
      <c r="M383" s="346"/>
      <c r="N383" s="346"/>
      <c r="O383" s="346"/>
      <c r="P383" s="346"/>
      <c r="Q383" s="346"/>
      <c r="R383" s="346"/>
      <c r="S383" s="346"/>
      <c r="T383" s="346"/>
      <c r="U383" s="346"/>
      <c r="V383" s="346"/>
      <c r="W383" s="346"/>
      <c r="X383" s="346"/>
      <c r="Y383" s="346"/>
      <c r="Z383">
        <f t="shared" si="44"/>
        <v>135</v>
      </c>
      <c r="AA383" s="351">
        <f t="shared" si="45"/>
        <v>1.4210526315789473</v>
      </c>
    </row>
    <row r="384" spans="1:27">
      <c r="A384" s="165">
        <f>'Conveyor Downtime (new)'!A391</f>
        <v>46213</v>
      </c>
      <c r="I384">
        <f>60+60</f>
        <v>120</v>
      </c>
      <c r="Z384">
        <f t="shared" si="44"/>
        <v>120</v>
      </c>
      <c r="AA384" s="351">
        <f t="shared" si="45"/>
        <v>1.263157894736842</v>
      </c>
    </row>
    <row r="385" spans="1:27">
      <c r="A385" s="165">
        <f>'Conveyor Downtime (new)'!A392</f>
        <v>46216</v>
      </c>
      <c r="B385" s="346"/>
      <c r="C385" s="346"/>
      <c r="D385" s="346"/>
      <c r="E385" s="346"/>
      <c r="F385" s="346">
        <f>8+7</f>
        <v>15</v>
      </c>
      <c r="G385" s="346"/>
      <c r="H385" s="346"/>
      <c r="I385" s="346">
        <f>45</f>
        <v>45</v>
      </c>
      <c r="J385" s="346"/>
      <c r="K385" s="346">
        <f>4</f>
        <v>4</v>
      </c>
      <c r="L385" s="346"/>
      <c r="M385" s="346"/>
      <c r="N385" s="346"/>
      <c r="O385" s="346"/>
      <c r="P385" s="346"/>
      <c r="Q385" s="346"/>
      <c r="R385" s="346"/>
      <c r="S385" s="346"/>
      <c r="T385" s="346"/>
      <c r="U385" s="346"/>
      <c r="V385" s="346"/>
      <c r="W385" s="346"/>
      <c r="X385" s="346"/>
      <c r="Y385" s="346"/>
      <c r="Z385">
        <f t="shared" si="44"/>
        <v>64</v>
      </c>
      <c r="AA385" s="351">
        <f t="shared" si="45"/>
        <v>0.67368421052631577</v>
      </c>
    </row>
    <row r="386" spans="1:27">
      <c r="A386" s="165">
        <f>'Conveyor Downtime (new)'!A393</f>
        <v>46216</v>
      </c>
      <c r="Z386">
        <f t="shared" si="44"/>
        <v>0</v>
      </c>
      <c r="AA386" s="351">
        <f t="shared" si="45"/>
        <v>0</v>
      </c>
    </row>
    <row r="387" spans="1:27">
      <c r="A387" s="165">
        <f>'Conveyor Downtime (new)'!A394</f>
        <v>46217</v>
      </c>
      <c r="B387" s="346"/>
      <c r="C387" s="346"/>
      <c r="D387" s="346"/>
      <c r="E387" s="346"/>
      <c r="F387" s="346"/>
      <c r="G387" s="346"/>
      <c r="H387" s="346"/>
      <c r="I387" s="346"/>
      <c r="J387" s="346"/>
      <c r="K387" s="346"/>
      <c r="L387" s="346"/>
      <c r="M387" s="346"/>
      <c r="N387" s="346"/>
      <c r="O387" s="346"/>
      <c r="P387" s="346"/>
      <c r="Q387" s="346"/>
      <c r="R387" s="346"/>
      <c r="S387" s="346"/>
      <c r="T387" s="346"/>
      <c r="U387" s="346"/>
      <c r="V387" s="346"/>
      <c r="W387" s="346"/>
      <c r="X387" s="346"/>
      <c r="Y387" s="346"/>
      <c r="Z387">
        <f t="shared" si="44"/>
        <v>0</v>
      </c>
      <c r="AA387" s="351">
        <f t="shared" si="45"/>
        <v>0</v>
      </c>
    </row>
    <row r="388" spans="1:27">
      <c r="A388" s="165">
        <f>'Conveyor Downtime (new)'!A395</f>
        <v>46218</v>
      </c>
      <c r="Z388">
        <f t="shared" si="44"/>
        <v>0</v>
      </c>
      <c r="AA388" s="351">
        <f t="shared" si="45"/>
        <v>0</v>
      </c>
    </row>
    <row r="389" spans="1:27">
      <c r="A389" s="165">
        <f>'Conveyor Downtime (new)'!A396</f>
        <v>46218</v>
      </c>
      <c r="B389" s="346"/>
      <c r="C389" s="346"/>
      <c r="D389" s="346"/>
      <c r="E389" s="346"/>
      <c r="F389" s="346"/>
      <c r="G389" s="346"/>
      <c r="H389" s="346"/>
      <c r="I389" s="346"/>
      <c r="J389" s="346"/>
      <c r="K389" s="346">
        <f>9+7+4+3+6+5+2</f>
        <v>36</v>
      </c>
      <c r="L389" s="346"/>
      <c r="M389" s="346"/>
      <c r="N389" s="346"/>
      <c r="O389" s="346"/>
      <c r="P389" s="346"/>
      <c r="Q389" s="346"/>
      <c r="R389" s="346"/>
      <c r="S389" s="346"/>
      <c r="T389" s="346"/>
      <c r="U389" s="346"/>
      <c r="V389" s="346"/>
      <c r="W389" s="346"/>
      <c r="X389" s="346"/>
      <c r="Y389" s="346"/>
      <c r="Z389">
        <f t="shared" si="44"/>
        <v>36</v>
      </c>
      <c r="AA389" s="351">
        <f t="shared" si="45"/>
        <v>0.37894736842105264</v>
      </c>
    </row>
    <row r="390" spans="1:27">
      <c r="A390" s="165">
        <f>'Conveyor Downtime (new)'!A397</f>
        <v>46219</v>
      </c>
      <c r="Z390">
        <f t="shared" si="44"/>
        <v>0</v>
      </c>
      <c r="AA390" s="351">
        <f t="shared" si="45"/>
        <v>0</v>
      </c>
    </row>
    <row r="391" spans="1:27">
      <c r="A391" s="165">
        <f>'Conveyor Downtime (new)'!A398</f>
        <v>46219</v>
      </c>
      <c r="B391" s="346"/>
      <c r="C391" s="346"/>
      <c r="D391" s="346"/>
      <c r="E391" s="346"/>
      <c r="F391" s="346"/>
      <c r="G391" s="346"/>
      <c r="H391" s="346"/>
      <c r="I391" s="346"/>
      <c r="J391" s="346"/>
      <c r="K391" s="346"/>
      <c r="L391" s="346"/>
      <c r="M391" s="346"/>
      <c r="N391" s="346"/>
      <c r="O391" s="346"/>
      <c r="P391" s="346"/>
      <c r="Q391" s="346"/>
      <c r="R391" s="346"/>
      <c r="S391" s="346"/>
      <c r="T391" s="346"/>
      <c r="U391" s="346"/>
      <c r="V391" s="346"/>
      <c r="W391" s="346"/>
      <c r="X391" s="346"/>
      <c r="Y391" s="346"/>
      <c r="Z391">
        <f t="shared" si="44"/>
        <v>0</v>
      </c>
      <c r="AA391" s="351">
        <f t="shared" si="45"/>
        <v>0</v>
      </c>
    </row>
    <row r="392" spans="1:27">
      <c r="A392" s="165">
        <f>'Conveyor Downtime (new)'!A399</f>
        <v>46219</v>
      </c>
      <c r="Z392">
        <f t="shared" si="44"/>
        <v>0</v>
      </c>
      <c r="AA392" s="351">
        <f t="shared" si="45"/>
        <v>0</v>
      </c>
    </row>
    <row r="393" spans="1:27">
      <c r="A393" s="165">
        <f>'Conveyor Downtime (new)'!A400</f>
        <v>46219</v>
      </c>
      <c r="B393" s="346"/>
      <c r="C393" s="346"/>
      <c r="D393" s="346"/>
      <c r="E393" s="346"/>
      <c r="F393" s="346"/>
      <c r="G393" s="346"/>
      <c r="H393" s="346"/>
      <c r="I393" s="346"/>
      <c r="J393" s="346"/>
      <c r="K393" s="346">
        <f>2</f>
        <v>2</v>
      </c>
      <c r="L393" s="346"/>
      <c r="M393" s="346"/>
      <c r="N393" s="346"/>
      <c r="O393" s="346"/>
      <c r="P393" s="346"/>
      <c r="Q393" s="346"/>
      <c r="R393" s="346"/>
      <c r="S393" s="346"/>
      <c r="T393" s="346"/>
      <c r="U393" s="346"/>
      <c r="V393" s="346"/>
      <c r="W393" s="346"/>
      <c r="X393" s="346"/>
      <c r="Y393" s="346"/>
      <c r="Z393">
        <f t="shared" si="44"/>
        <v>2</v>
      </c>
      <c r="AA393" s="351">
        <f t="shared" si="45"/>
        <v>2.1052631578947368E-2</v>
      </c>
    </row>
    <row r="394" spans="1:27">
      <c r="A394" s="165">
        <f>'Conveyor Downtime (new)'!A401</f>
        <v>46220</v>
      </c>
      <c r="Y394">
        <f>20+16+11+14</f>
        <v>61</v>
      </c>
      <c r="Z394">
        <f t="shared" si="44"/>
        <v>61</v>
      </c>
      <c r="AA394" s="351">
        <f t="shared" si="45"/>
        <v>0.64210526315789473</v>
      </c>
    </row>
    <row r="395" spans="1:27">
      <c r="A395" s="165">
        <f>'Conveyor Downtime (new)'!A402</f>
        <v>46220</v>
      </c>
      <c r="B395" s="346"/>
      <c r="C395" s="346"/>
      <c r="D395" s="346"/>
      <c r="E395" s="346"/>
      <c r="F395" s="346"/>
      <c r="G395" s="346"/>
      <c r="H395" s="346"/>
      <c r="I395" s="346">
        <f>60+60+60+40</f>
        <v>220</v>
      </c>
      <c r="J395" s="346"/>
      <c r="K395" s="346"/>
      <c r="L395" s="346"/>
      <c r="M395" s="346"/>
      <c r="N395" s="346"/>
      <c r="O395" s="346"/>
      <c r="P395" s="346"/>
      <c r="Q395" s="346"/>
      <c r="R395" s="346"/>
      <c r="S395" s="346"/>
      <c r="T395" s="346"/>
      <c r="U395" s="346"/>
      <c r="V395" s="346"/>
      <c r="W395" s="346"/>
      <c r="X395" s="346"/>
      <c r="Y395" s="346"/>
      <c r="Z395">
        <f t="shared" si="44"/>
        <v>220</v>
      </c>
      <c r="AA395" s="351">
        <f t="shared" si="45"/>
        <v>2.3157894736842106</v>
      </c>
    </row>
    <row r="396" spans="1:27">
      <c r="A396" s="165">
        <f>'Conveyor Downtime (new)'!A403</f>
        <v>46223</v>
      </c>
      <c r="K396">
        <v>7</v>
      </c>
      <c r="Z396">
        <f t="shared" si="44"/>
        <v>7</v>
      </c>
      <c r="AA396" s="351">
        <f t="shared" si="45"/>
        <v>7.3684210526315783E-2</v>
      </c>
    </row>
    <row r="397" spans="1:27">
      <c r="A397" s="165">
        <f>'Conveyor Downtime (new)'!A404</f>
        <v>46223</v>
      </c>
      <c r="B397" s="346"/>
      <c r="C397" s="346"/>
      <c r="D397" s="346"/>
      <c r="E397" s="346"/>
      <c r="F397" s="346"/>
      <c r="G397" s="346"/>
      <c r="H397" s="346"/>
      <c r="I397" s="346"/>
      <c r="J397" s="346"/>
      <c r="K397" s="346"/>
      <c r="L397" s="346"/>
      <c r="M397" s="346"/>
      <c r="N397" s="346"/>
      <c r="O397" s="346"/>
      <c r="P397" s="346"/>
      <c r="Q397" s="346"/>
      <c r="R397" s="346"/>
      <c r="S397" s="346"/>
      <c r="T397" s="346"/>
      <c r="U397" s="346"/>
      <c r="V397" s="346"/>
      <c r="W397" s="346"/>
      <c r="X397" s="346"/>
      <c r="Y397" s="346"/>
      <c r="Z397">
        <f t="shared" si="44"/>
        <v>0</v>
      </c>
      <c r="AA397" s="351">
        <f t="shared" si="45"/>
        <v>0</v>
      </c>
    </row>
    <row r="398" spans="1:27">
      <c r="A398" s="165">
        <f>'Conveyor Downtime (new)'!A405</f>
        <v>46224</v>
      </c>
      <c r="B398" s="346"/>
      <c r="C398" s="346"/>
      <c r="D398" s="346"/>
      <c r="E398" s="346"/>
      <c r="F398" s="346"/>
      <c r="G398" s="346"/>
      <c r="H398" s="346"/>
      <c r="I398" s="346"/>
      <c r="J398" s="346"/>
      <c r="K398" s="346"/>
      <c r="L398" s="346"/>
      <c r="M398" s="346"/>
      <c r="N398" s="346"/>
      <c r="O398" s="346"/>
      <c r="P398" s="346"/>
      <c r="Q398" s="346"/>
      <c r="R398" s="346"/>
      <c r="S398" s="346"/>
      <c r="T398" s="346"/>
      <c r="U398" s="346"/>
      <c r="V398" s="346"/>
      <c r="W398" s="346"/>
      <c r="X398" s="346"/>
      <c r="Y398" s="346"/>
      <c r="Z398">
        <f t="shared" si="44"/>
        <v>0</v>
      </c>
      <c r="AA398" s="351">
        <f t="shared" si="45"/>
        <v>0</v>
      </c>
    </row>
    <row r="399" spans="1:27">
      <c r="A399" s="165">
        <f>'Conveyor Downtime (new)'!A406</f>
        <v>46224</v>
      </c>
      <c r="Z399">
        <f t="shared" si="44"/>
        <v>0</v>
      </c>
      <c r="AA399" s="351">
        <f t="shared" si="45"/>
        <v>0</v>
      </c>
    </row>
    <row r="400" spans="1:27">
      <c r="A400" s="165">
        <f>'Conveyor Downtime (new)'!A407</f>
        <v>46224</v>
      </c>
      <c r="B400" s="346"/>
      <c r="C400" s="346"/>
      <c r="D400" s="346"/>
      <c r="E400" s="346"/>
      <c r="F400" s="346">
        <f>60+30</f>
        <v>90</v>
      </c>
      <c r="G400" s="346"/>
      <c r="H400" s="346"/>
      <c r="I400" s="346">
        <v>60</v>
      </c>
      <c r="J400" s="346"/>
      <c r="K400" s="346"/>
      <c r="L400" s="346"/>
      <c r="M400" s="346"/>
      <c r="N400" s="346"/>
      <c r="O400" s="346"/>
      <c r="P400" s="346"/>
      <c r="Q400" s="346"/>
      <c r="R400" s="346"/>
      <c r="S400" s="346"/>
      <c r="T400" s="346"/>
      <c r="U400" s="346"/>
      <c r="V400" s="346"/>
      <c r="W400" s="346"/>
      <c r="X400" s="346"/>
      <c r="Y400" s="346"/>
      <c r="Z400">
        <f t="shared" si="44"/>
        <v>150</v>
      </c>
      <c r="AA400" s="351">
        <f t="shared" si="45"/>
        <v>1.5789473684210527</v>
      </c>
    </row>
    <row r="401" spans="1:27">
      <c r="A401" s="165">
        <f>'Conveyor Downtime (new)'!A408</f>
        <v>46225</v>
      </c>
      <c r="Z401">
        <f t="shared" si="44"/>
        <v>0</v>
      </c>
      <c r="AA401" s="351">
        <f t="shared" si="45"/>
        <v>0</v>
      </c>
    </row>
    <row r="402" spans="1:27">
      <c r="A402" s="165">
        <f>'Conveyor Downtime (new)'!A409</f>
        <v>46225</v>
      </c>
      <c r="B402" s="346"/>
      <c r="C402" s="346"/>
      <c r="D402" s="346"/>
      <c r="E402" s="346"/>
      <c r="F402" s="346"/>
      <c r="G402" s="346"/>
      <c r="H402" s="346"/>
      <c r="I402" s="346"/>
      <c r="J402" s="346"/>
      <c r="K402" s="346"/>
      <c r="L402" s="346"/>
      <c r="M402" s="346"/>
      <c r="N402" s="346"/>
      <c r="O402" s="346"/>
      <c r="P402" s="346"/>
      <c r="Q402" s="346"/>
      <c r="R402" s="346"/>
      <c r="S402" s="346"/>
      <c r="T402" s="346"/>
      <c r="U402" s="346"/>
      <c r="V402" s="346"/>
      <c r="W402" s="346"/>
      <c r="X402" s="346"/>
      <c r="Y402" s="346"/>
      <c r="Z402">
        <f t="shared" si="44"/>
        <v>0</v>
      </c>
      <c r="AA402" s="351">
        <f t="shared" si="45"/>
        <v>0</v>
      </c>
    </row>
    <row r="403" spans="1:27">
      <c r="A403" s="165">
        <f>'Conveyor Downtime (new)'!A410</f>
        <v>46226</v>
      </c>
      <c r="Z403">
        <f t="shared" si="44"/>
        <v>0</v>
      </c>
      <c r="AA403" s="351">
        <f t="shared" si="45"/>
        <v>0</v>
      </c>
    </row>
    <row r="404" spans="1:27">
      <c r="A404" s="165">
        <f>'Conveyor Downtime (new)'!A411</f>
        <v>46226</v>
      </c>
      <c r="B404" s="346"/>
      <c r="C404" s="346"/>
      <c r="D404" s="346"/>
      <c r="E404" s="346"/>
      <c r="F404" s="346"/>
      <c r="G404" s="346"/>
      <c r="H404" s="346"/>
      <c r="I404" s="346"/>
      <c r="J404" s="346"/>
      <c r="K404" s="346"/>
      <c r="L404" s="346"/>
      <c r="M404" s="346"/>
      <c r="N404" s="346"/>
      <c r="O404" s="346"/>
      <c r="P404" s="346"/>
      <c r="Q404" s="346"/>
      <c r="R404" s="346"/>
      <c r="S404" s="346"/>
      <c r="T404" s="346"/>
      <c r="U404" s="346"/>
      <c r="V404" s="346"/>
      <c r="W404" s="346"/>
      <c r="X404" s="346"/>
      <c r="Y404" s="346"/>
      <c r="Z404">
        <f t="shared" si="44"/>
        <v>0</v>
      </c>
      <c r="AA404" s="351">
        <f t="shared" si="45"/>
        <v>0</v>
      </c>
    </row>
    <row r="405" spans="1:27">
      <c r="A405" s="165">
        <f>'Conveyor Downtime (new)'!A412</f>
        <v>46227</v>
      </c>
      <c r="Z405">
        <f t="shared" si="44"/>
        <v>0</v>
      </c>
      <c r="AA405" s="351">
        <f t="shared" si="45"/>
        <v>0</v>
      </c>
    </row>
    <row r="406" spans="1:27">
      <c r="A406" s="165">
        <f>'Conveyor Downtime (new)'!A413</f>
        <v>46227</v>
      </c>
      <c r="B406" s="346"/>
      <c r="C406" s="346"/>
      <c r="D406" s="346"/>
      <c r="E406" s="346"/>
      <c r="F406" s="346"/>
      <c r="G406" s="346"/>
      <c r="H406" s="346"/>
      <c r="I406" s="346"/>
      <c r="J406" s="346"/>
      <c r="K406" s="346"/>
      <c r="L406" s="346"/>
      <c r="M406" s="346"/>
      <c r="N406" s="346"/>
      <c r="O406" s="346"/>
      <c r="P406" s="346"/>
      <c r="Q406" s="346"/>
      <c r="R406" s="346"/>
      <c r="S406" s="346"/>
      <c r="T406" s="346"/>
      <c r="U406" s="346"/>
      <c r="V406" s="346"/>
      <c r="W406" s="346"/>
      <c r="X406" s="346"/>
      <c r="Y406" s="346"/>
      <c r="Z406">
        <f t="shared" si="44"/>
        <v>0</v>
      </c>
      <c r="AA406" s="351">
        <f t="shared" si="45"/>
        <v>0</v>
      </c>
    </row>
    <row r="407" spans="1:27">
      <c r="A407" s="165">
        <f>'Conveyor Downtime (new)'!A414</f>
        <v>46230</v>
      </c>
      <c r="Z407">
        <f t="shared" si="44"/>
        <v>0</v>
      </c>
      <c r="AA407" s="351">
        <f t="shared" si="45"/>
        <v>0</v>
      </c>
    </row>
    <row r="408" spans="1:27">
      <c r="A408" s="165">
        <f>'Conveyor Downtime (new)'!A415</f>
        <v>46231</v>
      </c>
      <c r="B408" s="346"/>
      <c r="C408" s="346"/>
      <c r="D408" s="346"/>
      <c r="E408" s="346"/>
      <c r="F408" s="346"/>
      <c r="G408" s="346"/>
      <c r="H408" s="346"/>
      <c r="I408" s="346"/>
      <c r="J408" s="346"/>
      <c r="K408" s="346"/>
      <c r="L408" s="346"/>
      <c r="M408" s="346"/>
      <c r="N408" s="346"/>
      <c r="O408" s="346"/>
      <c r="P408" s="346"/>
      <c r="Q408" s="346"/>
      <c r="R408" s="346"/>
      <c r="S408" s="346"/>
      <c r="T408" s="346"/>
      <c r="U408" s="346"/>
      <c r="V408" s="346"/>
      <c r="W408" s="346"/>
      <c r="X408" s="346"/>
      <c r="Y408" s="346"/>
      <c r="Z408">
        <f t="shared" si="44"/>
        <v>0</v>
      </c>
      <c r="AA408" s="351">
        <f t="shared" si="45"/>
        <v>0</v>
      </c>
    </row>
    <row r="409" spans="1:27">
      <c r="A409" s="165">
        <f>'Conveyor Downtime (new)'!A416</f>
        <v>46231</v>
      </c>
      <c r="Z409">
        <f t="shared" si="44"/>
        <v>0</v>
      </c>
      <c r="AA409" s="351">
        <f t="shared" si="45"/>
        <v>0</v>
      </c>
    </row>
    <row r="410" spans="1:27">
      <c r="A410" s="165">
        <f>'Conveyor Downtime (new)'!A417</f>
        <v>46232</v>
      </c>
      <c r="B410" s="346"/>
      <c r="C410" s="346"/>
      <c r="D410" s="346"/>
      <c r="E410" s="346"/>
      <c r="F410" s="346"/>
      <c r="G410" s="346"/>
      <c r="H410" s="346"/>
      <c r="I410" s="346"/>
      <c r="J410" s="346"/>
      <c r="K410" s="346"/>
      <c r="L410" s="346"/>
      <c r="M410" s="346"/>
      <c r="N410" s="346"/>
      <c r="O410" s="346"/>
      <c r="P410" s="346"/>
      <c r="Q410" s="346"/>
      <c r="R410" s="346"/>
      <c r="S410" s="346"/>
      <c r="T410" s="346"/>
      <c r="U410" s="346"/>
      <c r="V410" s="346"/>
      <c r="W410" s="346"/>
      <c r="X410" s="346"/>
      <c r="Y410" s="346"/>
      <c r="Z410">
        <f t="shared" si="44"/>
        <v>0</v>
      </c>
      <c r="AA410" s="351">
        <f t="shared" si="45"/>
        <v>0</v>
      </c>
    </row>
    <row r="411" spans="1:27">
      <c r="A411" s="165">
        <f>'Conveyor Downtime (new)'!A418</f>
        <v>46232</v>
      </c>
      <c r="Z411">
        <f t="shared" si="44"/>
        <v>0</v>
      </c>
      <c r="AA411" s="351">
        <f t="shared" si="45"/>
        <v>0</v>
      </c>
    </row>
    <row r="412" spans="1:27">
      <c r="A412" s="165">
        <f>'Conveyor Downtime (new)'!A419</f>
        <v>46232</v>
      </c>
      <c r="B412" s="346"/>
      <c r="C412" s="346"/>
      <c r="D412" s="346"/>
      <c r="E412" s="346"/>
      <c r="F412" s="346">
        <f>4</f>
        <v>4</v>
      </c>
      <c r="G412" s="346"/>
      <c r="H412" s="346"/>
      <c r="I412" s="346"/>
      <c r="J412" s="346"/>
      <c r="K412" s="346"/>
      <c r="L412" s="346"/>
      <c r="M412" s="346"/>
      <c r="N412" s="346"/>
      <c r="O412" s="346"/>
      <c r="P412" s="346"/>
      <c r="Q412" s="346"/>
      <c r="R412" s="346"/>
      <c r="S412" s="346"/>
      <c r="T412" s="346"/>
      <c r="U412" s="346"/>
      <c r="V412" s="346"/>
      <c r="W412" s="346"/>
      <c r="X412" s="346">
        <v>5</v>
      </c>
      <c r="Y412" s="346"/>
      <c r="Z412">
        <f t="shared" si="44"/>
        <v>9</v>
      </c>
      <c r="AA412" s="351">
        <f t="shared" si="45"/>
        <v>9.4736842105263161E-2</v>
      </c>
    </row>
    <row r="413" spans="1:27">
      <c r="A413" s="165">
        <f>'Conveyor Downtime (new)'!A420</f>
        <v>46233</v>
      </c>
      <c r="K413">
        <f>2</f>
        <v>2</v>
      </c>
      <c r="Z413">
        <f t="shared" si="44"/>
        <v>2</v>
      </c>
      <c r="AA413" s="351">
        <f t="shared" si="45"/>
        <v>2.1052631578947368E-2</v>
      </c>
    </row>
    <row r="414" spans="1:27">
      <c r="A414" s="165"/>
      <c r="Z414">
        <f t="shared" ref="Z414:Z420" si="46">SUM(B414:Y414)</f>
        <v>0</v>
      </c>
      <c r="AA414" s="351">
        <f t="shared" ref="AA414:AA420" si="47">Z414/$Z$304</f>
        <v>0</v>
      </c>
    </row>
    <row r="415" spans="1:27">
      <c r="A415" s="165"/>
      <c r="Z415">
        <f t="shared" si="46"/>
        <v>0</v>
      </c>
      <c r="AA415" s="351">
        <f t="shared" si="47"/>
        <v>0</v>
      </c>
    </row>
    <row r="416" spans="1:27">
      <c r="A416" s="165"/>
      <c r="Z416">
        <f t="shared" si="46"/>
        <v>0</v>
      </c>
      <c r="AA416" s="351">
        <f t="shared" si="47"/>
        <v>0</v>
      </c>
    </row>
    <row r="417" spans="1:27">
      <c r="A417" s="165"/>
      <c r="Z417">
        <f t="shared" si="46"/>
        <v>0</v>
      </c>
      <c r="AA417" s="351">
        <f t="shared" si="47"/>
        <v>0</v>
      </c>
    </row>
    <row r="418" spans="1:27">
      <c r="A418" s="165"/>
      <c r="Z418">
        <f t="shared" si="46"/>
        <v>0</v>
      </c>
      <c r="AA418" s="351">
        <f t="shared" si="47"/>
        <v>0</v>
      </c>
    </row>
    <row r="419" spans="1:27">
      <c r="A419" s="165"/>
      <c r="B419" s="346"/>
      <c r="C419" s="346"/>
      <c r="D419" s="346"/>
      <c r="E419" s="346"/>
      <c r="F419" s="346"/>
      <c r="G419" s="346"/>
      <c r="H419" s="346"/>
      <c r="I419" s="346"/>
      <c r="J419" s="346"/>
      <c r="K419" s="346"/>
      <c r="L419" s="346"/>
      <c r="M419" s="346"/>
      <c r="N419" s="346"/>
      <c r="O419" s="346"/>
      <c r="P419" s="346"/>
      <c r="Q419" s="346"/>
      <c r="R419" s="346"/>
      <c r="S419" s="346"/>
      <c r="T419" s="346"/>
      <c r="U419" s="346"/>
      <c r="V419" s="346"/>
      <c r="W419" s="346"/>
      <c r="X419" s="346"/>
      <c r="Y419" s="346"/>
      <c r="Z419">
        <f t="shared" si="46"/>
        <v>0</v>
      </c>
      <c r="AA419" s="351">
        <f t="shared" si="47"/>
        <v>0</v>
      </c>
    </row>
    <row r="420" spans="1:27" ht="15">
      <c r="A420" s="347" t="s">
        <v>173</v>
      </c>
      <c r="B420" s="347">
        <f>SUM(B365:B419)</f>
        <v>0</v>
      </c>
      <c r="C420" s="347">
        <f t="shared" ref="C420:Y420" si="48">SUM(C365:C419)</f>
        <v>0</v>
      </c>
      <c r="D420" s="347">
        <f t="shared" si="48"/>
        <v>24</v>
      </c>
      <c r="E420" s="347">
        <f t="shared" si="48"/>
        <v>0</v>
      </c>
      <c r="F420" s="347">
        <f t="shared" si="48"/>
        <v>167</v>
      </c>
      <c r="G420" s="347">
        <f t="shared" si="48"/>
        <v>0</v>
      </c>
      <c r="H420" s="347">
        <f t="shared" si="48"/>
        <v>0</v>
      </c>
      <c r="I420" s="347">
        <f t="shared" si="48"/>
        <v>1019</v>
      </c>
      <c r="J420" s="347">
        <f t="shared" si="48"/>
        <v>0</v>
      </c>
      <c r="K420" s="347">
        <f t="shared" si="48"/>
        <v>263</v>
      </c>
      <c r="L420" s="347">
        <f t="shared" si="48"/>
        <v>11</v>
      </c>
      <c r="M420" s="347">
        <f t="shared" si="48"/>
        <v>0</v>
      </c>
      <c r="N420" s="347">
        <f t="shared" ref="N420" si="49">SUM(N365:N419)</f>
        <v>0</v>
      </c>
      <c r="O420" s="347">
        <f t="shared" si="48"/>
        <v>0</v>
      </c>
      <c r="P420" s="347">
        <f t="shared" si="48"/>
        <v>0</v>
      </c>
      <c r="Q420" s="347">
        <f t="shared" si="48"/>
        <v>0</v>
      </c>
      <c r="R420" s="347">
        <f t="shared" si="48"/>
        <v>0</v>
      </c>
      <c r="S420" s="347">
        <f t="shared" si="48"/>
        <v>0</v>
      </c>
      <c r="T420" s="347">
        <f t="shared" si="48"/>
        <v>0</v>
      </c>
      <c r="U420" s="347">
        <f t="shared" si="48"/>
        <v>0</v>
      </c>
      <c r="V420" s="347"/>
      <c r="W420" s="347">
        <f t="shared" ref="W420:X420" si="50">SUM(W365:W419)</f>
        <v>0</v>
      </c>
      <c r="X420" s="347">
        <f t="shared" si="50"/>
        <v>5</v>
      </c>
      <c r="Y420" s="347">
        <f t="shared" si="48"/>
        <v>61</v>
      </c>
      <c r="Z420">
        <f t="shared" si="46"/>
        <v>1550</v>
      </c>
      <c r="AA420" s="351">
        <f t="shared" si="47"/>
        <v>16.315789473684209</v>
      </c>
    </row>
    <row r="421" spans="1:27" ht="15.75" thickBot="1">
      <c r="A421" s="348" t="s">
        <v>174</v>
      </c>
      <c r="B421" s="348">
        <f t="shared" ref="B421:M421" si="51">B420/$Z420</f>
        <v>0</v>
      </c>
      <c r="C421" s="348">
        <f t="shared" si="51"/>
        <v>0</v>
      </c>
      <c r="D421" s="348">
        <f t="shared" si="51"/>
        <v>1.5483870967741935E-2</v>
      </c>
      <c r="E421" s="348">
        <f t="shared" si="51"/>
        <v>0</v>
      </c>
      <c r="F421" s="348">
        <f t="shared" si="51"/>
        <v>0.10774193548387097</v>
      </c>
      <c r="G421" s="348">
        <f t="shared" si="51"/>
        <v>0</v>
      </c>
      <c r="H421" s="348">
        <f t="shared" si="51"/>
        <v>0</v>
      </c>
      <c r="I421" s="348">
        <f t="shared" si="51"/>
        <v>0.65741935483870972</v>
      </c>
      <c r="J421" s="348">
        <f t="shared" si="51"/>
        <v>0</v>
      </c>
      <c r="K421" s="348">
        <f t="shared" si="51"/>
        <v>0.16967741935483871</v>
      </c>
      <c r="L421" s="348">
        <f t="shared" si="51"/>
        <v>7.0967741935483875E-3</v>
      </c>
      <c r="M421" s="348">
        <f t="shared" si="51"/>
        <v>0</v>
      </c>
      <c r="N421" s="348">
        <f t="shared" ref="N421" si="52">N420/$Z420</f>
        <v>0</v>
      </c>
      <c r="O421" s="348">
        <f t="shared" ref="O421:U421" si="53">O420/$Z420</f>
        <v>0</v>
      </c>
      <c r="P421" s="348">
        <f t="shared" si="53"/>
        <v>0</v>
      </c>
      <c r="Q421" s="348">
        <f t="shared" si="53"/>
        <v>0</v>
      </c>
      <c r="R421" s="348">
        <f t="shared" si="53"/>
        <v>0</v>
      </c>
      <c r="S421" s="348">
        <f t="shared" si="53"/>
        <v>0</v>
      </c>
      <c r="T421" s="348">
        <f t="shared" si="53"/>
        <v>0</v>
      </c>
      <c r="U421" s="348">
        <f t="shared" si="53"/>
        <v>0</v>
      </c>
      <c r="V421" s="348"/>
      <c r="W421" s="348">
        <f t="shared" ref="W421:X421" si="54">W420/$Z420</f>
        <v>0</v>
      </c>
      <c r="X421" s="348">
        <f t="shared" si="54"/>
        <v>3.2258064516129032E-3</v>
      </c>
      <c r="Y421" s="348">
        <f>Y420/$Z420</f>
        <v>3.9354838709677417E-2</v>
      </c>
      <c r="AA421" s="351"/>
    </row>
    <row r="422" spans="1:27">
      <c r="AA422" s="351"/>
    </row>
    <row r="423" spans="1:27">
      <c r="AA423" s="351"/>
    </row>
    <row r="424" spans="1:27">
      <c r="AA424" s="351"/>
    </row>
    <row r="425" spans="1:27">
      <c r="A425" s="165">
        <f>'Conveyor Downtime (new)'!A433</f>
        <v>46237</v>
      </c>
      <c r="F425">
        <f>9+8</f>
        <v>17</v>
      </c>
      <c r="I425">
        <f>25</f>
        <v>25</v>
      </c>
      <c r="K425">
        <f>6</f>
        <v>6</v>
      </c>
      <c r="L425">
        <v>8</v>
      </c>
      <c r="S425">
        <f>7+5</f>
        <v>12</v>
      </c>
      <c r="Z425">
        <f t="shared" ref="Z425:Z476" si="55">SUM(B425:Y425)</f>
        <v>68</v>
      </c>
      <c r="AA425" s="351">
        <f>Z425/$Z$476</f>
        <v>9.5104895104895101E-2</v>
      </c>
    </row>
    <row r="426" spans="1:27">
      <c r="A426" s="165">
        <f>'Conveyor Downtime (new)'!A434</f>
        <v>46238</v>
      </c>
      <c r="B426" s="346"/>
      <c r="C426" s="346"/>
      <c r="D426" s="346"/>
      <c r="E426" s="346"/>
      <c r="F426" s="346">
        <f>6+4</f>
        <v>10</v>
      </c>
      <c r="G426" s="346"/>
      <c r="H426" s="346"/>
      <c r="I426" s="346"/>
      <c r="J426" s="346"/>
      <c r="K426" s="346"/>
      <c r="L426" s="346"/>
      <c r="M426" s="346"/>
      <c r="N426" s="346"/>
      <c r="O426" s="346"/>
      <c r="P426" s="346"/>
      <c r="Q426" s="346"/>
      <c r="R426" s="346"/>
      <c r="S426" s="346">
        <f>35+30</f>
        <v>65</v>
      </c>
      <c r="T426" s="346"/>
      <c r="U426" s="346"/>
      <c r="V426" s="346"/>
      <c r="W426" s="346"/>
      <c r="X426" s="346"/>
      <c r="Y426" s="346"/>
      <c r="Z426">
        <f t="shared" si="55"/>
        <v>75</v>
      </c>
      <c r="AA426" s="351">
        <f>Z426/$Z$476</f>
        <v>0.1048951048951049</v>
      </c>
    </row>
    <row r="427" spans="1:27">
      <c r="A427" s="165">
        <f>'Conveyor Downtime (new)'!A435</f>
        <v>46239</v>
      </c>
      <c r="Z427">
        <f t="shared" si="55"/>
        <v>0</v>
      </c>
      <c r="AA427" s="351">
        <f>Z427/$Z$476</f>
        <v>0</v>
      </c>
    </row>
    <row r="428" spans="1:27">
      <c r="A428" s="165">
        <f>'Conveyor Downtime (new)'!A436</f>
        <v>46239</v>
      </c>
      <c r="B428" s="346"/>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f t="shared" si="55"/>
        <v>0</v>
      </c>
      <c r="AA428" s="351">
        <f>Z428/$Z$476</f>
        <v>0</v>
      </c>
    </row>
    <row r="429" spans="1:27">
      <c r="A429" s="165">
        <f>'Conveyor Downtime (new)'!A437</f>
        <v>46239</v>
      </c>
      <c r="Z429">
        <f t="shared" si="55"/>
        <v>0</v>
      </c>
      <c r="AA429" s="351">
        <f>Z429/$Z$476</f>
        <v>0</v>
      </c>
    </row>
    <row r="430" spans="1:27">
      <c r="A430" s="165">
        <f>'Conveyor Downtime (new)'!A438</f>
        <v>46240</v>
      </c>
      <c r="B430" s="346"/>
      <c r="C430" s="346"/>
      <c r="D430" s="346"/>
      <c r="E430" s="346"/>
      <c r="F430" s="346"/>
      <c r="G430" s="346"/>
      <c r="H430" s="346"/>
      <c r="I430" s="346"/>
      <c r="J430" s="346"/>
      <c r="K430" s="346">
        <f>6</f>
        <v>6</v>
      </c>
      <c r="L430" s="346"/>
      <c r="M430" s="346">
        <f>4</f>
        <v>4</v>
      </c>
      <c r="N430" s="346"/>
      <c r="O430" s="346"/>
      <c r="P430" s="346"/>
      <c r="Q430" s="346"/>
      <c r="R430" s="346"/>
      <c r="S430" s="346"/>
      <c r="T430" s="346"/>
      <c r="U430" s="346"/>
      <c r="V430" s="346"/>
      <c r="W430" s="346">
        <f>5</f>
        <v>5</v>
      </c>
      <c r="X430" s="346"/>
      <c r="Y430" s="346"/>
      <c r="Z430">
        <f t="shared" si="55"/>
        <v>15</v>
      </c>
      <c r="AA430" s="351">
        <f t="shared" ref="AA430:AA474" si="56">Z430/$Z$476</f>
        <v>2.097902097902098E-2</v>
      </c>
    </row>
    <row r="431" spans="1:27">
      <c r="A431" s="165">
        <f>'Conveyor Downtime (new)'!A439</f>
        <v>46241</v>
      </c>
      <c r="F431">
        <f>6+4</f>
        <v>10</v>
      </c>
      <c r="I431">
        <f>60+20</f>
        <v>80</v>
      </c>
      <c r="K431">
        <f>6+13+16</f>
        <v>35</v>
      </c>
      <c r="Z431">
        <f t="shared" si="55"/>
        <v>125</v>
      </c>
      <c r="AA431" s="351">
        <f t="shared" si="56"/>
        <v>0.17482517482517482</v>
      </c>
    </row>
    <row r="432" spans="1:27">
      <c r="A432" s="165">
        <f>'Conveyor Downtime (new)'!A440</f>
        <v>46241</v>
      </c>
      <c r="B432" s="346"/>
      <c r="C432" s="346"/>
      <c r="D432" s="346"/>
      <c r="E432" s="346"/>
      <c r="F432" s="346"/>
      <c r="G432" s="346"/>
      <c r="H432" s="346"/>
      <c r="I432" s="346"/>
      <c r="J432" s="346"/>
      <c r="K432" s="346"/>
      <c r="L432" s="346"/>
      <c r="M432" s="346"/>
      <c r="N432" s="346"/>
      <c r="O432" s="346"/>
      <c r="P432" s="346"/>
      <c r="Q432" s="346"/>
      <c r="R432" s="346"/>
      <c r="S432" s="346"/>
      <c r="U432" s="346"/>
      <c r="V432" s="346"/>
      <c r="W432" s="346"/>
      <c r="X432" s="346"/>
      <c r="Y432" s="346"/>
      <c r="Z432">
        <f t="shared" si="55"/>
        <v>0</v>
      </c>
      <c r="AA432" s="351">
        <f t="shared" si="56"/>
        <v>0</v>
      </c>
    </row>
    <row r="433" spans="1:27">
      <c r="A433" s="165">
        <f>'Conveyor Downtime (new)'!A441</f>
        <v>46246</v>
      </c>
      <c r="F433">
        <f>6+15+10+5</f>
        <v>36</v>
      </c>
      <c r="K433">
        <f>3+5</f>
        <v>8</v>
      </c>
      <c r="L433">
        <f>5</f>
        <v>5</v>
      </c>
      <c r="Z433">
        <f t="shared" si="55"/>
        <v>49</v>
      </c>
      <c r="AA433" s="351">
        <f t="shared" si="56"/>
        <v>6.8531468531468534E-2</v>
      </c>
    </row>
    <row r="434" spans="1:27">
      <c r="A434" s="165">
        <f>'Conveyor Downtime (new)'!A442</f>
        <v>46247</v>
      </c>
      <c r="B434" s="346"/>
      <c r="C434" s="346"/>
      <c r="D434" s="346"/>
      <c r="E434" s="346"/>
      <c r="F434" s="346">
        <f>4</f>
        <v>4</v>
      </c>
      <c r="G434" s="346"/>
      <c r="H434" s="346"/>
      <c r="I434" s="346"/>
      <c r="J434" s="346"/>
      <c r="K434" s="346"/>
      <c r="L434" s="346"/>
      <c r="M434" s="346"/>
      <c r="N434" s="346"/>
      <c r="O434" s="346"/>
      <c r="P434" s="346"/>
      <c r="Q434" s="346"/>
      <c r="R434" s="346"/>
      <c r="S434" s="346"/>
      <c r="T434" s="346"/>
      <c r="U434" s="346"/>
      <c r="V434" s="346"/>
      <c r="W434" s="346"/>
      <c r="X434" s="346"/>
      <c r="Y434" s="346"/>
      <c r="Z434">
        <f t="shared" si="55"/>
        <v>4</v>
      </c>
      <c r="AA434" s="351">
        <f t="shared" si="56"/>
        <v>5.5944055944055944E-3</v>
      </c>
    </row>
    <row r="435" spans="1:27">
      <c r="A435" s="165">
        <f>'Conveyor Downtime (new)'!A443</f>
        <v>46247</v>
      </c>
      <c r="Z435">
        <f t="shared" si="55"/>
        <v>0</v>
      </c>
      <c r="AA435" s="351">
        <f t="shared" si="56"/>
        <v>0</v>
      </c>
    </row>
    <row r="436" spans="1:27">
      <c r="A436" s="165">
        <f>'Conveyor Downtime (new)'!A444</f>
        <v>46247</v>
      </c>
      <c r="B436" s="346"/>
      <c r="C436" s="346"/>
      <c r="D436" s="346"/>
      <c r="E436" s="346"/>
      <c r="F436" s="346"/>
      <c r="G436" s="346"/>
      <c r="H436" s="346"/>
      <c r="I436" s="346"/>
      <c r="J436" s="346"/>
      <c r="K436" s="346"/>
      <c r="L436" s="346"/>
      <c r="M436" s="346"/>
      <c r="N436" s="346"/>
      <c r="O436" s="346"/>
      <c r="P436" s="346"/>
      <c r="Q436" s="346"/>
      <c r="R436" s="346"/>
      <c r="S436" s="346"/>
      <c r="T436" s="346"/>
      <c r="U436" s="346"/>
      <c r="V436" s="346"/>
      <c r="W436" s="346"/>
      <c r="X436" s="346"/>
      <c r="Y436" s="346"/>
      <c r="Z436">
        <f t="shared" si="55"/>
        <v>0</v>
      </c>
      <c r="AA436" s="351">
        <f t="shared" si="56"/>
        <v>0</v>
      </c>
    </row>
    <row r="437" spans="1:27">
      <c r="A437" s="165">
        <f>'Conveyor Downtime (new)'!A445</f>
        <v>46248</v>
      </c>
      <c r="F437">
        <f>9+16</f>
        <v>25</v>
      </c>
      <c r="K437">
        <f>6</f>
        <v>6</v>
      </c>
      <c r="Z437">
        <f t="shared" si="55"/>
        <v>31</v>
      </c>
      <c r="AA437" s="351">
        <f t="shared" si="56"/>
        <v>4.3356643356643354E-2</v>
      </c>
    </row>
    <row r="438" spans="1:27">
      <c r="A438" s="165">
        <f>'Conveyor Downtime (new)'!A446</f>
        <v>46248</v>
      </c>
      <c r="B438" s="346"/>
      <c r="C438" s="346"/>
      <c r="D438" s="346"/>
      <c r="E438" s="346"/>
      <c r="F438" s="346"/>
      <c r="G438" s="346"/>
      <c r="H438" s="346"/>
      <c r="I438" s="346"/>
      <c r="J438" s="346"/>
      <c r="K438" s="346"/>
      <c r="L438" s="346"/>
      <c r="M438" s="346"/>
      <c r="N438" s="346"/>
      <c r="O438" s="346"/>
      <c r="P438" s="346"/>
      <c r="Q438" s="346"/>
      <c r="R438" s="346"/>
      <c r="S438" s="346"/>
      <c r="T438" s="346"/>
      <c r="U438" s="346"/>
      <c r="V438" s="346"/>
      <c r="W438" s="346"/>
      <c r="X438" s="346"/>
      <c r="Y438" s="346"/>
      <c r="Z438">
        <f t="shared" si="55"/>
        <v>0</v>
      </c>
      <c r="AA438" s="351">
        <f t="shared" si="56"/>
        <v>0</v>
      </c>
    </row>
    <row r="439" spans="1:27">
      <c r="A439" s="165">
        <f>'Conveyor Downtime (new)'!A447</f>
        <v>46251</v>
      </c>
      <c r="Z439">
        <f t="shared" si="55"/>
        <v>0</v>
      </c>
      <c r="AA439" s="351">
        <f t="shared" si="56"/>
        <v>0</v>
      </c>
    </row>
    <row r="440" spans="1:27">
      <c r="A440" s="165">
        <f>'Conveyor Downtime (new)'!A448</f>
        <v>46251</v>
      </c>
      <c r="B440" s="346"/>
      <c r="C440" s="346"/>
      <c r="D440" s="346"/>
      <c r="E440" s="346"/>
      <c r="F440" s="346"/>
      <c r="G440" s="346"/>
      <c r="H440" s="346"/>
      <c r="I440" s="346"/>
      <c r="J440" s="346"/>
      <c r="K440" s="346"/>
      <c r="L440" s="346"/>
      <c r="M440" s="346"/>
      <c r="N440" s="346"/>
      <c r="O440" s="346"/>
      <c r="P440" s="346"/>
      <c r="Q440" s="346"/>
      <c r="R440" s="346"/>
      <c r="S440" s="346"/>
      <c r="T440" s="346"/>
      <c r="U440" s="346"/>
      <c r="V440" s="346"/>
      <c r="W440" s="346"/>
      <c r="X440" s="346"/>
      <c r="Y440" s="346"/>
      <c r="Z440">
        <f t="shared" si="55"/>
        <v>0</v>
      </c>
      <c r="AA440" s="351">
        <f t="shared" si="56"/>
        <v>0</v>
      </c>
    </row>
    <row r="441" spans="1:27" s="363" customFormat="1">
      <c r="A441" s="628">
        <f>'Conveyor Downtime (new)'!A449</f>
        <v>46252</v>
      </c>
      <c r="Z441">
        <f t="shared" si="55"/>
        <v>0</v>
      </c>
      <c r="AA441" s="629">
        <f t="shared" si="56"/>
        <v>0</v>
      </c>
    </row>
    <row r="442" spans="1:27">
      <c r="A442" s="165">
        <f>'Conveyor Downtime (new)'!A450</f>
        <v>46252</v>
      </c>
      <c r="B442" s="346"/>
      <c r="C442" s="346"/>
      <c r="D442" s="346"/>
      <c r="E442" s="346"/>
      <c r="F442" s="346"/>
      <c r="G442" s="346"/>
      <c r="H442" s="346"/>
      <c r="I442" s="346"/>
      <c r="J442" s="346"/>
      <c r="K442" s="346"/>
      <c r="L442" s="346"/>
      <c r="M442" s="346"/>
      <c r="N442" s="346"/>
      <c r="O442" s="346"/>
      <c r="P442" s="346"/>
      <c r="Q442" s="346"/>
      <c r="R442" s="346"/>
      <c r="S442" s="346"/>
      <c r="T442" s="346"/>
      <c r="U442" s="346"/>
      <c r="V442" s="346"/>
      <c r="W442" s="346"/>
      <c r="X442" s="346"/>
      <c r="Y442" s="346"/>
      <c r="Z442">
        <f t="shared" si="55"/>
        <v>0</v>
      </c>
      <c r="AA442" s="351">
        <f t="shared" si="56"/>
        <v>0</v>
      </c>
    </row>
    <row r="443" spans="1:27" s="363" customFormat="1">
      <c r="A443" s="628">
        <f>'Conveyor Downtime (new)'!A451</f>
        <v>46253</v>
      </c>
      <c r="K443" s="363">
        <f>3+9</f>
        <v>12</v>
      </c>
      <c r="Z443">
        <f t="shared" si="55"/>
        <v>12</v>
      </c>
      <c r="AA443" s="629">
        <f t="shared" si="56"/>
        <v>1.6783216783216783E-2</v>
      </c>
    </row>
    <row r="444" spans="1:27">
      <c r="A444" s="165">
        <f>'Conveyor Downtime (new)'!A452</f>
        <v>46253</v>
      </c>
      <c r="B444" s="346"/>
      <c r="C444" s="346"/>
      <c r="D444" s="346"/>
      <c r="E444" s="346"/>
      <c r="F444" s="346"/>
      <c r="G444" s="346"/>
      <c r="H444" s="346"/>
      <c r="I444" s="346">
        <f>60+28+30</f>
        <v>118</v>
      </c>
      <c r="J444" s="346"/>
      <c r="K444" s="346">
        <f>5</f>
        <v>5</v>
      </c>
      <c r="L444" s="346"/>
      <c r="M444" s="346"/>
      <c r="N444" s="346"/>
      <c r="O444" s="346"/>
      <c r="P444" s="346"/>
      <c r="Q444" s="346"/>
      <c r="R444" s="346"/>
      <c r="S444" s="346"/>
      <c r="T444" s="346"/>
      <c r="U444" s="346"/>
      <c r="V444" s="346"/>
      <c r="W444" s="346"/>
      <c r="X444" s="346"/>
      <c r="Y444" s="346"/>
      <c r="Z444">
        <f t="shared" si="55"/>
        <v>123</v>
      </c>
      <c r="AA444" s="351">
        <f t="shared" si="56"/>
        <v>0.17202797202797201</v>
      </c>
    </row>
    <row r="445" spans="1:27" s="363" customFormat="1">
      <c r="A445" s="165">
        <f>'Conveyor Downtime (new)'!A453</f>
        <v>46254</v>
      </c>
      <c r="F445" s="363">
        <f>7</f>
        <v>7</v>
      </c>
      <c r="Z445">
        <f t="shared" si="55"/>
        <v>7</v>
      </c>
      <c r="AA445" s="629">
        <f t="shared" si="56"/>
        <v>9.7902097902097911E-3</v>
      </c>
    </row>
    <row r="446" spans="1:27">
      <c r="A446" s="165">
        <f>'Conveyor Downtime (new)'!A454</f>
        <v>46254</v>
      </c>
      <c r="B446" s="346"/>
      <c r="C446" s="346"/>
      <c r="D446" s="346"/>
      <c r="E446" s="346"/>
      <c r="F446" s="346"/>
      <c r="G446" s="346"/>
      <c r="H446" s="346"/>
      <c r="I446" s="346"/>
      <c r="J446" s="346"/>
      <c r="K446" s="346"/>
      <c r="L446" s="346"/>
      <c r="M446" s="346"/>
      <c r="N446" s="346"/>
      <c r="O446" s="346"/>
      <c r="P446" s="346"/>
      <c r="Q446" s="346"/>
      <c r="R446" s="346"/>
      <c r="S446" s="346"/>
      <c r="T446" s="346"/>
      <c r="U446" s="346"/>
      <c r="V446" s="346"/>
      <c r="W446" s="346"/>
      <c r="X446" s="346"/>
      <c r="Y446" s="346"/>
      <c r="Z446">
        <f t="shared" si="55"/>
        <v>0</v>
      </c>
      <c r="AA446" s="351">
        <f t="shared" si="56"/>
        <v>0</v>
      </c>
    </row>
    <row r="447" spans="1:27" s="363" customFormat="1">
      <c r="A447" s="165">
        <f>'Conveyor Downtime (new)'!A455</f>
        <v>46258</v>
      </c>
      <c r="Z447">
        <f t="shared" si="55"/>
        <v>0</v>
      </c>
      <c r="AA447" s="629">
        <f t="shared" si="56"/>
        <v>0</v>
      </c>
    </row>
    <row r="448" spans="1:27">
      <c r="A448" s="165">
        <f>'Conveyor Downtime (new)'!A456</f>
        <v>46258</v>
      </c>
      <c r="B448" s="346"/>
      <c r="C448" s="346"/>
      <c r="D448" s="346"/>
      <c r="E448" s="346"/>
      <c r="F448" s="346"/>
      <c r="G448" s="346"/>
      <c r="H448" s="346"/>
      <c r="I448" s="346"/>
      <c r="J448" s="346"/>
      <c r="K448" s="346">
        <f>8</f>
        <v>8</v>
      </c>
      <c r="L448" s="346"/>
      <c r="M448" s="346"/>
      <c r="N448" s="346"/>
      <c r="O448" s="346"/>
      <c r="P448" s="346"/>
      <c r="Q448" s="346"/>
      <c r="R448" s="346"/>
      <c r="S448" s="346"/>
      <c r="T448" s="346"/>
      <c r="U448" s="346"/>
      <c r="V448" s="346"/>
      <c r="W448" s="346"/>
      <c r="X448" s="346"/>
      <c r="Y448" s="346"/>
      <c r="Z448">
        <f t="shared" si="55"/>
        <v>8</v>
      </c>
      <c r="AA448" s="351">
        <f t="shared" si="56"/>
        <v>1.1188811188811189E-2</v>
      </c>
    </row>
    <row r="449" spans="1:27" s="363" customFormat="1">
      <c r="A449" s="165">
        <f>'Conveyor Downtime (new)'!A457</f>
        <v>46259</v>
      </c>
      <c r="F449" s="363">
        <f>37+7+6+5+5+10+5+4+5</f>
        <v>84</v>
      </c>
      <c r="K449" s="363">
        <f>7+6</f>
        <v>13</v>
      </c>
      <c r="V449" s="363">
        <f>6+3+4+7+5+5+5+13+18+2+5+2+3</f>
        <v>78</v>
      </c>
      <c r="Z449">
        <f t="shared" si="55"/>
        <v>175</v>
      </c>
      <c r="AA449" s="629">
        <f t="shared" si="56"/>
        <v>0.24475524475524477</v>
      </c>
    </row>
    <row r="450" spans="1:27">
      <c r="A450" s="165">
        <f>'Conveyor Downtime (new)'!A458</f>
        <v>46259</v>
      </c>
      <c r="B450" s="346"/>
      <c r="C450" s="346"/>
      <c r="D450" s="346"/>
      <c r="E450" s="346"/>
      <c r="F450" s="346"/>
      <c r="G450" s="346"/>
      <c r="H450" s="346"/>
      <c r="I450" s="346"/>
      <c r="J450" s="346"/>
      <c r="K450" s="346"/>
      <c r="L450" s="346"/>
      <c r="M450" s="346"/>
      <c r="N450" s="346"/>
      <c r="O450" s="346"/>
      <c r="P450" s="346"/>
      <c r="Q450" s="346"/>
      <c r="R450" s="346"/>
      <c r="S450" s="346"/>
      <c r="T450" s="346"/>
      <c r="U450" s="346"/>
      <c r="V450" s="346"/>
      <c r="W450" s="346"/>
      <c r="X450" s="346"/>
      <c r="Y450" s="346"/>
      <c r="Z450">
        <f t="shared" si="55"/>
        <v>0</v>
      </c>
      <c r="AA450" s="351">
        <f t="shared" si="56"/>
        <v>0</v>
      </c>
    </row>
    <row r="451" spans="1:27" s="363" customFormat="1">
      <c r="A451" s="165">
        <f>'Conveyor Downtime (new)'!A459</f>
        <v>46260</v>
      </c>
      <c r="F451" s="363">
        <f>20</f>
        <v>20</v>
      </c>
      <c r="K451" s="363">
        <v>4</v>
      </c>
      <c r="Z451">
        <f t="shared" si="55"/>
        <v>24</v>
      </c>
      <c r="AA451" s="629">
        <f t="shared" si="56"/>
        <v>3.3566433566433566E-2</v>
      </c>
    </row>
    <row r="452" spans="1:27">
      <c r="A452" s="165">
        <f>'Conveyor Downtime (new)'!A460</f>
        <v>46260</v>
      </c>
      <c r="B452" s="346"/>
      <c r="C452" s="346"/>
      <c r="D452" s="346"/>
      <c r="E452" s="346"/>
      <c r="F452" s="346"/>
      <c r="G452" s="346"/>
      <c r="H452" s="346"/>
      <c r="I452" s="346"/>
      <c r="J452" s="346"/>
      <c r="K452" s="346"/>
      <c r="L452" s="346"/>
      <c r="M452" s="346"/>
      <c r="N452" s="346"/>
      <c r="O452" s="346"/>
      <c r="P452" s="346"/>
      <c r="Q452" s="346"/>
      <c r="R452" s="346"/>
      <c r="S452" s="346"/>
      <c r="T452" s="346"/>
      <c r="U452" s="346"/>
      <c r="V452" s="346"/>
      <c r="W452" s="346"/>
      <c r="X452" s="346"/>
      <c r="Y452" s="346"/>
      <c r="Z452">
        <f t="shared" si="55"/>
        <v>0</v>
      </c>
      <c r="AA452" s="351">
        <f t="shared" si="56"/>
        <v>0</v>
      </c>
    </row>
    <row r="453" spans="1:27" s="363" customFormat="1">
      <c r="A453" s="165">
        <f>'Conveyor Downtime (new)'!A461</f>
        <v>46261</v>
      </c>
      <c r="K453" s="363">
        <f>2</f>
        <v>2</v>
      </c>
      <c r="Z453">
        <f t="shared" si="55"/>
        <v>2</v>
      </c>
      <c r="AA453" s="629">
        <f t="shared" si="56"/>
        <v>2.7972027972027972E-3</v>
      </c>
    </row>
    <row r="454" spans="1:27">
      <c r="A454" s="165">
        <f>'Conveyor Downtime (new)'!A462</f>
        <v>46261</v>
      </c>
      <c r="B454" s="346"/>
      <c r="C454" s="346"/>
      <c r="D454" s="346"/>
      <c r="E454" s="346"/>
      <c r="F454" s="346"/>
      <c r="G454" s="346"/>
      <c r="H454" s="346"/>
      <c r="I454" s="346"/>
      <c r="J454" s="346"/>
      <c r="K454" s="346"/>
      <c r="L454" s="346"/>
      <c r="M454" s="346"/>
      <c r="N454" s="346"/>
      <c r="O454" s="346"/>
      <c r="P454" s="346"/>
      <c r="Q454" s="346"/>
      <c r="R454" s="346"/>
      <c r="S454" s="346"/>
      <c r="T454" s="346"/>
      <c r="U454" s="346"/>
      <c r="V454" s="346"/>
      <c r="W454" s="346"/>
      <c r="X454" s="346"/>
      <c r="Y454" s="346"/>
      <c r="Z454">
        <f t="shared" si="55"/>
        <v>0</v>
      </c>
      <c r="AA454" s="351">
        <f t="shared" si="56"/>
        <v>0</v>
      </c>
    </row>
    <row r="455" spans="1:27" s="363" customFormat="1">
      <c r="A455" s="165">
        <f>'Conveyor Downtime (new)'!A463</f>
        <v>46261</v>
      </c>
      <c r="Z455">
        <f t="shared" si="55"/>
        <v>0</v>
      </c>
      <c r="AA455" s="629">
        <f t="shared" si="56"/>
        <v>0</v>
      </c>
    </row>
    <row r="456" spans="1:27">
      <c r="A456" s="165">
        <f>'Conveyor Downtime (new)'!A464</f>
        <v>46262</v>
      </c>
      <c r="B456" s="346"/>
      <c r="C456" s="346"/>
      <c r="D456" s="346"/>
      <c r="E456" s="346"/>
      <c r="F456" s="346"/>
      <c r="G456" s="346"/>
      <c r="H456" s="346"/>
      <c r="I456" s="346"/>
      <c r="J456" s="346"/>
      <c r="K456" s="346"/>
      <c r="L456" s="346"/>
      <c r="M456" s="346"/>
      <c r="N456" s="346"/>
      <c r="O456" s="346"/>
      <c r="P456" s="346"/>
      <c r="Q456" s="346"/>
      <c r="R456" s="346"/>
      <c r="S456" s="346"/>
      <c r="T456" s="346"/>
      <c r="U456" s="346"/>
      <c r="V456" s="346"/>
      <c r="W456" s="346"/>
      <c r="X456" s="346"/>
      <c r="Y456" s="346"/>
      <c r="Z456">
        <f t="shared" si="55"/>
        <v>0</v>
      </c>
      <c r="AA456" s="351">
        <f t="shared" si="56"/>
        <v>0</v>
      </c>
    </row>
    <row r="457" spans="1:27" s="363" customFormat="1">
      <c r="A457" s="165">
        <f>'Conveyor Downtime (new)'!A465</f>
        <v>46262</v>
      </c>
      <c r="Z457">
        <f t="shared" si="55"/>
        <v>0</v>
      </c>
      <c r="AA457" s="629">
        <f t="shared" si="56"/>
        <v>0</v>
      </c>
    </row>
    <row r="458" spans="1:27">
      <c r="A458" s="165">
        <f>'Conveyor Downtime (new)'!A466</f>
        <v>46262</v>
      </c>
      <c r="B458" s="346"/>
      <c r="C458" s="346"/>
      <c r="D458" s="346"/>
      <c r="E458" s="346"/>
      <c r="F458" s="346"/>
      <c r="G458" s="346"/>
      <c r="H458" s="346"/>
      <c r="I458" s="346"/>
      <c r="J458" s="346"/>
      <c r="K458" s="346"/>
      <c r="L458" s="346"/>
      <c r="M458" s="346"/>
      <c r="N458" s="346"/>
      <c r="O458" s="346"/>
      <c r="P458" s="346"/>
      <c r="Q458" s="346"/>
      <c r="R458" s="346"/>
      <c r="S458" s="346"/>
      <c r="T458" s="346"/>
      <c r="U458" s="346"/>
      <c r="V458" s="346"/>
      <c r="W458" s="346"/>
      <c r="X458" s="346"/>
      <c r="Y458" s="346"/>
      <c r="Z458">
        <f t="shared" si="55"/>
        <v>0</v>
      </c>
      <c r="AA458" s="351">
        <f t="shared" si="56"/>
        <v>0</v>
      </c>
    </row>
    <row r="459" spans="1:27" s="363" customFormat="1">
      <c r="A459" s="165">
        <f>'Conveyor Downtime (new)'!A467</f>
        <v>46262</v>
      </c>
      <c r="I459" s="363">
        <f>60+7</f>
        <v>67</v>
      </c>
      <c r="K459" s="363">
        <f>4+4</f>
        <v>8</v>
      </c>
      <c r="Z459">
        <f t="shared" si="55"/>
        <v>75</v>
      </c>
      <c r="AA459" s="629">
        <f t="shared" si="56"/>
        <v>0.1048951048951049</v>
      </c>
    </row>
    <row r="460" spans="1:27">
      <c r="A460" s="165">
        <f>'Conveyor Downtime (new)'!A468</f>
        <v>46265</v>
      </c>
      <c r="B460" s="346"/>
      <c r="C460" s="346"/>
      <c r="D460" s="346"/>
      <c r="E460" s="346"/>
      <c r="F460" s="346"/>
      <c r="G460" s="346"/>
      <c r="H460" s="346"/>
      <c r="I460" s="346"/>
      <c r="J460" s="346"/>
      <c r="K460" s="346"/>
      <c r="L460" s="346"/>
      <c r="M460" s="346"/>
      <c r="N460" s="346"/>
      <c r="O460" s="346"/>
      <c r="P460" s="346"/>
      <c r="Q460" s="346"/>
      <c r="R460" s="346"/>
      <c r="S460" s="346"/>
      <c r="T460" s="346"/>
      <c r="U460" s="346"/>
      <c r="V460" s="346"/>
      <c r="W460" s="346"/>
      <c r="X460" s="346"/>
      <c r="Y460" s="346"/>
      <c r="Z460">
        <f t="shared" si="55"/>
        <v>0</v>
      </c>
      <c r="AA460" s="351">
        <f t="shared" si="56"/>
        <v>0</v>
      </c>
    </row>
    <row r="461" spans="1:27" s="363" customFormat="1">
      <c r="A461" s="165">
        <f>'Conveyor Downtime (new)'!A469</f>
        <v>0</v>
      </c>
      <c r="Z461">
        <f t="shared" si="55"/>
        <v>0</v>
      </c>
      <c r="AA461" s="629">
        <f t="shared" si="56"/>
        <v>0</v>
      </c>
    </row>
    <row r="462" spans="1:27">
      <c r="A462" s="165">
        <f>'Conveyor Downtime (new)'!A470</f>
        <v>0</v>
      </c>
      <c r="B462" s="346"/>
      <c r="C462" s="346"/>
      <c r="D462" s="346"/>
      <c r="E462" s="346"/>
      <c r="F462" s="346"/>
      <c r="G462" s="346"/>
      <c r="H462" s="346"/>
      <c r="I462" s="346"/>
      <c r="J462" s="346"/>
      <c r="K462" s="346"/>
      <c r="L462" s="346"/>
      <c r="M462" s="346"/>
      <c r="N462" s="346"/>
      <c r="O462" s="346"/>
      <c r="P462" s="346"/>
      <c r="Q462" s="346"/>
      <c r="R462" s="346"/>
      <c r="S462" s="346"/>
      <c r="T462" s="346"/>
      <c r="U462" s="346"/>
      <c r="V462" s="346"/>
      <c r="W462" s="346"/>
      <c r="X462" s="346"/>
      <c r="Y462" s="346"/>
      <c r="Z462">
        <f t="shared" si="55"/>
        <v>0</v>
      </c>
      <c r="AA462" s="351">
        <f t="shared" si="56"/>
        <v>0</v>
      </c>
    </row>
    <row r="463" spans="1:27" s="363" customFormat="1">
      <c r="A463" s="165">
        <f>'Conveyor Downtime (new)'!A471</f>
        <v>0</v>
      </c>
      <c r="Z463">
        <f t="shared" si="55"/>
        <v>0</v>
      </c>
      <c r="AA463" s="629">
        <f t="shared" si="56"/>
        <v>0</v>
      </c>
    </row>
    <row r="464" spans="1:27">
      <c r="A464" s="165">
        <f>'Conveyor Downtime (new)'!A472</f>
        <v>0</v>
      </c>
      <c r="B464" s="346"/>
      <c r="C464" s="346"/>
      <c r="D464" s="346"/>
      <c r="E464" s="346"/>
      <c r="F464" s="346"/>
      <c r="G464" s="346"/>
      <c r="H464" s="346"/>
      <c r="I464" s="346"/>
      <c r="J464" s="346"/>
      <c r="K464" s="346"/>
      <c r="L464" s="346"/>
      <c r="M464" s="346"/>
      <c r="N464" s="346"/>
      <c r="O464" s="346"/>
      <c r="P464" s="346"/>
      <c r="Q464" s="346"/>
      <c r="R464" s="346"/>
      <c r="S464" s="346"/>
      <c r="T464" s="346"/>
      <c r="U464" s="346"/>
      <c r="V464" s="346"/>
      <c r="W464" s="346"/>
      <c r="X464" s="346"/>
      <c r="Y464" s="346"/>
      <c r="Z464">
        <f t="shared" si="55"/>
        <v>0</v>
      </c>
      <c r="AA464" s="351">
        <f t="shared" si="56"/>
        <v>0</v>
      </c>
    </row>
    <row r="465" spans="1:27" s="363" customFormat="1">
      <c r="A465" s="165">
        <f>'Conveyor Downtime (new)'!A473</f>
        <v>0</v>
      </c>
      <c r="Z465">
        <f t="shared" si="55"/>
        <v>0</v>
      </c>
      <c r="AA465" s="629">
        <f t="shared" si="56"/>
        <v>0</v>
      </c>
    </row>
    <row r="466" spans="1:27">
      <c r="A466" s="165">
        <f>'Conveyor Downtime (new)'!A474</f>
        <v>0</v>
      </c>
      <c r="B466" s="346"/>
      <c r="C466" s="346"/>
      <c r="D466" s="346"/>
      <c r="E466" s="346"/>
      <c r="F466" s="346"/>
      <c r="G466" s="346"/>
      <c r="H466" s="346"/>
      <c r="I466" s="346"/>
      <c r="J466" s="346"/>
      <c r="K466" s="346"/>
      <c r="L466" s="346"/>
      <c r="M466" s="346"/>
      <c r="N466" s="346"/>
      <c r="O466" s="346"/>
      <c r="P466" s="346"/>
      <c r="Q466" s="346"/>
      <c r="R466" s="346"/>
      <c r="S466" s="346"/>
      <c r="T466" s="346"/>
      <c r="U466" s="346"/>
      <c r="V466" s="346"/>
      <c r="W466" s="346"/>
      <c r="X466" s="346"/>
      <c r="Y466" s="346"/>
      <c r="Z466">
        <f t="shared" si="55"/>
        <v>0</v>
      </c>
      <c r="AA466" s="351">
        <f t="shared" si="56"/>
        <v>0</v>
      </c>
    </row>
    <row r="467" spans="1:27" s="363" customFormat="1">
      <c r="A467" s="165">
        <f>'Conveyor Downtime (new)'!A475</f>
        <v>0</v>
      </c>
      <c r="Z467">
        <f t="shared" si="55"/>
        <v>0</v>
      </c>
      <c r="AA467" s="629">
        <f t="shared" si="56"/>
        <v>0</v>
      </c>
    </row>
    <row r="468" spans="1:27">
      <c r="A468" s="165">
        <f>'Conveyor Downtime (new)'!A476</f>
        <v>0</v>
      </c>
      <c r="B468" s="346"/>
      <c r="C468" s="346"/>
      <c r="D468" s="346"/>
      <c r="E468" s="346"/>
      <c r="F468" s="346"/>
      <c r="G468" s="346"/>
      <c r="H468" s="346"/>
      <c r="I468" s="346"/>
      <c r="J468" s="346"/>
      <c r="K468" s="346"/>
      <c r="L468" s="346"/>
      <c r="M468" s="346"/>
      <c r="N468" s="346"/>
      <c r="O468" s="346"/>
      <c r="P468" s="346"/>
      <c r="Q468" s="346"/>
      <c r="R468" s="346"/>
      <c r="S468" s="346"/>
      <c r="T468" s="346"/>
      <c r="U468" s="346"/>
      <c r="V468" s="346"/>
      <c r="W468" s="346"/>
      <c r="X468" s="346"/>
      <c r="Y468" s="346"/>
      <c r="Z468">
        <f t="shared" si="55"/>
        <v>0</v>
      </c>
      <c r="AA468" s="351">
        <f t="shared" si="56"/>
        <v>0</v>
      </c>
    </row>
    <row r="469" spans="1:27" s="363" customFormat="1">
      <c r="A469" s="165">
        <f>'Conveyor Downtime (new)'!A477</f>
        <v>0</v>
      </c>
      <c r="Z469">
        <f t="shared" si="55"/>
        <v>0</v>
      </c>
      <c r="AA469" s="629">
        <f t="shared" si="56"/>
        <v>0</v>
      </c>
    </row>
    <row r="470" spans="1:27">
      <c r="A470" s="165">
        <f>'Conveyor Downtime (new)'!A478</f>
        <v>0</v>
      </c>
      <c r="B470" s="346"/>
      <c r="C470" s="346"/>
      <c r="D470" s="346"/>
      <c r="E470" s="346"/>
      <c r="F470" s="346"/>
      <c r="G470" s="346"/>
      <c r="H470" s="346"/>
      <c r="I470" s="346"/>
      <c r="J470" s="346"/>
      <c r="K470" s="346"/>
      <c r="L470" s="346"/>
      <c r="M470" s="346"/>
      <c r="N470" s="346"/>
      <c r="O470" s="346"/>
      <c r="P470" s="346"/>
      <c r="Q470" s="346"/>
      <c r="R470" s="346"/>
      <c r="S470" s="346"/>
      <c r="T470" s="346"/>
      <c r="U470" s="346"/>
      <c r="V470" s="346"/>
      <c r="W470" s="346"/>
      <c r="X470" s="346"/>
      <c r="Y470" s="346"/>
      <c r="Z470">
        <f t="shared" si="55"/>
        <v>0</v>
      </c>
      <c r="AA470" s="351">
        <f t="shared" si="56"/>
        <v>0</v>
      </c>
    </row>
    <row r="471" spans="1:27">
      <c r="A471" s="165">
        <f>'Conveyor Downtime (new)'!A479</f>
        <v>0</v>
      </c>
      <c r="Z471">
        <f t="shared" si="55"/>
        <v>0</v>
      </c>
      <c r="AA471" s="351">
        <f t="shared" si="56"/>
        <v>0</v>
      </c>
    </row>
    <row r="472" spans="1:27">
      <c r="A472" s="165">
        <f>'Conveyor Downtime (new)'!A480</f>
        <v>0</v>
      </c>
      <c r="Z472">
        <f t="shared" si="55"/>
        <v>0</v>
      </c>
      <c r="AA472" s="351">
        <f t="shared" si="56"/>
        <v>0</v>
      </c>
    </row>
    <row r="473" spans="1:27">
      <c r="A473" s="165">
        <f>'Conveyor Downtime (new)'!A481</f>
        <v>0</v>
      </c>
      <c r="Z473">
        <f t="shared" si="55"/>
        <v>0</v>
      </c>
      <c r="AA473" s="351">
        <f t="shared" si="56"/>
        <v>0</v>
      </c>
    </row>
    <row r="474" spans="1:27">
      <c r="A474" s="165"/>
      <c r="Z474">
        <f t="shared" si="55"/>
        <v>0</v>
      </c>
      <c r="AA474" s="351">
        <f t="shared" si="56"/>
        <v>0</v>
      </c>
    </row>
    <row r="475" spans="1:27">
      <c r="A475" s="165"/>
      <c r="B475" s="346"/>
      <c r="C475" s="346"/>
      <c r="D475" s="346"/>
      <c r="E475" s="346"/>
      <c r="F475" s="346"/>
      <c r="G475" s="346"/>
      <c r="H475" s="346"/>
      <c r="I475" s="346"/>
      <c r="J475" s="346"/>
      <c r="K475" s="346"/>
      <c r="L475" s="346"/>
      <c r="M475" s="346"/>
      <c r="N475" s="346"/>
      <c r="O475" s="346"/>
      <c r="P475" s="346"/>
      <c r="Q475" s="346"/>
      <c r="R475" s="346"/>
      <c r="S475" s="346"/>
      <c r="T475" s="346"/>
      <c r="U475" s="346"/>
      <c r="V475" s="346"/>
      <c r="W475" s="346"/>
      <c r="X475" s="346"/>
      <c r="Y475" s="346"/>
      <c r="Z475">
        <f t="shared" si="55"/>
        <v>0</v>
      </c>
      <c r="AA475" s="351"/>
    </row>
    <row r="476" spans="1:27" ht="15">
      <c r="A476" s="347" t="s">
        <v>173</v>
      </c>
      <c r="B476" s="347">
        <f t="shared" ref="B476:X476" si="57">SUM(B425:B475)</f>
        <v>0</v>
      </c>
      <c r="C476" s="347">
        <f t="shared" si="57"/>
        <v>0</v>
      </c>
      <c r="D476" s="347">
        <f t="shared" si="57"/>
        <v>0</v>
      </c>
      <c r="E476" s="347">
        <f t="shared" si="57"/>
        <v>0</v>
      </c>
      <c r="F476" s="347">
        <f t="shared" si="57"/>
        <v>213</v>
      </c>
      <c r="G476" s="347">
        <f t="shared" si="57"/>
        <v>0</v>
      </c>
      <c r="H476" s="347">
        <f t="shared" si="57"/>
        <v>0</v>
      </c>
      <c r="I476" s="347">
        <f t="shared" si="57"/>
        <v>290</v>
      </c>
      <c r="J476" s="347">
        <f t="shared" si="57"/>
        <v>0</v>
      </c>
      <c r="K476" s="347">
        <f t="shared" si="57"/>
        <v>113</v>
      </c>
      <c r="L476" s="347">
        <f t="shared" si="57"/>
        <v>13</v>
      </c>
      <c r="M476" s="347">
        <f t="shared" si="57"/>
        <v>4</v>
      </c>
      <c r="N476" s="347">
        <f t="shared" si="57"/>
        <v>0</v>
      </c>
      <c r="O476" s="347">
        <f t="shared" si="57"/>
        <v>0</v>
      </c>
      <c r="P476" s="347">
        <f t="shared" si="57"/>
        <v>0</v>
      </c>
      <c r="Q476" s="347">
        <f t="shared" si="57"/>
        <v>0</v>
      </c>
      <c r="R476" s="347">
        <f t="shared" si="57"/>
        <v>0</v>
      </c>
      <c r="S476" s="347">
        <f t="shared" si="57"/>
        <v>77</v>
      </c>
      <c r="T476" s="347">
        <f t="shared" si="57"/>
        <v>0</v>
      </c>
      <c r="U476" s="347">
        <f t="shared" si="57"/>
        <v>0</v>
      </c>
      <c r="V476" s="347"/>
      <c r="W476" s="347">
        <f t="shared" si="57"/>
        <v>5</v>
      </c>
      <c r="X476" s="347">
        <f t="shared" si="57"/>
        <v>0</v>
      </c>
      <c r="Y476" s="347">
        <f>SUM(Y425:Y475)</f>
        <v>0</v>
      </c>
      <c r="Z476">
        <f t="shared" si="55"/>
        <v>715</v>
      </c>
      <c r="AA476" s="351"/>
    </row>
    <row r="477" spans="1:27" ht="15.75" thickBot="1">
      <c r="A477" s="348" t="s">
        <v>174</v>
      </c>
      <c r="B477" s="348">
        <f t="shared" ref="B477:U477" si="58">B476/$Z476</f>
        <v>0</v>
      </c>
      <c r="C477" s="348">
        <f t="shared" si="58"/>
        <v>0</v>
      </c>
      <c r="D477" s="348">
        <f t="shared" si="58"/>
        <v>0</v>
      </c>
      <c r="E477" s="348">
        <f t="shared" si="58"/>
        <v>0</v>
      </c>
      <c r="F477" s="348">
        <f t="shared" si="58"/>
        <v>0.29790209790209793</v>
      </c>
      <c r="G477" s="348">
        <f t="shared" si="58"/>
        <v>0</v>
      </c>
      <c r="H477" s="348">
        <f t="shared" si="58"/>
        <v>0</v>
      </c>
      <c r="I477" s="348">
        <f t="shared" si="58"/>
        <v>0.40559440559440557</v>
      </c>
      <c r="J477" s="348">
        <f t="shared" si="58"/>
        <v>0</v>
      </c>
      <c r="K477" s="348">
        <f t="shared" si="58"/>
        <v>0.15804195804195803</v>
      </c>
      <c r="L477" s="348">
        <f t="shared" si="58"/>
        <v>1.8181818181818181E-2</v>
      </c>
      <c r="M477" s="348">
        <f t="shared" si="58"/>
        <v>5.5944055944055944E-3</v>
      </c>
      <c r="N477" s="348">
        <f t="shared" si="58"/>
        <v>0</v>
      </c>
      <c r="O477" s="348">
        <f t="shared" si="58"/>
        <v>0</v>
      </c>
      <c r="P477" s="348">
        <f t="shared" si="58"/>
        <v>0</v>
      </c>
      <c r="Q477" s="348">
        <f t="shared" si="58"/>
        <v>0</v>
      </c>
      <c r="R477" s="348">
        <f t="shared" si="58"/>
        <v>0</v>
      </c>
      <c r="S477" s="348">
        <f t="shared" si="58"/>
        <v>0.1076923076923077</v>
      </c>
      <c r="T477" s="348">
        <f t="shared" si="58"/>
        <v>0</v>
      </c>
      <c r="U477" s="348">
        <f t="shared" si="58"/>
        <v>0</v>
      </c>
      <c r="V477" s="348"/>
      <c r="W477" s="348">
        <f>W476/$Z476</f>
        <v>6.993006993006993E-3</v>
      </c>
      <c r="X477" s="348">
        <f>X476/$Z476</f>
        <v>0</v>
      </c>
      <c r="Y477" s="348">
        <f>Y476/$Z476</f>
        <v>0</v>
      </c>
      <c r="AA477" s="351"/>
    </row>
    <row r="478" spans="1:27">
      <c r="AA478" s="351"/>
    </row>
    <row r="479" spans="1:27">
      <c r="AA479" s="351"/>
    </row>
    <row r="480" spans="1:27">
      <c r="A480" s="165">
        <f>'Conveyor Downtime (new)'!A494</f>
        <v>46266</v>
      </c>
      <c r="F480">
        <f>3</f>
        <v>3</v>
      </c>
      <c r="K480">
        <v>26</v>
      </c>
      <c r="Z480">
        <f t="shared" ref="Z480:Z505" si="59">SUM(B480:Y480)</f>
        <v>29</v>
      </c>
      <c r="AA480" s="351"/>
    </row>
    <row r="481" spans="1:27">
      <c r="A481" s="165">
        <f>'Conveyor Downtime (new)'!A495</f>
        <v>46266</v>
      </c>
      <c r="B481" s="346"/>
      <c r="C481" s="346"/>
      <c r="D481" s="346"/>
      <c r="E481" s="346"/>
      <c r="F481" s="346">
        <f>5</f>
        <v>5</v>
      </c>
      <c r="G481" s="346"/>
      <c r="H481" s="346"/>
      <c r="I481" s="346"/>
      <c r="J481" s="346"/>
      <c r="K481" s="346"/>
      <c r="L481" s="346"/>
      <c r="M481" s="346"/>
      <c r="N481" s="346"/>
      <c r="O481" s="346"/>
      <c r="P481" s="346"/>
      <c r="Q481" s="346"/>
      <c r="R481" s="346"/>
      <c r="S481" s="346"/>
      <c r="T481" s="346"/>
      <c r="U481" s="346"/>
      <c r="V481" s="346"/>
      <c r="W481" s="346"/>
      <c r="X481" s="346"/>
      <c r="Y481" s="346"/>
      <c r="Z481">
        <f t="shared" si="59"/>
        <v>5</v>
      </c>
      <c r="AA481" s="351"/>
    </row>
    <row r="482" spans="1:27">
      <c r="A482" s="165">
        <f>'Conveyor Downtime (new)'!A496</f>
        <v>46267</v>
      </c>
      <c r="W482">
        <f>24</f>
        <v>24</v>
      </c>
      <c r="Z482">
        <f t="shared" si="59"/>
        <v>24</v>
      </c>
      <c r="AA482" s="351"/>
    </row>
    <row r="483" spans="1:27">
      <c r="A483" s="165">
        <f>'Conveyor Downtime (new)'!A497</f>
        <v>46267</v>
      </c>
      <c r="B483" s="346"/>
      <c r="C483" s="346"/>
      <c r="D483" s="346"/>
      <c r="E483" s="346"/>
      <c r="F483" s="346"/>
      <c r="G483" s="346"/>
      <c r="H483" s="346"/>
      <c r="I483" s="346"/>
      <c r="J483" s="346"/>
      <c r="K483" s="346"/>
      <c r="L483" s="346"/>
      <c r="M483" s="346"/>
      <c r="N483" s="346"/>
      <c r="O483" s="346"/>
      <c r="P483" s="346"/>
      <c r="Q483" s="346"/>
      <c r="R483" s="346"/>
      <c r="S483" s="346"/>
      <c r="T483" s="346"/>
      <c r="U483" s="346"/>
      <c r="V483" s="346"/>
      <c r="W483" s="346"/>
      <c r="X483" s="346"/>
      <c r="Y483" s="346"/>
      <c r="Z483">
        <f t="shared" si="59"/>
        <v>0</v>
      </c>
      <c r="AA483" s="351"/>
    </row>
    <row r="484" spans="1:27">
      <c r="A484" s="165">
        <f>'Conveyor Downtime (new)'!A498</f>
        <v>46267</v>
      </c>
      <c r="R484" s="371"/>
      <c r="Z484">
        <f t="shared" si="59"/>
        <v>0</v>
      </c>
      <c r="AA484" s="351"/>
    </row>
    <row r="485" spans="1:27">
      <c r="A485" s="165">
        <f>'Conveyor Downtime (new)'!A499</f>
        <v>46268</v>
      </c>
      <c r="B485" s="346"/>
      <c r="C485" s="346"/>
      <c r="D485" s="346"/>
      <c r="E485" s="346"/>
      <c r="F485" s="346"/>
      <c r="G485" s="346"/>
      <c r="H485" s="346"/>
      <c r="I485" s="346"/>
      <c r="J485" s="346"/>
      <c r="K485" s="346"/>
      <c r="L485" s="346"/>
      <c r="M485" s="346"/>
      <c r="N485" s="346"/>
      <c r="O485" s="346"/>
      <c r="P485" s="346"/>
      <c r="Q485" s="346"/>
      <c r="R485" s="346"/>
      <c r="S485" s="346"/>
      <c r="T485" s="346"/>
      <c r="U485" s="346"/>
      <c r="V485" s="346"/>
      <c r="W485" s="346"/>
      <c r="X485" s="346"/>
      <c r="Y485" s="346"/>
      <c r="Z485">
        <f t="shared" si="59"/>
        <v>0</v>
      </c>
      <c r="AA485" s="351"/>
    </row>
    <row r="486" spans="1:27">
      <c r="A486" s="165">
        <f>'Conveyor Downtime (new)'!A500</f>
        <v>46268</v>
      </c>
      <c r="F486">
        <f>1+4</f>
        <v>5</v>
      </c>
      <c r="Z486">
        <f t="shared" si="59"/>
        <v>5</v>
      </c>
      <c r="AA486" s="351"/>
    </row>
    <row r="487" spans="1:27">
      <c r="A487" s="165">
        <f>'Conveyor Downtime (new)'!A501</f>
        <v>46268</v>
      </c>
      <c r="B487" s="346"/>
      <c r="C487" s="346"/>
      <c r="D487" s="346"/>
      <c r="E487" s="346"/>
      <c r="F487" s="346"/>
      <c r="G487" s="346"/>
      <c r="H487" s="346"/>
      <c r="I487" s="346"/>
      <c r="J487" s="346"/>
      <c r="K487" s="346"/>
      <c r="L487" s="346"/>
      <c r="M487" s="346"/>
      <c r="N487" s="346"/>
      <c r="O487" s="346"/>
      <c r="P487" s="346"/>
      <c r="Q487" s="346"/>
      <c r="R487" s="346"/>
      <c r="S487" s="346"/>
      <c r="T487" s="346"/>
      <c r="U487" s="346"/>
      <c r="V487" s="346"/>
      <c r="W487" s="346"/>
      <c r="X487" s="346"/>
      <c r="Y487" s="346"/>
      <c r="Z487">
        <f t="shared" si="59"/>
        <v>0</v>
      </c>
      <c r="AA487" s="351"/>
    </row>
    <row r="488" spans="1:27">
      <c r="A488" s="165">
        <f>'Conveyor Downtime (new)'!A502</f>
        <v>46269</v>
      </c>
      <c r="K488">
        <v>4</v>
      </c>
      <c r="Z488">
        <f t="shared" si="59"/>
        <v>4</v>
      </c>
      <c r="AA488" s="351"/>
    </row>
    <row r="489" spans="1:27">
      <c r="A489" s="165">
        <f>'Conveyor Downtime (new)'!A503</f>
        <v>46273</v>
      </c>
      <c r="B489" s="346"/>
      <c r="C489" s="346"/>
      <c r="D489" s="346"/>
      <c r="E489" s="346"/>
      <c r="F489" s="346"/>
      <c r="G489" s="346"/>
      <c r="H489" s="346"/>
      <c r="I489" s="346">
        <v>30</v>
      </c>
      <c r="J489" s="346"/>
      <c r="K489" s="346">
        <f>4</f>
        <v>4</v>
      </c>
      <c r="L489" s="346"/>
      <c r="M489" s="346"/>
      <c r="N489" s="346"/>
      <c r="O489" s="346">
        <f>60+60+27</f>
        <v>147</v>
      </c>
      <c r="P489" s="346"/>
      <c r="Q489" s="346"/>
      <c r="R489" s="346"/>
      <c r="S489" s="346"/>
      <c r="T489" s="346"/>
      <c r="U489" s="346"/>
      <c r="V489" s="346"/>
      <c r="W489" s="346"/>
      <c r="X489" s="346"/>
      <c r="Y489" s="346"/>
      <c r="Z489">
        <f t="shared" si="59"/>
        <v>181</v>
      </c>
      <c r="AA489" s="351"/>
    </row>
    <row r="490" spans="1:27">
      <c r="A490" s="165">
        <f>'Conveyor Downtime (new)'!A504</f>
        <v>46274</v>
      </c>
      <c r="K490">
        <f>2</f>
        <v>2</v>
      </c>
      <c r="Z490">
        <f t="shared" si="59"/>
        <v>2</v>
      </c>
      <c r="AA490" s="351"/>
    </row>
    <row r="491" spans="1:27">
      <c r="A491" s="165">
        <f>'Conveyor Downtime (new)'!A505</f>
        <v>46275</v>
      </c>
      <c r="B491" s="346"/>
      <c r="C491" s="346"/>
      <c r="D491" s="346"/>
      <c r="E491" s="346"/>
      <c r="F491" s="346"/>
      <c r="G491" s="346"/>
      <c r="H491" s="346"/>
      <c r="I491" s="346">
        <f>20</f>
        <v>20</v>
      </c>
      <c r="J491" s="346"/>
      <c r="K491" s="346"/>
      <c r="L491" s="346"/>
      <c r="M491" s="346"/>
      <c r="N491" s="346"/>
      <c r="O491" s="346"/>
      <c r="P491" s="346"/>
      <c r="Q491" s="346"/>
      <c r="R491" s="346"/>
      <c r="S491" s="346"/>
      <c r="T491" s="346"/>
      <c r="U491" s="346"/>
      <c r="V491" s="346"/>
      <c r="W491" s="346"/>
      <c r="X491" s="346"/>
      <c r="Y491" s="346"/>
      <c r="Z491">
        <f t="shared" si="59"/>
        <v>20</v>
      </c>
      <c r="AA491" s="351"/>
    </row>
    <row r="492" spans="1:27">
      <c r="A492" s="165">
        <f>'Conveyor Downtime (new)'!A506</f>
        <v>46276</v>
      </c>
      <c r="Z492">
        <f t="shared" si="59"/>
        <v>0</v>
      </c>
      <c r="AA492" s="351"/>
    </row>
    <row r="493" spans="1:27">
      <c r="A493" s="165">
        <f>'Conveyor Downtime (new)'!A507</f>
        <v>46276</v>
      </c>
      <c r="B493" s="346"/>
      <c r="C493" s="346"/>
      <c r="D493" s="346"/>
      <c r="E493" s="346"/>
      <c r="F493" s="346"/>
      <c r="G493" s="346"/>
      <c r="H493" s="346"/>
      <c r="I493" s="346">
        <f>60+23</f>
        <v>83</v>
      </c>
      <c r="J493" s="346"/>
      <c r="K493" s="346"/>
      <c r="L493" s="346"/>
      <c r="M493" s="346"/>
      <c r="N493" s="346"/>
      <c r="O493" s="346"/>
      <c r="P493" s="346"/>
      <c r="Q493" s="346"/>
      <c r="R493" s="346"/>
      <c r="S493" s="346"/>
      <c r="T493" s="346"/>
      <c r="U493" s="346"/>
      <c r="V493" s="346"/>
      <c r="W493" s="346"/>
      <c r="X493" s="346"/>
      <c r="Y493" s="346"/>
      <c r="Z493">
        <f t="shared" si="59"/>
        <v>83</v>
      </c>
      <c r="AA493" s="351"/>
    </row>
    <row r="494" spans="1:27">
      <c r="A494" s="165">
        <f>'Conveyor Downtime (new)'!A508</f>
        <v>46279</v>
      </c>
      <c r="K494">
        <f>5</f>
        <v>5</v>
      </c>
      <c r="Z494">
        <f t="shared" si="59"/>
        <v>5</v>
      </c>
      <c r="AA494" s="351"/>
    </row>
    <row r="495" spans="1:27">
      <c r="A495" s="165">
        <f>'Conveyor Downtime (new)'!A509</f>
        <v>46279</v>
      </c>
      <c r="B495" s="346"/>
      <c r="C495" s="346"/>
      <c r="D495" s="346"/>
      <c r="E495" s="346"/>
      <c r="F495" s="346"/>
      <c r="G495" s="346"/>
      <c r="H495" s="346"/>
      <c r="I495" s="346">
        <v>40</v>
      </c>
      <c r="J495" s="346"/>
      <c r="K495" s="346">
        <f>5+8</f>
        <v>13</v>
      </c>
      <c r="L495" s="346"/>
      <c r="M495" s="346"/>
      <c r="N495" s="346"/>
      <c r="O495" s="346"/>
      <c r="P495" s="346"/>
      <c r="Q495" s="346"/>
      <c r="R495" s="346"/>
      <c r="S495" s="346">
        <v>11</v>
      </c>
      <c r="T495" s="346"/>
      <c r="U495" s="346"/>
      <c r="V495" s="346"/>
      <c r="W495" s="346"/>
      <c r="X495" s="346"/>
      <c r="Y495" s="346"/>
      <c r="Z495">
        <f t="shared" si="59"/>
        <v>64</v>
      </c>
      <c r="AA495" s="351"/>
    </row>
    <row r="496" spans="1:27">
      <c r="A496" s="165">
        <f>'Conveyor Downtime (new)'!A510</f>
        <v>46280</v>
      </c>
      <c r="B496" s="346"/>
      <c r="C496" s="346"/>
      <c r="D496" s="346"/>
      <c r="E496" s="346"/>
      <c r="F496" s="346"/>
      <c r="G496" s="346"/>
      <c r="H496" s="346"/>
      <c r="I496" s="346"/>
      <c r="J496" s="346"/>
      <c r="K496" s="346"/>
      <c r="L496" s="346"/>
      <c r="M496" s="346"/>
      <c r="N496" s="346"/>
      <c r="O496" s="346"/>
      <c r="P496" s="346"/>
      <c r="Q496" s="346"/>
      <c r="R496" s="346"/>
      <c r="S496" s="346"/>
      <c r="T496" s="346"/>
      <c r="U496" s="346"/>
      <c r="V496" s="346"/>
      <c r="W496" s="346"/>
      <c r="X496" s="346"/>
      <c r="Y496" s="346"/>
      <c r="Z496">
        <f t="shared" si="59"/>
        <v>0</v>
      </c>
      <c r="AA496" s="351"/>
    </row>
    <row r="497" spans="1:27">
      <c r="A497" s="165">
        <f>'Conveyor Downtime (new)'!A511</f>
        <v>46280</v>
      </c>
      <c r="B497" s="346"/>
      <c r="C497" s="346"/>
      <c r="D497" s="346"/>
      <c r="E497" s="346"/>
      <c r="F497" s="346"/>
      <c r="G497" s="346"/>
      <c r="H497" s="346"/>
      <c r="I497" s="346"/>
      <c r="J497" s="346"/>
      <c r="K497" s="346"/>
      <c r="L497" s="346"/>
      <c r="M497" s="346"/>
      <c r="N497" s="346"/>
      <c r="O497" s="346"/>
      <c r="P497" s="346"/>
      <c r="Q497" s="346"/>
      <c r="R497" s="346"/>
      <c r="S497" s="346"/>
      <c r="T497" s="346"/>
      <c r="U497" s="346"/>
      <c r="V497" s="346"/>
      <c r="W497" s="346"/>
      <c r="X497" s="346"/>
      <c r="Y497" s="346"/>
      <c r="Z497">
        <f t="shared" si="59"/>
        <v>0</v>
      </c>
      <c r="AA497" s="351"/>
    </row>
    <row r="498" spans="1:27">
      <c r="A498" s="165">
        <f>'Conveyor Downtime (new)'!A512</f>
        <v>46281</v>
      </c>
      <c r="Z498">
        <f t="shared" si="59"/>
        <v>0</v>
      </c>
      <c r="AA498" s="351"/>
    </row>
    <row r="499" spans="1:27">
      <c r="A499" s="165">
        <f>'Conveyor Downtime (new)'!A513</f>
        <v>46281</v>
      </c>
      <c r="B499" s="346"/>
      <c r="C499" s="346"/>
      <c r="D499" s="346"/>
      <c r="E499" s="346"/>
      <c r="F499" s="346"/>
      <c r="G499" s="346"/>
      <c r="H499" s="346"/>
      <c r="I499" s="346"/>
      <c r="J499" s="346"/>
      <c r="K499" s="346"/>
      <c r="L499" s="346"/>
      <c r="M499" s="346"/>
      <c r="N499" s="346"/>
      <c r="O499" s="346"/>
      <c r="P499" s="346"/>
      <c r="Q499" s="346"/>
      <c r="R499" s="346"/>
      <c r="S499" s="346"/>
      <c r="T499" s="346"/>
      <c r="U499" s="346"/>
      <c r="V499" s="346"/>
      <c r="W499" s="346"/>
      <c r="X499" s="346"/>
      <c r="Y499" s="346"/>
      <c r="Z499">
        <f t="shared" si="59"/>
        <v>0</v>
      </c>
      <c r="AA499" s="351"/>
    </row>
    <row r="500" spans="1:27">
      <c r="A500" s="165">
        <f>'Conveyor Downtime (new)'!A514</f>
        <v>46282</v>
      </c>
      <c r="K500">
        <f>4+8</f>
        <v>12</v>
      </c>
      <c r="Z500">
        <f t="shared" si="59"/>
        <v>12</v>
      </c>
      <c r="AA500" s="351"/>
    </row>
    <row r="501" spans="1:27">
      <c r="A501" s="165">
        <f>'Conveyor Downtime (new)'!A515</f>
        <v>46282</v>
      </c>
      <c r="B501" s="346"/>
      <c r="C501" s="346"/>
      <c r="D501" s="346"/>
      <c r="E501" s="346"/>
      <c r="F501" s="346"/>
      <c r="G501" s="346"/>
      <c r="H501" s="346"/>
      <c r="I501" s="346"/>
      <c r="J501" s="346"/>
      <c r="K501" s="346"/>
      <c r="L501" s="346"/>
      <c r="M501" s="346"/>
      <c r="N501" s="346"/>
      <c r="O501" s="346"/>
      <c r="P501" s="346"/>
      <c r="Q501" s="346"/>
      <c r="R501" s="346"/>
      <c r="S501" s="346"/>
      <c r="T501" s="346"/>
      <c r="U501" s="346"/>
      <c r="V501" s="346"/>
      <c r="W501" s="346"/>
      <c r="X501" s="346"/>
      <c r="Y501" s="346"/>
      <c r="Z501">
        <f t="shared" si="59"/>
        <v>0</v>
      </c>
      <c r="AA501" s="351"/>
    </row>
    <row r="502" spans="1:27">
      <c r="A502" s="165">
        <f>'Conveyor Downtime (new)'!A516</f>
        <v>46282</v>
      </c>
      <c r="F502">
        <f>9</f>
        <v>9</v>
      </c>
      <c r="K502">
        <f>7+7</f>
        <v>14</v>
      </c>
      <c r="Z502">
        <f t="shared" si="59"/>
        <v>23</v>
      </c>
      <c r="AA502" s="351"/>
    </row>
    <row r="503" spans="1:27">
      <c r="A503" s="165">
        <f>'Conveyor Downtime (new)'!A517</f>
        <v>46283</v>
      </c>
      <c r="B503" s="346"/>
      <c r="C503" s="346"/>
      <c r="D503" s="346"/>
      <c r="E503" s="346"/>
      <c r="F503" s="346"/>
      <c r="G503" s="346"/>
      <c r="H503" s="346"/>
      <c r="I503" s="346">
        <f>10+45</f>
        <v>55</v>
      </c>
      <c r="J503" s="346"/>
      <c r="K503" s="346"/>
      <c r="L503" s="346"/>
      <c r="M503" s="346"/>
      <c r="N503" s="346"/>
      <c r="O503" s="346"/>
      <c r="P503" s="346"/>
      <c r="Q503" s="346"/>
      <c r="R503" s="346"/>
      <c r="S503" s="346"/>
      <c r="T503" s="346"/>
      <c r="U503" s="346"/>
      <c r="V503" s="346"/>
      <c r="W503" s="346"/>
      <c r="X503" s="346"/>
      <c r="Y503" s="346"/>
      <c r="Z503">
        <f t="shared" si="59"/>
        <v>55</v>
      </c>
      <c r="AA503" s="351"/>
    </row>
    <row r="504" spans="1:27">
      <c r="A504" s="165">
        <f>'Conveyor Downtime (new)'!A518</f>
        <v>46283</v>
      </c>
      <c r="Z504">
        <f t="shared" si="59"/>
        <v>0</v>
      </c>
      <c r="AA504" s="351"/>
    </row>
    <row r="505" spans="1:27">
      <c r="A505" s="165">
        <f>'Conveyor Downtime (new)'!A519</f>
        <v>46283</v>
      </c>
      <c r="B505" s="346"/>
      <c r="C505" s="346"/>
      <c r="D505" s="346"/>
      <c r="E505" s="346"/>
      <c r="F505" s="346"/>
      <c r="G505" s="346"/>
      <c r="H505" s="346"/>
      <c r="I505" s="346"/>
      <c r="J505" s="346"/>
      <c r="K505" s="346"/>
      <c r="L505" s="346"/>
      <c r="M505" s="346"/>
      <c r="N505" s="346"/>
      <c r="O505" s="346"/>
      <c r="P505" s="346"/>
      <c r="Q505" s="346"/>
      <c r="R505" s="346"/>
      <c r="S505" s="346"/>
      <c r="T505" s="346"/>
      <c r="U505" s="346"/>
      <c r="V505" s="346"/>
      <c r="W505" s="346"/>
      <c r="X505" s="346"/>
      <c r="Y505" s="346"/>
      <c r="Z505">
        <f t="shared" si="59"/>
        <v>0</v>
      </c>
      <c r="AA505" s="351"/>
    </row>
    <row r="506" spans="1:27">
      <c r="A506" s="165">
        <f>'Conveyor Downtime (new)'!A520</f>
        <v>46286</v>
      </c>
      <c r="Z506">
        <f t="shared" ref="Z506:Z525" si="60">SUM(B506:Y506)</f>
        <v>0</v>
      </c>
      <c r="AA506" s="351"/>
    </row>
    <row r="507" spans="1:27">
      <c r="A507" s="165">
        <f>'Conveyor Downtime (new)'!A521</f>
        <v>46286</v>
      </c>
      <c r="K507">
        <f>7</f>
        <v>7</v>
      </c>
      <c r="Z507">
        <f t="shared" si="60"/>
        <v>7</v>
      </c>
      <c r="AA507" s="351"/>
    </row>
    <row r="508" spans="1:27">
      <c r="A508" s="165">
        <f>'Conveyor Downtime (new)'!A522</f>
        <v>46287</v>
      </c>
      <c r="B508" s="346"/>
      <c r="C508" s="346"/>
      <c r="D508" s="346"/>
      <c r="E508" s="346"/>
      <c r="F508" s="346"/>
      <c r="G508" s="346"/>
      <c r="H508" s="346"/>
      <c r="I508" s="346"/>
      <c r="J508" s="346"/>
      <c r="K508" s="346"/>
      <c r="L508" s="77"/>
      <c r="M508" s="77"/>
      <c r="N508" s="77"/>
      <c r="O508" s="346"/>
      <c r="P508" s="346"/>
      <c r="Q508" s="346"/>
      <c r="R508" s="346"/>
      <c r="S508" s="346"/>
      <c r="T508" s="346"/>
      <c r="U508" s="346"/>
      <c r="V508" s="346"/>
      <c r="W508" s="346"/>
      <c r="X508" s="346"/>
      <c r="Y508" s="346"/>
      <c r="Z508">
        <f t="shared" si="60"/>
        <v>0</v>
      </c>
      <c r="AA508" s="351"/>
    </row>
    <row r="509" spans="1:27">
      <c r="A509" s="165">
        <f>'Conveyor Downtime (new)'!A523</f>
        <v>46288</v>
      </c>
      <c r="Z509">
        <f t="shared" si="60"/>
        <v>0</v>
      </c>
      <c r="AA509" s="351"/>
    </row>
    <row r="510" spans="1:27">
      <c r="A510" s="165">
        <f>'Conveyor Downtime (new)'!A524</f>
        <v>46288</v>
      </c>
      <c r="B510" s="346"/>
      <c r="C510" s="346"/>
      <c r="D510" s="346"/>
      <c r="E510" s="346"/>
      <c r="F510" s="346"/>
      <c r="G510" s="346"/>
      <c r="H510" s="346"/>
      <c r="I510" s="346"/>
      <c r="J510" s="346"/>
      <c r="K510" s="346">
        <f>5</f>
        <v>5</v>
      </c>
      <c r="L510" s="346"/>
      <c r="M510" s="346"/>
      <c r="N510" s="346"/>
      <c r="O510" s="346"/>
      <c r="P510" s="346"/>
      <c r="Q510" s="346"/>
      <c r="R510" s="346"/>
      <c r="S510" s="346"/>
      <c r="T510" s="346"/>
      <c r="U510" s="346"/>
      <c r="V510" s="346"/>
      <c r="W510" s="346"/>
      <c r="X510" s="346"/>
      <c r="Y510" s="346"/>
      <c r="Z510">
        <f t="shared" si="60"/>
        <v>5</v>
      </c>
      <c r="AA510" s="351"/>
    </row>
    <row r="511" spans="1:27">
      <c r="A511" s="165">
        <f>'Conveyor Downtime (new)'!A525</f>
        <v>46289</v>
      </c>
      <c r="K511">
        <f>5+14</f>
        <v>19</v>
      </c>
      <c r="Z511">
        <f t="shared" si="60"/>
        <v>19</v>
      </c>
      <c r="AA511" s="351"/>
    </row>
    <row r="512" spans="1:27">
      <c r="A512" s="165">
        <f>'Conveyor Downtime (new)'!A526</f>
        <v>46290</v>
      </c>
      <c r="B512" s="346"/>
      <c r="C512" s="346"/>
      <c r="D512" s="346"/>
      <c r="E512" s="346"/>
      <c r="F512" s="346"/>
      <c r="G512" s="346"/>
      <c r="H512" s="346"/>
      <c r="I512" s="346"/>
      <c r="J512" s="346"/>
      <c r="K512" s="346"/>
      <c r="L512" s="346"/>
      <c r="M512" s="346"/>
      <c r="N512" s="346"/>
      <c r="O512" s="346"/>
      <c r="P512" s="346"/>
      <c r="Q512" s="346"/>
      <c r="R512" s="346"/>
      <c r="S512" s="346"/>
      <c r="T512" s="346"/>
      <c r="U512" s="346"/>
      <c r="V512" s="346"/>
      <c r="W512" s="346"/>
      <c r="X512" s="346"/>
      <c r="Y512" s="346"/>
      <c r="Z512">
        <f t="shared" si="60"/>
        <v>0</v>
      </c>
      <c r="AA512" s="351"/>
    </row>
    <row r="513" spans="1:27">
      <c r="A513" s="165">
        <f>'Conveyor Downtime (new)'!A527</f>
        <v>46290</v>
      </c>
      <c r="Z513">
        <f t="shared" si="60"/>
        <v>0</v>
      </c>
      <c r="AA513" s="351"/>
    </row>
    <row r="514" spans="1:27">
      <c r="A514" s="165">
        <f>'Conveyor Downtime (new)'!A528</f>
        <v>46293</v>
      </c>
      <c r="B514" s="346"/>
      <c r="C514" s="346"/>
      <c r="D514" s="346">
        <f>60+5</f>
        <v>65</v>
      </c>
      <c r="E514" s="346"/>
      <c r="F514" s="346"/>
      <c r="G514" s="346"/>
      <c r="H514" s="346"/>
      <c r="I514" s="346"/>
      <c r="J514" s="346"/>
      <c r="K514" s="346"/>
      <c r="L514" s="346"/>
      <c r="M514" s="346"/>
      <c r="N514" s="346"/>
      <c r="O514" s="346"/>
      <c r="P514" s="346"/>
      <c r="Q514" s="346"/>
      <c r="R514" s="346"/>
      <c r="S514" s="346"/>
      <c r="T514" s="346"/>
      <c r="U514" s="346"/>
      <c r="V514" s="346"/>
      <c r="W514" s="346"/>
      <c r="X514" s="346"/>
      <c r="Y514" s="346"/>
      <c r="Z514">
        <f t="shared" si="60"/>
        <v>65</v>
      </c>
      <c r="AA514" s="351"/>
    </row>
    <row r="515" spans="1:27">
      <c r="A515" s="165">
        <f>'Conveyor Downtime (new)'!A529</f>
        <v>46294</v>
      </c>
      <c r="I515">
        <v>12</v>
      </c>
      <c r="Z515">
        <f t="shared" si="60"/>
        <v>12</v>
      </c>
      <c r="AA515" s="351"/>
    </row>
    <row r="516" spans="1:27">
      <c r="A516" s="165">
        <f>'Conveyor Downtime (new)'!A530</f>
        <v>46294</v>
      </c>
      <c r="B516" s="346"/>
      <c r="C516" s="346"/>
      <c r="D516" s="346"/>
      <c r="E516" s="346"/>
      <c r="F516" s="346"/>
      <c r="G516" s="346"/>
      <c r="H516" s="346"/>
      <c r="I516" s="346"/>
      <c r="J516" s="346"/>
      <c r="K516" s="346"/>
      <c r="L516" s="346"/>
      <c r="M516" s="346"/>
      <c r="N516" s="346"/>
      <c r="O516" s="346"/>
      <c r="P516" s="346"/>
      <c r="Q516" s="346"/>
      <c r="R516" s="346"/>
      <c r="S516" s="346"/>
      <c r="T516" s="346"/>
      <c r="U516" s="346"/>
      <c r="V516" s="346"/>
      <c r="W516" s="346"/>
      <c r="X516" s="346"/>
      <c r="Y516" s="346"/>
      <c r="Z516">
        <f t="shared" si="60"/>
        <v>0</v>
      </c>
      <c r="AA516" s="351"/>
    </row>
    <row r="517" spans="1:27">
      <c r="A517" s="165">
        <f>'Conveyor Downtime (new)'!A531</f>
        <v>46295</v>
      </c>
      <c r="I517">
        <v>20</v>
      </c>
      <c r="K517">
        <f>9+1</f>
        <v>10</v>
      </c>
      <c r="X517">
        <f>4+4</f>
        <v>8</v>
      </c>
      <c r="Z517">
        <f t="shared" si="60"/>
        <v>38</v>
      </c>
      <c r="AA517" s="351"/>
    </row>
    <row r="518" spans="1:27">
      <c r="A518" s="165">
        <f>'Conveyor Downtime (new)'!A532</f>
        <v>46295</v>
      </c>
      <c r="B518" s="346"/>
      <c r="C518" s="346"/>
      <c r="D518" s="346"/>
      <c r="E518" s="346"/>
      <c r="F518" s="346"/>
      <c r="G518" s="346"/>
      <c r="H518" s="346"/>
      <c r="I518" s="346"/>
      <c r="J518" s="346"/>
      <c r="K518" s="346"/>
      <c r="L518" s="346"/>
      <c r="M518" s="346"/>
      <c r="N518" s="346"/>
      <c r="O518" s="346"/>
      <c r="P518" s="346"/>
      <c r="Q518" s="346"/>
      <c r="R518" s="346"/>
      <c r="S518" s="346"/>
      <c r="T518" s="346"/>
      <c r="U518" s="346"/>
      <c r="V518" s="346"/>
      <c r="W518" s="346"/>
      <c r="X518" s="346"/>
      <c r="Y518" s="346"/>
      <c r="Z518">
        <f t="shared" si="60"/>
        <v>0</v>
      </c>
      <c r="AA518" s="351"/>
    </row>
    <row r="519" spans="1:27">
      <c r="A519" s="165">
        <f>'Conveyor Downtime (new)'!A533</f>
        <v>0</v>
      </c>
      <c r="Z519">
        <f t="shared" si="60"/>
        <v>0</v>
      </c>
      <c r="AA519" s="351"/>
    </row>
    <row r="520" spans="1:27">
      <c r="A520" s="165">
        <f>'Conveyor Downtime (new)'!A534</f>
        <v>0</v>
      </c>
      <c r="B520" s="346"/>
      <c r="C520" s="346"/>
      <c r="D520" s="346"/>
      <c r="E520" s="346"/>
      <c r="F520" s="346"/>
      <c r="G520" s="346"/>
      <c r="H520" s="346"/>
      <c r="I520" s="346"/>
      <c r="J520" s="346"/>
      <c r="K520" s="346"/>
      <c r="L520" s="346"/>
      <c r="M520" s="346"/>
      <c r="N520" s="346"/>
      <c r="O520" s="346"/>
      <c r="P520" s="346"/>
      <c r="Q520" s="346"/>
      <c r="R520" s="346"/>
      <c r="S520" s="346"/>
      <c r="T520" s="346"/>
      <c r="U520" s="346"/>
      <c r="V520" s="346"/>
      <c r="W520" s="346"/>
      <c r="X520" s="346"/>
      <c r="Y520" s="346"/>
      <c r="Z520">
        <f t="shared" si="60"/>
        <v>0</v>
      </c>
      <c r="AA520" s="351"/>
    </row>
    <row r="521" spans="1:27">
      <c r="A521" s="165">
        <f>'Conveyor Downtime (new)'!A535</f>
        <v>0</v>
      </c>
      <c r="Z521">
        <f t="shared" si="60"/>
        <v>0</v>
      </c>
      <c r="AA521" s="351"/>
    </row>
    <row r="522" spans="1:27">
      <c r="A522" s="165">
        <f>'Conveyor Downtime (new)'!A536</f>
        <v>0</v>
      </c>
      <c r="B522" s="346"/>
      <c r="C522" s="346"/>
      <c r="D522" s="346"/>
      <c r="E522" s="346"/>
      <c r="F522" s="346"/>
      <c r="G522" s="346"/>
      <c r="H522" s="346"/>
      <c r="I522" s="346"/>
      <c r="J522" s="346"/>
      <c r="K522" s="346"/>
      <c r="L522" s="346"/>
      <c r="M522" s="346"/>
      <c r="N522" s="346"/>
      <c r="O522" s="346"/>
      <c r="P522" s="346"/>
      <c r="Q522" s="346"/>
      <c r="R522" s="346"/>
      <c r="S522" s="346"/>
      <c r="T522" s="346"/>
      <c r="U522" s="346"/>
      <c r="V522" s="346"/>
      <c r="W522" s="346"/>
      <c r="X522" s="346"/>
      <c r="Y522" s="346"/>
      <c r="Z522">
        <f t="shared" si="60"/>
        <v>0</v>
      </c>
      <c r="AA522" s="351"/>
    </row>
    <row r="523" spans="1:27">
      <c r="A523" s="165">
        <f>'Conveyor Downtime (new)'!A537</f>
        <v>0</v>
      </c>
      <c r="Z523">
        <f t="shared" si="60"/>
        <v>0</v>
      </c>
      <c r="AA523" s="351"/>
    </row>
    <row r="524" spans="1:27">
      <c r="A524" s="165">
        <f>'Conveyor Downtime (new)'!A538</f>
        <v>0</v>
      </c>
      <c r="Z524">
        <f t="shared" si="60"/>
        <v>0</v>
      </c>
      <c r="AA524" s="351"/>
    </row>
    <row r="525" spans="1:27">
      <c r="A525" s="165"/>
      <c r="B525" s="346"/>
      <c r="C525" s="346"/>
      <c r="D525" s="346"/>
      <c r="E525" s="346"/>
      <c r="F525" s="346"/>
      <c r="G525" s="346"/>
      <c r="H525" s="346"/>
      <c r="I525" s="346"/>
      <c r="J525" s="346"/>
      <c r="K525" s="346"/>
      <c r="L525" s="346"/>
      <c r="M525" s="346"/>
      <c r="N525" s="346"/>
      <c r="O525" s="346"/>
      <c r="P525" s="346"/>
      <c r="Q525" s="346"/>
      <c r="R525" s="346"/>
      <c r="S525" s="346"/>
      <c r="T525" s="346"/>
      <c r="U525" s="346"/>
      <c r="V525" s="346"/>
      <c r="W525" s="346"/>
      <c r="X525" s="346"/>
      <c r="Y525" s="346"/>
      <c r="Z525">
        <f t="shared" si="60"/>
        <v>0</v>
      </c>
      <c r="AA525" s="351"/>
    </row>
    <row r="526" spans="1:27" ht="15">
      <c r="A526" s="347" t="s">
        <v>173</v>
      </c>
      <c r="B526" s="347">
        <f>SUM(B480:B525)</f>
        <v>0</v>
      </c>
      <c r="C526" s="347">
        <f t="shared" ref="C526:Y526" si="61">SUM(C480:C525)</f>
        <v>0</v>
      </c>
      <c r="D526" s="347">
        <f t="shared" si="61"/>
        <v>65</v>
      </c>
      <c r="E526" s="347">
        <f t="shared" si="61"/>
        <v>0</v>
      </c>
      <c r="F526" s="347">
        <f t="shared" si="61"/>
        <v>22</v>
      </c>
      <c r="G526" s="347">
        <f t="shared" si="61"/>
        <v>0</v>
      </c>
      <c r="H526" s="347">
        <f t="shared" si="61"/>
        <v>0</v>
      </c>
      <c r="I526" s="347">
        <f t="shared" si="61"/>
        <v>260</v>
      </c>
      <c r="J526" s="347">
        <f t="shared" si="61"/>
        <v>0</v>
      </c>
      <c r="K526" s="347">
        <f t="shared" si="61"/>
        <v>121</v>
      </c>
      <c r="L526" s="347">
        <f t="shared" si="61"/>
        <v>0</v>
      </c>
      <c r="M526" s="347">
        <f t="shared" si="61"/>
        <v>0</v>
      </c>
      <c r="N526" s="347">
        <f t="shared" si="61"/>
        <v>0</v>
      </c>
      <c r="O526" s="347">
        <f t="shared" si="61"/>
        <v>147</v>
      </c>
      <c r="P526" s="347">
        <f t="shared" si="61"/>
        <v>0</v>
      </c>
      <c r="Q526" s="347">
        <f t="shared" si="61"/>
        <v>0</v>
      </c>
      <c r="R526" s="347">
        <f t="shared" si="61"/>
        <v>0</v>
      </c>
      <c r="S526" s="347">
        <f t="shared" si="61"/>
        <v>11</v>
      </c>
      <c r="T526" s="347">
        <f t="shared" si="61"/>
        <v>0</v>
      </c>
      <c r="U526" s="347">
        <f t="shared" si="61"/>
        <v>0</v>
      </c>
      <c r="V526" s="347"/>
      <c r="W526" s="347">
        <f t="shared" si="61"/>
        <v>24</v>
      </c>
      <c r="X526" s="347">
        <f t="shared" si="61"/>
        <v>8</v>
      </c>
      <c r="Y526" s="347">
        <f t="shared" si="61"/>
        <v>0</v>
      </c>
      <c r="Z526" s="347">
        <f>SUM(Z480:Z525)</f>
        <v>658</v>
      </c>
      <c r="AA526" s="351"/>
    </row>
    <row r="527" spans="1:27" ht="15.75" thickBot="1">
      <c r="A527" s="348" t="s">
        <v>174</v>
      </c>
      <c r="B527" s="348">
        <f t="shared" ref="B527:U527" si="62">B526/$Z526</f>
        <v>0</v>
      </c>
      <c r="C527" s="348">
        <f t="shared" si="62"/>
        <v>0</v>
      </c>
      <c r="D527" s="348">
        <f t="shared" si="62"/>
        <v>9.878419452887538E-2</v>
      </c>
      <c r="E527" s="348">
        <f t="shared" si="62"/>
        <v>0</v>
      </c>
      <c r="F527" s="348">
        <f t="shared" si="62"/>
        <v>3.3434650455927049E-2</v>
      </c>
      <c r="G527" s="348">
        <f t="shared" si="62"/>
        <v>0</v>
      </c>
      <c r="H527" s="348">
        <f t="shared" si="62"/>
        <v>0</v>
      </c>
      <c r="I527" s="348">
        <f t="shared" si="62"/>
        <v>0.39513677811550152</v>
      </c>
      <c r="J527" s="348">
        <f t="shared" si="62"/>
        <v>0</v>
      </c>
      <c r="K527" s="348">
        <f t="shared" si="62"/>
        <v>0.1838905775075988</v>
      </c>
      <c r="L527" s="348">
        <f t="shared" si="62"/>
        <v>0</v>
      </c>
      <c r="M527" s="348">
        <f t="shared" si="62"/>
        <v>0</v>
      </c>
      <c r="N527" s="348">
        <f t="shared" si="62"/>
        <v>0</v>
      </c>
      <c r="O527" s="348">
        <f t="shared" si="62"/>
        <v>0.22340425531914893</v>
      </c>
      <c r="P527" s="348">
        <f t="shared" si="62"/>
        <v>0</v>
      </c>
      <c r="Q527" s="348">
        <f t="shared" si="62"/>
        <v>0</v>
      </c>
      <c r="R527" s="348">
        <f t="shared" si="62"/>
        <v>0</v>
      </c>
      <c r="S527" s="348">
        <f t="shared" si="62"/>
        <v>1.6717325227963525E-2</v>
      </c>
      <c r="T527" s="348">
        <f t="shared" si="62"/>
        <v>0</v>
      </c>
      <c r="U527" s="348">
        <f t="shared" si="62"/>
        <v>0</v>
      </c>
      <c r="V527" s="348"/>
      <c r="W527" s="348">
        <f>W526/$Z526</f>
        <v>3.64741641337386E-2</v>
      </c>
      <c r="X527" s="348">
        <f>X526/$Z526</f>
        <v>1.2158054711246201E-2</v>
      </c>
      <c r="Y527" s="348">
        <f>Y526/$Z526</f>
        <v>0</v>
      </c>
      <c r="AA527" s="351"/>
    </row>
    <row r="528" spans="1:27">
      <c r="AA528" s="351"/>
    </row>
    <row r="529" spans="1:27">
      <c r="AA529" s="351"/>
    </row>
    <row r="530" spans="1:27">
      <c r="A530" s="165">
        <f>'Conveyor Downtime (new)'!A556</f>
        <v>46296</v>
      </c>
      <c r="B530" s="346"/>
      <c r="C530" s="346"/>
      <c r="D530" s="346"/>
      <c r="E530" s="346"/>
      <c r="F530" s="346"/>
      <c r="G530" s="346"/>
      <c r="H530" s="346"/>
      <c r="I530" s="346"/>
      <c r="J530" s="346"/>
      <c r="K530" s="346"/>
      <c r="L530" s="346"/>
      <c r="M530" s="346"/>
      <c r="N530" s="346"/>
      <c r="O530" s="346"/>
      <c r="P530" s="346"/>
      <c r="Q530" s="346"/>
      <c r="R530" s="346"/>
      <c r="S530" s="346"/>
      <c r="T530" s="346"/>
      <c r="U530" s="346"/>
      <c r="V530" s="346"/>
      <c r="W530" s="346"/>
      <c r="X530" s="346"/>
      <c r="Y530" s="346"/>
      <c r="Z530">
        <f t="shared" ref="Z530:Z545" si="63">SUM(B530:Y530)</f>
        <v>0</v>
      </c>
      <c r="AA530" s="351"/>
    </row>
    <row r="531" spans="1:27">
      <c r="A531" s="165">
        <f>'Conveyor Downtime (new)'!A557</f>
        <v>0</v>
      </c>
      <c r="Z531">
        <f t="shared" si="63"/>
        <v>0</v>
      </c>
      <c r="AA531" s="351"/>
    </row>
    <row r="532" spans="1:27">
      <c r="A532" s="165">
        <f>'Conveyor Downtime (new)'!A558</f>
        <v>0</v>
      </c>
      <c r="B532" s="346"/>
      <c r="C532" s="346"/>
      <c r="D532" s="346"/>
      <c r="E532" s="346"/>
      <c r="F532" s="346"/>
      <c r="G532" s="346"/>
      <c r="H532" s="346"/>
      <c r="I532" s="346"/>
      <c r="J532" s="346"/>
      <c r="K532" s="346"/>
      <c r="L532" s="346"/>
      <c r="M532" s="346"/>
      <c r="N532" s="346"/>
      <c r="O532" s="346"/>
      <c r="P532" s="346"/>
      <c r="Q532" s="346"/>
      <c r="R532" s="346"/>
      <c r="S532" s="346"/>
      <c r="T532" s="346"/>
      <c r="U532" s="346"/>
      <c r="V532" s="346"/>
      <c r="W532" s="346"/>
      <c r="X532" s="346"/>
      <c r="Y532" s="346"/>
      <c r="Z532">
        <f t="shared" si="63"/>
        <v>0</v>
      </c>
      <c r="AA532" s="351"/>
    </row>
    <row r="533" spans="1:27">
      <c r="A533" s="165">
        <f>'Conveyor Downtime (new)'!A559</f>
        <v>0</v>
      </c>
      <c r="Z533">
        <f t="shared" si="63"/>
        <v>0</v>
      </c>
      <c r="AA533" s="351"/>
    </row>
    <row r="534" spans="1:27">
      <c r="A534" s="165">
        <f>'Conveyor Downtime (new)'!A560</f>
        <v>0</v>
      </c>
      <c r="B534" s="346"/>
      <c r="C534" s="346"/>
      <c r="D534" s="346"/>
      <c r="E534" s="346"/>
      <c r="F534" s="346"/>
      <c r="G534" s="346"/>
      <c r="H534" s="346"/>
      <c r="I534" s="346"/>
      <c r="J534" s="346"/>
      <c r="K534" s="346"/>
      <c r="L534" s="346"/>
      <c r="M534" s="346"/>
      <c r="N534" s="346"/>
      <c r="O534" s="346"/>
      <c r="P534" s="346"/>
      <c r="Q534" s="346"/>
      <c r="R534" s="346"/>
      <c r="S534" s="346"/>
      <c r="T534" s="346"/>
      <c r="U534" s="346"/>
      <c r="V534" s="346"/>
      <c r="W534" s="346"/>
      <c r="X534" s="346"/>
      <c r="Y534" s="346"/>
      <c r="Z534">
        <f t="shared" si="63"/>
        <v>0</v>
      </c>
      <c r="AA534" s="351"/>
    </row>
    <row r="535" spans="1:27">
      <c r="A535" s="165">
        <f>'Conveyor Downtime (new)'!A561</f>
        <v>0</v>
      </c>
      <c r="Z535">
        <f t="shared" si="63"/>
        <v>0</v>
      </c>
      <c r="AA535" s="351"/>
    </row>
    <row r="536" spans="1:27">
      <c r="A536" s="165">
        <f>'Conveyor Downtime (new)'!A562</f>
        <v>0</v>
      </c>
      <c r="B536" s="346"/>
      <c r="C536" s="346"/>
      <c r="D536" s="346"/>
      <c r="E536" s="346"/>
      <c r="F536" s="346"/>
      <c r="G536" s="346"/>
      <c r="H536" s="346"/>
      <c r="I536" s="346"/>
      <c r="J536" s="346"/>
      <c r="K536" s="346"/>
      <c r="L536" s="346"/>
      <c r="M536" s="346"/>
      <c r="N536" s="346"/>
      <c r="O536" s="346"/>
      <c r="P536" s="346"/>
      <c r="Q536" s="346"/>
      <c r="R536" s="346"/>
      <c r="S536" s="346"/>
      <c r="T536" s="346"/>
      <c r="U536" s="346"/>
      <c r="V536" s="346"/>
      <c r="W536" s="346"/>
      <c r="X536" s="346"/>
      <c r="Y536" s="346"/>
      <c r="Z536">
        <f t="shared" si="63"/>
        <v>0</v>
      </c>
      <c r="AA536" s="351"/>
    </row>
    <row r="537" spans="1:27">
      <c r="A537" s="165">
        <f>'Conveyor Downtime (new)'!A563</f>
        <v>0</v>
      </c>
      <c r="Z537">
        <f t="shared" si="63"/>
        <v>0</v>
      </c>
      <c r="AA537" s="351"/>
    </row>
    <row r="538" spans="1:27">
      <c r="A538" s="165">
        <f>'Conveyor Downtime (new)'!A564</f>
        <v>0</v>
      </c>
      <c r="B538" s="346"/>
      <c r="C538" s="346"/>
      <c r="D538" s="346"/>
      <c r="E538" s="346"/>
      <c r="F538" s="346"/>
      <c r="G538" s="346"/>
      <c r="H538" s="346"/>
      <c r="I538" s="346"/>
      <c r="J538" s="346"/>
      <c r="K538" s="346"/>
      <c r="L538" s="346"/>
      <c r="M538" s="346"/>
      <c r="N538" s="346"/>
      <c r="O538" s="346"/>
      <c r="P538" s="346"/>
      <c r="Q538" s="346"/>
      <c r="R538" s="346"/>
      <c r="S538" s="346"/>
      <c r="T538" s="346"/>
      <c r="U538" s="346"/>
      <c r="V538" s="346"/>
      <c r="W538" s="346"/>
      <c r="X538" s="346"/>
      <c r="Y538" s="346"/>
      <c r="Z538">
        <f t="shared" si="63"/>
        <v>0</v>
      </c>
      <c r="AA538" s="351"/>
    </row>
    <row r="539" spans="1:27">
      <c r="A539" s="165">
        <f>'Conveyor Downtime (new)'!A565</f>
        <v>0</v>
      </c>
      <c r="Z539">
        <f t="shared" si="63"/>
        <v>0</v>
      </c>
      <c r="AA539" s="351"/>
    </row>
    <row r="540" spans="1:27">
      <c r="A540" s="165">
        <f>'Conveyor Downtime (new)'!A566</f>
        <v>0</v>
      </c>
      <c r="B540" s="346"/>
      <c r="C540" s="346"/>
      <c r="D540" s="346"/>
      <c r="E540" s="346"/>
      <c r="F540" s="346"/>
      <c r="G540" s="346"/>
      <c r="H540" s="346"/>
      <c r="I540" s="346"/>
      <c r="J540" s="346"/>
      <c r="K540" s="346"/>
      <c r="L540" s="346"/>
      <c r="M540" s="346"/>
      <c r="N540" s="346"/>
      <c r="O540" s="346"/>
      <c r="P540" s="346"/>
      <c r="Q540" s="346"/>
      <c r="R540" s="346"/>
      <c r="S540" s="346"/>
      <c r="T540" s="346"/>
      <c r="U540" s="346"/>
      <c r="V540" s="346"/>
      <c r="W540" s="346"/>
      <c r="X540" s="346"/>
      <c r="Y540" s="346"/>
      <c r="Z540">
        <f t="shared" si="63"/>
        <v>0</v>
      </c>
      <c r="AA540" s="351"/>
    </row>
    <row r="541" spans="1:27">
      <c r="A541" s="165">
        <f>'Conveyor Downtime (new)'!A567</f>
        <v>0</v>
      </c>
      <c r="Z541">
        <f t="shared" si="63"/>
        <v>0</v>
      </c>
      <c r="AA541" s="351"/>
    </row>
    <row r="542" spans="1:27">
      <c r="A542" s="165">
        <f>'Conveyor Downtime (new)'!A568</f>
        <v>0</v>
      </c>
      <c r="B542" s="346"/>
      <c r="C542" s="346"/>
      <c r="D542" s="346"/>
      <c r="E542" s="346"/>
      <c r="F542" s="346"/>
      <c r="G542" s="346"/>
      <c r="H542" s="346"/>
      <c r="I542" s="346"/>
      <c r="J542" s="346"/>
      <c r="K542" s="346"/>
      <c r="L542" s="346"/>
      <c r="M542" s="346"/>
      <c r="N542" s="346"/>
      <c r="O542" s="346"/>
      <c r="P542" s="346"/>
      <c r="Q542" s="346"/>
      <c r="R542" s="346"/>
      <c r="S542" s="346"/>
      <c r="T542" s="346"/>
      <c r="U542" s="346"/>
      <c r="V542" s="346"/>
      <c r="W542" s="346"/>
      <c r="X542" s="346"/>
      <c r="Y542" s="346"/>
      <c r="Z542">
        <f t="shared" si="63"/>
        <v>0</v>
      </c>
      <c r="AA542" s="351"/>
    </row>
    <row r="543" spans="1:27">
      <c r="A543" s="165">
        <f>'Conveyor Downtime (new)'!A569</f>
        <v>0</v>
      </c>
      <c r="Z543">
        <f t="shared" si="63"/>
        <v>0</v>
      </c>
      <c r="AA543" s="351"/>
    </row>
    <row r="544" spans="1:27">
      <c r="A544" s="165">
        <f>'Conveyor Downtime (new)'!A570</f>
        <v>0</v>
      </c>
      <c r="B544" s="346"/>
      <c r="C544" s="346"/>
      <c r="D544" s="346"/>
      <c r="E544" s="346"/>
      <c r="F544" s="346"/>
      <c r="G544" s="346"/>
      <c r="H544" s="346"/>
      <c r="I544" s="346"/>
      <c r="J544" s="346"/>
      <c r="K544" s="346"/>
      <c r="L544" s="346"/>
      <c r="M544" s="346"/>
      <c r="N544" s="346"/>
      <c r="O544" s="346"/>
      <c r="P544" s="346"/>
      <c r="Q544" s="346"/>
      <c r="R544" s="346"/>
      <c r="S544" s="346"/>
      <c r="T544" s="346"/>
      <c r="U544" s="346"/>
      <c r="V544" s="346"/>
      <c r="W544" s="346"/>
      <c r="X544" s="346"/>
      <c r="Y544" s="346"/>
      <c r="Z544">
        <f t="shared" si="63"/>
        <v>0</v>
      </c>
      <c r="AA544" s="351"/>
    </row>
    <row r="545" spans="1:27">
      <c r="A545" s="165">
        <f>'Conveyor Downtime (new)'!A571</f>
        <v>0</v>
      </c>
      <c r="Z545">
        <f t="shared" si="63"/>
        <v>0</v>
      </c>
      <c r="AA545" s="351"/>
    </row>
    <row r="546" spans="1:27">
      <c r="A546" s="165">
        <f>'Conveyor Downtime (new)'!A572</f>
        <v>0</v>
      </c>
      <c r="B546" s="346"/>
      <c r="C546" s="346"/>
      <c r="D546" s="346"/>
      <c r="E546" s="346"/>
      <c r="F546" s="346"/>
      <c r="G546" s="346"/>
      <c r="H546" s="346"/>
      <c r="I546" s="346"/>
      <c r="J546" s="346"/>
      <c r="K546" s="346"/>
      <c r="L546" s="346"/>
      <c r="M546" s="346"/>
      <c r="N546" s="346"/>
      <c r="O546" s="346"/>
      <c r="P546" s="346"/>
      <c r="Q546" s="346"/>
      <c r="R546" s="346"/>
      <c r="S546" s="346"/>
      <c r="T546" s="346"/>
      <c r="U546" s="346"/>
      <c r="V546" s="346"/>
      <c r="W546" s="346"/>
      <c r="X546" s="346"/>
      <c r="Y546" s="346"/>
      <c r="Z546">
        <f t="shared" ref="Z546:Z552" si="64">SUM(B546:Y546)</f>
        <v>0</v>
      </c>
      <c r="AA546" s="351"/>
    </row>
    <row r="547" spans="1:27">
      <c r="A547" s="165">
        <f>'Conveyor Downtime (new)'!A573</f>
        <v>0</v>
      </c>
      <c r="Z547">
        <f t="shared" si="64"/>
        <v>0</v>
      </c>
      <c r="AA547" s="351"/>
    </row>
    <row r="548" spans="1:27">
      <c r="A548" s="165">
        <f>'Conveyor Downtime (new)'!A574</f>
        <v>0</v>
      </c>
      <c r="B548" s="346"/>
      <c r="C548" s="346"/>
      <c r="D548" s="346"/>
      <c r="E548" s="346"/>
      <c r="F548" s="346"/>
      <c r="G548" s="346"/>
      <c r="H548" s="346"/>
      <c r="I548" s="346"/>
      <c r="J548" s="346"/>
      <c r="K548" s="346"/>
      <c r="L548" s="346"/>
      <c r="M548" s="346"/>
      <c r="N548" s="346"/>
      <c r="O548" s="346"/>
      <c r="P548" s="346"/>
      <c r="Q548" s="346"/>
      <c r="R548" s="346"/>
      <c r="S548" s="346"/>
      <c r="T548" s="346"/>
      <c r="U548" s="346"/>
      <c r="V548" s="346"/>
      <c r="W548" s="346"/>
      <c r="X548" s="346"/>
      <c r="Y548" s="346"/>
      <c r="Z548">
        <f t="shared" si="64"/>
        <v>0</v>
      </c>
      <c r="AA548" s="351"/>
    </row>
    <row r="549" spans="1:27">
      <c r="A549" s="165">
        <f>'Conveyor Downtime (new)'!A575</f>
        <v>0</v>
      </c>
      <c r="Z549">
        <f t="shared" si="64"/>
        <v>0</v>
      </c>
      <c r="AA549" s="351"/>
    </row>
    <row r="550" spans="1:27">
      <c r="A550" s="165">
        <f>'Conveyor Downtime (new)'!A576</f>
        <v>0</v>
      </c>
      <c r="B550" s="346"/>
      <c r="C550" s="346"/>
      <c r="D550" s="346"/>
      <c r="E550" s="346"/>
      <c r="F550" s="346"/>
      <c r="G550" s="346"/>
      <c r="H550" s="346"/>
      <c r="I550" s="346"/>
      <c r="J550" s="346"/>
      <c r="K550" s="346"/>
      <c r="L550" s="346"/>
      <c r="M550" s="346"/>
      <c r="N550" s="346"/>
      <c r="O550" s="346"/>
      <c r="P550" s="346"/>
      <c r="Q550" s="346"/>
      <c r="R550" s="346"/>
      <c r="S550" s="346"/>
      <c r="T550" s="346"/>
      <c r="U550" s="346"/>
      <c r="V550" s="346"/>
      <c r="W550" s="346"/>
      <c r="X550" s="346"/>
      <c r="Y550" s="346"/>
      <c r="Z550">
        <f t="shared" si="64"/>
        <v>0</v>
      </c>
      <c r="AA550" s="351"/>
    </row>
    <row r="551" spans="1:27">
      <c r="A551" s="165">
        <f>'Conveyor Downtime (new)'!A577</f>
        <v>0</v>
      </c>
      <c r="Z551">
        <f t="shared" si="64"/>
        <v>0</v>
      </c>
      <c r="AA551" s="351"/>
    </row>
    <row r="552" spans="1:27">
      <c r="A552" s="165">
        <f>'Conveyor Downtime (new)'!A578</f>
        <v>0</v>
      </c>
      <c r="B552" s="346"/>
      <c r="C552" s="346"/>
      <c r="D552" s="346"/>
      <c r="E552" s="346"/>
      <c r="F552" s="346"/>
      <c r="G552" s="346"/>
      <c r="H552" s="346"/>
      <c r="I552" s="346"/>
      <c r="J552" s="346"/>
      <c r="K552" s="346"/>
      <c r="L552" s="346"/>
      <c r="M552" s="346"/>
      <c r="N552" s="346"/>
      <c r="O552" s="346"/>
      <c r="P552" s="346"/>
      <c r="Q552" s="346"/>
      <c r="R552" s="346"/>
      <c r="S552" s="346"/>
      <c r="T552" s="346"/>
      <c r="U552" s="346"/>
      <c r="V552" s="346"/>
      <c r="W552" s="346"/>
      <c r="X552" s="346"/>
      <c r="Y552" s="346"/>
      <c r="Z552">
        <f t="shared" si="64"/>
        <v>0</v>
      </c>
      <c r="AA552" s="351"/>
    </row>
    <row r="553" spans="1:27">
      <c r="A553" s="165">
        <f>'Conveyor Downtime (new)'!A579</f>
        <v>0</v>
      </c>
      <c r="Z553">
        <f t="shared" ref="Z553:Z561" si="65">SUM(B553:Y553)</f>
        <v>0</v>
      </c>
      <c r="AA553" s="351"/>
    </row>
    <row r="554" spans="1:27">
      <c r="A554" s="165">
        <f>'Conveyor Downtime (new)'!A580</f>
        <v>0</v>
      </c>
      <c r="B554" s="346"/>
      <c r="C554" s="346"/>
      <c r="D554" s="346"/>
      <c r="E554" s="346"/>
      <c r="F554" s="346"/>
      <c r="G554" s="346"/>
      <c r="H554" s="346"/>
      <c r="I554" s="346"/>
      <c r="J554" s="346"/>
      <c r="K554" s="346"/>
      <c r="L554" s="346"/>
      <c r="M554" s="346"/>
      <c r="N554" s="346"/>
      <c r="O554" s="346"/>
      <c r="P554" s="346"/>
      <c r="Q554" s="346"/>
      <c r="R554" s="346"/>
      <c r="S554" s="346"/>
      <c r="T554" s="346"/>
      <c r="U554" s="346"/>
      <c r="V554" s="346"/>
      <c r="W554" s="346"/>
      <c r="X554" s="346"/>
      <c r="Y554" s="346"/>
      <c r="Z554">
        <f t="shared" si="65"/>
        <v>0</v>
      </c>
      <c r="AA554" s="351"/>
    </row>
    <row r="555" spans="1:27">
      <c r="A555" s="165">
        <f>'Conveyor Downtime (new)'!A581</f>
        <v>0</v>
      </c>
      <c r="Z555">
        <f t="shared" si="65"/>
        <v>0</v>
      </c>
      <c r="AA555" s="351"/>
    </row>
    <row r="556" spans="1:27">
      <c r="A556" s="165">
        <f>'Conveyor Downtime (new)'!A582</f>
        <v>0</v>
      </c>
      <c r="B556" s="346"/>
      <c r="C556" s="346"/>
      <c r="D556" s="346"/>
      <c r="E556" s="346"/>
      <c r="F556" s="346"/>
      <c r="G556" s="346"/>
      <c r="H556" s="346"/>
      <c r="I556" s="346"/>
      <c r="J556" s="346"/>
      <c r="K556" s="346"/>
      <c r="L556" s="346"/>
      <c r="M556" s="346"/>
      <c r="N556" s="346"/>
      <c r="O556" s="346"/>
      <c r="P556" s="346"/>
      <c r="Q556" s="346"/>
      <c r="R556" s="346"/>
      <c r="S556" s="346"/>
      <c r="T556" s="346"/>
      <c r="U556" s="346"/>
      <c r="V556" s="346"/>
      <c r="W556" s="346"/>
      <c r="X556" s="346"/>
      <c r="Y556" s="346"/>
      <c r="Z556">
        <f t="shared" si="65"/>
        <v>0</v>
      </c>
      <c r="AA556" s="351"/>
    </row>
    <row r="557" spans="1:27">
      <c r="A557" s="165">
        <f>'Conveyor Downtime (new)'!A583</f>
        <v>0</v>
      </c>
      <c r="Z557">
        <f t="shared" si="65"/>
        <v>0</v>
      </c>
      <c r="AA557" s="351"/>
    </row>
    <row r="558" spans="1:27">
      <c r="A558" s="165">
        <f>'Conveyor Downtime (new)'!A584</f>
        <v>0</v>
      </c>
      <c r="B558" s="346"/>
      <c r="C558" s="346"/>
      <c r="D558" s="346"/>
      <c r="E558" s="346"/>
      <c r="F558" s="346"/>
      <c r="G558" s="346"/>
      <c r="H558" s="346"/>
      <c r="I558" s="346"/>
      <c r="J558" s="346"/>
      <c r="K558" s="346"/>
      <c r="L558" s="346"/>
      <c r="M558" s="346"/>
      <c r="N558" s="346"/>
      <c r="O558" s="346"/>
      <c r="P558" s="346"/>
      <c r="Q558" s="346"/>
      <c r="R558" s="346"/>
      <c r="S558" s="346"/>
      <c r="T558" s="346"/>
      <c r="U558" s="346"/>
      <c r="V558" s="346"/>
      <c r="W558" s="346"/>
      <c r="X558" s="346"/>
      <c r="Y558" s="346"/>
      <c r="Z558">
        <f t="shared" si="65"/>
        <v>0</v>
      </c>
      <c r="AA558" s="351"/>
    </row>
    <row r="559" spans="1:27">
      <c r="A559" s="165">
        <f>'Conveyor Downtime (new)'!A585</f>
        <v>0</v>
      </c>
      <c r="Z559">
        <f t="shared" si="65"/>
        <v>0</v>
      </c>
      <c r="AA559" s="351"/>
    </row>
    <row r="560" spans="1:27">
      <c r="A560" s="165">
        <f>'Conveyor Downtime (new)'!A586</f>
        <v>0</v>
      </c>
      <c r="B560" s="346"/>
      <c r="C560" s="346"/>
      <c r="D560" s="346"/>
      <c r="E560" s="346"/>
      <c r="F560" s="346"/>
      <c r="G560" s="346"/>
      <c r="H560" s="346"/>
      <c r="I560" s="346"/>
      <c r="J560" s="346"/>
      <c r="K560" s="346"/>
      <c r="L560" s="346"/>
      <c r="M560" s="346"/>
      <c r="N560" s="346"/>
      <c r="O560" s="346"/>
      <c r="P560" s="346"/>
      <c r="Q560" s="346"/>
      <c r="R560" s="346"/>
      <c r="S560" s="346"/>
      <c r="T560" s="346"/>
      <c r="U560" s="346"/>
      <c r="V560" s="346"/>
      <c r="W560" s="346"/>
      <c r="X560" s="346"/>
      <c r="Y560" s="346"/>
      <c r="Z560">
        <f t="shared" si="65"/>
        <v>0</v>
      </c>
      <c r="AA560" s="351"/>
    </row>
    <row r="561" spans="1:27">
      <c r="A561" s="165">
        <f>'Conveyor Downtime (new)'!A587</f>
        <v>0</v>
      </c>
      <c r="Z561">
        <f t="shared" si="65"/>
        <v>0</v>
      </c>
      <c r="AA561" s="351"/>
    </row>
    <row r="562" spans="1:27">
      <c r="A562" s="165">
        <f>'Conveyor Downtime (new)'!A588</f>
        <v>0</v>
      </c>
      <c r="B562" s="346"/>
      <c r="C562" s="346"/>
      <c r="D562" s="346"/>
      <c r="E562" s="346"/>
      <c r="F562" s="346"/>
      <c r="G562" s="346"/>
      <c r="H562" s="346"/>
      <c r="I562" s="346"/>
      <c r="J562" s="346"/>
      <c r="K562" s="346"/>
      <c r="L562" s="346"/>
      <c r="M562" s="346"/>
      <c r="N562" s="346"/>
      <c r="O562" s="346"/>
      <c r="P562" s="346"/>
      <c r="Q562" s="346"/>
      <c r="R562" s="346"/>
      <c r="S562" s="346"/>
      <c r="T562" s="346"/>
      <c r="U562" s="346"/>
      <c r="V562" s="346"/>
      <c r="W562" s="346"/>
      <c r="X562" s="346"/>
      <c r="Y562" s="346"/>
      <c r="Z562">
        <f t="shared" ref="Z562:Z584" si="66">SUM(B562:Y562)</f>
        <v>0</v>
      </c>
      <c r="AA562" s="351"/>
    </row>
    <row r="563" spans="1:27">
      <c r="A563" s="165">
        <f>'Conveyor Downtime (new)'!A589</f>
        <v>0</v>
      </c>
      <c r="Z563">
        <f t="shared" si="66"/>
        <v>0</v>
      </c>
      <c r="AA563" s="351"/>
    </row>
    <row r="564" spans="1:27">
      <c r="A564" s="165">
        <f>'Conveyor Downtime (new)'!A590</f>
        <v>0</v>
      </c>
      <c r="B564" s="346"/>
      <c r="C564" s="346"/>
      <c r="D564" s="346"/>
      <c r="E564" s="346"/>
      <c r="F564" s="346"/>
      <c r="G564" s="346"/>
      <c r="H564" s="346"/>
      <c r="I564" s="346"/>
      <c r="J564" s="346"/>
      <c r="K564" s="346"/>
      <c r="L564" s="346"/>
      <c r="M564" s="346"/>
      <c r="N564" s="346"/>
      <c r="O564" s="346"/>
      <c r="P564" s="346"/>
      <c r="Q564" s="346"/>
      <c r="R564" s="346"/>
      <c r="S564" s="346"/>
      <c r="T564" s="346"/>
      <c r="U564" s="346"/>
      <c r="V564" s="346"/>
      <c r="W564" s="346"/>
      <c r="X564" s="346"/>
      <c r="Y564" s="346"/>
      <c r="Z564">
        <f t="shared" si="66"/>
        <v>0</v>
      </c>
      <c r="AA564" s="351"/>
    </row>
    <row r="565" spans="1:27">
      <c r="A565" s="165">
        <f>'Conveyor Downtime (new)'!A591</f>
        <v>0</v>
      </c>
      <c r="Z565">
        <f t="shared" si="66"/>
        <v>0</v>
      </c>
      <c r="AA565" s="351"/>
    </row>
    <row r="566" spans="1:27">
      <c r="A566" s="165">
        <f>'Conveyor Downtime (new)'!A592</f>
        <v>0</v>
      </c>
      <c r="B566" s="346"/>
      <c r="C566" s="346"/>
      <c r="D566" s="346"/>
      <c r="E566" s="346"/>
      <c r="F566" s="346"/>
      <c r="G566" s="346"/>
      <c r="H566" s="346"/>
      <c r="I566" s="346"/>
      <c r="J566" s="346"/>
      <c r="K566" s="346"/>
      <c r="L566" s="346"/>
      <c r="M566" s="346"/>
      <c r="N566" s="346"/>
      <c r="O566" s="346"/>
      <c r="P566" s="346"/>
      <c r="Q566" s="346"/>
      <c r="R566" s="346"/>
      <c r="S566" s="346"/>
      <c r="T566" s="346"/>
      <c r="U566" s="346"/>
      <c r="V566" s="346"/>
      <c r="W566" s="346"/>
      <c r="X566" s="346"/>
      <c r="Y566" s="346"/>
      <c r="Z566">
        <f t="shared" si="66"/>
        <v>0</v>
      </c>
      <c r="AA566" s="351"/>
    </row>
    <row r="567" spans="1:27">
      <c r="A567" s="165">
        <f>'Conveyor Downtime (new)'!A593</f>
        <v>0</v>
      </c>
      <c r="Z567">
        <f t="shared" si="66"/>
        <v>0</v>
      </c>
      <c r="AA567" s="351"/>
    </row>
    <row r="568" spans="1:27">
      <c r="A568" s="165">
        <f>'Conveyor Downtime (new)'!A594</f>
        <v>0</v>
      </c>
      <c r="B568" s="346"/>
      <c r="C568" s="346"/>
      <c r="D568" s="346"/>
      <c r="E568" s="346"/>
      <c r="F568" s="346"/>
      <c r="G568" s="346"/>
      <c r="H568" s="346"/>
      <c r="I568" s="346"/>
      <c r="J568" s="346"/>
      <c r="K568" s="346"/>
      <c r="L568" s="346"/>
      <c r="M568" s="346"/>
      <c r="N568" s="346"/>
      <c r="O568" s="346"/>
      <c r="P568" s="346"/>
      <c r="Q568" s="346"/>
      <c r="R568" s="346"/>
      <c r="S568" s="346"/>
      <c r="T568" s="346"/>
      <c r="U568" s="346"/>
      <c r="V568" s="346"/>
      <c r="W568" s="346"/>
      <c r="X568" s="346"/>
      <c r="Y568" s="346"/>
      <c r="Z568">
        <f t="shared" si="66"/>
        <v>0</v>
      </c>
      <c r="AA568" s="351"/>
    </row>
    <row r="569" spans="1:27">
      <c r="A569" s="165">
        <f>'Conveyor Downtime (new)'!A595</f>
        <v>0</v>
      </c>
      <c r="Z569">
        <f t="shared" si="66"/>
        <v>0</v>
      </c>
      <c r="AA569" s="351"/>
    </row>
    <row r="570" spans="1:27">
      <c r="A570" s="165">
        <f>'Conveyor Downtime (new)'!A596</f>
        <v>0</v>
      </c>
      <c r="B570" s="346"/>
      <c r="C570" s="346"/>
      <c r="D570" s="346"/>
      <c r="E570" s="346"/>
      <c r="F570" s="346"/>
      <c r="G570" s="346"/>
      <c r="H570" s="346"/>
      <c r="I570" s="346"/>
      <c r="J570" s="346"/>
      <c r="K570" s="346"/>
      <c r="L570" s="346"/>
      <c r="M570" s="346"/>
      <c r="N570" s="346"/>
      <c r="O570" s="346"/>
      <c r="P570" s="346"/>
      <c r="Q570" s="346"/>
      <c r="R570" s="346"/>
      <c r="S570" s="346"/>
      <c r="T570" s="346"/>
      <c r="U570" s="346"/>
      <c r="V570" s="346"/>
      <c r="W570" s="346"/>
      <c r="X570" s="346"/>
      <c r="Y570" s="346"/>
      <c r="Z570">
        <f t="shared" si="66"/>
        <v>0</v>
      </c>
      <c r="AA570" s="351"/>
    </row>
    <row r="571" spans="1:27">
      <c r="A571" s="165">
        <f>'Conveyor Downtime (new)'!A597</f>
        <v>0</v>
      </c>
      <c r="Z571">
        <f t="shared" si="66"/>
        <v>0</v>
      </c>
      <c r="AA571" s="351"/>
    </row>
    <row r="572" spans="1:27">
      <c r="A572" s="165">
        <f>'Conveyor Downtime (new)'!A598</f>
        <v>0</v>
      </c>
      <c r="B572" s="346"/>
      <c r="C572" s="346"/>
      <c r="D572" s="346"/>
      <c r="E572" s="346"/>
      <c r="F572" s="346"/>
      <c r="G572" s="346"/>
      <c r="H572" s="346"/>
      <c r="I572" s="346"/>
      <c r="J572" s="346"/>
      <c r="K572" s="346"/>
      <c r="L572" s="346"/>
      <c r="M572" s="346"/>
      <c r="N572" s="346"/>
      <c r="O572" s="346"/>
      <c r="P572" s="346"/>
      <c r="Q572" s="346"/>
      <c r="R572" s="346"/>
      <c r="S572" s="346"/>
      <c r="T572" s="346"/>
      <c r="U572" s="346"/>
      <c r="V572" s="346"/>
      <c r="W572" s="346"/>
      <c r="X572" s="346"/>
      <c r="Y572" s="346"/>
      <c r="Z572">
        <f t="shared" si="66"/>
        <v>0</v>
      </c>
      <c r="AA572" s="351"/>
    </row>
    <row r="573" spans="1:27">
      <c r="A573" s="165">
        <f>'Conveyor Downtime (new)'!A599</f>
        <v>0</v>
      </c>
      <c r="Z573">
        <f t="shared" si="66"/>
        <v>0</v>
      </c>
      <c r="AA573" s="351"/>
    </row>
    <row r="574" spans="1:27">
      <c r="A574" s="165">
        <f>'Conveyor Downtime (new)'!A600</f>
        <v>0</v>
      </c>
      <c r="B574" s="346"/>
      <c r="C574" s="346"/>
      <c r="D574" s="346"/>
      <c r="E574" s="346"/>
      <c r="F574" s="346"/>
      <c r="G574" s="346"/>
      <c r="H574" s="346"/>
      <c r="I574" s="346"/>
      <c r="J574" s="346"/>
      <c r="K574" s="346"/>
      <c r="L574" s="346"/>
      <c r="M574" s="346"/>
      <c r="N574" s="346"/>
      <c r="O574" s="346"/>
      <c r="P574" s="346"/>
      <c r="Q574" s="346"/>
      <c r="R574" s="346"/>
      <c r="S574" s="346"/>
      <c r="T574" s="346"/>
      <c r="U574" s="346"/>
      <c r="V574" s="346"/>
      <c r="W574" s="346"/>
      <c r="X574" s="346"/>
      <c r="Y574" s="346"/>
      <c r="Z574">
        <f t="shared" si="66"/>
        <v>0</v>
      </c>
      <c r="AA574" s="351"/>
    </row>
    <row r="575" spans="1:27">
      <c r="A575" s="165">
        <f>'Conveyor Downtime (new)'!A601</f>
        <v>0</v>
      </c>
      <c r="Z575">
        <f t="shared" si="66"/>
        <v>0</v>
      </c>
      <c r="AA575" s="351"/>
    </row>
    <row r="576" spans="1:27">
      <c r="A576" s="165">
        <f>'Conveyor Downtime (new)'!A602</f>
        <v>0</v>
      </c>
      <c r="B576" s="346"/>
      <c r="C576" s="346"/>
      <c r="D576" s="346"/>
      <c r="E576" s="346"/>
      <c r="F576" s="346"/>
      <c r="G576" s="346"/>
      <c r="H576" s="346"/>
      <c r="I576" s="346"/>
      <c r="J576" s="346"/>
      <c r="K576" s="346"/>
      <c r="L576" s="346"/>
      <c r="M576" s="346"/>
      <c r="N576" s="346"/>
      <c r="O576" s="346"/>
      <c r="P576" s="346"/>
      <c r="Q576" s="346"/>
      <c r="R576" s="346"/>
      <c r="S576" s="346"/>
      <c r="T576" s="346"/>
      <c r="U576" s="346"/>
      <c r="V576" s="346"/>
      <c r="W576" s="346"/>
      <c r="X576" s="346"/>
      <c r="Y576" s="346"/>
      <c r="Z576">
        <f t="shared" si="66"/>
        <v>0</v>
      </c>
      <c r="AA576" s="351"/>
    </row>
    <row r="577" spans="1:27">
      <c r="A577" s="165">
        <f>'Conveyor Downtime (new)'!A603</f>
        <v>0</v>
      </c>
      <c r="Z577">
        <f t="shared" si="66"/>
        <v>0</v>
      </c>
      <c r="AA577" s="351"/>
    </row>
    <row r="578" spans="1:27">
      <c r="A578" s="165">
        <f>'Conveyor Downtime (new)'!A604</f>
        <v>0</v>
      </c>
      <c r="B578" s="346"/>
      <c r="C578" s="346"/>
      <c r="D578" s="346"/>
      <c r="E578" s="346"/>
      <c r="F578" s="346"/>
      <c r="G578" s="346"/>
      <c r="H578" s="346"/>
      <c r="I578" s="346"/>
      <c r="J578" s="346"/>
      <c r="K578" s="346"/>
      <c r="L578" s="346"/>
      <c r="M578" s="346"/>
      <c r="N578" s="346"/>
      <c r="O578" s="346"/>
      <c r="P578" s="346"/>
      <c r="Q578" s="346"/>
      <c r="R578" s="346"/>
      <c r="S578" s="346"/>
      <c r="T578" s="346"/>
      <c r="U578" s="346"/>
      <c r="V578" s="346"/>
      <c r="W578" s="346"/>
      <c r="X578" s="346"/>
      <c r="Y578" s="346"/>
      <c r="Z578">
        <f t="shared" si="66"/>
        <v>0</v>
      </c>
      <c r="AA578" s="351"/>
    </row>
    <row r="579" spans="1:27">
      <c r="A579" s="165">
        <f>'Conveyor Downtime (new)'!A605</f>
        <v>0</v>
      </c>
      <c r="Z579">
        <f t="shared" si="66"/>
        <v>0</v>
      </c>
      <c r="AA579" s="351"/>
    </row>
    <row r="580" spans="1:27">
      <c r="A580" s="165">
        <f>'Conveyor Downtime (new)'!A606</f>
        <v>0</v>
      </c>
      <c r="B580" s="346"/>
      <c r="C580" s="346"/>
      <c r="D580" s="346"/>
      <c r="E580" s="346"/>
      <c r="F580" s="346"/>
      <c r="G580" s="346"/>
      <c r="H580" s="346"/>
      <c r="I580" s="346"/>
      <c r="J580" s="346"/>
      <c r="K580" s="346"/>
      <c r="L580" s="346"/>
      <c r="M580" s="346"/>
      <c r="N580" s="346"/>
      <c r="O580" s="346"/>
      <c r="P580" s="346"/>
      <c r="Q580" s="346"/>
      <c r="R580" s="346"/>
      <c r="S580" s="346"/>
      <c r="T580" s="346"/>
      <c r="U580" s="346"/>
      <c r="V580" s="346"/>
      <c r="W580" s="346"/>
      <c r="X580" s="346"/>
      <c r="Y580" s="346"/>
      <c r="Z580">
        <f t="shared" si="66"/>
        <v>0</v>
      </c>
      <c r="AA580" s="351"/>
    </row>
    <row r="581" spans="1:27">
      <c r="A581" s="165">
        <f>'Conveyor Downtime (new)'!A607</f>
        <v>0</v>
      </c>
      <c r="Z581">
        <f t="shared" si="66"/>
        <v>0</v>
      </c>
      <c r="AA581" s="351"/>
    </row>
    <row r="582" spans="1:27">
      <c r="A582" s="165">
        <f>'Conveyor Downtime (new)'!A609</f>
        <v>0</v>
      </c>
      <c r="B582" s="346"/>
      <c r="C582" s="346"/>
      <c r="D582" s="346"/>
      <c r="E582" s="346"/>
      <c r="F582" s="346"/>
      <c r="G582" s="346"/>
      <c r="H582" s="346"/>
      <c r="I582" s="346"/>
      <c r="J582" s="346"/>
      <c r="K582" s="346"/>
      <c r="L582" s="346"/>
      <c r="M582" s="346"/>
      <c r="N582" s="346"/>
      <c r="O582" s="346"/>
      <c r="P582" s="346"/>
      <c r="Q582" s="346"/>
      <c r="R582" s="346"/>
      <c r="S582" s="346"/>
      <c r="T582" s="346"/>
      <c r="U582" s="346"/>
      <c r="V582" s="346"/>
      <c r="W582" s="346"/>
      <c r="X582" s="346"/>
      <c r="Y582" s="346"/>
      <c r="Z582">
        <f t="shared" si="66"/>
        <v>0</v>
      </c>
      <c r="AA582" s="351"/>
    </row>
    <row r="583" spans="1:27">
      <c r="A583" s="165">
        <f>'Conveyor Downtime (new)'!A610</f>
        <v>0</v>
      </c>
      <c r="Z583">
        <f t="shared" si="66"/>
        <v>0</v>
      </c>
      <c r="AA583" s="351"/>
    </row>
    <row r="584" spans="1:27">
      <c r="A584" s="165"/>
      <c r="B584" s="346"/>
      <c r="C584" s="346"/>
      <c r="D584" s="346"/>
      <c r="E584" s="346"/>
      <c r="F584" s="346"/>
      <c r="G584" s="346"/>
      <c r="H584" s="346"/>
      <c r="I584" s="346"/>
      <c r="J584" s="346"/>
      <c r="K584" s="346"/>
      <c r="L584" s="346"/>
      <c r="M584" s="346"/>
      <c r="N584" s="346"/>
      <c r="O584" s="346"/>
      <c r="P584" s="346"/>
      <c r="Q584" s="346"/>
      <c r="R584" s="346"/>
      <c r="S584" s="346"/>
      <c r="T584" s="346"/>
      <c r="U584" s="346"/>
      <c r="V584" s="346"/>
      <c r="W584" s="346"/>
      <c r="X584" s="346"/>
      <c r="Y584" s="346"/>
      <c r="Z584">
        <f t="shared" si="66"/>
        <v>0</v>
      </c>
      <c r="AA584" s="351"/>
    </row>
    <row r="585" spans="1:27" ht="15">
      <c r="A585" s="347" t="s">
        <v>173</v>
      </c>
      <c r="B585" s="347">
        <f t="shared" ref="B585:X585" si="67">SUM(B530:B584)</f>
        <v>0</v>
      </c>
      <c r="C585" s="347">
        <f t="shared" si="67"/>
        <v>0</v>
      </c>
      <c r="D585" s="347">
        <f t="shared" si="67"/>
        <v>0</v>
      </c>
      <c r="E585" s="347">
        <f t="shared" si="67"/>
        <v>0</v>
      </c>
      <c r="F585" s="347">
        <f t="shared" si="67"/>
        <v>0</v>
      </c>
      <c r="G585" s="347">
        <f t="shared" si="67"/>
        <v>0</v>
      </c>
      <c r="H585" s="347">
        <f t="shared" si="67"/>
        <v>0</v>
      </c>
      <c r="I585" s="347">
        <f t="shared" si="67"/>
        <v>0</v>
      </c>
      <c r="J585" s="347">
        <f t="shared" si="67"/>
        <v>0</v>
      </c>
      <c r="K585" s="347">
        <f t="shared" si="67"/>
        <v>0</v>
      </c>
      <c r="L585" s="347">
        <f t="shared" si="67"/>
        <v>0</v>
      </c>
      <c r="M585" s="347">
        <f t="shared" si="67"/>
        <v>0</v>
      </c>
      <c r="N585" s="347">
        <f t="shared" si="67"/>
        <v>0</v>
      </c>
      <c r="O585" s="347">
        <f t="shared" si="67"/>
        <v>0</v>
      </c>
      <c r="P585" s="347">
        <f t="shared" si="67"/>
        <v>0</v>
      </c>
      <c r="Q585" s="347">
        <f t="shared" si="67"/>
        <v>0</v>
      </c>
      <c r="R585" s="347">
        <f t="shared" si="67"/>
        <v>0</v>
      </c>
      <c r="S585" s="347">
        <f t="shared" si="67"/>
        <v>0</v>
      </c>
      <c r="T585" s="347">
        <f t="shared" si="67"/>
        <v>0</v>
      </c>
      <c r="U585" s="347">
        <f t="shared" si="67"/>
        <v>0</v>
      </c>
      <c r="V585" s="347"/>
      <c r="W585" s="347">
        <f t="shared" si="67"/>
        <v>0</v>
      </c>
      <c r="X585" s="347">
        <f t="shared" si="67"/>
        <v>0</v>
      </c>
      <c r="Y585" s="347">
        <f>SUM(Y530:Y584)</f>
        <v>0</v>
      </c>
      <c r="Z585" s="347">
        <f>SUM(Z530:Z584)</f>
        <v>0</v>
      </c>
      <c r="AA585" s="351"/>
    </row>
    <row r="586" spans="1:27" ht="15.75" thickBot="1">
      <c r="A586" s="348" t="s">
        <v>174</v>
      </c>
      <c r="B586" s="348" t="e">
        <f t="shared" ref="B586:U586" si="68">B585/$Z585</f>
        <v>#DIV/0!</v>
      </c>
      <c r="C586" s="348" t="e">
        <f t="shared" si="68"/>
        <v>#DIV/0!</v>
      </c>
      <c r="D586" s="348" t="e">
        <f t="shared" si="68"/>
        <v>#DIV/0!</v>
      </c>
      <c r="E586" s="348" t="e">
        <f t="shared" si="68"/>
        <v>#DIV/0!</v>
      </c>
      <c r="F586" s="348" t="e">
        <f t="shared" si="68"/>
        <v>#DIV/0!</v>
      </c>
      <c r="G586" s="348" t="e">
        <f t="shared" si="68"/>
        <v>#DIV/0!</v>
      </c>
      <c r="H586" s="348" t="e">
        <f t="shared" si="68"/>
        <v>#DIV/0!</v>
      </c>
      <c r="I586" s="348" t="e">
        <f t="shared" si="68"/>
        <v>#DIV/0!</v>
      </c>
      <c r="J586" s="348" t="e">
        <f t="shared" si="68"/>
        <v>#DIV/0!</v>
      </c>
      <c r="K586" s="348" t="e">
        <f t="shared" si="68"/>
        <v>#DIV/0!</v>
      </c>
      <c r="L586" s="348" t="e">
        <f t="shared" si="68"/>
        <v>#DIV/0!</v>
      </c>
      <c r="M586" s="348" t="e">
        <f t="shared" si="68"/>
        <v>#DIV/0!</v>
      </c>
      <c r="N586" s="348" t="e">
        <f t="shared" si="68"/>
        <v>#DIV/0!</v>
      </c>
      <c r="O586" s="348" t="e">
        <f t="shared" si="68"/>
        <v>#DIV/0!</v>
      </c>
      <c r="P586" s="348" t="e">
        <f t="shared" si="68"/>
        <v>#DIV/0!</v>
      </c>
      <c r="Q586" s="348" t="e">
        <f t="shared" si="68"/>
        <v>#DIV/0!</v>
      </c>
      <c r="R586" s="348" t="e">
        <f t="shared" si="68"/>
        <v>#DIV/0!</v>
      </c>
      <c r="S586" s="348" t="e">
        <f t="shared" si="68"/>
        <v>#DIV/0!</v>
      </c>
      <c r="T586" s="348" t="e">
        <f t="shared" si="68"/>
        <v>#DIV/0!</v>
      </c>
      <c r="U586" s="348" t="e">
        <f t="shared" si="68"/>
        <v>#DIV/0!</v>
      </c>
      <c r="V586" s="348"/>
      <c r="W586" s="348" t="e">
        <f>W585/$Z585</f>
        <v>#DIV/0!</v>
      </c>
      <c r="X586" s="348" t="e">
        <f>X585/$Z585</f>
        <v>#DIV/0!</v>
      </c>
      <c r="Y586" s="348" t="e">
        <f>Y585/$Z585</f>
        <v>#DIV/0!</v>
      </c>
      <c r="AA586" s="351"/>
    </row>
    <row r="587" spans="1:27">
      <c r="AA587" s="351"/>
    </row>
    <row r="588" spans="1:27">
      <c r="AA588" s="351"/>
    </row>
    <row r="589" spans="1:27">
      <c r="AA589" s="351"/>
    </row>
    <row r="590" spans="1:27">
      <c r="A590" s="165">
        <f>'Conveyor Downtime (new)'!A617</f>
        <v>0</v>
      </c>
      <c r="B590" s="346"/>
      <c r="C590" s="346"/>
      <c r="D590" s="346"/>
      <c r="E590" s="346"/>
      <c r="F590" s="346"/>
      <c r="G590" s="346"/>
      <c r="H590" s="346"/>
      <c r="I590" s="346"/>
      <c r="J590" s="346"/>
      <c r="K590" s="346"/>
      <c r="L590" s="346"/>
      <c r="M590" s="346"/>
      <c r="N590" s="346"/>
      <c r="O590" s="346"/>
      <c r="P590" s="346"/>
      <c r="Q590" s="346"/>
      <c r="R590" s="346"/>
      <c r="S590" s="346"/>
      <c r="T590" s="346"/>
      <c r="U590" s="346"/>
      <c r="V590" s="346"/>
      <c r="W590" s="346"/>
      <c r="X590" s="346"/>
      <c r="Y590" s="346"/>
      <c r="Z590">
        <f t="shared" ref="Z590:Z605" si="69">SUM(B590:Y590)</f>
        <v>0</v>
      </c>
      <c r="AA590" s="351"/>
    </row>
    <row r="591" spans="1:27">
      <c r="A591" s="165">
        <f>'Conveyor Downtime (new)'!A618</f>
        <v>0</v>
      </c>
      <c r="Z591">
        <f t="shared" si="69"/>
        <v>0</v>
      </c>
      <c r="AA591" s="351"/>
    </row>
    <row r="592" spans="1:27">
      <c r="A592" s="165">
        <f>'Conveyor Downtime (new)'!A619</f>
        <v>0</v>
      </c>
      <c r="B592" s="346"/>
      <c r="C592" s="346"/>
      <c r="D592" s="346"/>
      <c r="E592" s="346"/>
      <c r="F592" s="346"/>
      <c r="G592" s="346"/>
      <c r="H592" s="346"/>
      <c r="I592" s="346"/>
      <c r="J592" s="346"/>
      <c r="K592" s="346"/>
      <c r="L592" s="346"/>
      <c r="M592" s="346"/>
      <c r="N592" s="346"/>
      <c r="O592" s="346"/>
      <c r="P592" s="346"/>
      <c r="Q592" s="346"/>
      <c r="R592" s="346"/>
      <c r="S592" s="346"/>
      <c r="T592" s="346"/>
      <c r="U592" s="346"/>
      <c r="V592" s="346"/>
      <c r="W592" s="346"/>
      <c r="X592" s="346"/>
      <c r="Y592" s="346"/>
      <c r="Z592">
        <f t="shared" si="69"/>
        <v>0</v>
      </c>
      <c r="AA592" s="351"/>
    </row>
    <row r="593" spans="1:27">
      <c r="A593" s="165">
        <f>'Conveyor Downtime (new)'!A620</f>
        <v>0</v>
      </c>
      <c r="Z593">
        <f t="shared" si="69"/>
        <v>0</v>
      </c>
      <c r="AA593" s="351"/>
    </row>
    <row r="594" spans="1:27">
      <c r="A594" s="165">
        <f>'Conveyor Downtime (new)'!A621</f>
        <v>0</v>
      </c>
      <c r="B594" s="346"/>
      <c r="C594" s="346"/>
      <c r="D594" s="346"/>
      <c r="E594" s="346"/>
      <c r="F594" s="346"/>
      <c r="G594" s="346"/>
      <c r="H594" s="346"/>
      <c r="I594" s="346"/>
      <c r="J594" s="346"/>
      <c r="K594" s="346"/>
      <c r="L594" s="346"/>
      <c r="M594" s="346"/>
      <c r="N594" s="346"/>
      <c r="O594" s="346"/>
      <c r="P594" s="346"/>
      <c r="Q594" s="346"/>
      <c r="R594" s="346"/>
      <c r="S594" s="346"/>
      <c r="T594" s="346"/>
      <c r="U594" s="346"/>
      <c r="V594" s="346"/>
      <c r="W594" s="346"/>
      <c r="X594" s="346"/>
      <c r="Y594" s="346"/>
      <c r="Z594">
        <f t="shared" si="69"/>
        <v>0</v>
      </c>
      <c r="AA594" s="351"/>
    </row>
    <row r="595" spans="1:27">
      <c r="A595" s="165">
        <f>'Conveyor Downtime (new)'!A622</f>
        <v>0</v>
      </c>
      <c r="Z595">
        <f t="shared" si="69"/>
        <v>0</v>
      </c>
      <c r="AA595" s="351"/>
    </row>
    <row r="596" spans="1:27">
      <c r="A596" s="165">
        <f>'Conveyor Downtime (new)'!A623</f>
        <v>0</v>
      </c>
      <c r="B596" s="346"/>
      <c r="C596" s="346"/>
      <c r="D596" s="346"/>
      <c r="E596" s="346"/>
      <c r="F596" s="346"/>
      <c r="G596" s="346"/>
      <c r="H596" s="346"/>
      <c r="I596" s="346"/>
      <c r="J596" s="346"/>
      <c r="K596" s="346"/>
      <c r="L596" s="346"/>
      <c r="M596" s="346"/>
      <c r="N596" s="346"/>
      <c r="O596" s="346"/>
      <c r="P596" s="346"/>
      <c r="Q596" s="346"/>
      <c r="R596" s="346"/>
      <c r="S596" s="346"/>
      <c r="T596" s="346"/>
      <c r="U596" s="346"/>
      <c r="V596" s="346"/>
      <c r="W596" s="346"/>
      <c r="X596" s="346"/>
      <c r="Y596" s="346"/>
      <c r="Z596">
        <f t="shared" si="69"/>
        <v>0</v>
      </c>
      <c r="AA596" s="351"/>
    </row>
    <row r="597" spans="1:27">
      <c r="A597" s="165">
        <f>'Conveyor Downtime (new)'!A624</f>
        <v>0</v>
      </c>
      <c r="Z597">
        <f t="shared" si="69"/>
        <v>0</v>
      </c>
      <c r="AA597" s="351"/>
    </row>
    <row r="598" spans="1:27">
      <c r="A598" s="165">
        <f>'Conveyor Downtime (new)'!A625</f>
        <v>0</v>
      </c>
      <c r="B598" s="346"/>
      <c r="C598" s="346"/>
      <c r="D598" s="346"/>
      <c r="E598" s="346"/>
      <c r="F598" s="346"/>
      <c r="G598" s="346"/>
      <c r="H598" s="346"/>
      <c r="I598" s="346"/>
      <c r="J598" s="346"/>
      <c r="K598" s="346"/>
      <c r="L598" s="346"/>
      <c r="M598" s="346"/>
      <c r="N598" s="346"/>
      <c r="O598" s="346"/>
      <c r="P598" s="346"/>
      <c r="Q598" s="346"/>
      <c r="R598" s="346"/>
      <c r="S598" s="346"/>
      <c r="T598" s="346"/>
      <c r="U598" s="346"/>
      <c r="V598" s="346"/>
      <c r="W598" s="346"/>
      <c r="X598" s="346"/>
      <c r="Y598" s="346"/>
      <c r="Z598">
        <f t="shared" si="69"/>
        <v>0</v>
      </c>
      <c r="AA598" s="351"/>
    </row>
    <row r="599" spans="1:27">
      <c r="A599" s="165">
        <f>'Conveyor Downtime (new)'!A626</f>
        <v>0</v>
      </c>
      <c r="Z599">
        <f t="shared" si="69"/>
        <v>0</v>
      </c>
      <c r="AA599" s="351"/>
    </row>
    <row r="600" spans="1:27">
      <c r="A600" s="165">
        <f>'Conveyor Downtime (new)'!A627</f>
        <v>0</v>
      </c>
      <c r="B600" s="346"/>
      <c r="C600" s="346"/>
      <c r="D600" s="346"/>
      <c r="E600" s="346"/>
      <c r="F600" s="346"/>
      <c r="G600" s="346"/>
      <c r="H600" s="346"/>
      <c r="I600" s="346"/>
      <c r="J600" s="346"/>
      <c r="K600" s="346"/>
      <c r="L600" s="346"/>
      <c r="M600" s="346"/>
      <c r="N600" s="346"/>
      <c r="O600" s="346"/>
      <c r="P600" s="346"/>
      <c r="Q600" s="346"/>
      <c r="R600" s="346"/>
      <c r="S600" s="346"/>
      <c r="T600" s="346"/>
      <c r="U600" s="346"/>
      <c r="V600" s="346"/>
      <c r="W600" s="346"/>
      <c r="X600" s="346"/>
      <c r="Y600" s="346"/>
      <c r="Z600">
        <f t="shared" si="69"/>
        <v>0</v>
      </c>
      <c r="AA600" s="351"/>
    </row>
    <row r="601" spans="1:27">
      <c r="A601" s="165">
        <f>'Conveyor Downtime (new)'!A628</f>
        <v>0</v>
      </c>
      <c r="Z601">
        <f t="shared" si="69"/>
        <v>0</v>
      </c>
      <c r="AA601" s="351"/>
    </row>
    <row r="602" spans="1:27">
      <c r="A602" s="165">
        <f>'Conveyor Downtime (new)'!A629</f>
        <v>0</v>
      </c>
      <c r="B602" s="346"/>
      <c r="C602" s="346"/>
      <c r="D602" s="346"/>
      <c r="E602" s="346"/>
      <c r="F602" s="346"/>
      <c r="G602" s="346"/>
      <c r="H602" s="346"/>
      <c r="I602" s="346"/>
      <c r="J602" s="346"/>
      <c r="K602" s="346"/>
      <c r="L602" s="346"/>
      <c r="M602" s="346"/>
      <c r="N602" s="346"/>
      <c r="O602" s="346"/>
      <c r="P602" s="346"/>
      <c r="Q602" s="346"/>
      <c r="R602" s="346"/>
      <c r="S602" s="346"/>
      <c r="T602" s="346"/>
      <c r="U602" s="346"/>
      <c r="V602" s="346"/>
      <c r="W602" s="346"/>
      <c r="X602" s="346"/>
      <c r="Y602" s="346"/>
      <c r="Z602">
        <f t="shared" si="69"/>
        <v>0</v>
      </c>
      <c r="AA602" s="351"/>
    </row>
    <row r="603" spans="1:27">
      <c r="A603" s="165">
        <f>'Conveyor Downtime (new)'!A630</f>
        <v>0</v>
      </c>
      <c r="Z603">
        <f t="shared" si="69"/>
        <v>0</v>
      </c>
      <c r="AA603" s="351"/>
    </row>
    <row r="604" spans="1:27">
      <c r="A604" s="165">
        <f>'Conveyor Downtime (new)'!A631</f>
        <v>0</v>
      </c>
      <c r="B604" s="346"/>
      <c r="C604" s="346"/>
      <c r="D604" s="346"/>
      <c r="E604" s="346"/>
      <c r="F604" s="346"/>
      <c r="G604" s="346"/>
      <c r="H604" s="346"/>
      <c r="I604" s="346"/>
      <c r="J604" s="346"/>
      <c r="K604" s="346"/>
      <c r="L604" s="346"/>
      <c r="M604" s="346"/>
      <c r="N604" s="346"/>
      <c r="O604" s="346"/>
      <c r="P604" s="346"/>
      <c r="Q604" s="346"/>
      <c r="R604" s="346"/>
      <c r="S604" s="346"/>
      <c r="T604" s="346"/>
      <c r="U604" s="346"/>
      <c r="V604" s="346"/>
      <c r="W604" s="346"/>
      <c r="X604" s="346"/>
      <c r="Y604" s="346"/>
      <c r="Z604">
        <f t="shared" si="69"/>
        <v>0</v>
      </c>
      <c r="AA604" s="351"/>
    </row>
    <row r="605" spans="1:27">
      <c r="A605" s="165">
        <f>'Conveyor Downtime (new)'!A632</f>
        <v>0</v>
      </c>
      <c r="Z605">
        <f t="shared" si="69"/>
        <v>0</v>
      </c>
      <c r="AA605" s="351"/>
    </row>
    <row r="606" spans="1:27">
      <c r="A606" s="165">
        <f>'Conveyor Downtime (new)'!A633</f>
        <v>0</v>
      </c>
      <c r="B606" s="346"/>
      <c r="C606" s="346"/>
      <c r="D606" s="346"/>
      <c r="E606" s="346"/>
      <c r="F606" s="346"/>
      <c r="G606" s="346"/>
      <c r="H606" s="346"/>
      <c r="I606" s="346"/>
      <c r="J606" s="346"/>
      <c r="K606" s="346"/>
      <c r="L606" s="346"/>
      <c r="M606" s="346"/>
      <c r="N606" s="346"/>
      <c r="O606" s="346"/>
      <c r="P606" s="346"/>
      <c r="Q606" s="346"/>
      <c r="R606" s="346"/>
      <c r="S606" s="346"/>
      <c r="T606" s="346"/>
      <c r="U606" s="346"/>
      <c r="V606" s="346"/>
      <c r="W606" s="346"/>
      <c r="X606" s="346"/>
      <c r="Y606" s="346"/>
      <c r="Z606">
        <f t="shared" ref="Z606:Z612" si="70">SUM(B606:Y606)</f>
        <v>0</v>
      </c>
      <c r="AA606" s="351"/>
    </row>
    <row r="607" spans="1:27">
      <c r="A607" s="165">
        <f>'Conveyor Downtime (new)'!A634</f>
        <v>0</v>
      </c>
      <c r="Z607">
        <f t="shared" si="70"/>
        <v>0</v>
      </c>
      <c r="AA607" s="351"/>
    </row>
    <row r="608" spans="1:27">
      <c r="A608" s="165">
        <f>'Conveyor Downtime (new)'!A635</f>
        <v>0</v>
      </c>
      <c r="B608" s="346"/>
      <c r="C608" s="346"/>
      <c r="D608" s="346"/>
      <c r="E608" s="346"/>
      <c r="F608" s="346"/>
      <c r="G608" s="346"/>
      <c r="H608" s="346"/>
      <c r="I608" s="346"/>
      <c r="J608" s="346"/>
      <c r="K608" s="346"/>
      <c r="L608" s="346"/>
      <c r="M608" s="346"/>
      <c r="N608" s="346"/>
      <c r="O608" s="346"/>
      <c r="P608" s="346"/>
      <c r="Q608" s="346"/>
      <c r="R608" s="346"/>
      <c r="S608" s="346"/>
      <c r="T608" s="346"/>
      <c r="U608" s="346"/>
      <c r="V608" s="346"/>
      <c r="W608" s="346"/>
      <c r="X608" s="346"/>
      <c r="Y608" s="346"/>
      <c r="Z608">
        <f t="shared" si="70"/>
        <v>0</v>
      </c>
      <c r="AA608" s="351"/>
    </row>
    <row r="609" spans="1:27">
      <c r="A609" s="165">
        <f>'Conveyor Downtime (new)'!A636</f>
        <v>0</v>
      </c>
      <c r="Z609">
        <f t="shared" si="70"/>
        <v>0</v>
      </c>
      <c r="AA609" s="351"/>
    </row>
    <row r="610" spans="1:27">
      <c r="A610" s="165">
        <f>'Conveyor Downtime (new)'!A637</f>
        <v>0</v>
      </c>
      <c r="B610" s="346"/>
      <c r="C610" s="346"/>
      <c r="D610" s="346"/>
      <c r="E610" s="346"/>
      <c r="F610" s="346"/>
      <c r="G610" s="346"/>
      <c r="H610" s="346"/>
      <c r="I610" s="346"/>
      <c r="J610" s="346"/>
      <c r="K610" s="346"/>
      <c r="L610" s="346"/>
      <c r="M610" s="346"/>
      <c r="N610" s="346"/>
      <c r="O610" s="346"/>
      <c r="P610" s="346"/>
      <c r="Q610" s="346"/>
      <c r="R610" s="346"/>
      <c r="S610" s="346"/>
      <c r="T610" s="346"/>
      <c r="U610" s="346"/>
      <c r="V610" s="346"/>
      <c r="W610" s="346"/>
      <c r="X610" s="346"/>
      <c r="Y610" s="346"/>
      <c r="Z610">
        <f t="shared" si="70"/>
        <v>0</v>
      </c>
      <c r="AA610" s="351"/>
    </row>
    <row r="611" spans="1:27">
      <c r="A611" s="165">
        <f>'Conveyor Downtime (new)'!A638</f>
        <v>0</v>
      </c>
      <c r="Z611">
        <f t="shared" si="70"/>
        <v>0</v>
      </c>
      <c r="AA611" s="351"/>
    </row>
    <row r="612" spans="1:27">
      <c r="A612" s="165">
        <f>'Conveyor Downtime (new)'!A639</f>
        <v>0</v>
      </c>
      <c r="B612" s="346"/>
      <c r="C612" s="346"/>
      <c r="D612" s="346"/>
      <c r="E612" s="346"/>
      <c r="F612" s="346"/>
      <c r="G612" s="346"/>
      <c r="H612" s="346"/>
      <c r="I612" s="346"/>
      <c r="J612" s="346"/>
      <c r="K612" s="346"/>
      <c r="L612" s="346"/>
      <c r="M612" s="346"/>
      <c r="N612" s="346"/>
      <c r="O612" s="346"/>
      <c r="P612" s="346"/>
      <c r="Q612" s="346"/>
      <c r="R612" s="346"/>
      <c r="S612" s="346"/>
      <c r="T612" s="346"/>
      <c r="U612" s="346"/>
      <c r="V612" s="346"/>
      <c r="W612" s="346"/>
      <c r="X612" s="346"/>
      <c r="Y612" s="346"/>
      <c r="Z612">
        <f t="shared" si="70"/>
        <v>0</v>
      </c>
      <c r="AA612" s="351"/>
    </row>
    <row r="613" spans="1:27">
      <c r="A613" s="165">
        <f>'Conveyor Downtime (new)'!A640</f>
        <v>0</v>
      </c>
      <c r="Z613">
        <f t="shared" ref="Z613:Z644" si="71">SUM(B613:Y613)</f>
        <v>0</v>
      </c>
      <c r="AA613" s="351"/>
    </row>
    <row r="614" spans="1:27">
      <c r="A614" s="165">
        <f>'Conveyor Downtime (new)'!A641</f>
        <v>0</v>
      </c>
      <c r="B614" s="346"/>
      <c r="C614" s="346"/>
      <c r="D614" s="346"/>
      <c r="E614" s="346"/>
      <c r="F614" s="346"/>
      <c r="G614" s="346"/>
      <c r="H614" s="346"/>
      <c r="I614" s="346"/>
      <c r="J614" s="346"/>
      <c r="K614" s="346"/>
      <c r="L614" s="346"/>
      <c r="M614" s="346"/>
      <c r="N614" s="346"/>
      <c r="O614" s="346"/>
      <c r="P614" s="346"/>
      <c r="Q614" s="346"/>
      <c r="R614" s="346"/>
      <c r="S614" s="346"/>
      <c r="T614" s="346"/>
      <c r="U614" s="346"/>
      <c r="V614" s="346"/>
      <c r="W614" s="346"/>
      <c r="X614" s="346"/>
      <c r="Y614" s="346"/>
      <c r="Z614">
        <f t="shared" si="71"/>
        <v>0</v>
      </c>
      <c r="AA614" s="351"/>
    </row>
    <row r="615" spans="1:27">
      <c r="A615" s="165">
        <f>'Conveyor Downtime (new)'!A642</f>
        <v>0</v>
      </c>
      <c r="Z615">
        <f t="shared" si="71"/>
        <v>0</v>
      </c>
      <c r="AA615" s="351"/>
    </row>
    <row r="616" spans="1:27">
      <c r="A616" s="165">
        <f>'Conveyor Downtime (new)'!A643</f>
        <v>0</v>
      </c>
      <c r="B616" s="346"/>
      <c r="C616" s="346"/>
      <c r="D616" s="346"/>
      <c r="E616" s="346"/>
      <c r="F616" s="346"/>
      <c r="G616" s="346"/>
      <c r="H616" s="346"/>
      <c r="I616" s="346"/>
      <c r="J616" s="346"/>
      <c r="K616" s="346"/>
      <c r="L616" s="346"/>
      <c r="M616" s="346"/>
      <c r="N616" s="346"/>
      <c r="O616" s="346"/>
      <c r="P616" s="346"/>
      <c r="Q616" s="346"/>
      <c r="R616" s="346"/>
      <c r="S616" s="346"/>
      <c r="T616" s="346"/>
      <c r="U616" s="346"/>
      <c r="V616" s="346"/>
      <c r="W616" s="346"/>
      <c r="X616" s="346"/>
      <c r="Y616" s="346"/>
      <c r="Z616">
        <f t="shared" si="71"/>
        <v>0</v>
      </c>
      <c r="AA616" s="351"/>
    </row>
    <row r="617" spans="1:27">
      <c r="A617" s="165">
        <f>'Conveyor Downtime (new)'!A644</f>
        <v>0</v>
      </c>
      <c r="Z617">
        <f t="shared" si="71"/>
        <v>0</v>
      </c>
      <c r="AA617" s="351"/>
    </row>
    <row r="618" spans="1:27">
      <c r="A618" s="165">
        <f>'Conveyor Downtime (new)'!A645</f>
        <v>0</v>
      </c>
      <c r="B618" s="346"/>
      <c r="C618" s="346"/>
      <c r="D618" s="346"/>
      <c r="E618" s="346"/>
      <c r="F618" s="346"/>
      <c r="G618" s="346"/>
      <c r="H618" s="346"/>
      <c r="I618" s="346"/>
      <c r="J618" s="346"/>
      <c r="K618" s="346"/>
      <c r="L618" s="346"/>
      <c r="M618" s="346"/>
      <c r="N618" s="346"/>
      <c r="O618" s="346"/>
      <c r="P618" s="346"/>
      <c r="Q618" s="346"/>
      <c r="R618" s="346"/>
      <c r="S618" s="346"/>
      <c r="T618" s="346"/>
      <c r="U618" s="346"/>
      <c r="V618" s="346"/>
      <c r="W618" s="346"/>
      <c r="X618" s="346"/>
      <c r="Y618" s="346"/>
      <c r="Z618">
        <f t="shared" si="71"/>
        <v>0</v>
      </c>
      <c r="AA618" s="351"/>
    </row>
    <row r="619" spans="1:27">
      <c r="A619" s="165">
        <f>'Conveyor Downtime (new)'!A646</f>
        <v>0</v>
      </c>
      <c r="Z619">
        <f t="shared" si="71"/>
        <v>0</v>
      </c>
      <c r="AA619" s="351"/>
    </row>
    <row r="620" spans="1:27">
      <c r="A620" s="165">
        <f>'Conveyor Downtime (new)'!A647</f>
        <v>0</v>
      </c>
      <c r="B620" s="346"/>
      <c r="C620" s="346"/>
      <c r="D620" s="346"/>
      <c r="E620" s="346"/>
      <c r="F620" s="346"/>
      <c r="G620" s="346"/>
      <c r="H620" s="346"/>
      <c r="I620" s="346"/>
      <c r="J620" s="346"/>
      <c r="K620" s="346"/>
      <c r="L620" s="346"/>
      <c r="M620" s="346"/>
      <c r="N620" s="346"/>
      <c r="O620" s="346"/>
      <c r="P620" s="346"/>
      <c r="Q620" s="346"/>
      <c r="R620" s="346"/>
      <c r="S620" s="346"/>
      <c r="T620" s="346"/>
      <c r="U620" s="346"/>
      <c r="V620" s="346"/>
      <c r="W620" s="346"/>
      <c r="X620" s="346"/>
      <c r="Y620" s="346"/>
      <c r="Z620">
        <f t="shared" si="71"/>
        <v>0</v>
      </c>
      <c r="AA620" s="351"/>
    </row>
    <row r="621" spans="1:27">
      <c r="A621" s="165">
        <f>'Conveyor Downtime (new)'!A648</f>
        <v>0</v>
      </c>
      <c r="Z621">
        <f t="shared" si="71"/>
        <v>0</v>
      </c>
      <c r="AA621" s="351"/>
    </row>
    <row r="622" spans="1:27">
      <c r="A622" s="165">
        <f>'Conveyor Downtime (new)'!A649</f>
        <v>0</v>
      </c>
      <c r="B622" s="346"/>
      <c r="C622" s="346"/>
      <c r="D622" s="346"/>
      <c r="E622" s="346"/>
      <c r="F622" s="346"/>
      <c r="G622" s="346"/>
      <c r="H622" s="346"/>
      <c r="I622" s="346"/>
      <c r="J622" s="346"/>
      <c r="K622" s="346"/>
      <c r="L622" s="346"/>
      <c r="M622" s="346"/>
      <c r="N622" s="346"/>
      <c r="O622" s="346"/>
      <c r="P622" s="346"/>
      <c r="Q622" s="346"/>
      <c r="R622" s="346"/>
      <c r="S622" s="346"/>
      <c r="T622" s="346"/>
      <c r="U622" s="346"/>
      <c r="V622" s="346"/>
      <c r="W622" s="346"/>
      <c r="X622" s="346"/>
      <c r="Y622" s="346"/>
      <c r="Z622">
        <f t="shared" si="71"/>
        <v>0</v>
      </c>
      <c r="AA622" s="351"/>
    </row>
    <row r="623" spans="1:27">
      <c r="A623" s="165">
        <f>'Conveyor Downtime (new)'!A650</f>
        <v>0</v>
      </c>
      <c r="Z623">
        <f t="shared" si="71"/>
        <v>0</v>
      </c>
      <c r="AA623" s="351"/>
    </row>
    <row r="624" spans="1:27">
      <c r="A624" s="165">
        <f>'Conveyor Downtime (new)'!A651</f>
        <v>0</v>
      </c>
      <c r="B624" s="346"/>
      <c r="C624" s="346"/>
      <c r="D624" s="346"/>
      <c r="E624" s="346"/>
      <c r="F624" s="346"/>
      <c r="G624" s="346"/>
      <c r="H624" s="346"/>
      <c r="I624" s="346"/>
      <c r="J624" s="346"/>
      <c r="K624" s="346"/>
      <c r="L624" s="346"/>
      <c r="M624" s="346"/>
      <c r="N624" s="346"/>
      <c r="O624" s="346"/>
      <c r="P624" s="346"/>
      <c r="Q624" s="346"/>
      <c r="R624" s="346"/>
      <c r="S624" s="346"/>
      <c r="T624" s="346"/>
      <c r="U624" s="346"/>
      <c r="V624" s="346"/>
      <c r="W624" s="346"/>
      <c r="X624" s="346"/>
      <c r="Y624" s="346"/>
      <c r="Z624">
        <f t="shared" si="71"/>
        <v>0</v>
      </c>
      <c r="AA624" s="351"/>
    </row>
    <row r="625" spans="1:27">
      <c r="A625" s="165">
        <f>'Conveyor Downtime (new)'!A652</f>
        <v>0</v>
      </c>
      <c r="Z625">
        <f t="shared" si="71"/>
        <v>0</v>
      </c>
      <c r="AA625" s="351"/>
    </row>
    <row r="626" spans="1:27">
      <c r="A626" s="165">
        <f>'Conveyor Downtime (new)'!A653</f>
        <v>0</v>
      </c>
      <c r="B626" s="346"/>
      <c r="C626" s="346"/>
      <c r="D626" s="346"/>
      <c r="E626" s="346"/>
      <c r="F626" s="346"/>
      <c r="G626" s="346"/>
      <c r="H626" s="346"/>
      <c r="I626" s="346"/>
      <c r="J626" s="346"/>
      <c r="K626" s="346"/>
      <c r="L626" s="346"/>
      <c r="M626" s="346"/>
      <c r="N626" s="346"/>
      <c r="O626" s="346"/>
      <c r="P626" s="346"/>
      <c r="Q626" s="346"/>
      <c r="R626" s="346"/>
      <c r="S626" s="346"/>
      <c r="T626" s="346"/>
      <c r="U626" s="346"/>
      <c r="V626" s="346"/>
      <c r="W626" s="346"/>
      <c r="X626" s="346"/>
      <c r="Y626" s="346"/>
      <c r="Z626">
        <f t="shared" si="71"/>
        <v>0</v>
      </c>
      <c r="AA626" s="351"/>
    </row>
    <row r="627" spans="1:27">
      <c r="A627" s="165">
        <f>'Conveyor Downtime (new)'!A654</f>
        <v>0</v>
      </c>
      <c r="Z627">
        <f t="shared" si="71"/>
        <v>0</v>
      </c>
      <c r="AA627" s="351"/>
    </row>
    <row r="628" spans="1:27">
      <c r="A628" s="165">
        <f>'Conveyor Downtime (new)'!A655</f>
        <v>0</v>
      </c>
      <c r="B628" s="346"/>
      <c r="C628" s="346"/>
      <c r="D628" s="346"/>
      <c r="E628" s="346"/>
      <c r="F628" s="346"/>
      <c r="G628" s="346"/>
      <c r="H628" s="346"/>
      <c r="I628" s="346"/>
      <c r="J628" s="346"/>
      <c r="K628" s="346"/>
      <c r="L628" s="346"/>
      <c r="M628" s="346"/>
      <c r="N628" s="346"/>
      <c r="O628" s="346"/>
      <c r="P628" s="346"/>
      <c r="Q628" s="346"/>
      <c r="R628" s="346"/>
      <c r="S628" s="346"/>
      <c r="T628" s="346"/>
      <c r="U628" s="346"/>
      <c r="V628" s="346"/>
      <c r="W628" s="346"/>
      <c r="X628" s="346"/>
      <c r="Y628" s="346"/>
      <c r="Z628">
        <f t="shared" si="71"/>
        <v>0</v>
      </c>
      <c r="AA628" s="351"/>
    </row>
    <row r="629" spans="1:27">
      <c r="A629" s="165">
        <f>'Conveyor Downtime (new)'!A656</f>
        <v>0</v>
      </c>
      <c r="Z629">
        <f t="shared" si="71"/>
        <v>0</v>
      </c>
      <c r="AA629" s="351"/>
    </row>
    <row r="630" spans="1:27">
      <c r="A630" s="165">
        <f>'Conveyor Downtime (new)'!A657</f>
        <v>0</v>
      </c>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f t="shared" si="71"/>
        <v>0</v>
      </c>
      <c r="AA630" s="351"/>
    </row>
    <row r="631" spans="1:27">
      <c r="A631" s="165">
        <f>'Conveyor Downtime (new)'!A658</f>
        <v>0</v>
      </c>
      <c r="Z631">
        <f t="shared" si="71"/>
        <v>0</v>
      </c>
      <c r="AA631" s="351"/>
    </row>
    <row r="632" spans="1:27">
      <c r="A632" s="165">
        <f>'Conveyor Downtime (new)'!A659</f>
        <v>0</v>
      </c>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f t="shared" si="71"/>
        <v>0</v>
      </c>
      <c r="AA632" s="351"/>
    </row>
    <row r="633" spans="1:27">
      <c r="A633" s="165">
        <f>'Conveyor Downtime (new)'!A660</f>
        <v>0</v>
      </c>
      <c r="Z633">
        <f t="shared" si="71"/>
        <v>0</v>
      </c>
      <c r="AA633" s="351"/>
    </row>
    <row r="634" spans="1:27">
      <c r="A634" s="165">
        <f>'Conveyor Downtime (new)'!A661</f>
        <v>0</v>
      </c>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f t="shared" si="71"/>
        <v>0</v>
      </c>
      <c r="AA634" s="351"/>
    </row>
    <row r="635" spans="1:27">
      <c r="A635" s="165">
        <f>'Conveyor Downtime (new)'!A662</f>
        <v>0</v>
      </c>
      <c r="Z635">
        <f t="shared" si="71"/>
        <v>0</v>
      </c>
      <c r="AA635" s="351"/>
    </row>
    <row r="636" spans="1:27">
      <c r="A636" s="165">
        <f>'Conveyor Downtime (new)'!A663</f>
        <v>0</v>
      </c>
      <c r="B636" s="346"/>
      <c r="C636" s="346"/>
      <c r="D636" s="346"/>
      <c r="E636" s="346"/>
      <c r="F636" s="346"/>
      <c r="G636" s="346"/>
      <c r="H636" s="346"/>
      <c r="I636" s="346"/>
      <c r="J636" s="346"/>
      <c r="K636" s="346"/>
      <c r="L636" s="346"/>
      <c r="M636" s="346"/>
      <c r="N636" s="346"/>
      <c r="O636" s="346"/>
      <c r="P636" s="346"/>
      <c r="Q636" s="346"/>
      <c r="R636" s="346"/>
      <c r="S636" s="346"/>
      <c r="T636" s="346"/>
      <c r="U636" s="346"/>
      <c r="V636" s="346"/>
      <c r="W636" s="346"/>
      <c r="X636" s="346"/>
      <c r="Y636" s="346"/>
      <c r="Z636">
        <f t="shared" si="71"/>
        <v>0</v>
      </c>
      <c r="AA636" s="351"/>
    </row>
    <row r="637" spans="1:27">
      <c r="A637" s="165">
        <f>'Conveyor Downtime (new)'!A664</f>
        <v>0</v>
      </c>
      <c r="Z637">
        <f t="shared" si="71"/>
        <v>0</v>
      </c>
      <c r="AA637" s="351"/>
    </row>
    <row r="638" spans="1:27">
      <c r="A638" s="165">
        <f>'Conveyor Downtime (new)'!A665</f>
        <v>0</v>
      </c>
      <c r="B638" s="346"/>
      <c r="C638" s="346"/>
      <c r="D638" s="346"/>
      <c r="E638" s="346"/>
      <c r="F638" s="346"/>
      <c r="G638" s="346"/>
      <c r="H638" s="346"/>
      <c r="I638" s="346"/>
      <c r="J638" s="346"/>
      <c r="K638" s="346"/>
      <c r="L638" s="346"/>
      <c r="M638" s="346"/>
      <c r="N638" s="346"/>
      <c r="O638" s="346"/>
      <c r="P638" s="346"/>
      <c r="Q638" s="346"/>
      <c r="R638" s="346"/>
      <c r="S638" s="346"/>
      <c r="T638" s="346"/>
      <c r="U638" s="346"/>
      <c r="V638" s="346"/>
      <c r="W638" s="346"/>
      <c r="X638" s="346"/>
      <c r="Y638" s="346"/>
      <c r="Z638">
        <f t="shared" si="71"/>
        <v>0</v>
      </c>
      <c r="AA638" s="351"/>
    </row>
    <row r="639" spans="1:27">
      <c r="A639" s="165">
        <f>'Conveyor Downtime (new)'!A666</f>
        <v>0</v>
      </c>
      <c r="Z639">
        <f t="shared" si="71"/>
        <v>0</v>
      </c>
      <c r="AA639" s="351"/>
    </row>
    <row r="640" spans="1:27">
      <c r="A640" s="165">
        <f>'Conveyor Downtime (new)'!A667</f>
        <v>0</v>
      </c>
      <c r="B640" s="346"/>
      <c r="C640" s="346"/>
      <c r="D640" s="346"/>
      <c r="E640" s="346"/>
      <c r="F640" s="346"/>
      <c r="G640" s="346"/>
      <c r="H640" s="346"/>
      <c r="I640" s="346"/>
      <c r="J640" s="346"/>
      <c r="K640" s="346"/>
      <c r="L640" s="346"/>
      <c r="M640" s="346"/>
      <c r="N640" s="346"/>
      <c r="O640" s="346"/>
      <c r="P640" s="346"/>
      <c r="Q640" s="346"/>
      <c r="R640" s="346"/>
      <c r="S640" s="346"/>
      <c r="T640" s="346"/>
      <c r="U640" s="346"/>
      <c r="V640" s="346"/>
      <c r="W640" s="346"/>
      <c r="X640" s="346"/>
      <c r="Y640" s="346"/>
      <c r="Z640">
        <f t="shared" si="71"/>
        <v>0</v>
      </c>
      <c r="AA640" s="351"/>
    </row>
    <row r="641" spans="1:27">
      <c r="A641" s="165">
        <f>'Conveyor Downtime (new)'!A668</f>
        <v>0</v>
      </c>
      <c r="Z641">
        <f t="shared" si="71"/>
        <v>0</v>
      </c>
      <c r="AA641" s="351"/>
    </row>
    <row r="642" spans="1:27">
      <c r="A642" s="165">
        <f>'Conveyor Downtime (new)'!A669</f>
        <v>0</v>
      </c>
      <c r="B642" s="346"/>
      <c r="C642" s="346"/>
      <c r="D642" s="346"/>
      <c r="E642" s="346"/>
      <c r="F642" s="346"/>
      <c r="G642" s="346"/>
      <c r="H642" s="346"/>
      <c r="I642" s="346"/>
      <c r="J642" s="346"/>
      <c r="K642" s="346"/>
      <c r="L642" s="346"/>
      <c r="M642" s="346"/>
      <c r="N642" s="346"/>
      <c r="O642" s="346"/>
      <c r="P642" s="346"/>
      <c r="Q642" s="346"/>
      <c r="R642" s="346"/>
      <c r="S642" s="346"/>
      <c r="T642" s="346"/>
      <c r="U642" s="346"/>
      <c r="V642" s="346"/>
      <c r="W642" s="346"/>
      <c r="X642" s="346"/>
      <c r="Y642" s="346"/>
      <c r="Z642">
        <f t="shared" si="71"/>
        <v>0</v>
      </c>
      <c r="AA642" s="351"/>
    </row>
    <row r="643" spans="1:27">
      <c r="A643" s="165">
        <f>'Conveyor Downtime (new)'!A670</f>
        <v>0</v>
      </c>
      <c r="Z643">
        <f t="shared" si="71"/>
        <v>0</v>
      </c>
      <c r="AA643" s="351"/>
    </row>
    <row r="644" spans="1:27">
      <c r="A644" s="165"/>
      <c r="B644" s="346"/>
      <c r="C644" s="346"/>
      <c r="D644" s="346"/>
      <c r="E644" s="346"/>
      <c r="F644" s="346"/>
      <c r="G644" s="346"/>
      <c r="H644" s="346"/>
      <c r="I644" s="346"/>
      <c r="J644" s="346"/>
      <c r="K644" s="346"/>
      <c r="L644" s="346"/>
      <c r="M644" s="346"/>
      <c r="N644" s="346"/>
      <c r="O644" s="346"/>
      <c r="P644" s="346"/>
      <c r="Q644" s="346"/>
      <c r="R644" s="346"/>
      <c r="S644" s="346"/>
      <c r="T644" s="346"/>
      <c r="U644" s="346"/>
      <c r="V644" s="346"/>
      <c r="W644" s="346"/>
      <c r="X644" s="346"/>
      <c r="Y644" s="346"/>
      <c r="Z644">
        <f t="shared" si="71"/>
        <v>0</v>
      </c>
      <c r="AA644" s="351"/>
    </row>
    <row r="645" spans="1:27" ht="15">
      <c r="A645" s="347" t="s">
        <v>173</v>
      </c>
      <c r="B645" s="347">
        <f>SUM(B590:B644)</f>
        <v>0</v>
      </c>
      <c r="C645" s="347">
        <f t="shared" ref="C645:Y645" si="72">SUM(C590:C644)</f>
        <v>0</v>
      </c>
      <c r="D645" s="347">
        <f t="shared" si="72"/>
        <v>0</v>
      </c>
      <c r="E645" s="347">
        <f t="shared" si="72"/>
        <v>0</v>
      </c>
      <c r="F645" s="347">
        <f t="shared" si="72"/>
        <v>0</v>
      </c>
      <c r="G645" s="347">
        <f t="shared" si="72"/>
        <v>0</v>
      </c>
      <c r="H645" s="347">
        <f t="shared" si="72"/>
        <v>0</v>
      </c>
      <c r="I645" s="347">
        <f t="shared" si="72"/>
        <v>0</v>
      </c>
      <c r="J645" s="347">
        <f t="shared" si="72"/>
        <v>0</v>
      </c>
      <c r="K645" s="347">
        <f t="shared" si="72"/>
        <v>0</v>
      </c>
      <c r="L645" s="347">
        <f t="shared" si="72"/>
        <v>0</v>
      </c>
      <c r="M645" s="347">
        <f t="shared" si="72"/>
        <v>0</v>
      </c>
      <c r="N645" s="347">
        <f t="shared" si="72"/>
        <v>0</v>
      </c>
      <c r="O645" s="347">
        <f t="shared" si="72"/>
        <v>0</v>
      </c>
      <c r="P645" s="347">
        <f t="shared" si="72"/>
        <v>0</v>
      </c>
      <c r="Q645" s="347">
        <f t="shared" si="72"/>
        <v>0</v>
      </c>
      <c r="R645" s="347">
        <f t="shared" si="72"/>
        <v>0</v>
      </c>
      <c r="S645" s="347">
        <f t="shared" si="72"/>
        <v>0</v>
      </c>
      <c r="T645" s="347">
        <f t="shared" si="72"/>
        <v>0</v>
      </c>
      <c r="U645" s="347">
        <f t="shared" si="72"/>
        <v>0</v>
      </c>
      <c r="V645" s="347"/>
      <c r="W645" s="347">
        <f t="shared" si="72"/>
        <v>0</v>
      </c>
      <c r="X645" s="347">
        <f t="shared" si="72"/>
        <v>0</v>
      </c>
      <c r="Y645" s="347">
        <f t="shared" si="72"/>
        <v>0</v>
      </c>
      <c r="Z645" s="347">
        <f>SUM(Z590:Z644)</f>
        <v>0</v>
      </c>
      <c r="AA645" s="351"/>
    </row>
    <row r="646" spans="1:27" ht="15.75" thickBot="1">
      <c r="A646" s="348" t="s">
        <v>174</v>
      </c>
      <c r="B646" s="348" t="e">
        <f t="shared" ref="B646:U646" si="73">B645/$Z645</f>
        <v>#DIV/0!</v>
      </c>
      <c r="C646" s="348" t="e">
        <f t="shared" si="73"/>
        <v>#DIV/0!</v>
      </c>
      <c r="D646" s="348" t="e">
        <f t="shared" si="73"/>
        <v>#DIV/0!</v>
      </c>
      <c r="E646" s="348" t="e">
        <f t="shared" si="73"/>
        <v>#DIV/0!</v>
      </c>
      <c r="F646" s="348" t="e">
        <f t="shared" si="73"/>
        <v>#DIV/0!</v>
      </c>
      <c r="G646" s="348" t="e">
        <f t="shared" si="73"/>
        <v>#DIV/0!</v>
      </c>
      <c r="H646" s="348" t="e">
        <f t="shared" si="73"/>
        <v>#DIV/0!</v>
      </c>
      <c r="I646" s="348" t="e">
        <f t="shared" si="73"/>
        <v>#DIV/0!</v>
      </c>
      <c r="J646" s="348" t="e">
        <f t="shared" si="73"/>
        <v>#DIV/0!</v>
      </c>
      <c r="K646" s="348" t="e">
        <f t="shared" si="73"/>
        <v>#DIV/0!</v>
      </c>
      <c r="L646" s="348" t="e">
        <f t="shared" si="73"/>
        <v>#DIV/0!</v>
      </c>
      <c r="M646" s="348" t="e">
        <f t="shared" si="73"/>
        <v>#DIV/0!</v>
      </c>
      <c r="N646" s="348" t="e">
        <f t="shared" si="73"/>
        <v>#DIV/0!</v>
      </c>
      <c r="O646" s="348" t="e">
        <f t="shared" si="73"/>
        <v>#DIV/0!</v>
      </c>
      <c r="P646" s="348" t="e">
        <f t="shared" si="73"/>
        <v>#DIV/0!</v>
      </c>
      <c r="Q646" s="348" t="e">
        <f t="shared" si="73"/>
        <v>#DIV/0!</v>
      </c>
      <c r="R646" s="348" t="e">
        <f t="shared" si="73"/>
        <v>#DIV/0!</v>
      </c>
      <c r="S646" s="348" t="e">
        <f t="shared" si="73"/>
        <v>#DIV/0!</v>
      </c>
      <c r="T646" s="348" t="e">
        <f t="shared" si="73"/>
        <v>#DIV/0!</v>
      </c>
      <c r="U646" s="348" t="e">
        <f t="shared" si="73"/>
        <v>#DIV/0!</v>
      </c>
      <c r="V646" s="348"/>
      <c r="W646" s="348" t="e">
        <f>W645/$Z645</f>
        <v>#DIV/0!</v>
      </c>
      <c r="X646" s="348" t="e">
        <f>X645/$Z645</f>
        <v>#DIV/0!</v>
      </c>
      <c r="Y646" s="348" t="e">
        <f>Y645/$Z645</f>
        <v>#DIV/0!</v>
      </c>
      <c r="AA646" s="351"/>
    </row>
    <row r="647" spans="1:27">
      <c r="AA647" s="351"/>
    </row>
    <row r="648" spans="1:27">
      <c r="AA648" s="351"/>
    </row>
    <row r="649" spans="1:27">
      <c r="AA649" s="351"/>
    </row>
    <row r="650" spans="1:27">
      <c r="A650" s="165">
        <f>'Conveyor Downtime (new)'!A678</f>
        <v>0</v>
      </c>
      <c r="B650" s="346"/>
      <c r="C650" s="346"/>
      <c r="D650" s="346"/>
      <c r="E650" s="346"/>
      <c r="F650" s="346"/>
      <c r="G650" s="346"/>
      <c r="H650" s="346"/>
      <c r="I650" s="346"/>
      <c r="J650" s="346"/>
      <c r="K650" s="346"/>
      <c r="L650" s="346"/>
      <c r="M650" s="346"/>
      <c r="N650" s="346"/>
      <c r="O650" s="346"/>
      <c r="P650" s="346"/>
      <c r="Q650" s="346"/>
      <c r="R650" s="346"/>
      <c r="S650" s="346"/>
      <c r="T650" s="346"/>
      <c r="U650" s="346"/>
      <c r="V650" s="346"/>
      <c r="W650" s="346"/>
      <c r="X650" s="346"/>
      <c r="Y650" s="346"/>
      <c r="Z650">
        <f t="shared" ref="Z650:Z672" si="74">SUM(B650:Y650)</f>
        <v>0</v>
      </c>
      <c r="AA650" s="351"/>
    </row>
    <row r="651" spans="1:27">
      <c r="A651" s="165">
        <f>'Conveyor Downtime (new)'!A679</f>
        <v>0</v>
      </c>
      <c r="Z651">
        <f t="shared" si="74"/>
        <v>0</v>
      </c>
      <c r="AA651" s="351"/>
    </row>
    <row r="652" spans="1:27">
      <c r="A652" s="165">
        <f>'Conveyor Downtime (new)'!A680</f>
        <v>0</v>
      </c>
      <c r="B652" s="346"/>
      <c r="C652" s="346"/>
      <c r="D652" s="346"/>
      <c r="E652" s="346"/>
      <c r="F652" s="346"/>
      <c r="G652" s="346"/>
      <c r="H652" s="346"/>
      <c r="I652" s="346"/>
      <c r="J652" s="346"/>
      <c r="K652" s="346"/>
      <c r="L652" s="346"/>
      <c r="M652" s="346"/>
      <c r="N652" s="346"/>
      <c r="O652" s="346"/>
      <c r="P652" s="346"/>
      <c r="Q652" s="346"/>
      <c r="R652" s="346"/>
      <c r="S652" s="346"/>
      <c r="T652" s="346"/>
      <c r="U652" s="346"/>
      <c r="V652" s="346"/>
      <c r="W652" s="346"/>
      <c r="X652" s="346"/>
      <c r="Y652" s="346"/>
      <c r="Z652">
        <f t="shared" si="74"/>
        <v>0</v>
      </c>
      <c r="AA652" s="351"/>
    </row>
    <row r="653" spans="1:27" ht="14.25" customHeight="1">
      <c r="A653" s="165">
        <f>'Conveyor Downtime (new)'!A681</f>
        <v>0</v>
      </c>
      <c r="Z653">
        <f t="shared" si="74"/>
        <v>0</v>
      </c>
      <c r="AA653" s="351"/>
    </row>
    <row r="654" spans="1:27">
      <c r="A654" s="165">
        <f>'Conveyor Downtime (new)'!A682</f>
        <v>0</v>
      </c>
      <c r="B654" s="346"/>
      <c r="C654" s="346"/>
      <c r="D654" s="346"/>
      <c r="E654" s="346"/>
      <c r="F654" s="346"/>
      <c r="G654" s="346"/>
      <c r="H654" s="346"/>
      <c r="I654" s="346"/>
      <c r="J654" s="346"/>
      <c r="K654" s="346"/>
      <c r="L654" s="346"/>
      <c r="M654" s="346"/>
      <c r="N654" s="346"/>
      <c r="O654" s="346"/>
      <c r="P654" s="346"/>
      <c r="Q654" s="346"/>
      <c r="R654" s="346"/>
      <c r="S654" s="346"/>
      <c r="T654" s="346"/>
      <c r="U654" s="346"/>
      <c r="V654" s="346"/>
      <c r="W654" s="346"/>
      <c r="X654" s="346"/>
      <c r="Y654" s="346"/>
      <c r="Z654">
        <f t="shared" si="74"/>
        <v>0</v>
      </c>
      <c r="AA654" s="351"/>
    </row>
    <row r="655" spans="1:27">
      <c r="A655" s="165">
        <f>'[1]Conveyor Downtime (new)'!A681</f>
        <v>45995</v>
      </c>
      <c r="Z655">
        <f t="shared" si="74"/>
        <v>0</v>
      </c>
      <c r="AA655" s="351"/>
    </row>
    <row r="656" spans="1:27">
      <c r="A656" s="165">
        <f>'[1]Conveyor Downtime (new)'!A682</f>
        <v>45995</v>
      </c>
      <c r="B656" s="346"/>
      <c r="C656" s="346"/>
      <c r="D656" s="346"/>
      <c r="E656" s="346"/>
      <c r="F656" s="346"/>
      <c r="G656" s="346"/>
      <c r="H656" s="346"/>
      <c r="I656" s="346"/>
      <c r="J656" s="346"/>
      <c r="K656" s="346"/>
      <c r="L656" s="346"/>
      <c r="M656" s="346"/>
      <c r="N656" s="346"/>
      <c r="O656" s="346"/>
      <c r="P656" s="346"/>
      <c r="Q656" s="346"/>
      <c r="R656" s="346"/>
      <c r="S656" s="346"/>
      <c r="T656" s="346"/>
      <c r="U656" s="346"/>
      <c r="V656" s="346"/>
      <c r="W656" s="346"/>
      <c r="X656" s="346"/>
      <c r="Y656" s="346"/>
      <c r="Z656">
        <f t="shared" si="74"/>
        <v>0</v>
      </c>
      <c r="AA656" s="351"/>
    </row>
    <row r="657" spans="1:27">
      <c r="A657" s="165">
        <f>'[1]Conveyor Downtime (new)'!A683</f>
        <v>45995</v>
      </c>
      <c r="Z657">
        <f t="shared" si="74"/>
        <v>0</v>
      </c>
      <c r="AA657" s="351"/>
    </row>
    <row r="658" spans="1:27">
      <c r="A658" s="165">
        <f>'[1]Conveyor Downtime (new)'!A684</f>
        <v>45996</v>
      </c>
      <c r="B658" s="346"/>
      <c r="C658" s="346"/>
      <c r="D658" s="346"/>
      <c r="E658" s="346"/>
      <c r="F658" s="346"/>
      <c r="G658" s="346"/>
      <c r="H658" s="346"/>
      <c r="I658" s="346"/>
      <c r="J658" s="346"/>
      <c r="K658" s="346"/>
      <c r="L658" s="346"/>
      <c r="M658" s="346"/>
      <c r="N658" s="346"/>
      <c r="O658" s="346"/>
      <c r="P658" s="346"/>
      <c r="Q658" s="346"/>
      <c r="R658" s="346"/>
      <c r="S658" s="346"/>
      <c r="T658" s="346"/>
      <c r="U658" s="346"/>
      <c r="V658" s="346"/>
      <c r="W658" s="346"/>
      <c r="X658" s="346"/>
      <c r="Y658" s="346"/>
      <c r="Z658">
        <f t="shared" si="74"/>
        <v>0</v>
      </c>
      <c r="AA658" s="351"/>
    </row>
    <row r="659" spans="1:27">
      <c r="A659" s="165">
        <f>'Conveyor Downtime (new)'!A687</f>
        <v>0</v>
      </c>
      <c r="Z659">
        <f t="shared" si="74"/>
        <v>0</v>
      </c>
      <c r="AA659" s="351"/>
    </row>
    <row r="660" spans="1:27">
      <c r="A660" s="165">
        <f>'Conveyor Downtime (new)'!A688</f>
        <v>0</v>
      </c>
      <c r="B660" s="346"/>
      <c r="C660" s="346"/>
      <c r="D660" s="346"/>
      <c r="E660" s="346"/>
      <c r="F660" s="346"/>
      <c r="G660" s="346"/>
      <c r="H660" s="346"/>
      <c r="I660" s="346"/>
      <c r="J660" s="346"/>
      <c r="K660" s="346"/>
      <c r="L660" s="346"/>
      <c r="M660" s="346"/>
      <c r="N660" s="346"/>
      <c r="O660" s="346"/>
      <c r="P660" s="346"/>
      <c r="Q660" s="346"/>
      <c r="R660" s="346"/>
      <c r="S660" s="346"/>
      <c r="T660" s="346"/>
      <c r="U660" s="346"/>
      <c r="V660" s="346"/>
      <c r="W660" s="346"/>
      <c r="X660" s="346"/>
      <c r="Y660" s="346"/>
      <c r="Z660">
        <f t="shared" si="74"/>
        <v>0</v>
      </c>
      <c r="AA660" s="351"/>
    </row>
    <row r="661" spans="1:27">
      <c r="A661" s="165">
        <f>'Conveyor Downtime (new)'!A689</f>
        <v>0</v>
      </c>
      <c r="Z661">
        <f t="shared" si="74"/>
        <v>0</v>
      </c>
      <c r="AA661" s="351"/>
    </row>
    <row r="662" spans="1:27">
      <c r="A662" s="165">
        <f>'Conveyor Downtime (new)'!A690</f>
        <v>0</v>
      </c>
      <c r="B662" s="346"/>
      <c r="C662" s="346"/>
      <c r="D662" s="346"/>
      <c r="E662" s="346"/>
      <c r="F662" s="346"/>
      <c r="G662" s="346"/>
      <c r="H662" s="346"/>
      <c r="I662" s="346"/>
      <c r="J662" s="346"/>
      <c r="K662" s="346"/>
      <c r="L662" s="346"/>
      <c r="M662" s="346"/>
      <c r="N662" s="346"/>
      <c r="O662" s="346"/>
      <c r="P662" s="346"/>
      <c r="Q662" s="346"/>
      <c r="R662" s="346"/>
      <c r="S662" s="346"/>
      <c r="T662" s="346"/>
      <c r="U662" s="346"/>
      <c r="V662" s="346"/>
      <c r="W662" s="346"/>
      <c r="X662" s="346"/>
      <c r="Y662" s="346"/>
      <c r="Z662">
        <f t="shared" si="74"/>
        <v>0</v>
      </c>
      <c r="AA662" s="351"/>
    </row>
    <row r="663" spans="1:27">
      <c r="A663" s="165">
        <f>'Conveyor Downtime (new)'!A691</f>
        <v>0</v>
      </c>
      <c r="Z663">
        <f t="shared" si="74"/>
        <v>0</v>
      </c>
      <c r="AA663" s="351"/>
    </row>
    <row r="664" spans="1:27">
      <c r="A664" s="165">
        <f>'Conveyor Downtime (new)'!A692</f>
        <v>0</v>
      </c>
      <c r="B664" s="346"/>
      <c r="C664" s="346"/>
      <c r="D664" s="346"/>
      <c r="E664" s="346"/>
      <c r="F664" s="346"/>
      <c r="G664" s="346"/>
      <c r="H664" s="346"/>
      <c r="I664" s="346"/>
      <c r="J664" s="346"/>
      <c r="K664" s="346"/>
      <c r="L664" s="346"/>
      <c r="M664" s="346"/>
      <c r="N664" s="346"/>
      <c r="O664" s="346"/>
      <c r="P664" s="346"/>
      <c r="Q664" s="346"/>
      <c r="R664" s="346"/>
      <c r="S664" s="346"/>
      <c r="T664" s="346"/>
      <c r="U664" s="346"/>
      <c r="V664" s="346"/>
      <c r="W664" s="346"/>
      <c r="X664" s="346"/>
      <c r="Y664" s="346"/>
      <c r="Z664">
        <f t="shared" si="74"/>
        <v>0</v>
      </c>
      <c r="AA664" s="351"/>
    </row>
    <row r="665" spans="1:27">
      <c r="A665" s="165">
        <f>'Conveyor Downtime (new)'!A693</f>
        <v>0</v>
      </c>
      <c r="Z665">
        <f t="shared" si="74"/>
        <v>0</v>
      </c>
      <c r="AA665" s="351"/>
    </row>
    <row r="666" spans="1:27">
      <c r="A666" s="165">
        <f>'Conveyor Downtime (new)'!A694</f>
        <v>0</v>
      </c>
      <c r="B666" s="346"/>
      <c r="C666" s="346"/>
      <c r="D666" s="346"/>
      <c r="E666" s="346"/>
      <c r="F666" s="346"/>
      <c r="G666" s="346"/>
      <c r="H666" s="346"/>
      <c r="I666" s="346"/>
      <c r="J666" s="346"/>
      <c r="K666" s="346"/>
      <c r="L666" s="346"/>
      <c r="M666" s="346"/>
      <c r="N666" s="346"/>
      <c r="O666" s="346"/>
      <c r="P666" s="346"/>
      <c r="Q666" s="346"/>
      <c r="R666" s="346"/>
      <c r="S666" s="346"/>
      <c r="T666" s="346"/>
      <c r="U666" s="346"/>
      <c r="V666" s="346"/>
      <c r="W666" s="346"/>
      <c r="X666" s="346"/>
      <c r="Y666" s="346"/>
      <c r="Z666">
        <f t="shared" si="74"/>
        <v>0</v>
      </c>
      <c r="AA666" s="351"/>
    </row>
    <row r="667" spans="1:27">
      <c r="A667" s="165">
        <f>'Conveyor Downtime (new)'!A695</f>
        <v>0</v>
      </c>
      <c r="Z667">
        <f t="shared" si="74"/>
        <v>0</v>
      </c>
      <c r="AA667" s="351"/>
    </row>
    <row r="668" spans="1:27">
      <c r="A668" s="165">
        <f>'Conveyor Downtime (new)'!A696</f>
        <v>0</v>
      </c>
      <c r="B668" s="346"/>
      <c r="C668" s="346"/>
      <c r="D668" s="346"/>
      <c r="E668" s="346"/>
      <c r="F668" s="346"/>
      <c r="G668" s="346"/>
      <c r="H668" s="346"/>
      <c r="I668" s="346"/>
      <c r="J668" s="346"/>
      <c r="K668" s="346"/>
      <c r="L668" s="346"/>
      <c r="M668" s="346"/>
      <c r="N668" s="346"/>
      <c r="O668" s="346"/>
      <c r="P668" s="346"/>
      <c r="Q668" s="346"/>
      <c r="R668" s="346"/>
      <c r="S668" s="346"/>
      <c r="T668" s="346"/>
      <c r="U668" s="346"/>
      <c r="V668" s="346"/>
      <c r="W668" s="346"/>
      <c r="X668" s="346"/>
      <c r="Y668" s="346"/>
      <c r="Z668">
        <f t="shared" si="74"/>
        <v>0</v>
      </c>
      <c r="AA668" s="351"/>
    </row>
    <row r="669" spans="1:27">
      <c r="A669" s="165">
        <f>'Conveyor Downtime (new)'!A697</f>
        <v>0</v>
      </c>
      <c r="Z669">
        <f t="shared" si="74"/>
        <v>0</v>
      </c>
      <c r="AA669" s="351"/>
    </row>
    <row r="670" spans="1:27">
      <c r="A670" s="165">
        <f>'Conveyor Downtime (new)'!A698</f>
        <v>0</v>
      </c>
      <c r="B670" s="346"/>
      <c r="C670" s="346"/>
      <c r="D670" s="346"/>
      <c r="E670" s="346"/>
      <c r="F670" s="346"/>
      <c r="G670" s="346"/>
      <c r="H670" s="346"/>
      <c r="I670" s="346"/>
      <c r="J670" s="346"/>
      <c r="K670" s="346"/>
      <c r="L670" s="346"/>
      <c r="M670" s="346"/>
      <c r="N670" s="346"/>
      <c r="O670" s="346"/>
      <c r="P670" s="346"/>
      <c r="Q670" s="346"/>
      <c r="R670" s="346"/>
      <c r="S670" s="346"/>
      <c r="T670" s="346"/>
      <c r="U670" s="346"/>
      <c r="V670" s="346"/>
      <c r="W670" s="346"/>
      <c r="X670" s="346"/>
      <c r="Y670" s="346"/>
      <c r="Z670">
        <f t="shared" si="74"/>
        <v>0</v>
      </c>
      <c r="AA670" s="351"/>
    </row>
    <row r="671" spans="1:27">
      <c r="A671" s="165">
        <f>'Conveyor Downtime (new)'!A699</f>
        <v>0</v>
      </c>
      <c r="Z671">
        <f t="shared" si="74"/>
        <v>0</v>
      </c>
      <c r="AA671" s="351"/>
    </row>
    <row r="672" spans="1:27">
      <c r="A672" s="165">
        <f>'Conveyor Downtime (new)'!A700</f>
        <v>0</v>
      </c>
      <c r="B672" s="346"/>
      <c r="C672" s="346"/>
      <c r="D672" s="346"/>
      <c r="E672" s="346"/>
      <c r="F672" s="346"/>
      <c r="G672" s="346"/>
      <c r="H672" s="346"/>
      <c r="I672" s="346"/>
      <c r="J672" s="346"/>
      <c r="K672" s="346"/>
      <c r="L672" s="346"/>
      <c r="M672" s="346"/>
      <c r="N672" s="346"/>
      <c r="O672" s="346"/>
      <c r="P672" s="346"/>
      <c r="Q672" s="346"/>
      <c r="R672" s="346"/>
      <c r="S672" s="346"/>
      <c r="T672" s="346"/>
      <c r="U672" s="346"/>
      <c r="V672" s="346"/>
      <c r="W672" s="346"/>
      <c r="X672" s="346"/>
      <c r="Y672" s="346"/>
      <c r="Z672">
        <f t="shared" si="74"/>
        <v>0</v>
      </c>
      <c r="AA672" s="351"/>
    </row>
    <row r="673" spans="1:27">
      <c r="A673" s="165">
        <f>'Conveyor Downtime (new)'!A701</f>
        <v>0</v>
      </c>
      <c r="Z673">
        <f t="shared" ref="Z673:Z704" si="75">SUM(B673:Y673)</f>
        <v>0</v>
      </c>
      <c r="AA673" s="351"/>
    </row>
    <row r="674" spans="1:27">
      <c r="A674" s="165">
        <f>'Conveyor Downtime (new)'!A702</f>
        <v>0</v>
      </c>
      <c r="B674" s="346"/>
      <c r="C674" s="346"/>
      <c r="D674" s="346"/>
      <c r="E674" s="346"/>
      <c r="F674" s="346"/>
      <c r="G674" s="346"/>
      <c r="H674" s="346"/>
      <c r="I674" s="346"/>
      <c r="J674" s="346"/>
      <c r="K674" s="346"/>
      <c r="L674" s="346"/>
      <c r="M674" s="346"/>
      <c r="N674" s="346"/>
      <c r="O674" s="346"/>
      <c r="P674" s="346"/>
      <c r="Q674" s="346"/>
      <c r="R674" s="346"/>
      <c r="S674" s="346"/>
      <c r="T674" s="346"/>
      <c r="U674" s="346"/>
      <c r="V674" s="346"/>
      <c r="W674" s="346"/>
      <c r="X674" s="346"/>
      <c r="Y674" s="346"/>
      <c r="Z674">
        <f t="shared" si="75"/>
        <v>0</v>
      </c>
      <c r="AA674" s="351"/>
    </row>
    <row r="675" spans="1:27">
      <c r="A675" s="165">
        <f>'Conveyor Downtime (new)'!A703</f>
        <v>0</v>
      </c>
      <c r="Z675">
        <f t="shared" si="75"/>
        <v>0</v>
      </c>
      <c r="AA675" s="351"/>
    </row>
    <row r="676" spans="1:27">
      <c r="A676" s="165">
        <f>'Conveyor Downtime (new)'!A704</f>
        <v>0</v>
      </c>
      <c r="B676" s="346"/>
      <c r="C676" s="346"/>
      <c r="D676" s="346"/>
      <c r="E676" s="346"/>
      <c r="F676" s="346"/>
      <c r="G676" s="346"/>
      <c r="H676" s="346"/>
      <c r="I676" s="346"/>
      <c r="J676" s="346"/>
      <c r="K676" s="346"/>
      <c r="L676" s="346"/>
      <c r="M676" s="346"/>
      <c r="N676" s="346"/>
      <c r="O676" s="346"/>
      <c r="P676" s="346"/>
      <c r="Q676" s="346"/>
      <c r="R676" s="346"/>
      <c r="S676" s="346"/>
      <c r="T676" s="346"/>
      <c r="U676" s="346"/>
      <c r="V676" s="346"/>
      <c r="W676" s="346"/>
      <c r="X676" s="346"/>
      <c r="Y676" s="346"/>
      <c r="Z676">
        <f t="shared" si="75"/>
        <v>0</v>
      </c>
      <c r="AA676" s="351"/>
    </row>
    <row r="677" spans="1:27">
      <c r="A677" s="165">
        <f>'Conveyor Downtime (new)'!A705</f>
        <v>0</v>
      </c>
      <c r="Z677">
        <f t="shared" si="75"/>
        <v>0</v>
      </c>
      <c r="AA677" s="351"/>
    </row>
    <row r="678" spans="1:27">
      <c r="A678" s="165">
        <f>'Conveyor Downtime (new)'!A706</f>
        <v>0</v>
      </c>
      <c r="B678" s="346"/>
      <c r="C678" s="346"/>
      <c r="D678" s="346"/>
      <c r="E678" s="346"/>
      <c r="F678" s="346"/>
      <c r="G678" s="346"/>
      <c r="H678" s="346"/>
      <c r="I678" s="346"/>
      <c r="J678" s="346"/>
      <c r="K678" s="346"/>
      <c r="L678" s="346"/>
      <c r="M678" s="346"/>
      <c r="N678" s="346"/>
      <c r="O678" s="346"/>
      <c r="P678" s="346"/>
      <c r="Q678" s="346"/>
      <c r="R678" s="346"/>
      <c r="S678" s="346"/>
      <c r="T678" s="346"/>
      <c r="U678" s="346"/>
      <c r="V678" s="346"/>
      <c r="W678" s="346"/>
      <c r="X678" s="346"/>
      <c r="Y678" s="346"/>
      <c r="Z678">
        <f t="shared" si="75"/>
        <v>0</v>
      </c>
      <c r="AA678" s="351"/>
    </row>
    <row r="679" spans="1:27">
      <c r="A679" s="165">
        <f>'Conveyor Downtime (new)'!A707</f>
        <v>0</v>
      </c>
      <c r="Z679">
        <f t="shared" si="75"/>
        <v>0</v>
      </c>
      <c r="AA679" s="351"/>
    </row>
    <row r="680" spans="1:27">
      <c r="A680" s="165">
        <f>'Conveyor Downtime (new)'!A708</f>
        <v>0</v>
      </c>
      <c r="B680" s="346"/>
      <c r="C680" s="346"/>
      <c r="D680" s="346"/>
      <c r="E680" s="346"/>
      <c r="F680" s="346"/>
      <c r="G680" s="346"/>
      <c r="H680" s="346"/>
      <c r="I680" s="346"/>
      <c r="J680" s="346"/>
      <c r="K680" s="346"/>
      <c r="L680" s="346"/>
      <c r="M680" s="346"/>
      <c r="N680" s="346"/>
      <c r="O680" s="346"/>
      <c r="P680" s="346"/>
      <c r="Q680" s="346"/>
      <c r="R680" s="346"/>
      <c r="S680" s="346"/>
      <c r="T680" s="346"/>
      <c r="U680" s="346"/>
      <c r="V680" s="346"/>
      <c r="W680" s="346"/>
      <c r="X680" s="346"/>
      <c r="Y680" s="346"/>
      <c r="Z680">
        <f t="shared" si="75"/>
        <v>0</v>
      </c>
      <c r="AA680" s="351"/>
    </row>
    <row r="681" spans="1:27">
      <c r="A681" s="165">
        <f>'Conveyor Downtime (new)'!A709</f>
        <v>0</v>
      </c>
      <c r="Z681">
        <f t="shared" si="75"/>
        <v>0</v>
      </c>
      <c r="AA681" s="351"/>
    </row>
    <row r="682" spans="1:27">
      <c r="A682" s="165">
        <f>'Conveyor Downtime (new)'!A710</f>
        <v>0</v>
      </c>
      <c r="B682" s="346"/>
      <c r="C682" s="346"/>
      <c r="D682" s="346"/>
      <c r="E682" s="346"/>
      <c r="F682" s="346"/>
      <c r="G682" s="346"/>
      <c r="H682" s="346"/>
      <c r="I682" s="346"/>
      <c r="J682" s="346"/>
      <c r="K682" s="346"/>
      <c r="L682" s="346"/>
      <c r="M682" s="346"/>
      <c r="N682" s="346"/>
      <c r="O682" s="346"/>
      <c r="P682" s="346"/>
      <c r="Q682" s="346"/>
      <c r="R682" s="346"/>
      <c r="S682" s="346"/>
      <c r="T682" s="346"/>
      <c r="U682" s="346"/>
      <c r="V682" s="346"/>
      <c r="W682" s="346"/>
      <c r="X682" s="346"/>
      <c r="Y682" s="346"/>
      <c r="Z682">
        <f t="shared" si="75"/>
        <v>0</v>
      </c>
      <c r="AA682" s="351"/>
    </row>
    <row r="683" spans="1:27">
      <c r="A683" s="165">
        <f>'Conveyor Downtime (new)'!A711</f>
        <v>0</v>
      </c>
      <c r="Z683">
        <f t="shared" si="75"/>
        <v>0</v>
      </c>
      <c r="AA683" s="351"/>
    </row>
    <row r="684" spans="1:27">
      <c r="A684" s="165">
        <f>'Conveyor Downtime (new)'!A712</f>
        <v>0</v>
      </c>
      <c r="B684" s="346"/>
      <c r="C684" s="346"/>
      <c r="D684" s="346"/>
      <c r="E684" s="346"/>
      <c r="F684" s="346"/>
      <c r="G684" s="346"/>
      <c r="H684" s="346"/>
      <c r="I684" s="346"/>
      <c r="J684" s="346"/>
      <c r="K684" s="346"/>
      <c r="L684" s="346"/>
      <c r="M684" s="346"/>
      <c r="N684" s="346"/>
      <c r="O684" s="346"/>
      <c r="P684" s="346"/>
      <c r="Q684" s="346"/>
      <c r="R684" s="346"/>
      <c r="S684" s="346"/>
      <c r="T684" s="346"/>
      <c r="U684" s="346"/>
      <c r="V684" s="346"/>
      <c r="W684" s="346"/>
      <c r="X684" s="346"/>
      <c r="Y684" s="346"/>
      <c r="Z684">
        <f t="shared" si="75"/>
        <v>0</v>
      </c>
      <c r="AA684" s="351"/>
    </row>
    <row r="685" spans="1:27">
      <c r="A685" s="165">
        <f>'Conveyor Downtime (new)'!A713</f>
        <v>0</v>
      </c>
      <c r="Z685">
        <f t="shared" si="75"/>
        <v>0</v>
      </c>
      <c r="AA685" s="351"/>
    </row>
    <row r="686" spans="1:27">
      <c r="A686" s="165">
        <f>'Conveyor Downtime (new)'!A714</f>
        <v>0</v>
      </c>
      <c r="B686" s="346"/>
      <c r="C686" s="346"/>
      <c r="D686" s="346"/>
      <c r="E686" s="346"/>
      <c r="F686" s="346"/>
      <c r="G686" s="346"/>
      <c r="H686" s="346"/>
      <c r="I686" s="346"/>
      <c r="J686" s="346"/>
      <c r="K686" s="346"/>
      <c r="L686" s="346"/>
      <c r="M686" s="346"/>
      <c r="N686" s="346"/>
      <c r="O686" s="346"/>
      <c r="P686" s="346"/>
      <c r="Q686" s="346"/>
      <c r="R686" s="346"/>
      <c r="S686" s="346"/>
      <c r="T686" s="346"/>
      <c r="U686" s="346"/>
      <c r="V686" s="346"/>
      <c r="W686" s="346"/>
      <c r="X686" s="346"/>
      <c r="Y686" s="346"/>
      <c r="Z686">
        <f t="shared" si="75"/>
        <v>0</v>
      </c>
      <c r="AA686" s="351"/>
    </row>
    <row r="687" spans="1:27">
      <c r="A687" s="165">
        <f>'Conveyor Downtime (new)'!A715</f>
        <v>0</v>
      </c>
      <c r="Z687">
        <f t="shared" si="75"/>
        <v>0</v>
      </c>
      <c r="AA687" s="351"/>
    </row>
    <row r="688" spans="1:27">
      <c r="A688" s="165">
        <f>'Conveyor Downtime (new)'!A716</f>
        <v>0</v>
      </c>
      <c r="B688" s="346"/>
      <c r="C688" s="346"/>
      <c r="D688" s="346"/>
      <c r="E688" s="346"/>
      <c r="F688" s="346"/>
      <c r="G688" s="346"/>
      <c r="H688" s="346"/>
      <c r="I688" s="346"/>
      <c r="J688" s="346"/>
      <c r="K688" s="346"/>
      <c r="L688" s="346"/>
      <c r="M688" s="346"/>
      <c r="N688" s="346"/>
      <c r="O688" s="346"/>
      <c r="P688" s="346"/>
      <c r="Q688" s="346"/>
      <c r="R688" s="346"/>
      <c r="S688" s="346"/>
      <c r="T688" s="346"/>
      <c r="U688" s="346"/>
      <c r="V688" s="346"/>
      <c r="W688" s="346"/>
      <c r="X688" s="346"/>
      <c r="Y688" s="346"/>
      <c r="Z688">
        <f t="shared" si="75"/>
        <v>0</v>
      </c>
      <c r="AA688" s="351"/>
    </row>
    <row r="689" spans="1:27">
      <c r="A689" s="165">
        <f>'Conveyor Downtime (new)'!A717</f>
        <v>0</v>
      </c>
      <c r="Z689">
        <f t="shared" si="75"/>
        <v>0</v>
      </c>
      <c r="AA689" s="351"/>
    </row>
    <row r="690" spans="1:27">
      <c r="A690" s="165">
        <f>'Conveyor Downtime (new)'!A718</f>
        <v>0</v>
      </c>
      <c r="B690" s="346"/>
      <c r="C690" s="346"/>
      <c r="D690" s="346"/>
      <c r="E690" s="346"/>
      <c r="F690" s="346"/>
      <c r="G690" s="346"/>
      <c r="H690" s="346"/>
      <c r="I690" s="346"/>
      <c r="J690" s="346"/>
      <c r="K690" s="346"/>
      <c r="L690" s="346"/>
      <c r="M690" s="346"/>
      <c r="N690" s="346"/>
      <c r="O690" s="346"/>
      <c r="P690" s="346"/>
      <c r="Q690" s="346"/>
      <c r="R690" s="346"/>
      <c r="S690" s="346"/>
      <c r="T690" s="346"/>
      <c r="U690" s="346"/>
      <c r="V690" s="346"/>
      <c r="W690" s="346"/>
      <c r="X690" s="346"/>
      <c r="Y690" s="346"/>
      <c r="Z690">
        <f t="shared" si="75"/>
        <v>0</v>
      </c>
      <c r="AA690" s="351"/>
    </row>
    <row r="691" spans="1:27">
      <c r="A691" s="165">
        <f>'Conveyor Downtime (new)'!A719</f>
        <v>0</v>
      </c>
      <c r="Z691">
        <f t="shared" si="75"/>
        <v>0</v>
      </c>
      <c r="AA691" s="351"/>
    </row>
    <row r="692" spans="1:27">
      <c r="A692" s="165">
        <f>'Conveyor Downtime (new)'!A720</f>
        <v>0</v>
      </c>
      <c r="B692" s="346"/>
      <c r="C692" s="346"/>
      <c r="D692" s="346"/>
      <c r="E692" s="346"/>
      <c r="F692" s="346"/>
      <c r="G692" s="346"/>
      <c r="H692" s="346"/>
      <c r="I692" s="346"/>
      <c r="J692" s="346"/>
      <c r="K692" s="346"/>
      <c r="L692" s="346"/>
      <c r="M692" s="346"/>
      <c r="N692" s="346"/>
      <c r="O692" s="346"/>
      <c r="P692" s="346"/>
      <c r="Q692" s="346"/>
      <c r="R692" s="346"/>
      <c r="S692" s="346"/>
      <c r="T692" s="346"/>
      <c r="U692" s="346"/>
      <c r="V692" s="346"/>
      <c r="W692" s="346"/>
      <c r="X692" s="346"/>
      <c r="Y692" s="346"/>
      <c r="Z692">
        <f t="shared" si="75"/>
        <v>0</v>
      </c>
      <c r="AA692" s="351"/>
    </row>
    <row r="693" spans="1:27">
      <c r="A693" s="165">
        <f>'Conveyor Downtime (new)'!A721</f>
        <v>0</v>
      </c>
      <c r="Z693">
        <f t="shared" si="75"/>
        <v>0</v>
      </c>
      <c r="AA693" s="351"/>
    </row>
    <row r="694" spans="1:27">
      <c r="A694" s="165">
        <f>'Conveyor Downtime (new)'!A722</f>
        <v>0</v>
      </c>
      <c r="B694" s="346"/>
      <c r="C694" s="346"/>
      <c r="D694" s="346"/>
      <c r="E694" s="346"/>
      <c r="F694" s="346"/>
      <c r="G694" s="346"/>
      <c r="H694" s="346"/>
      <c r="I694" s="346"/>
      <c r="J694" s="346"/>
      <c r="K694" s="346"/>
      <c r="L694" s="346"/>
      <c r="M694" s="346"/>
      <c r="N694" s="346"/>
      <c r="O694" s="346"/>
      <c r="P694" s="346"/>
      <c r="Q694" s="346"/>
      <c r="R694" s="346"/>
      <c r="S694" s="346"/>
      <c r="T694" s="346"/>
      <c r="U694" s="346"/>
      <c r="V694" s="346"/>
      <c r="W694" s="346"/>
      <c r="X694" s="346"/>
      <c r="Y694" s="346"/>
      <c r="Z694">
        <f t="shared" si="75"/>
        <v>0</v>
      </c>
      <c r="AA694" s="351"/>
    </row>
    <row r="695" spans="1:27">
      <c r="A695" s="165">
        <f>'Conveyor Downtime (new)'!A723</f>
        <v>0</v>
      </c>
      <c r="Z695">
        <f t="shared" si="75"/>
        <v>0</v>
      </c>
      <c r="AA695" s="351"/>
    </row>
    <row r="696" spans="1:27">
      <c r="A696" s="165">
        <f>'Conveyor Downtime (new)'!A724</f>
        <v>0</v>
      </c>
      <c r="B696" s="346"/>
      <c r="C696" s="346"/>
      <c r="D696" s="346"/>
      <c r="E696" s="346"/>
      <c r="F696" s="346"/>
      <c r="G696" s="346"/>
      <c r="H696" s="346"/>
      <c r="I696" s="346"/>
      <c r="J696" s="346"/>
      <c r="K696" s="346"/>
      <c r="L696" s="346"/>
      <c r="M696" s="346"/>
      <c r="N696" s="346"/>
      <c r="O696" s="346"/>
      <c r="P696" s="346"/>
      <c r="Q696" s="346"/>
      <c r="R696" s="346"/>
      <c r="S696" s="346"/>
      <c r="T696" s="346"/>
      <c r="U696" s="346"/>
      <c r="V696" s="346"/>
      <c r="W696" s="346"/>
      <c r="X696" s="346"/>
      <c r="Y696" s="346"/>
      <c r="Z696">
        <f t="shared" si="75"/>
        <v>0</v>
      </c>
      <c r="AA696" s="351"/>
    </row>
    <row r="697" spans="1:27">
      <c r="A697" s="165">
        <f>'Conveyor Downtime (new)'!A725</f>
        <v>0</v>
      </c>
      <c r="Z697">
        <f t="shared" si="75"/>
        <v>0</v>
      </c>
      <c r="AA697" s="351"/>
    </row>
    <row r="698" spans="1:27">
      <c r="A698" s="165">
        <f>'Conveyor Downtime (new)'!A726</f>
        <v>0</v>
      </c>
      <c r="B698" s="346"/>
      <c r="C698" s="346"/>
      <c r="D698" s="346"/>
      <c r="E698" s="346"/>
      <c r="F698" s="346"/>
      <c r="G698" s="346"/>
      <c r="H698" s="346"/>
      <c r="I698" s="346"/>
      <c r="J698" s="346"/>
      <c r="K698" s="346"/>
      <c r="L698" s="346"/>
      <c r="M698" s="346"/>
      <c r="N698" s="346"/>
      <c r="O698" s="346"/>
      <c r="P698" s="346"/>
      <c r="Q698" s="346"/>
      <c r="R698" s="346"/>
      <c r="S698" s="346"/>
      <c r="T698" s="346"/>
      <c r="U698" s="346"/>
      <c r="V698" s="346"/>
      <c r="W698" s="346"/>
      <c r="X698" s="346"/>
      <c r="Y698" s="346"/>
      <c r="Z698">
        <f t="shared" si="75"/>
        <v>0</v>
      </c>
      <c r="AA698" s="351"/>
    </row>
    <row r="699" spans="1:27">
      <c r="A699" s="165">
        <f>'Conveyor Downtime (new)'!A727</f>
        <v>0</v>
      </c>
      <c r="Z699">
        <f t="shared" si="75"/>
        <v>0</v>
      </c>
      <c r="AA699" s="351"/>
    </row>
    <row r="700" spans="1:27">
      <c r="A700" s="165">
        <f>'Conveyor Downtime (new)'!A728</f>
        <v>0</v>
      </c>
      <c r="B700" s="346"/>
      <c r="C700" s="346"/>
      <c r="D700" s="346"/>
      <c r="E700" s="346"/>
      <c r="F700" s="346"/>
      <c r="G700" s="346"/>
      <c r="H700" s="346"/>
      <c r="I700" s="346"/>
      <c r="J700" s="346"/>
      <c r="K700" s="346"/>
      <c r="L700" s="346"/>
      <c r="M700" s="346"/>
      <c r="N700" s="346"/>
      <c r="O700" s="346"/>
      <c r="P700" s="346"/>
      <c r="Q700" s="346"/>
      <c r="R700" s="346"/>
      <c r="S700" s="346"/>
      <c r="T700" s="346"/>
      <c r="U700" s="346"/>
      <c r="V700" s="346"/>
      <c r="W700" s="346"/>
      <c r="X700" s="346"/>
      <c r="Y700" s="346"/>
      <c r="Z700">
        <f t="shared" si="75"/>
        <v>0</v>
      </c>
      <c r="AA700" s="351"/>
    </row>
    <row r="701" spans="1:27">
      <c r="A701" s="165">
        <f>'Conveyor Downtime (new)'!A729</f>
        <v>0</v>
      </c>
      <c r="Z701">
        <f t="shared" si="75"/>
        <v>0</v>
      </c>
      <c r="AA701" s="351"/>
    </row>
    <row r="702" spans="1:27">
      <c r="A702" s="165">
        <f>'Conveyor Downtime (new)'!A730</f>
        <v>0</v>
      </c>
      <c r="B702" s="346"/>
      <c r="C702" s="346"/>
      <c r="D702" s="346"/>
      <c r="E702" s="346"/>
      <c r="F702" s="346"/>
      <c r="G702" s="346"/>
      <c r="H702" s="346"/>
      <c r="I702" s="346"/>
      <c r="J702" s="346"/>
      <c r="K702" s="346"/>
      <c r="L702" s="346"/>
      <c r="M702" s="346"/>
      <c r="N702" s="346"/>
      <c r="O702" s="346"/>
      <c r="P702" s="346"/>
      <c r="Q702" s="346"/>
      <c r="R702" s="346"/>
      <c r="S702" s="346"/>
      <c r="T702" s="346"/>
      <c r="U702" s="346"/>
      <c r="V702" s="346"/>
      <c r="W702" s="346"/>
      <c r="X702" s="346"/>
      <c r="Y702" s="346"/>
      <c r="Z702">
        <f t="shared" si="75"/>
        <v>0</v>
      </c>
      <c r="AA702" s="351"/>
    </row>
    <row r="703" spans="1:27">
      <c r="A703" s="165">
        <f>'Conveyor Downtime (new)'!A731</f>
        <v>0</v>
      </c>
      <c r="Z703">
        <f t="shared" si="75"/>
        <v>0</v>
      </c>
      <c r="AA703" s="351"/>
    </row>
    <row r="704" spans="1:27">
      <c r="A704" s="165"/>
      <c r="B704" s="346"/>
      <c r="C704" s="346"/>
      <c r="D704" s="346"/>
      <c r="E704" s="346"/>
      <c r="F704" s="346"/>
      <c r="G704" s="346"/>
      <c r="H704" s="346"/>
      <c r="I704" s="346"/>
      <c r="J704" s="346"/>
      <c r="K704" s="346"/>
      <c r="L704" s="346"/>
      <c r="M704" s="346"/>
      <c r="N704" s="346"/>
      <c r="O704" s="346"/>
      <c r="P704" s="346"/>
      <c r="Q704" s="346"/>
      <c r="R704" s="346"/>
      <c r="S704" s="346"/>
      <c r="T704" s="346"/>
      <c r="U704" s="346"/>
      <c r="V704" s="346"/>
      <c r="W704" s="346"/>
      <c r="X704" s="346"/>
      <c r="Y704" s="346"/>
      <c r="Z704">
        <f t="shared" si="75"/>
        <v>0</v>
      </c>
      <c r="AA704" s="351"/>
    </row>
    <row r="705" spans="1:42" ht="15">
      <c r="A705" s="347" t="s">
        <v>173</v>
      </c>
      <c r="B705" s="347">
        <f t="shared" ref="B705:X705" si="76">SUM(B650:B704)</f>
        <v>0</v>
      </c>
      <c r="C705" s="347">
        <f t="shared" si="76"/>
        <v>0</v>
      </c>
      <c r="D705" s="347">
        <f t="shared" si="76"/>
        <v>0</v>
      </c>
      <c r="E705" s="347">
        <f t="shared" si="76"/>
        <v>0</v>
      </c>
      <c r="F705" s="347">
        <f t="shared" si="76"/>
        <v>0</v>
      </c>
      <c r="G705" s="347">
        <f t="shared" si="76"/>
        <v>0</v>
      </c>
      <c r="H705" s="347">
        <f t="shared" si="76"/>
        <v>0</v>
      </c>
      <c r="I705" s="347">
        <f t="shared" si="76"/>
        <v>0</v>
      </c>
      <c r="J705" s="347">
        <f t="shared" si="76"/>
        <v>0</v>
      </c>
      <c r="K705" s="347">
        <f t="shared" si="76"/>
        <v>0</v>
      </c>
      <c r="L705" s="347">
        <f t="shared" si="76"/>
        <v>0</v>
      </c>
      <c r="M705" s="347">
        <f t="shared" si="76"/>
        <v>0</v>
      </c>
      <c r="N705" s="347">
        <f t="shared" si="76"/>
        <v>0</v>
      </c>
      <c r="O705" s="347">
        <f t="shared" si="76"/>
        <v>0</v>
      </c>
      <c r="P705" s="347">
        <f t="shared" si="76"/>
        <v>0</v>
      </c>
      <c r="Q705" s="347">
        <f t="shared" si="76"/>
        <v>0</v>
      </c>
      <c r="R705" s="347">
        <f t="shared" si="76"/>
        <v>0</v>
      </c>
      <c r="S705" s="347">
        <f t="shared" si="76"/>
        <v>0</v>
      </c>
      <c r="T705" s="347">
        <f t="shared" si="76"/>
        <v>0</v>
      </c>
      <c r="U705" s="347">
        <f t="shared" si="76"/>
        <v>0</v>
      </c>
      <c r="V705" s="347"/>
      <c r="W705" s="347">
        <f t="shared" si="76"/>
        <v>0</v>
      </c>
      <c r="X705" s="347">
        <f t="shared" si="76"/>
        <v>0</v>
      </c>
      <c r="Y705" s="347">
        <f>SUM(Y650:Y704)</f>
        <v>0</v>
      </c>
      <c r="Z705" s="347">
        <f>SUM(Z650:Z704)</f>
        <v>0</v>
      </c>
      <c r="AA705" s="351"/>
    </row>
    <row r="706" spans="1:42" ht="15.75" thickBot="1">
      <c r="A706" s="348" t="s">
        <v>174</v>
      </c>
      <c r="B706" s="348" t="e">
        <f>B705/$Z705</f>
        <v>#DIV/0!</v>
      </c>
      <c r="C706" s="348" t="e">
        <f t="shared" ref="C706:W706" si="77">C705/$Z705</f>
        <v>#DIV/0!</v>
      </c>
      <c r="D706" s="348" t="e">
        <f t="shared" si="77"/>
        <v>#DIV/0!</v>
      </c>
      <c r="E706" s="348" t="e">
        <f t="shared" si="77"/>
        <v>#DIV/0!</v>
      </c>
      <c r="F706" s="348" t="e">
        <f t="shared" si="77"/>
        <v>#DIV/0!</v>
      </c>
      <c r="G706" s="348" t="e">
        <f t="shared" si="77"/>
        <v>#DIV/0!</v>
      </c>
      <c r="H706" s="348" t="e">
        <f t="shared" si="77"/>
        <v>#DIV/0!</v>
      </c>
      <c r="I706" s="348" t="e">
        <f t="shared" si="77"/>
        <v>#DIV/0!</v>
      </c>
      <c r="J706" s="348" t="e">
        <f t="shared" si="77"/>
        <v>#DIV/0!</v>
      </c>
      <c r="K706" s="348" t="e">
        <f t="shared" si="77"/>
        <v>#DIV/0!</v>
      </c>
      <c r="L706" s="348" t="e">
        <f t="shared" si="77"/>
        <v>#DIV/0!</v>
      </c>
      <c r="M706" s="348" t="e">
        <f t="shared" si="77"/>
        <v>#DIV/0!</v>
      </c>
      <c r="N706" s="348" t="e">
        <f t="shared" si="77"/>
        <v>#DIV/0!</v>
      </c>
      <c r="O706" s="348" t="e">
        <f t="shared" si="77"/>
        <v>#DIV/0!</v>
      </c>
      <c r="P706" s="348" t="e">
        <f t="shared" si="77"/>
        <v>#DIV/0!</v>
      </c>
      <c r="Q706" s="348" t="e">
        <f t="shared" si="77"/>
        <v>#DIV/0!</v>
      </c>
      <c r="R706" s="348" t="e">
        <f t="shared" si="77"/>
        <v>#DIV/0!</v>
      </c>
      <c r="S706" s="348" t="e">
        <f t="shared" si="77"/>
        <v>#DIV/0!</v>
      </c>
      <c r="T706" s="348" t="e">
        <f t="shared" si="77"/>
        <v>#DIV/0!</v>
      </c>
      <c r="U706" s="348" t="e">
        <f t="shared" si="77"/>
        <v>#DIV/0!</v>
      </c>
      <c r="V706" s="348"/>
      <c r="W706" s="348" t="e">
        <f t="shared" si="77"/>
        <v>#DIV/0!</v>
      </c>
      <c r="X706" s="348" t="e">
        <f>X705/$Z705</f>
        <v>#DIV/0!</v>
      </c>
      <c r="Y706" s="348" t="e">
        <f>Y705/$Z705</f>
        <v>#DIV/0!</v>
      </c>
      <c r="AA706" s="351"/>
    </row>
    <row r="707" spans="1:42">
      <c r="AA707" s="351"/>
    </row>
    <row r="709" spans="1:42" s="184" customFormat="1" ht="15">
      <c r="A709" s="519" t="s">
        <v>173</v>
      </c>
      <c r="B709" s="519">
        <f t="shared" ref="B709:U709" si="78">SUM(B68,B123,B184,B244,B304,B361,B420,B526,B585,B645,B705,B476)</f>
        <v>282</v>
      </c>
      <c r="C709" s="519">
        <f t="shared" si="78"/>
        <v>0</v>
      </c>
      <c r="D709" s="519">
        <f t="shared" si="78"/>
        <v>437</v>
      </c>
      <c r="E709" s="519">
        <f t="shared" si="78"/>
        <v>94</v>
      </c>
      <c r="F709" s="519">
        <f t="shared" si="78"/>
        <v>2528</v>
      </c>
      <c r="G709" s="519">
        <f t="shared" si="78"/>
        <v>187</v>
      </c>
      <c r="H709" s="519">
        <f t="shared" si="78"/>
        <v>28</v>
      </c>
      <c r="I709" s="519">
        <f t="shared" si="78"/>
        <v>2521</v>
      </c>
      <c r="J709" s="519">
        <f t="shared" si="78"/>
        <v>0</v>
      </c>
      <c r="K709" s="519">
        <f t="shared" si="78"/>
        <v>1133</v>
      </c>
      <c r="L709" s="519">
        <f t="shared" si="78"/>
        <v>318</v>
      </c>
      <c r="M709" s="519">
        <f t="shared" si="78"/>
        <v>4</v>
      </c>
      <c r="N709" s="519">
        <f t="shared" si="78"/>
        <v>0</v>
      </c>
      <c r="O709" s="519">
        <f t="shared" si="78"/>
        <v>147</v>
      </c>
      <c r="P709" s="519">
        <f t="shared" si="78"/>
        <v>0</v>
      </c>
      <c r="Q709" s="519">
        <f t="shared" si="78"/>
        <v>0</v>
      </c>
      <c r="R709" s="519">
        <f t="shared" si="78"/>
        <v>0</v>
      </c>
      <c r="S709" s="519">
        <f t="shared" si="78"/>
        <v>120</v>
      </c>
      <c r="T709" s="519">
        <f t="shared" si="78"/>
        <v>45</v>
      </c>
      <c r="U709" s="519">
        <f t="shared" si="78"/>
        <v>0</v>
      </c>
      <c r="V709" s="519"/>
      <c r="W709" s="519">
        <f>SUM(W68,W123,W184,W244,W304,W361,W420,W526,W585,W645,W705,W476)</f>
        <v>29</v>
      </c>
      <c r="X709" s="519">
        <f>SUM(X68,X123,X184,X244,X304,X361,X420,X526,X585,X645,X705,X476)</f>
        <v>51</v>
      </c>
      <c r="Y709" s="519">
        <f>SUM(Y68,Y123,Y184,Y244,Y304,Y361,Y420,Y526,Y585,Y645,Y705,Y476)</f>
        <v>61</v>
      </c>
      <c r="Z709" s="519">
        <f>SUM(Z68,Z123,Z184,Z244,Z304,Z361,Z420,Z476,Z526,Z585,Z645,Z705)</f>
        <v>7999</v>
      </c>
      <c r="AA709" s="519"/>
      <c r="AB709" s="519"/>
      <c r="AC709" s="519"/>
      <c r="AD709" s="519"/>
      <c r="AE709" s="519"/>
      <c r="AF709" s="519"/>
      <c r="AG709" s="519"/>
      <c r="AH709" s="519"/>
      <c r="AI709" s="519"/>
      <c r="AJ709" s="519"/>
      <c r="AK709" s="519"/>
      <c r="AL709" s="519"/>
      <c r="AM709" s="519"/>
      <c r="AN709" s="519"/>
      <c r="AO709" s="519"/>
      <c r="AP709" s="519"/>
    </row>
    <row r="710" spans="1:42" s="184" customFormat="1" ht="15.75" thickBot="1">
      <c r="A710" s="521" t="s">
        <v>43</v>
      </c>
      <c r="B710" s="521">
        <f t="shared" ref="B710:X710" si="79">B709/$Z709</f>
        <v>3.5254406800850104E-2</v>
      </c>
      <c r="C710" s="521">
        <f t="shared" si="79"/>
        <v>0</v>
      </c>
      <c r="D710" s="521">
        <f t="shared" si="79"/>
        <v>5.4631828978622329E-2</v>
      </c>
      <c r="E710" s="521">
        <f t="shared" si="79"/>
        <v>1.1751468933616702E-2</v>
      </c>
      <c r="F710" s="521">
        <f t="shared" si="79"/>
        <v>0.31603950493811728</v>
      </c>
      <c r="G710" s="521">
        <f t="shared" si="79"/>
        <v>2.3377922240280034E-2</v>
      </c>
      <c r="H710" s="521">
        <f t="shared" si="79"/>
        <v>3.5004375546943368E-3</v>
      </c>
      <c r="I710" s="521">
        <f>I709/$Z709</f>
        <v>0.3151643955494437</v>
      </c>
      <c r="J710" s="521">
        <f t="shared" si="79"/>
        <v>0</v>
      </c>
      <c r="K710" s="521">
        <f t="shared" si="79"/>
        <v>0.14164270533816728</v>
      </c>
      <c r="L710" s="521">
        <f t="shared" si="79"/>
        <v>3.9754969371171393E-2</v>
      </c>
      <c r="M710" s="521">
        <f t="shared" si="79"/>
        <v>5.0006250781347672E-4</v>
      </c>
      <c r="N710" s="521">
        <f t="shared" si="79"/>
        <v>0</v>
      </c>
      <c r="O710" s="521">
        <f t="shared" si="79"/>
        <v>1.8377297162145267E-2</v>
      </c>
      <c r="P710" s="521">
        <f t="shared" si="79"/>
        <v>0</v>
      </c>
      <c r="Q710" s="521">
        <f t="shared" si="79"/>
        <v>0</v>
      </c>
      <c r="R710" s="521">
        <f t="shared" si="79"/>
        <v>0</v>
      </c>
      <c r="S710" s="521">
        <f t="shared" si="79"/>
        <v>1.5001875234404301E-2</v>
      </c>
      <c r="T710" s="521">
        <f t="shared" si="79"/>
        <v>5.6257032129016131E-3</v>
      </c>
      <c r="U710" s="521">
        <f t="shared" si="79"/>
        <v>0</v>
      </c>
      <c r="V710" s="521"/>
      <c r="W710" s="521">
        <f t="shared" si="79"/>
        <v>3.6254531816477058E-3</v>
      </c>
      <c r="X710" s="521">
        <f t="shared" si="79"/>
        <v>6.3757969746218281E-3</v>
      </c>
      <c r="Y710" s="521">
        <f>Y709/$Z709</f>
        <v>7.6259532441555191E-3</v>
      </c>
      <c r="Z710" s="521"/>
      <c r="AA710" s="523"/>
      <c r="AB710" s="523"/>
      <c r="AC710" s="523"/>
      <c r="AD710" s="523"/>
      <c r="AE710" s="523"/>
      <c r="AF710" s="523"/>
      <c r="AG710" s="523"/>
      <c r="AH710" s="523"/>
      <c r="AI710" s="523"/>
      <c r="AJ710" s="523"/>
      <c r="AK710" s="523"/>
      <c r="AL710" s="523"/>
      <c r="AM710" s="523"/>
      <c r="AN710" s="523"/>
      <c r="AP710" s="522"/>
    </row>
  </sheetData>
  <mergeCells count="1">
    <mergeCell ref="B2:S2"/>
  </mergeCells>
  <pageMargins left="0.7" right="0.7" top="0.75" bottom="0.75" header="0.3" footer="0.3"/>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tabColor theme="8" tint="0.39988402966399123"/>
  </sheetPr>
  <dimension ref="A3:U724"/>
  <sheetViews>
    <sheetView workbookViewId="0">
      <pane xSplit="1" ySplit="4" topLeftCell="B506" activePane="bottomRight" state="frozen"/>
      <selection pane="topRight"/>
      <selection pane="bottomLeft"/>
      <selection pane="bottomRight" activeCell="B526" sqref="B526"/>
    </sheetView>
  </sheetViews>
  <sheetFormatPr defaultColWidth="9" defaultRowHeight="12.75"/>
  <cols>
    <col min="1" max="1" width="10.5703125" customWidth="1"/>
    <col min="2" max="2" width="21.5703125" customWidth="1"/>
    <col min="3" max="11" width="14.5703125" customWidth="1"/>
    <col min="12" max="12" width="7.85546875" customWidth="1"/>
    <col min="13" max="13" width="14.5703125" customWidth="1"/>
    <col min="14" max="14" width="14" customWidth="1"/>
  </cols>
  <sheetData>
    <row r="3" spans="1:16" ht="15">
      <c r="B3" s="343" t="s">
        <v>234</v>
      </c>
      <c r="C3" s="343"/>
      <c r="D3" s="343"/>
      <c r="E3" s="343"/>
      <c r="F3" s="343"/>
      <c r="G3" s="343"/>
      <c r="H3" s="343"/>
      <c r="I3" s="343"/>
      <c r="J3" s="343"/>
      <c r="K3" s="343"/>
      <c r="L3" s="343"/>
      <c r="M3" s="343"/>
      <c r="N3" s="343"/>
    </row>
    <row r="4" spans="1:16" ht="26.25">
      <c r="A4" s="279" t="s">
        <v>81</v>
      </c>
      <c r="B4" s="349" t="s">
        <v>235</v>
      </c>
      <c r="C4" s="344" t="s">
        <v>236</v>
      </c>
      <c r="D4" s="187" t="s">
        <v>214</v>
      </c>
      <c r="E4" s="187" t="s">
        <v>237</v>
      </c>
      <c r="F4" s="187" t="s">
        <v>238</v>
      </c>
      <c r="G4" s="344" t="s">
        <v>239</v>
      </c>
      <c r="H4" s="344" t="s">
        <v>240</v>
      </c>
      <c r="I4" s="344" t="s">
        <v>222</v>
      </c>
      <c r="J4" s="187" t="s">
        <v>241</v>
      </c>
      <c r="K4" s="187" t="s">
        <v>242</v>
      </c>
      <c r="L4" s="187" t="s">
        <v>243</v>
      </c>
      <c r="M4" s="187" t="s">
        <v>244</v>
      </c>
      <c r="N4" s="344" t="s">
        <v>245</v>
      </c>
    </row>
    <row r="5" spans="1:16">
      <c r="A5" s="165">
        <f>'Conveyor Downtime (new)'!A6</f>
        <v>46024</v>
      </c>
      <c r="O5">
        <f t="shared" ref="O5:O50" si="0">SUM(B5:N5)</f>
        <v>0</v>
      </c>
      <c r="P5" s="351">
        <f t="shared" ref="P5:P50" si="1">O5/$O$67</f>
        <v>0</v>
      </c>
    </row>
    <row r="6" spans="1:16">
      <c r="A6" s="165">
        <f>'Conveyor Downtime (new)'!A7</f>
        <v>46027</v>
      </c>
      <c r="B6" s="346"/>
      <c r="C6" s="346"/>
      <c r="D6" s="346"/>
      <c r="E6" s="346"/>
      <c r="F6" s="346"/>
      <c r="G6" s="346"/>
      <c r="H6" s="346"/>
      <c r="I6" s="346"/>
      <c r="J6" s="346"/>
      <c r="K6" s="346"/>
      <c r="L6" s="346"/>
      <c r="M6" s="346"/>
      <c r="N6" s="346"/>
      <c r="O6">
        <f t="shared" si="0"/>
        <v>0</v>
      </c>
      <c r="P6" s="351">
        <f t="shared" si="1"/>
        <v>0</v>
      </c>
    </row>
    <row r="7" spans="1:16">
      <c r="A7" s="165">
        <f>'Conveyor Downtime (new)'!A8</f>
        <v>46028</v>
      </c>
      <c r="O7">
        <f t="shared" si="0"/>
        <v>0</v>
      </c>
      <c r="P7" s="351">
        <f t="shared" si="1"/>
        <v>0</v>
      </c>
    </row>
    <row r="8" spans="1:16">
      <c r="A8" s="165">
        <f>'Conveyor Downtime (new)'!A9</f>
        <v>46029</v>
      </c>
      <c r="B8" s="346"/>
      <c r="C8" s="346"/>
      <c r="D8" s="346"/>
      <c r="E8" s="346"/>
      <c r="F8" s="346"/>
      <c r="G8" s="346"/>
      <c r="H8" s="346"/>
      <c r="I8" s="346"/>
      <c r="J8" s="346"/>
      <c r="K8" s="346"/>
      <c r="L8" s="346"/>
      <c r="M8" s="346"/>
      <c r="N8" s="346"/>
      <c r="O8">
        <f t="shared" si="0"/>
        <v>0</v>
      </c>
      <c r="P8" s="351">
        <f t="shared" si="1"/>
        <v>0</v>
      </c>
    </row>
    <row r="9" spans="1:16">
      <c r="A9" s="165">
        <f>'Conveyor Downtime (new)'!A10</f>
        <v>46030</v>
      </c>
      <c r="O9">
        <f t="shared" si="0"/>
        <v>0</v>
      </c>
      <c r="P9" s="351">
        <f t="shared" si="1"/>
        <v>0</v>
      </c>
    </row>
    <row r="10" spans="1:16">
      <c r="A10" s="165">
        <f>'Conveyor Downtime (new)'!A11</f>
        <v>46031</v>
      </c>
      <c r="B10" s="346"/>
      <c r="C10" s="346"/>
      <c r="D10" s="346"/>
      <c r="E10" s="346"/>
      <c r="F10" s="346"/>
      <c r="G10" s="346"/>
      <c r="H10" s="346"/>
      <c r="I10" s="346"/>
      <c r="J10" s="346"/>
      <c r="K10" s="346"/>
      <c r="L10" s="346"/>
      <c r="M10" s="346"/>
      <c r="N10" s="346"/>
      <c r="O10">
        <f t="shared" si="0"/>
        <v>0</v>
      </c>
      <c r="P10" s="351">
        <f t="shared" si="1"/>
        <v>0</v>
      </c>
    </row>
    <row r="11" spans="1:16">
      <c r="A11" s="165">
        <f>'Conveyor Downtime (new)'!A12</f>
        <v>46031</v>
      </c>
      <c r="O11">
        <f t="shared" si="0"/>
        <v>0</v>
      </c>
      <c r="P11" s="351">
        <f t="shared" si="1"/>
        <v>0</v>
      </c>
    </row>
    <row r="12" spans="1:16">
      <c r="A12" s="165">
        <f>'Conveyor Downtime (new)'!A13</f>
        <v>46032</v>
      </c>
      <c r="B12" s="346"/>
      <c r="C12" s="346"/>
      <c r="D12" s="346"/>
      <c r="E12" s="346"/>
      <c r="F12" s="346"/>
      <c r="G12" s="346"/>
      <c r="H12" s="346"/>
      <c r="I12" s="346"/>
      <c r="J12" s="346"/>
      <c r="K12" s="346"/>
      <c r="L12" s="346"/>
      <c r="M12" s="346"/>
      <c r="N12" s="346"/>
      <c r="O12">
        <f t="shared" si="0"/>
        <v>0</v>
      </c>
      <c r="P12" s="351">
        <f t="shared" si="1"/>
        <v>0</v>
      </c>
    </row>
    <row r="13" spans="1:16">
      <c r="A13" s="165">
        <f>'Conveyor Downtime (new)'!A14</f>
        <v>46034</v>
      </c>
      <c r="O13">
        <f t="shared" si="0"/>
        <v>0</v>
      </c>
      <c r="P13" s="351">
        <f t="shared" si="1"/>
        <v>0</v>
      </c>
    </row>
    <row r="14" spans="1:16">
      <c r="A14" s="165">
        <f>'Conveyor Downtime (new)'!A15</f>
        <v>46034</v>
      </c>
      <c r="B14" s="346"/>
      <c r="C14" s="346"/>
      <c r="D14" s="346"/>
      <c r="E14" s="346"/>
      <c r="F14" s="346"/>
      <c r="G14" s="346"/>
      <c r="H14" s="346"/>
      <c r="I14" s="346"/>
      <c r="J14" s="346"/>
      <c r="K14" s="346"/>
      <c r="L14" s="346"/>
      <c r="M14" s="346"/>
      <c r="N14" s="346"/>
      <c r="O14">
        <f t="shared" si="0"/>
        <v>0</v>
      </c>
      <c r="P14" s="351">
        <f t="shared" si="1"/>
        <v>0</v>
      </c>
    </row>
    <row r="15" spans="1:16">
      <c r="A15" s="165">
        <f>'Conveyor Downtime (new)'!A16</f>
        <v>46034</v>
      </c>
      <c r="O15">
        <f t="shared" si="0"/>
        <v>0</v>
      </c>
      <c r="P15" s="351">
        <f t="shared" si="1"/>
        <v>0</v>
      </c>
    </row>
    <row r="16" spans="1:16">
      <c r="A16" s="165">
        <f>'Conveyor Downtime (new)'!A17</f>
        <v>46035</v>
      </c>
      <c r="B16" s="346"/>
      <c r="C16" s="346"/>
      <c r="D16" s="346"/>
      <c r="E16" s="346"/>
      <c r="F16" s="346"/>
      <c r="G16" s="346"/>
      <c r="H16" s="346"/>
      <c r="I16" s="346"/>
      <c r="J16" s="346"/>
      <c r="K16" s="346"/>
      <c r="L16" s="346"/>
      <c r="M16" s="346"/>
      <c r="N16" s="346"/>
      <c r="O16">
        <f t="shared" si="0"/>
        <v>0</v>
      </c>
      <c r="P16" s="351">
        <f t="shared" si="1"/>
        <v>0</v>
      </c>
    </row>
    <row r="17" spans="1:16">
      <c r="A17" s="165">
        <f>'Conveyor Downtime (new)'!A18</f>
        <v>46035</v>
      </c>
      <c r="O17">
        <f t="shared" si="0"/>
        <v>0</v>
      </c>
      <c r="P17" s="351">
        <f t="shared" si="1"/>
        <v>0</v>
      </c>
    </row>
    <row r="18" spans="1:16">
      <c r="A18" s="165">
        <f>'Conveyor Downtime (new)'!A19</f>
        <v>46036</v>
      </c>
      <c r="B18" s="346"/>
      <c r="C18" s="346"/>
      <c r="D18" s="346"/>
      <c r="E18" s="346"/>
      <c r="F18" s="346"/>
      <c r="G18" s="346"/>
      <c r="H18" s="346"/>
      <c r="I18" s="346"/>
      <c r="J18" s="346"/>
      <c r="K18" s="346"/>
      <c r="L18" s="346"/>
      <c r="M18" s="346"/>
      <c r="N18" s="346"/>
      <c r="O18">
        <f t="shared" si="0"/>
        <v>0</v>
      </c>
      <c r="P18" s="351">
        <f t="shared" si="1"/>
        <v>0</v>
      </c>
    </row>
    <row r="19" spans="1:16">
      <c r="A19" s="165">
        <f>'Conveyor Downtime (new)'!A20</f>
        <v>46036</v>
      </c>
      <c r="O19">
        <f t="shared" si="0"/>
        <v>0</v>
      </c>
      <c r="P19" s="351">
        <f t="shared" si="1"/>
        <v>0</v>
      </c>
    </row>
    <row r="20" spans="1:16">
      <c r="A20" s="165">
        <f>'Conveyor Downtime (new)'!A21</f>
        <v>46037</v>
      </c>
      <c r="B20" s="346"/>
      <c r="C20" s="346"/>
      <c r="D20" s="346"/>
      <c r="E20" s="346"/>
      <c r="F20" s="346"/>
      <c r="G20" s="346"/>
      <c r="H20" s="346"/>
      <c r="I20" s="346"/>
      <c r="J20" s="346"/>
      <c r="K20" s="346"/>
      <c r="L20" s="346"/>
      <c r="M20" s="346"/>
      <c r="N20" s="346"/>
      <c r="O20">
        <f t="shared" si="0"/>
        <v>0</v>
      </c>
      <c r="P20" s="351">
        <f t="shared" si="1"/>
        <v>0</v>
      </c>
    </row>
    <row r="21" spans="1:16">
      <c r="A21" s="165">
        <f>'Conveyor Downtime (new)'!A22</f>
        <v>46037</v>
      </c>
      <c r="O21">
        <f t="shared" si="0"/>
        <v>0</v>
      </c>
      <c r="P21" s="351">
        <f t="shared" si="1"/>
        <v>0</v>
      </c>
    </row>
    <row r="22" spans="1:16">
      <c r="A22" s="165">
        <f>'Conveyor Downtime (new)'!A23</f>
        <v>46038</v>
      </c>
      <c r="B22" s="346"/>
      <c r="C22" s="346"/>
      <c r="D22" s="346"/>
      <c r="E22" s="346"/>
      <c r="F22" s="346"/>
      <c r="G22" s="346"/>
      <c r="H22" s="346"/>
      <c r="I22" s="346"/>
      <c r="J22" s="346"/>
      <c r="K22" s="346"/>
      <c r="L22" s="346"/>
      <c r="M22" s="346"/>
      <c r="N22" s="346"/>
      <c r="O22">
        <f t="shared" si="0"/>
        <v>0</v>
      </c>
      <c r="P22" s="351">
        <f t="shared" si="1"/>
        <v>0</v>
      </c>
    </row>
    <row r="23" spans="1:16">
      <c r="A23" s="165">
        <f>'Conveyor Downtime (new)'!A24</f>
        <v>46038</v>
      </c>
      <c r="O23">
        <f t="shared" si="0"/>
        <v>0</v>
      </c>
      <c r="P23" s="351">
        <f t="shared" si="1"/>
        <v>0</v>
      </c>
    </row>
    <row r="24" spans="1:16">
      <c r="A24" s="165">
        <f>'Conveyor Downtime (new)'!A25</f>
        <v>46041</v>
      </c>
      <c r="B24" s="346">
        <f>3</f>
        <v>3</v>
      </c>
      <c r="C24" s="346"/>
      <c r="D24" s="346"/>
      <c r="E24" s="346"/>
      <c r="F24" s="346"/>
      <c r="G24" s="346"/>
      <c r="H24" s="346"/>
      <c r="I24" s="346"/>
      <c r="J24" s="346"/>
      <c r="K24" s="346"/>
      <c r="L24" s="346"/>
      <c r="M24" s="346"/>
      <c r="N24" s="346"/>
      <c r="O24">
        <f t="shared" si="0"/>
        <v>3</v>
      </c>
      <c r="P24" s="351">
        <f t="shared" si="1"/>
        <v>2.6086956521739129E-2</v>
      </c>
    </row>
    <row r="25" spans="1:16">
      <c r="A25" s="165">
        <f>'Conveyor Downtime (new)'!A26</f>
        <v>46041</v>
      </c>
      <c r="O25">
        <f t="shared" si="0"/>
        <v>0</v>
      </c>
      <c r="P25" s="351">
        <f t="shared" si="1"/>
        <v>0</v>
      </c>
    </row>
    <row r="26" spans="1:16">
      <c r="A26" s="165">
        <f>'Conveyor Downtime (new)'!A27</f>
        <v>46042</v>
      </c>
      <c r="B26" s="346">
        <f>18</f>
        <v>18</v>
      </c>
      <c r="C26" s="346"/>
      <c r="D26" s="346"/>
      <c r="E26" s="346"/>
      <c r="F26" s="346"/>
      <c r="G26" s="346"/>
      <c r="H26" s="346"/>
      <c r="I26" s="346"/>
      <c r="J26" s="346"/>
      <c r="K26" s="346"/>
      <c r="L26" s="346"/>
      <c r="M26" s="346"/>
      <c r="N26" s="346"/>
      <c r="O26">
        <f t="shared" si="0"/>
        <v>18</v>
      </c>
      <c r="P26" s="351">
        <f t="shared" si="1"/>
        <v>0.15652173913043479</v>
      </c>
    </row>
    <row r="27" spans="1:16">
      <c r="A27" s="165">
        <f>'Conveyor Downtime (new)'!A28</f>
        <v>46042</v>
      </c>
      <c r="B27">
        <f>4</f>
        <v>4</v>
      </c>
      <c r="O27">
        <f t="shared" si="0"/>
        <v>4</v>
      </c>
      <c r="P27" s="351">
        <f t="shared" si="1"/>
        <v>3.4782608695652174E-2</v>
      </c>
    </row>
    <row r="28" spans="1:16">
      <c r="A28" s="165">
        <f>'Conveyor Downtime (new)'!A29</f>
        <v>46043</v>
      </c>
      <c r="B28" s="346"/>
      <c r="C28" s="346"/>
      <c r="D28" s="346"/>
      <c r="E28" s="346"/>
      <c r="F28" s="346"/>
      <c r="G28" s="346"/>
      <c r="H28" s="346"/>
      <c r="I28" s="346"/>
      <c r="J28" s="346"/>
      <c r="K28" s="346"/>
      <c r="L28" s="346"/>
      <c r="M28" s="346"/>
      <c r="N28" s="346"/>
      <c r="O28">
        <f t="shared" si="0"/>
        <v>0</v>
      </c>
      <c r="P28" s="351">
        <f t="shared" si="1"/>
        <v>0</v>
      </c>
    </row>
    <row r="29" spans="1:16">
      <c r="A29" s="165">
        <f>'Conveyor Downtime (new)'!A30</f>
        <v>46043</v>
      </c>
      <c r="O29">
        <f t="shared" si="0"/>
        <v>0</v>
      </c>
      <c r="P29" s="351">
        <f t="shared" si="1"/>
        <v>0</v>
      </c>
    </row>
    <row r="30" spans="1:16">
      <c r="A30" s="165">
        <f>'Conveyor Downtime (new)'!A31</f>
        <v>46043</v>
      </c>
      <c r="B30" s="346">
        <v>33</v>
      </c>
      <c r="C30" s="346"/>
      <c r="D30" s="346"/>
      <c r="E30" s="346"/>
      <c r="F30" s="346"/>
      <c r="G30" s="346"/>
      <c r="H30" s="346"/>
      <c r="I30" s="346"/>
      <c r="J30" s="346"/>
      <c r="K30" s="346"/>
      <c r="L30" s="346"/>
      <c r="M30" s="346"/>
      <c r="N30" s="346"/>
      <c r="O30">
        <f t="shared" si="0"/>
        <v>33</v>
      </c>
      <c r="P30" s="351">
        <f t="shared" si="1"/>
        <v>0.28695652173913044</v>
      </c>
    </row>
    <row r="31" spans="1:16">
      <c r="A31" s="165">
        <f>'Conveyor Downtime (new)'!A32</f>
        <v>46043</v>
      </c>
      <c r="O31">
        <f t="shared" si="0"/>
        <v>0</v>
      </c>
      <c r="P31" s="351">
        <f t="shared" si="1"/>
        <v>0</v>
      </c>
    </row>
    <row r="32" spans="1:16">
      <c r="A32" s="165">
        <f>'Conveyor Downtime (new)'!A33</f>
        <v>46044</v>
      </c>
      <c r="B32" s="346"/>
      <c r="C32" s="346"/>
      <c r="D32" s="346"/>
      <c r="E32" s="346"/>
      <c r="F32" s="346"/>
      <c r="G32" s="346"/>
      <c r="H32" s="346"/>
      <c r="I32" s="346"/>
      <c r="J32" s="346"/>
      <c r="K32" s="346"/>
      <c r="L32" s="346"/>
      <c r="M32" s="346"/>
      <c r="N32" s="346"/>
      <c r="O32">
        <f t="shared" si="0"/>
        <v>0</v>
      </c>
      <c r="P32" s="351">
        <f t="shared" si="1"/>
        <v>0</v>
      </c>
    </row>
    <row r="33" spans="1:16">
      <c r="A33" s="165">
        <f>'Conveyor Downtime (new)'!A34</f>
        <v>46045</v>
      </c>
      <c r="O33">
        <f t="shared" si="0"/>
        <v>0</v>
      </c>
      <c r="P33" s="351">
        <f t="shared" si="1"/>
        <v>0</v>
      </c>
    </row>
    <row r="34" spans="1:16">
      <c r="A34" s="165">
        <f>'Conveyor Downtime (new)'!A35</f>
        <v>46045</v>
      </c>
      <c r="B34" s="346"/>
      <c r="C34" s="346"/>
      <c r="D34" s="346"/>
      <c r="E34" s="346"/>
      <c r="F34" s="346"/>
      <c r="G34" s="346"/>
      <c r="H34" s="346"/>
      <c r="I34" s="346"/>
      <c r="J34" s="346"/>
      <c r="K34" s="346"/>
      <c r="L34" s="346"/>
      <c r="M34" s="346"/>
      <c r="N34" s="346"/>
      <c r="O34">
        <f t="shared" si="0"/>
        <v>0</v>
      </c>
      <c r="P34" s="351">
        <f t="shared" si="1"/>
        <v>0</v>
      </c>
    </row>
    <row r="35" spans="1:16">
      <c r="A35" s="165">
        <f>'Conveyor Downtime (new)'!A36</f>
        <v>46045</v>
      </c>
      <c r="O35">
        <f t="shared" si="0"/>
        <v>0</v>
      </c>
      <c r="P35" s="351">
        <f t="shared" si="1"/>
        <v>0</v>
      </c>
    </row>
    <row r="36" spans="1:16">
      <c r="A36" s="165">
        <f>'Conveyor Downtime (new)'!A37</f>
        <v>46045</v>
      </c>
      <c r="B36" s="346"/>
      <c r="C36" s="346"/>
      <c r="D36" s="346"/>
      <c r="E36" s="346"/>
      <c r="F36" s="346"/>
      <c r="G36" s="346"/>
      <c r="H36" s="346"/>
      <c r="I36" s="346"/>
      <c r="J36" s="346"/>
      <c r="K36" s="346"/>
      <c r="L36" s="346"/>
      <c r="M36" s="346"/>
      <c r="N36" s="346"/>
      <c r="O36">
        <f t="shared" si="0"/>
        <v>0</v>
      </c>
      <c r="P36" s="351">
        <f t="shared" si="1"/>
        <v>0</v>
      </c>
    </row>
    <row r="37" spans="1:16">
      <c r="A37" s="165">
        <f>'Conveyor Downtime (new)'!A38</f>
        <v>46048</v>
      </c>
      <c r="O37">
        <f t="shared" si="0"/>
        <v>0</v>
      </c>
      <c r="P37" s="351">
        <f t="shared" si="1"/>
        <v>0</v>
      </c>
    </row>
    <row r="38" spans="1:16">
      <c r="A38" s="165">
        <f>'Conveyor Downtime (new)'!A39</f>
        <v>46048</v>
      </c>
      <c r="B38" s="346"/>
      <c r="C38" s="346"/>
      <c r="D38" s="346"/>
      <c r="E38" s="346"/>
      <c r="F38" s="346"/>
      <c r="G38" s="346"/>
      <c r="H38" s="346"/>
      <c r="I38" s="346"/>
      <c r="J38" s="346"/>
      <c r="K38" s="346"/>
      <c r="L38" s="346"/>
      <c r="M38" s="346"/>
      <c r="N38" s="346"/>
      <c r="O38">
        <f t="shared" si="0"/>
        <v>0</v>
      </c>
      <c r="P38" s="351">
        <f t="shared" si="1"/>
        <v>0</v>
      </c>
    </row>
    <row r="39" spans="1:16">
      <c r="A39" s="165">
        <f>'Conveyor Downtime (new)'!A40</f>
        <v>46049</v>
      </c>
      <c r="O39">
        <f t="shared" si="0"/>
        <v>0</v>
      </c>
      <c r="P39" s="351">
        <f t="shared" si="1"/>
        <v>0</v>
      </c>
    </row>
    <row r="40" spans="1:16">
      <c r="A40" s="165">
        <f>'Conveyor Downtime (new)'!A41</f>
        <v>46049</v>
      </c>
      <c r="B40" s="346"/>
      <c r="C40" s="346"/>
      <c r="D40" s="346"/>
      <c r="E40" s="346"/>
      <c r="F40" s="346"/>
      <c r="G40" s="346"/>
      <c r="H40" s="346"/>
      <c r="I40" s="346"/>
      <c r="J40" s="346"/>
      <c r="K40" s="346"/>
      <c r="L40" s="346"/>
      <c r="M40" s="346"/>
      <c r="N40" s="346"/>
      <c r="O40">
        <f t="shared" si="0"/>
        <v>0</v>
      </c>
      <c r="P40" s="351">
        <f t="shared" si="1"/>
        <v>0</v>
      </c>
    </row>
    <row r="41" spans="1:16">
      <c r="A41" s="165">
        <f>'Conveyor Downtime (new)'!A42</f>
        <v>46050</v>
      </c>
      <c r="J41">
        <f>36+21</f>
        <v>57</v>
      </c>
      <c r="O41">
        <f t="shared" si="0"/>
        <v>57</v>
      </c>
      <c r="P41" s="351">
        <f t="shared" si="1"/>
        <v>0.4956521739130435</v>
      </c>
    </row>
    <row r="42" spans="1:16">
      <c r="A42" s="165">
        <f>'Conveyor Downtime (new)'!A43</f>
        <v>46050</v>
      </c>
      <c r="B42" s="346"/>
      <c r="C42" s="346"/>
      <c r="D42" s="346"/>
      <c r="E42" s="346"/>
      <c r="F42" s="346"/>
      <c r="G42" s="346"/>
      <c r="H42" s="346"/>
      <c r="I42" s="346"/>
      <c r="J42" s="346"/>
      <c r="K42" s="346"/>
      <c r="L42" s="346"/>
      <c r="M42" s="346"/>
      <c r="N42" s="346"/>
      <c r="O42">
        <f t="shared" si="0"/>
        <v>0</v>
      </c>
      <c r="P42" s="351">
        <f t="shared" si="1"/>
        <v>0</v>
      </c>
    </row>
    <row r="43" spans="1:16">
      <c r="A43" s="165">
        <f>'Conveyor Downtime (new)'!A44</f>
        <v>46050</v>
      </c>
      <c r="O43">
        <f t="shared" si="0"/>
        <v>0</v>
      </c>
      <c r="P43" s="351">
        <f t="shared" si="1"/>
        <v>0</v>
      </c>
    </row>
    <row r="44" spans="1:16">
      <c r="A44" s="165">
        <f>'Conveyor Downtime (new)'!A45</f>
        <v>46051</v>
      </c>
      <c r="B44" s="346"/>
      <c r="C44" s="346"/>
      <c r="D44" s="346"/>
      <c r="E44" s="346"/>
      <c r="F44" s="346"/>
      <c r="G44" s="346"/>
      <c r="H44" s="346"/>
      <c r="I44" s="346"/>
      <c r="J44" s="346"/>
      <c r="K44" s="346"/>
      <c r="L44" s="346"/>
      <c r="M44" s="346"/>
      <c r="N44" s="346"/>
      <c r="O44">
        <f t="shared" si="0"/>
        <v>0</v>
      </c>
      <c r="P44" s="351">
        <f t="shared" si="1"/>
        <v>0</v>
      </c>
    </row>
    <row r="45" spans="1:16">
      <c r="A45" s="165">
        <f>'Conveyor Downtime (new)'!A46</f>
        <v>46051</v>
      </c>
      <c r="O45">
        <f t="shared" si="0"/>
        <v>0</v>
      </c>
      <c r="P45" s="351">
        <f t="shared" si="1"/>
        <v>0</v>
      </c>
    </row>
    <row r="46" spans="1:16">
      <c r="A46" s="165">
        <f>'Conveyor Downtime (new)'!A47</f>
        <v>46051</v>
      </c>
      <c r="B46" s="346"/>
      <c r="C46" s="346"/>
      <c r="D46" s="346"/>
      <c r="E46" s="346"/>
      <c r="F46" s="346"/>
      <c r="G46" s="346"/>
      <c r="H46" s="346"/>
      <c r="I46" s="346"/>
      <c r="J46" s="346"/>
      <c r="K46" s="346"/>
      <c r="L46" s="346"/>
      <c r="M46" s="346"/>
      <c r="N46" s="346"/>
      <c r="O46">
        <f t="shared" si="0"/>
        <v>0</v>
      </c>
      <c r="P46" s="351">
        <f t="shared" si="1"/>
        <v>0</v>
      </c>
    </row>
    <row r="47" spans="1:16">
      <c r="A47" s="165">
        <f>'Conveyor Downtime (new)'!A48</f>
        <v>46051</v>
      </c>
      <c r="O47">
        <f t="shared" si="0"/>
        <v>0</v>
      </c>
      <c r="P47" s="351">
        <f t="shared" si="1"/>
        <v>0</v>
      </c>
    </row>
    <row r="48" spans="1:16">
      <c r="A48" s="165">
        <f>'Conveyor Downtime (new)'!A49</f>
        <v>46052</v>
      </c>
      <c r="B48" s="346"/>
      <c r="C48" s="346"/>
      <c r="D48" s="346"/>
      <c r="E48" s="346"/>
      <c r="F48" s="346"/>
      <c r="G48" s="346"/>
      <c r="H48" s="346"/>
      <c r="I48" s="346"/>
      <c r="J48" s="346"/>
      <c r="K48" s="346"/>
      <c r="L48" s="346"/>
      <c r="M48" s="346"/>
      <c r="N48" s="346"/>
      <c r="O48">
        <f t="shared" si="0"/>
        <v>0</v>
      </c>
      <c r="P48" s="351">
        <f t="shared" si="1"/>
        <v>0</v>
      </c>
    </row>
    <row r="49" spans="1:16">
      <c r="A49" s="165">
        <f>'Conveyor Downtime (new)'!A50</f>
        <v>46052</v>
      </c>
      <c r="O49">
        <f t="shared" si="0"/>
        <v>0</v>
      </c>
      <c r="P49" s="351">
        <f t="shared" si="1"/>
        <v>0</v>
      </c>
    </row>
    <row r="50" spans="1:16">
      <c r="A50" s="165">
        <f>'Conveyor Downtime (new)'!A51</f>
        <v>0</v>
      </c>
      <c r="B50" s="346"/>
      <c r="C50" s="346"/>
      <c r="D50" s="346"/>
      <c r="E50" s="346"/>
      <c r="F50" s="346"/>
      <c r="G50" s="346"/>
      <c r="H50" s="346"/>
      <c r="I50" s="346"/>
      <c r="J50" s="346"/>
      <c r="K50" s="346"/>
      <c r="L50" s="346"/>
      <c r="M50" s="346"/>
      <c r="N50" s="346"/>
      <c r="O50">
        <f t="shared" si="0"/>
        <v>0</v>
      </c>
      <c r="P50" s="351">
        <f t="shared" si="1"/>
        <v>0</v>
      </c>
    </row>
    <row r="51" spans="1:16">
      <c r="A51" s="165">
        <f>'Conveyor Downtime (new)'!A52</f>
        <v>0</v>
      </c>
      <c r="O51">
        <f t="shared" ref="O51:O66" si="2">SUM(B51:N51)</f>
        <v>0</v>
      </c>
      <c r="P51" s="351">
        <f t="shared" ref="P51:P67" si="3">O51/$O$67</f>
        <v>0</v>
      </c>
    </row>
    <row r="52" spans="1:16">
      <c r="A52" s="165">
        <f>'Conveyor Downtime (new)'!A53</f>
        <v>0</v>
      </c>
      <c r="B52" s="346"/>
      <c r="C52" s="346"/>
      <c r="D52" s="346"/>
      <c r="E52" s="346"/>
      <c r="F52" s="346"/>
      <c r="G52" s="346"/>
      <c r="H52" s="346"/>
      <c r="I52" s="346"/>
      <c r="J52" s="346"/>
      <c r="K52" s="346"/>
      <c r="L52" s="346"/>
      <c r="M52" s="346"/>
      <c r="N52" s="346"/>
      <c r="O52">
        <f t="shared" si="2"/>
        <v>0</v>
      </c>
      <c r="P52" s="351">
        <f t="shared" si="3"/>
        <v>0</v>
      </c>
    </row>
    <row r="53" spans="1:16">
      <c r="A53" s="165">
        <f>'Conveyor Downtime (new)'!A54</f>
        <v>0</v>
      </c>
      <c r="O53">
        <f t="shared" si="2"/>
        <v>0</v>
      </c>
      <c r="P53" s="351">
        <f t="shared" si="3"/>
        <v>0</v>
      </c>
    </row>
    <row r="54" spans="1:16">
      <c r="A54" s="165">
        <f>'Conveyor Downtime (new)'!A55</f>
        <v>0</v>
      </c>
      <c r="B54" s="346"/>
      <c r="C54" s="346"/>
      <c r="D54" s="346"/>
      <c r="E54" s="346"/>
      <c r="F54" s="346"/>
      <c r="G54" s="346"/>
      <c r="H54" s="346"/>
      <c r="I54" s="346"/>
      <c r="J54" s="346"/>
      <c r="K54" s="346"/>
      <c r="L54" s="346"/>
      <c r="M54" s="346"/>
      <c r="N54" s="346"/>
      <c r="O54">
        <f t="shared" si="2"/>
        <v>0</v>
      </c>
      <c r="P54" s="351">
        <f t="shared" si="3"/>
        <v>0</v>
      </c>
    </row>
    <row r="55" spans="1:16">
      <c r="A55" s="165">
        <f>'Conveyor Downtime (new)'!A56</f>
        <v>0</v>
      </c>
      <c r="O55">
        <f t="shared" si="2"/>
        <v>0</v>
      </c>
      <c r="P55" s="351">
        <f t="shared" si="3"/>
        <v>0</v>
      </c>
    </row>
    <row r="56" spans="1:16">
      <c r="A56" s="165">
        <f>'Conveyor Downtime (new)'!A57</f>
        <v>0</v>
      </c>
      <c r="B56" s="346"/>
      <c r="C56" s="346"/>
      <c r="D56" s="346"/>
      <c r="E56" s="346"/>
      <c r="F56" s="346"/>
      <c r="G56" s="346"/>
      <c r="H56" s="346"/>
      <c r="I56" s="346"/>
      <c r="J56" s="346"/>
      <c r="K56" s="346"/>
      <c r="L56" s="346"/>
      <c r="M56" s="346"/>
      <c r="N56" s="346"/>
      <c r="O56">
        <f t="shared" si="2"/>
        <v>0</v>
      </c>
      <c r="P56" s="351">
        <f t="shared" si="3"/>
        <v>0</v>
      </c>
    </row>
    <row r="57" spans="1:16">
      <c r="A57" s="165">
        <f>'Conveyor Downtime (new)'!A58</f>
        <v>0</v>
      </c>
      <c r="O57">
        <f t="shared" si="2"/>
        <v>0</v>
      </c>
      <c r="P57" s="351">
        <f t="shared" si="3"/>
        <v>0</v>
      </c>
    </row>
    <row r="58" spans="1:16">
      <c r="A58" s="165">
        <f>'Conveyor Downtime (new)'!A59</f>
        <v>0</v>
      </c>
      <c r="B58" s="346"/>
      <c r="C58" s="346"/>
      <c r="D58" s="346"/>
      <c r="E58" s="346"/>
      <c r="F58" s="346"/>
      <c r="G58" s="346"/>
      <c r="H58" s="346"/>
      <c r="I58" s="346"/>
      <c r="J58" s="346"/>
      <c r="K58" s="346"/>
      <c r="L58" s="346"/>
      <c r="M58" s="346"/>
      <c r="N58" s="346"/>
      <c r="O58">
        <f t="shared" si="2"/>
        <v>0</v>
      </c>
      <c r="P58" s="351">
        <f t="shared" si="3"/>
        <v>0</v>
      </c>
    </row>
    <row r="59" spans="1:16">
      <c r="A59" s="165">
        <f>'Conveyor Downtime (new)'!A60</f>
        <v>0</v>
      </c>
      <c r="O59">
        <f t="shared" si="2"/>
        <v>0</v>
      </c>
      <c r="P59" s="351">
        <f t="shared" si="3"/>
        <v>0</v>
      </c>
    </row>
    <row r="60" spans="1:16">
      <c r="A60" s="165">
        <f>'Conveyor Downtime (new)'!A61</f>
        <v>0</v>
      </c>
      <c r="B60" s="346"/>
      <c r="C60" s="346"/>
      <c r="D60" s="346"/>
      <c r="E60" s="346"/>
      <c r="F60" s="346"/>
      <c r="G60" s="346"/>
      <c r="H60" s="346"/>
      <c r="I60" s="346"/>
      <c r="J60" s="346"/>
      <c r="K60" s="346"/>
      <c r="L60" s="346"/>
      <c r="M60" s="346"/>
      <c r="N60" s="346"/>
      <c r="O60">
        <f t="shared" si="2"/>
        <v>0</v>
      </c>
      <c r="P60" s="351">
        <f t="shared" si="3"/>
        <v>0</v>
      </c>
    </row>
    <row r="61" spans="1:16">
      <c r="A61" s="165"/>
      <c r="O61">
        <f t="shared" si="2"/>
        <v>0</v>
      </c>
      <c r="P61" s="351">
        <f t="shared" si="3"/>
        <v>0</v>
      </c>
    </row>
    <row r="62" spans="1:16">
      <c r="A62" s="165"/>
      <c r="B62" s="346"/>
      <c r="C62" s="346"/>
      <c r="D62" s="346"/>
      <c r="E62" s="346"/>
      <c r="F62" s="346"/>
      <c r="G62" s="346"/>
      <c r="H62" s="346"/>
      <c r="I62" s="346"/>
      <c r="J62" s="346"/>
      <c r="K62" s="346"/>
      <c r="L62" s="346"/>
      <c r="M62" s="346"/>
      <c r="N62" s="346"/>
      <c r="O62">
        <f t="shared" si="2"/>
        <v>0</v>
      </c>
      <c r="P62" s="351">
        <f t="shared" si="3"/>
        <v>0</v>
      </c>
    </row>
    <row r="63" spans="1:16">
      <c r="A63" s="165"/>
      <c r="O63">
        <f t="shared" si="2"/>
        <v>0</v>
      </c>
      <c r="P63" s="351">
        <f t="shared" si="3"/>
        <v>0</v>
      </c>
    </row>
    <row r="64" spans="1:16">
      <c r="A64" s="165"/>
      <c r="B64" s="346"/>
      <c r="C64" s="346"/>
      <c r="D64" s="346"/>
      <c r="E64" s="346"/>
      <c r="F64" s="346"/>
      <c r="G64" s="346"/>
      <c r="H64" s="346"/>
      <c r="I64" s="346"/>
      <c r="J64" s="346"/>
      <c r="K64" s="346"/>
      <c r="L64" s="346"/>
      <c r="M64" s="346"/>
      <c r="N64" s="346"/>
      <c r="O64">
        <f t="shared" si="2"/>
        <v>0</v>
      </c>
      <c r="P64" s="351">
        <f t="shared" si="3"/>
        <v>0</v>
      </c>
    </row>
    <row r="65" spans="1:16">
      <c r="A65" s="165"/>
      <c r="O65">
        <f t="shared" si="2"/>
        <v>0</v>
      </c>
      <c r="P65" s="351">
        <f t="shared" si="3"/>
        <v>0</v>
      </c>
    </row>
    <row r="66" spans="1:16">
      <c r="A66" s="165"/>
      <c r="B66" s="346"/>
      <c r="C66" s="346"/>
      <c r="D66" s="346"/>
      <c r="E66" s="346"/>
      <c r="F66" s="346"/>
      <c r="G66" s="346"/>
      <c r="H66" s="346"/>
      <c r="I66" s="346"/>
      <c r="J66" s="346"/>
      <c r="K66" s="346"/>
      <c r="L66" s="346"/>
      <c r="M66" s="346"/>
      <c r="N66" s="346"/>
      <c r="O66">
        <f t="shared" si="2"/>
        <v>0</v>
      </c>
      <c r="P66" s="351">
        <f t="shared" si="3"/>
        <v>0</v>
      </c>
    </row>
    <row r="67" spans="1:16" ht="15">
      <c r="A67" s="165"/>
      <c r="B67" s="347">
        <f t="shared" ref="B67:N67" si="4">SUM(B5:B66)</f>
        <v>58</v>
      </c>
      <c r="C67" s="347">
        <f t="shared" si="4"/>
        <v>0</v>
      </c>
      <c r="D67" s="347">
        <f t="shared" si="4"/>
        <v>0</v>
      </c>
      <c r="E67" s="347">
        <f t="shared" si="4"/>
        <v>0</v>
      </c>
      <c r="F67" s="347">
        <f t="shared" si="4"/>
        <v>0</v>
      </c>
      <c r="G67" s="347">
        <f t="shared" si="4"/>
        <v>0</v>
      </c>
      <c r="H67" s="347">
        <f t="shared" si="4"/>
        <v>0</v>
      </c>
      <c r="I67" s="347">
        <f t="shared" si="4"/>
        <v>0</v>
      </c>
      <c r="J67" s="347">
        <f t="shared" si="4"/>
        <v>57</v>
      </c>
      <c r="K67" s="347">
        <f t="shared" si="4"/>
        <v>0</v>
      </c>
      <c r="L67" s="347">
        <f t="shared" si="4"/>
        <v>0</v>
      </c>
      <c r="M67" s="347">
        <f t="shared" si="4"/>
        <v>0</v>
      </c>
      <c r="N67" s="347">
        <f t="shared" si="4"/>
        <v>0</v>
      </c>
      <c r="O67" s="347">
        <f>SUM(O5:O66)</f>
        <v>115</v>
      </c>
      <c r="P67" s="351">
        <f t="shared" si="3"/>
        <v>1</v>
      </c>
    </row>
    <row r="68" spans="1:16" ht="15.75" thickBot="1">
      <c r="A68" s="165" t="str">
        <f>'Conveyor Downtime (new)'!A63</f>
        <v>Total MTD</v>
      </c>
      <c r="B68" s="348">
        <f>B67/$O67</f>
        <v>0.5043478260869565</v>
      </c>
      <c r="C68" s="348">
        <f t="shared" ref="C68:N68" si="5">C67/$O67</f>
        <v>0</v>
      </c>
      <c r="D68" s="348">
        <f t="shared" si="5"/>
        <v>0</v>
      </c>
      <c r="E68" s="348">
        <f t="shared" si="5"/>
        <v>0</v>
      </c>
      <c r="F68" s="348">
        <f t="shared" si="5"/>
        <v>0</v>
      </c>
      <c r="G68" s="348">
        <f t="shared" si="5"/>
        <v>0</v>
      </c>
      <c r="H68" s="348">
        <f t="shared" si="5"/>
        <v>0</v>
      </c>
      <c r="I68" s="348">
        <f t="shared" si="5"/>
        <v>0</v>
      </c>
      <c r="J68" s="348">
        <f t="shared" si="5"/>
        <v>0.4956521739130435</v>
      </c>
      <c r="K68" s="348">
        <f t="shared" si="5"/>
        <v>0</v>
      </c>
      <c r="L68" s="348">
        <f t="shared" si="5"/>
        <v>0</v>
      </c>
      <c r="M68" s="348">
        <f t="shared" si="5"/>
        <v>0</v>
      </c>
      <c r="N68" s="348">
        <f t="shared" si="5"/>
        <v>0</v>
      </c>
    </row>
    <row r="71" spans="1:16">
      <c r="A71" s="165">
        <f>'Conveyor Downtime (new)'!A67</f>
        <v>46055</v>
      </c>
      <c r="O71">
        <f t="shared" ref="O71:O102" si="6">SUM(B71:N71)</f>
        <v>0</v>
      </c>
      <c r="P71" s="351">
        <f t="shared" ref="P71:P88" si="7">O71/$O$121</f>
        <v>0</v>
      </c>
    </row>
    <row r="72" spans="1:16">
      <c r="A72" s="165">
        <f>'Conveyor Downtime (new)'!A68</f>
        <v>46055</v>
      </c>
      <c r="B72" s="346"/>
      <c r="C72" s="346"/>
      <c r="D72" s="346"/>
      <c r="E72" s="346"/>
      <c r="F72" s="346"/>
      <c r="G72" s="346"/>
      <c r="H72" s="346"/>
      <c r="I72" s="346"/>
      <c r="J72" s="346"/>
      <c r="K72" s="346"/>
      <c r="L72" s="346"/>
      <c r="M72" s="346"/>
      <c r="N72" s="346"/>
      <c r="O72">
        <f t="shared" si="6"/>
        <v>0</v>
      </c>
      <c r="P72" s="351">
        <f t="shared" si="7"/>
        <v>0</v>
      </c>
    </row>
    <row r="73" spans="1:16">
      <c r="A73" s="165">
        <f>'Conveyor Downtime (new)'!A69</f>
        <v>46056</v>
      </c>
      <c r="O73">
        <f t="shared" si="6"/>
        <v>0</v>
      </c>
      <c r="P73" s="351">
        <f t="shared" si="7"/>
        <v>0</v>
      </c>
    </row>
    <row r="74" spans="1:16">
      <c r="A74" s="165">
        <f>'Conveyor Downtime (new)'!A70</f>
        <v>46057</v>
      </c>
      <c r="B74" s="346"/>
      <c r="C74" s="346"/>
      <c r="D74" s="346"/>
      <c r="E74" s="346"/>
      <c r="F74" s="346"/>
      <c r="G74" s="346"/>
      <c r="H74" s="346"/>
      <c r="I74" s="346"/>
      <c r="J74" s="346"/>
      <c r="K74" s="346"/>
      <c r="L74" s="346"/>
      <c r="M74" s="346"/>
      <c r="N74" s="346"/>
      <c r="O74">
        <f t="shared" si="6"/>
        <v>0</v>
      </c>
      <c r="P74" s="351">
        <f t="shared" si="7"/>
        <v>0</v>
      </c>
    </row>
    <row r="75" spans="1:16">
      <c r="A75" s="165">
        <f>'Conveyor Downtime (new)'!A71</f>
        <v>46057</v>
      </c>
      <c r="O75">
        <f t="shared" si="6"/>
        <v>0</v>
      </c>
      <c r="P75" s="351">
        <f t="shared" si="7"/>
        <v>0</v>
      </c>
    </row>
    <row r="76" spans="1:16">
      <c r="A76" s="165">
        <f>'Conveyor Downtime (new)'!A72</f>
        <v>46058</v>
      </c>
      <c r="B76" s="346"/>
      <c r="C76" s="346"/>
      <c r="D76" s="346"/>
      <c r="E76" s="346"/>
      <c r="F76" s="346"/>
      <c r="G76" s="346"/>
      <c r="H76" s="346"/>
      <c r="I76" s="346"/>
      <c r="J76" s="346"/>
      <c r="K76" s="346"/>
      <c r="L76" s="346"/>
      <c r="M76" s="346"/>
      <c r="N76" s="346"/>
      <c r="O76">
        <f t="shared" si="6"/>
        <v>0</v>
      </c>
      <c r="P76" s="351">
        <f t="shared" si="7"/>
        <v>0</v>
      </c>
    </row>
    <row r="77" spans="1:16">
      <c r="A77" s="165">
        <f>'Conveyor Downtime (new)'!A73</f>
        <v>46058</v>
      </c>
      <c r="B77">
        <f>37</f>
        <v>37</v>
      </c>
      <c r="O77">
        <f t="shared" si="6"/>
        <v>37</v>
      </c>
      <c r="P77" s="351">
        <f t="shared" si="7"/>
        <v>0.578125</v>
      </c>
    </row>
    <row r="78" spans="1:16">
      <c r="A78" s="165">
        <f>'Conveyor Downtime (new)'!A74</f>
        <v>46058</v>
      </c>
      <c r="B78" s="346"/>
      <c r="C78" s="346"/>
      <c r="D78" s="346"/>
      <c r="E78" s="346"/>
      <c r="F78" s="346"/>
      <c r="G78" s="346"/>
      <c r="H78" s="346"/>
      <c r="I78" s="346"/>
      <c r="J78" s="346"/>
      <c r="K78" s="346"/>
      <c r="L78" s="346"/>
      <c r="M78" s="346"/>
      <c r="N78" s="346"/>
      <c r="O78">
        <f t="shared" si="6"/>
        <v>0</v>
      </c>
      <c r="P78" s="351">
        <f t="shared" si="7"/>
        <v>0</v>
      </c>
    </row>
    <row r="79" spans="1:16">
      <c r="A79" s="165">
        <f>'Conveyor Downtime (new)'!A75</f>
        <v>46059</v>
      </c>
      <c r="O79">
        <f t="shared" si="6"/>
        <v>0</v>
      </c>
      <c r="P79" s="351">
        <f t="shared" si="7"/>
        <v>0</v>
      </c>
    </row>
    <row r="80" spans="1:16">
      <c r="A80" s="165">
        <f>'Conveyor Downtime (new)'!A76</f>
        <v>46059</v>
      </c>
      <c r="B80" s="346"/>
      <c r="C80" s="346"/>
      <c r="D80" s="346">
        <f>2</f>
        <v>2</v>
      </c>
      <c r="E80" s="346"/>
      <c r="F80" s="346"/>
      <c r="G80" s="346"/>
      <c r="H80" s="346"/>
      <c r="I80" s="346"/>
      <c r="J80" s="346"/>
      <c r="K80" s="346"/>
      <c r="L80" s="346"/>
      <c r="M80" s="346"/>
      <c r="N80" s="346"/>
      <c r="O80">
        <f t="shared" si="6"/>
        <v>2</v>
      </c>
      <c r="P80" s="351">
        <f t="shared" si="7"/>
        <v>3.125E-2</v>
      </c>
    </row>
    <row r="81" spans="1:16">
      <c r="A81" s="165">
        <f>'Conveyor Downtime (new)'!A77</f>
        <v>46062</v>
      </c>
      <c r="O81">
        <f t="shared" si="6"/>
        <v>0</v>
      </c>
      <c r="P81" s="351">
        <f t="shared" si="7"/>
        <v>0</v>
      </c>
    </row>
    <row r="82" spans="1:16">
      <c r="A82" s="165">
        <f>'Conveyor Downtime (new)'!A78</f>
        <v>46062</v>
      </c>
      <c r="B82" s="346"/>
      <c r="C82" s="346"/>
      <c r="D82" s="346"/>
      <c r="E82" s="346"/>
      <c r="F82" s="346"/>
      <c r="G82" s="346"/>
      <c r="H82" s="346"/>
      <c r="I82" s="346"/>
      <c r="J82" s="346"/>
      <c r="K82" s="346"/>
      <c r="L82" s="346"/>
      <c r="M82" s="346"/>
      <c r="N82" s="346"/>
      <c r="O82">
        <f t="shared" si="6"/>
        <v>0</v>
      </c>
      <c r="P82" s="351">
        <f t="shared" si="7"/>
        <v>0</v>
      </c>
    </row>
    <row r="83" spans="1:16">
      <c r="A83" s="165">
        <f>'Conveyor Downtime (new)'!A79</f>
        <v>46062</v>
      </c>
      <c r="O83">
        <f t="shared" si="6"/>
        <v>0</v>
      </c>
      <c r="P83" s="351">
        <f t="shared" si="7"/>
        <v>0</v>
      </c>
    </row>
    <row r="84" spans="1:16">
      <c r="A84" s="165">
        <f>'Conveyor Downtime (new)'!A80</f>
        <v>46063</v>
      </c>
      <c r="B84" s="346"/>
      <c r="C84" s="346"/>
      <c r="D84" s="346"/>
      <c r="E84" s="346"/>
      <c r="F84" s="346"/>
      <c r="G84" s="346"/>
      <c r="H84" s="346"/>
      <c r="I84" s="346"/>
      <c r="J84" s="346"/>
      <c r="K84" s="346"/>
      <c r="L84" s="346"/>
      <c r="M84" s="346"/>
      <c r="N84" s="346"/>
      <c r="O84">
        <f t="shared" si="6"/>
        <v>0</v>
      </c>
      <c r="P84" s="351">
        <f t="shared" si="7"/>
        <v>0</v>
      </c>
    </row>
    <row r="85" spans="1:16">
      <c r="A85" s="165">
        <f>'Conveyor Downtime (new)'!A81</f>
        <v>46063</v>
      </c>
      <c r="O85">
        <f t="shared" si="6"/>
        <v>0</v>
      </c>
      <c r="P85" s="351">
        <f t="shared" si="7"/>
        <v>0</v>
      </c>
    </row>
    <row r="86" spans="1:16">
      <c r="A86" s="165">
        <f>'Conveyor Downtime (new)'!A82</f>
        <v>46063</v>
      </c>
      <c r="B86" s="346"/>
      <c r="C86" s="346"/>
      <c r="D86" s="346"/>
      <c r="E86" s="346"/>
      <c r="F86" s="346"/>
      <c r="G86" s="346"/>
      <c r="H86" s="346"/>
      <c r="I86" s="346"/>
      <c r="J86" s="346"/>
      <c r="K86" s="346"/>
      <c r="L86" s="346"/>
      <c r="M86" s="346"/>
      <c r="N86" s="346"/>
      <c r="O86">
        <f t="shared" si="6"/>
        <v>0</v>
      </c>
      <c r="P86" s="351">
        <f t="shared" si="7"/>
        <v>0</v>
      </c>
    </row>
    <row r="87" spans="1:16">
      <c r="A87" s="165">
        <f>'Conveyor Downtime (new)'!A83</f>
        <v>46064</v>
      </c>
      <c r="O87">
        <f t="shared" si="6"/>
        <v>0</v>
      </c>
      <c r="P87" s="351">
        <f t="shared" si="7"/>
        <v>0</v>
      </c>
    </row>
    <row r="88" spans="1:16">
      <c r="A88" s="165">
        <f>'Conveyor Downtime (new)'!A84</f>
        <v>46064</v>
      </c>
      <c r="B88" s="346"/>
      <c r="C88" s="346"/>
      <c r="D88" s="346"/>
      <c r="E88" s="346"/>
      <c r="F88" s="346"/>
      <c r="G88" s="346"/>
      <c r="H88" s="346"/>
      <c r="I88" s="346"/>
      <c r="J88" s="346"/>
      <c r="K88" s="346"/>
      <c r="L88" s="346"/>
      <c r="M88" s="346"/>
      <c r="N88" s="346"/>
      <c r="O88">
        <f t="shared" si="6"/>
        <v>0</v>
      </c>
      <c r="P88" s="351">
        <f t="shared" si="7"/>
        <v>0</v>
      </c>
    </row>
    <row r="89" spans="1:16">
      <c r="A89" s="165">
        <f>'Conveyor Downtime (new)'!A85</f>
        <v>46065</v>
      </c>
      <c r="B89">
        <f>7+13+5</f>
        <v>25</v>
      </c>
      <c r="O89">
        <f t="shared" si="6"/>
        <v>25</v>
      </c>
      <c r="P89" s="351">
        <f t="shared" ref="P89:P97" si="8">O89/$O$121</f>
        <v>0.390625</v>
      </c>
    </row>
    <row r="90" spans="1:16">
      <c r="A90" s="165">
        <f>'Conveyor Downtime (new)'!A86</f>
        <v>46066</v>
      </c>
      <c r="B90" s="346"/>
      <c r="C90" s="346"/>
      <c r="D90" s="346"/>
      <c r="E90" s="346"/>
      <c r="F90" s="346"/>
      <c r="G90" s="346"/>
      <c r="H90" s="346"/>
      <c r="I90" s="346"/>
      <c r="J90" s="346"/>
      <c r="K90" s="346"/>
      <c r="L90" s="346"/>
      <c r="M90" s="346"/>
      <c r="N90" s="346"/>
      <c r="O90">
        <f t="shared" si="6"/>
        <v>0</v>
      </c>
      <c r="P90" s="351">
        <f t="shared" si="8"/>
        <v>0</v>
      </c>
    </row>
    <row r="91" spans="1:16">
      <c r="A91" s="165">
        <f>'Conveyor Downtime (new)'!A87</f>
        <v>46066</v>
      </c>
      <c r="O91">
        <f t="shared" si="6"/>
        <v>0</v>
      </c>
      <c r="P91" s="351">
        <f t="shared" si="8"/>
        <v>0</v>
      </c>
    </row>
    <row r="92" spans="1:16">
      <c r="A92" s="165">
        <f>'Conveyor Downtime (new)'!A88</f>
        <v>46069</v>
      </c>
      <c r="B92" s="346"/>
      <c r="C92" s="346"/>
      <c r="D92" s="346"/>
      <c r="E92" s="346"/>
      <c r="F92" s="346"/>
      <c r="G92" s="346"/>
      <c r="H92" s="346"/>
      <c r="I92" s="346"/>
      <c r="J92" s="346"/>
      <c r="K92" s="346"/>
      <c r="L92" s="346"/>
      <c r="M92" s="346"/>
      <c r="N92" s="346"/>
      <c r="O92">
        <f t="shared" si="6"/>
        <v>0</v>
      </c>
      <c r="P92" s="351">
        <f t="shared" si="8"/>
        <v>0</v>
      </c>
    </row>
    <row r="93" spans="1:16">
      <c r="A93" s="165">
        <f>'Conveyor Downtime (new)'!A89</f>
        <v>46070</v>
      </c>
      <c r="O93">
        <f t="shared" si="6"/>
        <v>0</v>
      </c>
      <c r="P93" s="351">
        <f t="shared" si="8"/>
        <v>0</v>
      </c>
    </row>
    <row r="94" spans="1:16">
      <c r="A94" s="165">
        <f>'Conveyor Downtime (new)'!A90</f>
        <v>46071</v>
      </c>
      <c r="O94">
        <f t="shared" si="6"/>
        <v>0</v>
      </c>
      <c r="P94" s="351">
        <f t="shared" si="8"/>
        <v>0</v>
      </c>
    </row>
    <row r="95" spans="1:16">
      <c r="A95" s="165">
        <f>'Conveyor Downtime (new)'!A91</f>
        <v>46072</v>
      </c>
      <c r="B95" s="346"/>
      <c r="C95" s="346"/>
      <c r="D95" s="346"/>
      <c r="E95" s="346"/>
      <c r="F95" s="346"/>
      <c r="G95" s="346"/>
      <c r="H95" s="346"/>
      <c r="I95" s="346"/>
      <c r="J95" s="346"/>
      <c r="K95" s="346"/>
      <c r="L95" s="346"/>
      <c r="M95" s="346"/>
      <c r="N95" s="346"/>
      <c r="O95">
        <f t="shared" si="6"/>
        <v>0</v>
      </c>
      <c r="P95" s="351">
        <f t="shared" si="8"/>
        <v>0</v>
      </c>
    </row>
    <row r="96" spans="1:16">
      <c r="A96" s="165">
        <f>'Conveyor Downtime (new)'!A92</f>
        <v>46072</v>
      </c>
      <c r="O96">
        <f t="shared" si="6"/>
        <v>0</v>
      </c>
      <c r="P96" s="351">
        <f t="shared" si="8"/>
        <v>0</v>
      </c>
    </row>
    <row r="97" spans="1:16">
      <c r="A97" s="165">
        <f>'Conveyor Downtime (new)'!A93</f>
        <v>46072</v>
      </c>
      <c r="B97" s="346"/>
      <c r="C97" s="346"/>
      <c r="D97" s="346"/>
      <c r="E97" s="346"/>
      <c r="F97" s="346"/>
      <c r="G97" s="346"/>
      <c r="H97" s="346"/>
      <c r="I97" s="346"/>
      <c r="J97" s="346"/>
      <c r="K97" s="346"/>
      <c r="L97" s="346"/>
      <c r="M97" s="346"/>
      <c r="N97" s="346"/>
      <c r="O97">
        <f t="shared" si="6"/>
        <v>0</v>
      </c>
      <c r="P97" s="351">
        <f t="shared" si="8"/>
        <v>0</v>
      </c>
    </row>
    <row r="98" spans="1:16">
      <c r="A98" s="165">
        <f>'Conveyor Downtime (new)'!A94</f>
        <v>46073</v>
      </c>
      <c r="O98">
        <f t="shared" si="6"/>
        <v>0</v>
      </c>
      <c r="P98" s="351">
        <f t="shared" ref="P98:P120" si="9">O98/$O$121</f>
        <v>0</v>
      </c>
    </row>
    <row r="99" spans="1:16">
      <c r="A99" s="165">
        <f>'Conveyor Downtime (new)'!A95</f>
        <v>46073</v>
      </c>
      <c r="B99" s="346"/>
      <c r="C99" s="346"/>
      <c r="D99" s="346"/>
      <c r="E99" s="346"/>
      <c r="F99" s="346"/>
      <c r="G99" s="346"/>
      <c r="H99" s="346"/>
      <c r="I99" s="346"/>
      <c r="J99" s="346"/>
      <c r="K99" s="346"/>
      <c r="L99" s="346"/>
      <c r="M99" s="346"/>
      <c r="N99" s="346"/>
      <c r="O99">
        <f t="shared" si="6"/>
        <v>0</v>
      </c>
      <c r="P99" s="351">
        <f t="shared" si="9"/>
        <v>0</v>
      </c>
    </row>
    <row r="100" spans="1:16">
      <c r="A100" s="165">
        <f>'Conveyor Downtime (new)'!A96</f>
        <v>46076</v>
      </c>
      <c r="O100">
        <f t="shared" si="6"/>
        <v>0</v>
      </c>
      <c r="P100" s="351">
        <f t="shared" si="9"/>
        <v>0</v>
      </c>
    </row>
    <row r="101" spans="1:16">
      <c r="A101" s="165">
        <f>'Conveyor Downtime (new)'!A97</f>
        <v>46077</v>
      </c>
      <c r="B101" s="346"/>
      <c r="C101" s="346"/>
      <c r="D101" s="346"/>
      <c r="E101" s="346"/>
      <c r="F101" s="346"/>
      <c r="G101" s="346"/>
      <c r="H101" s="346"/>
      <c r="I101" s="346"/>
      <c r="J101" s="346"/>
      <c r="K101" s="346"/>
      <c r="L101" s="346"/>
      <c r="M101" s="346"/>
      <c r="N101" s="346"/>
      <c r="O101">
        <f t="shared" si="6"/>
        <v>0</v>
      </c>
      <c r="P101" s="351">
        <f t="shared" si="9"/>
        <v>0</v>
      </c>
    </row>
    <row r="102" spans="1:16">
      <c r="A102" s="165">
        <f>'Conveyor Downtime (new)'!A98</f>
        <v>46077</v>
      </c>
      <c r="O102">
        <f t="shared" si="6"/>
        <v>0</v>
      </c>
      <c r="P102" s="351">
        <f t="shared" si="9"/>
        <v>0</v>
      </c>
    </row>
    <row r="103" spans="1:16">
      <c r="A103" s="165">
        <f>'Conveyor Downtime (new)'!A99</f>
        <v>46078</v>
      </c>
      <c r="B103" s="346"/>
      <c r="C103" s="346"/>
      <c r="D103" s="346"/>
      <c r="E103" s="346"/>
      <c r="F103" s="346"/>
      <c r="G103" s="346"/>
      <c r="H103" s="346"/>
      <c r="I103" s="346"/>
      <c r="J103" s="346"/>
      <c r="K103" s="346"/>
      <c r="L103" s="346"/>
      <c r="M103" s="346"/>
      <c r="N103" s="346"/>
      <c r="O103">
        <f t="shared" ref="O103:O120" si="10">SUM(B103:N103)</f>
        <v>0</v>
      </c>
      <c r="P103" s="351">
        <f t="shared" si="9"/>
        <v>0</v>
      </c>
    </row>
    <row r="104" spans="1:16">
      <c r="A104" s="165">
        <f>'Conveyor Downtime (new)'!A100</f>
        <v>46079</v>
      </c>
      <c r="O104">
        <f t="shared" si="10"/>
        <v>0</v>
      </c>
      <c r="P104" s="351">
        <f t="shared" si="9"/>
        <v>0</v>
      </c>
    </row>
    <row r="105" spans="1:16">
      <c r="A105" s="165">
        <f>'Conveyor Downtime (new)'!A101</f>
        <v>46079</v>
      </c>
      <c r="B105" s="346"/>
      <c r="C105" s="346"/>
      <c r="D105" s="346"/>
      <c r="E105" s="346"/>
      <c r="F105" s="346"/>
      <c r="G105" s="346"/>
      <c r="H105" s="346"/>
      <c r="I105" s="346"/>
      <c r="J105" s="346"/>
      <c r="K105" s="346"/>
      <c r="L105" s="346"/>
      <c r="M105" s="346"/>
      <c r="N105" s="346"/>
      <c r="O105">
        <f t="shared" si="10"/>
        <v>0</v>
      </c>
      <c r="P105" s="351">
        <f t="shared" si="9"/>
        <v>0</v>
      </c>
    </row>
    <row r="106" spans="1:16">
      <c r="A106" s="165">
        <f>'Conveyor Downtime (new)'!A102</f>
        <v>46080</v>
      </c>
      <c r="O106">
        <f t="shared" si="10"/>
        <v>0</v>
      </c>
      <c r="P106" s="351">
        <f t="shared" si="9"/>
        <v>0</v>
      </c>
    </row>
    <row r="107" spans="1:16">
      <c r="A107" s="165">
        <f>'Conveyor Downtime (new)'!A103</f>
        <v>46080</v>
      </c>
      <c r="B107" s="346"/>
      <c r="C107" s="346"/>
      <c r="D107" s="346"/>
      <c r="E107" s="346"/>
      <c r="F107" s="346"/>
      <c r="G107" s="346"/>
      <c r="H107" s="346"/>
      <c r="I107" s="346"/>
      <c r="J107" s="346"/>
      <c r="K107" s="346"/>
      <c r="L107" s="346"/>
      <c r="M107" s="346"/>
      <c r="N107" s="346"/>
      <c r="O107">
        <f t="shared" si="10"/>
        <v>0</v>
      </c>
      <c r="P107" s="351">
        <f t="shared" si="9"/>
        <v>0</v>
      </c>
    </row>
    <row r="108" spans="1:16">
      <c r="A108" s="165">
        <f>'Conveyor Downtime (new)'!A104</f>
        <v>46080</v>
      </c>
      <c r="O108">
        <f t="shared" si="10"/>
        <v>0</v>
      </c>
      <c r="P108" s="351">
        <f t="shared" si="9"/>
        <v>0</v>
      </c>
    </row>
    <row r="109" spans="1:16">
      <c r="A109" s="165">
        <f>'Conveyor Downtime (new)'!A105</f>
        <v>46081</v>
      </c>
      <c r="B109" s="346"/>
      <c r="C109" s="346"/>
      <c r="D109" s="346"/>
      <c r="E109" s="346"/>
      <c r="F109" s="346"/>
      <c r="G109" s="346"/>
      <c r="H109" s="346"/>
      <c r="I109" s="346"/>
      <c r="J109" s="346"/>
      <c r="K109" s="346"/>
      <c r="L109" s="346"/>
      <c r="M109" s="346"/>
      <c r="N109" s="346"/>
      <c r="O109">
        <f t="shared" si="10"/>
        <v>0</v>
      </c>
      <c r="P109" s="351">
        <f t="shared" si="9"/>
        <v>0</v>
      </c>
    </row>
    <row r="110" spans="1:16">
      <c r="A110" s="165">
        <f>'Conveyor Downtime (new)'!A106</f>
        <v>46081</v>
      </c>
      <c r="O110">
        <f t="shared" si="10"/>
        <v>0</v>
      </c>
      <c r="P110" s="351">
        <f t="shared" si="9"/>
        <v>0</v>
      </c>
    </row>
    <row r="111" spans="1:16">
      <c r="A111" s="165">
        <f>'Conveyor Downtime (new)'!A107</f>
        <v>0</v>
      </c>
      <c r="B111" s="346"/>
      <c r="C111" s="346"/>
      <c r="D111" s="346"/>
      <c r="E111" s="346"/>
      <c r="F111" s="346"/>
      <c r="G111" s="346"/>
      <c r="H111" s="346"/>
      <c r="I111" s="346"/>
      <c r="J111" s="346"/>
      <c r="K111" s="346"/>
      <c r="L111" s="346"/>
      <c r="M111" s="346"/>
      <c r="N111" s="346"/>
      <c r="O111">
        <f t="shared" si="10"/>
        <v>0</v>
      </c>
      <c r="P111" s="351">
        <f t="shared" si="9"/>
        <v>0</v>
      </c>
    </row>
    <row r="112" spans="1:16">
      <c r="A112" s="165">
        <f>'Conveyor Downtime (new)'!A108</f>
        <v>0</v>
      </c>
      <c r="O112">
        <f t="shared" si="10"/>
        <v>0</v>
      </c>
      <c r="P112" s="351">
        <f t="shared" si="9"/>
        <v>0</v>
      </c>
    </row>
    <row r="113" spans="1:16">
      <c r="A113" s="165">
        <f>'Conveyor Downtime (new)'!A109</f>
        <v>0</v>
      </c>
      <c r="B113" s="346"/>
      <c r="C113" s="346"/>
      <c r="D113" s="346"/>
      <c r="E113" s="346"/>
      <c r="F113" s="346"/>
      <c r="G113" s="346"/>
      <c r="H113" s="346"/>
      <c r="I113" s="346"/>
      <c r="J113" s="346"/>
      <c r="K113" s="346"/>
      <c r="L113" s="346"/>
      <c r="M113" s="346"/>
      <c r="N113" s="346"/>
      <c r="O113">
        <f t="shared" si="10"/>
        <v>0</v>
      </c>
      <c r="P113" s="351">
        <f t="shared" si="9"/>
        <v>0</v>
      </c>
    </row>
    <row r="114" spans="1:16">
      <c r="A114" s="165">
        <f>'Conveyor Downtime (new)'!A110</f>
        <v>0</v>
      </c>
      <c r="O114">
        <f t="shared" si="10"/>
        <v>0</v>
      </c>
      <c r="P114" s="351">
        <f t="shared" si="9"/>
        <v>0</v>
      </c>
    </row>
    <row r="115" spans="1:16">
      <c r="A115" s="165">
        <f>'Conveyor Downtime (new)'!A111</f>
        <v>0</v>
      </c>
      <c r="B115" s="346"/>
      <c r="C115" s="346"/>
      <c r="D115" s="346"/>
      <c r="E115" s="346"/>
      <c r="F115" s="346"/>
      <c r="G115" s="346"/>
      <c r="H115" s="346"/>
      <c r="I115" s="346"/>
      <c r="J115" s="346"/>
      <c r="K115" s="346"/>
      <c r="L115" s="346"/>
      <c r="M115" s="346"/>
      <c r="N115" s="346"/>
      <c r="O115">
        <f t="shared" si="10"/>
        <v>0</v>
      </c>
      <c r="P115" s="351">
        <f t="shared" si="9"/>
        <v>0</v>
      </c>
    </row>
    <row r="116" spans="1:16">
      <c r="A116" s="165">
        <f>'Conveyor Downtime (new)'!A112</f>
        <v>0</v>
      </c>
      <c r="O116">
        <f t="shared" si="10"/>
        <v>0</v>
      </c>
      <c r="P116" s="351">
        <f t="shared" si="9"/>
        <v>0</v>
      </c>
    </row>
    <row r="117" spans="1:16">
      <c r="A117" s="165">
        <f>'Conveyor Downtime (new)'!A113</f>
        <v>0</v>
      </c>
      <c r="B117" s="346"/>
      <c r="C117" s="346"/>
      <c r="D117" s="346"/>
      <c r="E117" s="346"/>
      <c r="F117" s="346"/>
      <c r="G117" s="346"/>
      <c r="H117" s="346"/>
      <c r="I117" s="346"/>
      <c r="J117" s="346"/>
      <c r="K117" s="346"/>
      <c r="L117" s="346"/>
      <c r="M117" s="346"/>
      <c r="N117" s="346"/>
      <c r="O117">
        <f t="shared" si="10"/>
        <v>0</v>
      </c>
      <c r="P117" s="351">
        <f t="shared" si="9"/>
        <v>0</v>
      </c>
    </row>
    <row r="118" spans="1:16">
      <c r="A118" s="165">
        <f>'Conveyor Downtime (new)'!A114</f>
        <v>0</v>
      </c>
      <c r="O118">
        <f t="shared" si="10"/>
        <v>0</v>
      </c>
      <c r="P118" s="351">
        <f t="shared" si="9"/>
        <v>0</v>
      </c>
    </row>
    <row r="119" spans="1:16">
      <c r="A119" s="165">
        <f>'Conveyor Downtime (new)'!A115</f>
        <v>0</v>
      </c>
      <c r="B119" s="346"/>
      <c r="C119" s="346"/>
      <c r="D119" s="346"/>
      <c r="E119" s="346"/>
      <c r="F119" s="346"/>
      <c r="G119" s="346"/>
      <c r="H119" s="346"/>
      <c r="I119" s="346"/>
      <c r="J119" s="346"/>
      <c r="K119" s="346"/>
      <c r="L119" s="346"/>
      <c r="M119" s="346"/>
      <c r="N119" s="346"/>
      <c r="O119">
        <f t="shared" si="10"/>
        <v>0</v>
      </c>
      <c r="P119" s="351">
        <f t="shared" si="9"/>
        <v>0</v>
      </c>
    </row>
    <row r="120" spans="1:16" ht="13.5" thickBot="1">
      <c r="A120" s="165">
        <f>'Conveyor Downtime (new)'!A116</f>
        <v>0</v>
      </c>
      <c r="O120">
        <f t="shared" si="10"/>
        <v>0</v>
      </c>
      <c r="P120" s="351">
        <f t="shared" si="9"/>
        <v>0</v>
      </c>
    </row>
    <row r="121" spans="1:16" ht="15">
      <c r="A121" s="652" t="s">
        <v>246</v>
      </c>
      <c r="B121" s="347">
        <f t="shared" ref="B121:N121" si="11">SUM(B71:B120)</f>
        <v>62</v>
      </c>
      <c r="C121" s="347">
        <f t="shared" si="11"/>
        <v>0</v>
      </c>
      <c r="D121" s="347">
        <f t="shared" si="11"/>
        <v>2</v>
      </c>
      <c r="E121" s="347">
        <f t="shared" si="11"/>
        <v>0</v>
      </c>
      <c r="F121" s="347">
        <f t="shared" si="11"/>
        <v>0</v>
      </c>
      <c r="G121" s="347">
        <f t="shared" si="11"/>
        <v>0</v>
      </c>
      <c r="H121" s="347">
        <f t="shared" si="11"/>
        <v>0</v>
      </c>
      <c r="I121" s="347">
        <f t="shared" si="11"/>
        <v>0</v>
      </c>
      <c r="J121" s="347">
        <f t="shared" si="11"/>
        <v>0</v>
      </c>
      <c r="K121" s="347">
        <f t="shared" si="11"/>
        <v>0</v>
      </c>
      <c r="L121" s="347">
        <f t="shared" si="11"/>
        <v>0</v>
      </c>
      <c r="M121" s="347">
        <f t="shared" si="11"/>
        <v>0</v>
      </c>
      <c r="N121" s="347">
        <f t="shared" si="11"/>
        <v>0</v>
      </c>
      <c r="O121" s="347">
        <f>SUM(O71:O120)</f>
        <v>64</v>
      </c>
      <c r="P121" s="351"/>
    </row>
    <row r="122" spans="1:16" ht="15.75" thickBot="1">
      <c r="A122" s="653"/>
      <c r="B122" s="348">
        <f t="shared" ref="B122:H122" si="12">B121/$O121</f>
        <v>0.96875</v>
      </c>
      <c r="C122" s="348">
        <f t="shared" si="12"/>
        <v>0</v>
      </c>
      <c r="D122" s="348">
        <f t="shared" si="12"/>
        <v>3.125E-2</v>
      </c>
      <c r="E122" s="348">
        <f t="shared" si="12"/>
        <v>0</v>
      </c>
      <c r="F122" s="348">
        <f t="shared" si="12"/>
        <v>0</v>
      </c>
      <c r="G122" s="348">
        <f t="shared" si="12"/>
        <v>0</v>
      </c>
      <c r="H122" s="348">
        <f t="shared" si="12"/>
        <v>0</v>
      </c>
      <c r="I122" s="348">
        <f t="shared" ref="I122:N122" si="13">I121/$O121</f>
        <v>0</v>
      </c>
      <c r="J122" s="348">
        <f t="shared" si="13"/>
        <v>0</v>
      </c>
      <c r="K122" s="348">
        <f t="shared" si="13"/>
        <v>0</v>
      </c>
      <c r="L122" s="348">
        <f t="shared" si="13"/>
        <v>0</v>
      </c>
      <c r="M122" s="348">
        <f t="shared" si="13"/>
        <v>0</v>
      </c>
      <c r="N122" s="348">
        <f t="shared" si="13"/>
        <v>0</v>
      </c>
    </row>
    <row r="128" spans="1:16">
      <c r="A128" s="165"/>
      <c r="P128" s="351"/>
    </row>
    <row r="129" spans="1:16">
      <c r="A129" s="165">
        <f>'Conveyor Downtime (new)'!A124</f>
        <v>46083</v>
      </c>
      <c r="B129" s="346"/>
      <c r="C129" s="346"/>
      <c r="D129" s="346"/>
      <c r="E129" s="346"/>
      <c r="F129" s="346"/>
      <c r="G129" s="346"/>
      <c r="H129" s="346"/>
      <c r="I129" s="346"/>
      <c r="J129" s="346"/>
      <c r="K129" s="346"/>
      <c r="L129" s="346"/>
      <c r="M129" s="346"/>
      <c r="N129" s="346"/>
      <c r="O129">
        <f>SUM(B129:N129)</f>
        <v>0</v>
      </c>
      <c r="P129" s="351">
        <f>O129/$O$183</f>
        <v>0</v>
      </c>
    </row>
    <row r="130" spans="1:16">
      <c r="A130" s="165">
        <f>'Conveyor Downtime (new)'!A125</f>
        <v>46083</v>
      </c>
      <c r="O130">
        <f>SUM(C130:N130)</f>
        <v>0</v>
      </c>
      <c r="P130" s="351">
        <f>O130/$O$183</f>
        <v>0</v>
      </c>
    </row>
    <row r="131" spans="1:16">
      <c r="A131" s="165">
        <f>'Conveyor Downtime (new)'!A126</f>
        <v>46084</v>
      </c>
      <c r="B131" s="346"/>
      <c r="C131" s="346"/>
      <c r="D131" s="346"/>
      <c r="E131" s="346"/>
      <c r="F131" s="346"/>
      <c r="G131" s="346"/>
      <c r="H131" s="346"/>
      <c r="I131" s="346"/>
      <c r="J131" s="346"/>
      <c r="K131" s="346"/>
      <c r="L131" s="346"/>
      <c r="M131" s="346"/>
      <c r="N131" s="346"/>
      <c r="O131">
        <f t="shared" ref="O131:O162" si="14">SUM(B131:N131)</f>
        <v>0</v>
      </c>
      <c r="P131" s="351">
        <f>O131/$O$183</f>
        <v>0</v>
      </c>
    </row>
    <row r="132" spans="1:16">
      <c r="A132" s="165">
        <f>'Conveyor Downtime (new)'!A127</f>
        <v>46085</v>
      </c>
      <c r="O132">
        <f t="shared" si="14"/>
        <v>0</v>
      </c>
      <c r="P132" s="351">
        <f t="shared" ref="P132:P181" si="15">O132/$O$183</f>
        <v>0</v>
      </c>
    </row>
    <row r="133" spans="1:16">
      <c r="A133" s="165">
        <f>'Conveyor Downtime (new)'!A128</f>
        <v>46085</v>
      </c>
      <c r="B133" s="346"/>
      <c r="C133" s="346"/>
      <c r="D133" s="346"/>
      <c r="E133" s="346"/>
      <c r="F133" s="346"/>
      <c r="G133" s="346"/>
      <c r="H133" s="346"/>
      <c r="I133" s="346"/>
      <c r="J133" s="346"/>
      <c r="K133" s="346"/>
      <c r="L133" s="346"/>
      <c r="M133" s="346"/>
      <c r="N133" s="346"/>
      <c r="O133">
        <f t="shared" si="14"/>
        <v>0</v>
      </c>
      <c r="P133" s="351">
        <f t="shared" si="15"/>
        <v>0</v>
      </c>
    </row>
    <row r="134" spans="1:16">
      <c r="A134" s="165">
        <f>'Conveyor Downtime (new)'!A129</f>
        <v>46086</v>
      </c>
      <c r="O134">
        <f t="shared" si="14"/>
        <v>0</v>
      </c>
      <c r="P134" s="351">
        <f t="shared" si="15"/>
        <v>0</v>
      </c>
    </row>
    <row r="135" spans="1:16">
      <c r="A135" s="165">
        <f>'Conveyor Downtime (new)'!A130</f>
        <v>46086</v>
      </c>
      <c r="B135" s="346"/>
      <c r="C135" s="346"/>
      <c r="D135" s="346"/>
      <c r="E135" s="346"/>
      <c r="F135" s="346"/>
      <c r="G135" s="346"/>
      <c r="H135" s="346"/>
      <c r="I135" s="346"/>
      <c r="J135" s="346"/>
      <c r="K135" s="346"/>
      <c r="L135" s="346"/>
      <c r="M135" s="346"/>
      <c r="N135" s="346"/>
      <c r="O135">
        <f t="shared" si="14"/>
        <v>0</v>
      </c>
      <c r="P135" s="351">
        <f t="shared" si="15"/>
        <v>0</v>
      </c>
    </row>
    <row r="136" spans="1:16">
      <c r="A136" s="165">
        <f>'Conveyor Downtime (new)'!A131</f>
        <v>46087</v>
      </c>
      <c r="O136">
        <f t="shared" si="14"/>
        <v>0</v>
      </c>
      <c r="P136" s="351">
        <f t="shared" si="15"/>
        <v>0</v>
      </c>
    </row>
    <row r="137" spans="1:16">
      <c r="A137" s="165">
        <f>'Conveyor Downtime (new)'!A132</f>
        <v>46087</v>
      </c>
      <c r="B137" s="346"/>
      <c r="C137" s="346"/>
      <c r="D137" s="346"/>
      <c r="E137" s="346"/>
      <c r="F137" s="346"/>
      <c r="G137" s="346"/>
      <c r="H137" s="346"/>
      <c r="I137" s="346"/>
      <c r="J137" s="346"/>
      <c r="K137" s="346"/>
      <c r="L137" s="346"/>
      <c r="M137" s="346"/>
      <c r="N137" s="346"/>
      <c r="O137">
        <f t="shared" si="14"/>
        <v>0</v>
      </c>
      <c r="P137" s="351">
        <f t="shared" si="15"/>
        <v>0</v>
      </c>
    </row>
    <row r="138" spans="1:16">
      <c r="A138" s="165">
        <f>'Conveyor Downtime (new)'!A133</f>
        <v>46087</v>
      </c>
      <c r="O138">
        <f t="shared" si="14"/>
        <v>0</v>
      </c>
      <c r="P138" s="351">
        <f t="shared" si="15"/>
        <v>0</v>
      </c>
    </row>
    <row r="139" spans="1:16">
      <c r="A139" s="165">
        <f>'Conveyor Downtime (new)'!A134</f>
        <v>46089</v>
      </c>
      <c r="B139" s="346"/>
      <c r="C139" s="346"/>
      <c r="D139" s="346"/>
      <c r="E139" s="346"/>
      <c r="F139" s="346"/>
      <c r="G139" s="346"/>
      <c r="H139" s="346"/>
      <c r="I139" s="346"/>
      <c r="J139" s="346"/>
      <c r="K139" s="346"/>
      <c r="L139" s="346"/>
      <c r="M139" s="346"/>
      <c r="N139" s="346"/>
      <c r="O139">
        <f t="shared" si="14"/>
        <v>0</v>
      </c>
      <c r="P139" s="351">
        <f t="shared" si="15"/>
        <v>0</v>
      </c>
    </row>
    <row r="140" spans="1:16">
      <c r="A140" s="165">
        <f>'Conveyor Downtime (new)'!A135</f>
        <v>46090</v>
      </c>
      <c r="O140">
        <f t="shared" si="14"/>
        <v>0</v>
      </c>
      <c r="P140" s="351">
        <f t="shared" si="15"/>
        <v>0</v>
      </c>
    </row>
    <row r="141" spans="1:16">
      <c r="A141" s="165">
        <f>'Conveyor Downtime (new)'!A136</f>
        <v>46091</v>
      </c>
      <c r="B141" s="346"/>
      <c r="C141" s="346"/>
      <c r="D141" s="346"/>
      <c r="E141" s="346"/>
      <c r="F141" s="346"/>
      <c r="G141" s="346"/>
      <c r="H141" s="346"/>
      <c r="I141" s="346"/>
      <c r="J141" s="346"/>
      <c r="K141" s="346"/>
      <c r="L141" s="346"/>
      <c r="M141" s="346"/>
      <c r="N141" s="346"/>
      <c r="O141">
        <f t="shared" si="14"/>
        <v>0</v>
      </c>
      <c r="P141" s="351">
        <f t="shared" si="15"/>
        <v>0</v>
      </c>
    </row>
    <row r="142" spans="1:16">
      <c r="A142" s="165">
        <f>'Conveyor Downtime (new)'!A137</f>
        <v>46091</v>
      </c>
      <c r="B142">
        <f>22</f>
        <v>22</v>
      </c>
      <c r="O142">
        <f t="shared" si="14"/>
        <v>22</v>
      </c>
      <c r="P142" s="351">
        <f t="shared" si="15"/>
        <v>0.3728813559322034</v>
      </c>
    </row>
    <row r="143" spans="1:16">
      <c r="A143" s="165">
        <f>'Conveyor Downtime (new)'!A138</f>
        <v>46092</v>
      </c>
      <c r="B143" s="346"/>
      <c r="C143" s="346"/>
      <c r="D143" s="346"/>
      <c r="E143" s="346"/>
      <c r="F143" s="346"/>
      <c r="G143" s="346"/>
      <c r="H143" s="346"/>
      <c r="I143" s="346"/>
      <c r="J143" s="346"/>
      <c r="K143" s="346"/>
      <c r="L143" s="346"/>
      <c r="M143" s="346"/>
      <c r="N143" s="346"/>
      <c r="O143">
        <f t="shared" si="14"/>
        <v>0</v>
      </c>
      <c r="P143" s="351">
        <f t="shared" si="15"/>
        <v>0</v>
      </c>
    </row>
    <row r="144" spans="1:16">
      <c r="A144" s="165">
        <f>'Conveyor Downtime (new)'!A139</f>
        <v>46092</v>
      </c>
      <c r="O144">
        <f t="shared" si="14"/>
        <v>0</v>
      </c>
      <c r="P144" s="351">
        <f t="shared" si="15"/>
        <v>0</v>
      </c>
    </row>
    <row r="145" spans="1:21">
      <c r="A145" s="165">
        <f>'Conveyor Downtime (new)'!A140</f>
        <v>46092</v>
      </c>
      <c r="B145" s="346"/>
      <c r="C145" s="346"/>
      <c r="D145" s="346"/>
      <c r="E145" s="346"/>
      <c r="F145" s="346"/>
      <c r="G145" s="346"/>
      <c r="H145" s="346"/>
      <c r="I145" s="346"/>
      <c r="J145" s="346"/>
      <c r="K145" s="346"/>
      <c r="L145" s="346"/>
      <c r="M145" s="346"/>
      <c r="N145" s="346"/>
      <c r="O145">
        <f t="shared" si="14"/>
        <v>0</v>
      </c>
      <c r="P145" s="351">
        <f t="shared" si="15"/>
        <v>0</v>
      </c>
    </row>
    <row r="146" spans="1:21">
      <c r="A146" s="165">
        <f>'Conveyor Downtime (new)'!A141</f>
        <v>46093</v>
      </c>
      <c r="O146">
        <f t="shared" si="14"/>
        <v>0</v>
      </c>
      <c r="P146" s="351">
        <f t="shared" si="15"/>
        <v>0</v>
      </c>
    </row>
    <row r="147" spans="1:21">
      <c r="A147" s="165">
        <f>'Conveyor Downtime (new)'!A142</f>
        <v>46093</v>
      </c>
      <c r="B147" s="346"/>
      <c r="C147" s="346"/>
      <c r="D147" s="346"/>
      <c r="E147" s="346"/>
      <c r="F147" s="346"/>
      <c r="G147" s="346"/>
      <c r="H147" s="346"/>
      <c r="I147" s="346"/>
      <c r="J147" s="346"/>
      <c r="K147" s="346"/>
      <c r="L147" s="346"/>
      <c r="M147" s="346"/>
      <c r="N147" s="346"/>
      <c r="O147">
        <f t="shared" si="14"/>
        <v>0</v>
      </c>
      <c r="P147" s="351">
        <f t="shared" si="15"/>
        <v>0</v>
      </c>
    </row>
    <row r="148" spans="1:21">
      <c r="A148" s="165">
        <f>'Conveyor Downtime (new)'!A143</f>
        <v>46094</v>
      </c>
      <c r="O148">
        <f t="shared" si="14"/>
        <v>0</v>
      </c>
      <c r="P148" s="351">
        <f t="shared" si="15"/>
        <v>0</v>
      </c>
    </row>
    <row r="149" spans="1:21">
      <c r="A149" s="165">
        <f>'Conveyor Downtime (new)'!A144</f>
        <v>46094</v>
      </c>
      <c r="B149" s="346"/>
      <c r="C149" s="346"/>
      <c r="D149" s="346"/>
      <c r="E149" s="346"/>
      <c r="F149" s="346"/>
      <c r="G149" s="346"/>
      <c r="H149" s="346"/>
      <c r="I149" s="346"/>
      <c r="J149" s="346"/>
      <c r="K149" s="346"/>
      <c r="L149" s="346"/>
      <c r="M149" s="346"/>
      <c r="N149" s="346"/>
      <c r="O149">
        <f t="shared" si="14"/>
        <v>0</v>
      </c>
      <c r="P149" s="351">
        <f t="shared" si="15"/>
        <v>0</v>
      </c>
    </row>
    <row r="150" spans="1:21">
      <c r="A150" s="165">
        <f>'Conveyor Downtime (new)'!A145</f>
        <v>46097</v>
      </c>
      <c r="O150">
        <f t="shared" si="14"/>
        <v>0</v>
      </c>
      <c r="P150" s="351">
        <f t="shared" si="15"/>
        <v>0</v>
      </c>
    </row>
    <row r="151" spans="1:21">
      <c r="A151" s="165">
        <f>'Conveyor Downtime (new)'!A146</f>
        <v>46098</v>
      </c>
      <c r="B151" s="346"/>
      <c r="C151" s="346"/>
      <c r="D151" s="346"/>
      <c r="E151" s="346"/>
      <c r="F151" s="346"/>
      <c r="G151" s="346"/>
      <c r="H151" s="346"/>
      <c r="I151" s="346"/>
      <c r="J151" s="346"/>
      <c r="K151" s="346"/>
      <c r="L151" s="346"/>
      <c r="M151" s="346"/>
      <c r="N151" s="346"/>
      <c r="O151">
        <f t="shared" si="14"/>
        <v>0</v>
      </c>
      <c r="P151" s="351">
        <f t="shared" si="15"/>
        <v>0</v>
      </c>
    </row>
    <row r="152" spans="1:21">
      <c r="A152" s="165">
        <f>'Conveyor Downtime (new)'!A147</f>
        <v>46099</v>
      </c>
      <c r="B152">
        <v>23</v>
      </c>
      <c r="O152">
        <f t="shared" si="14"/>
        <v>23</v>
      </c>
      <c r="P152" s="351">
        <f t="shared" si="15"/>
        <v>0.38983050847457629</v>
      </c>
    </row>
    <row r="153" spans="1:21">
      <c r="A153" s="165">
        <f>'Conveyor Downtime (new)'!A148</f>
        <v>46099</v>
      </c>
      <c r="B153" s="346"/>
      <c r="C153" s="346"/>
      <c r="D153" s="346"/>
      <c r="E153" s="346"/>
      <c r="F153" s="346"/>
      <c r="G153" s="346"/>
      <c r="H153" s="346"/>
      <c r="I153" s="346"/>
      <c r="J153" s="346"/>
      <c r="K153" s="346"/>
      <c r="L153" s="346"/>
      <c r="M153" s="346"/>
      <c r="N153" s="346"/>
      <c r="O153">
        <f t="shared" si="14"/>
        <v>0</v>
      </c>
      <c r="P153" s="351">
        <f t="shared" si="15"/>
        <v>0</v>
      </c>
    </row>
    <row r="154" spans="1:21">
      <c r="A154" s="165">
        <f>'Conveyor Downtime (new)'!A149</f>
        <v>46100</v>
      </c>
      <c r="O154">
        <f t="shared" si="14"/>
        <v>0</v>
      </c>
      <c r="P154" s="351">
        <f t="shared" si="15"/>
        <v>0</v>
      </c>
    </row>
    <row r="155" spans="1:21">
      <c r="A155" s="165">
        <f>'Conveyor Downtime (new)'!A150</f>
        <v>46100</v>
      </c>
      <c r="B155" s="346"/>
      <c r="C155" s="346"/>
      <c r="D155" s="346"/>
      <c r="E155" s="346"/>
      <c r="F155" s="346"/>
      <c r="G155" s="346"/>
      <c r="H155" s="346"/>
      <c r="I155" s="346"/>
      <c r="J155" s="346"/>
      <c r="K155" s="346"/>
      <c r="L155" s="346"/>
      <c r="M155" s="346"/>
      <c r="N155" s="346"/>
      <c r="O155">
        <f t="shared" si="14"/>
        <v>0</v>
      </c>
      <c r="P155" s="351">
        <f t="shared" si="15"/>
        <v>0</v>
      </c>
    </row>
    <row r="156" spans="1:21">
      <c r="A156" s="165">
        <f>'Conveyor Downtime (new)'!A151</f>
        <v>46100</v>
      </c>
      <c r="O156">
        <f t="shared" si="14"/>
        <v>0</v>
      </c>
      <c r="P156" s="351">
        <f t="shared" si="15"/>
        <v>0</v>
      </c>
    </row>
    <row r="157" spans="1:21">
      <c r="A157" s="165">
        <f>'Conveyor Downtime (new)'!A152</f>
        <v>46101</v>
      </c>
      <c r="B157" s="346"/>
      <c r="C157" s="346"/>
      <c r="D157" s="346"/>
      <c r="E157" s="346"/>
      <c r="F157" s="346"/>
      <c r="G157" s="346"/>
      <c r="H157" s="346"/>
      <c r="I157" s="346"/>
      <c r="J157" s="346"/>
      <c r="K157" s="346"/>
      <c r="L157" s="346"/>
      <c r="M157" s="346"/>
      <c r="N157" s="346"/>
      <c r="O157">
        <f t="shared" si="14"/>
        <v>0</v>
      </c>
      <c r="P157" s="351">
        <f t="shared" si="15"/>
        <v>0</v>
      </c>
    </row>
    <row r="158" spans="1:21">
      <c r="A158" s="165">
        <f>'Conveyor Downtime (new)'!A153</f>
        <v>46101</v>
      </c>
      <c r="O158">
        <f t="shared" si="14"/>
        <v>0</v>
      </c>
      <c r="P158" s="351">
        <f t="shared" si="15"/>
        <v>0</v>
      </c>
    </row>
    <row r="159" spans="1:21">
      <c r="A159" s="165">
        <f>'Conveyor Downtime (new)'!A154</f>
        <v>46104</v>
      </c>
      <c r="B159" s="346"/>
      <c r="C159" s="346"/>
      <c r="D159" s="346"/>
      <c r="E159" s="346"/>
      <c r="F159" s="346"/>
      <c r="G159" s="346"/>
      <c r="H159" s="346"/>
      <c r="I159" s="346"/>
      <c r="J159" s="346"/>
      <c r="K159" s="346"/>
      <c r="L159" s="346"/>
      <c r="M159" s="346"/>
      <c r="N159" s="346"/>
      <c r="O159">
        <f t="shared" si="14"/>
        <v>0</v>
      </c>
      <c r="P159" s="351">
        <f t="shared" si="15"/>
        <v>0</v>
      </c>
    </row>
    <row r="160" spans="1:21">
      <c r="A160" s="165">
        <f>'Conveyor Downtime (new)'!A155</f>
        <v>46104</v>
      </c>
      <c r="O160">
        <f t="shared" si="14"/>
        <v>0</v>
      </c>
      <c r="P160" s="351">
        <f t="shared" si="15"/>
        <v>0</v>
      </c>
    </row>
    <row r="161" spans="1:16">
      <c r="A161" s="165">
        <f>'Conveyor Downtime (new)'!A156</f>
        <v>46104</v>
      </c>
      <c r="B161" s="346"/>
      <c r="C161" s="346"/>
      <c r="D161" s="346"/>
      <c r="E161" s="346"/>
      <c r="F161" s="346"/>
      <c r="G161" s="346"/>
      <c r="H161" s="346"/>
      <c r="I161" s="346"/>
      <c r="J161" s="346"/>
      <c r="K161" s="346"/>
      <c r="L161" s="346"/>
      <c r="M161" s="346"/>
      <c r="N161" s="346"/>
      <c r="O161">
        <f t="shared" si="14"/>
        <v>0</v>
      </c>
      <c r="P161" s="351">
        <f t="shared" si="15"/>
        <v>0</v>
      </c>
    </row>
    <row r="162" spans="1:16">
      <c r="A162" s="165">
        <f>'Conveyor Downtime (new)'!A157</f>
        <v>46105</v>
      </c>
      <c r="O162">
        <f t="shared" si="14"/>
        <v>0</v>
      </c>
      <c r="P162" s="351">
        <f t="shared" si="15"/>
        <v>0</v>
      </c>
    </row>
    <row r="163" spans="1:16">
      <c r="A163" s="165">
        <f>'Conveyor Downtime (new)'!A158</f>
        <v>46105</v>
      </c>
      <c r="B163" s="346"/>
      <c r="C163" s="346"/>
      <c r="D163" s="346"/>
      <c r="E163" s="346"/>
      <c r="F163" s="346"/>
      <c r="G163" s="346"/>
      <c r="H163" s="346"/>
      <c r="I163" s="346"/>
      <c r="J163" s="346"/>
      <c r="K163" s="346"/>
      <c r="L163" s="346"/>
      <c r="M163" s="346"/>
      <c r="N163" s="346"/>
      <c r="O163">
        <f t="shared" ref="O163:O182" si="16">SUM(B163:N163)</f>
        <v>0</v>
      </c>
      <c r="P163" s="351">
        <f t="shared" si="15"/>
        <v>0</v>
      </c>
    </row>
    <row r="164" spans="1:16">
      <c r="A164" s="165">
        <f>'Conveyor Downtime (new)'!A159</f>
        <v>46106</v>
      </c>
      <c r="O164">
        <f t="shared" si="16"/>
        <v>0</v>
      </c>
      <c r="P164" s="351">
        <f t="shared" si="15"/>
        <v>0</v>
      </c>
    </row>
    <row r="165" spans="1:16">
      <c r="A165" s="165">
        <f>'Conveyor Downtime (new)'!A160</f>
        <v>46106</v>
      </c>
      <c r="B165" s="346"/>
      <c r="C165" s="346"/>
      <c r="D165" s="346"/>
      <c r="E165" s="346"/>
      <c r="F165" s="346"/>
      <c r="G165" s="346"/>
      <c r="H165" s="346"/>
      <c r="I165" s="346"/>
      <c r="J165" s="346"/>
      <c r="K165" s="346"/>
      <c r="L165" s="346"/>
      <c r="M165" s="346"/>
      <c r="N165" s="346"/>
      <c r="O165">
        <f t="shared" si="16"/>
        <v>0</v>
      </c>
      <c r="P165" s="351">
        <f t="shared" si="15"/>
        <v>0</v>
      </c>
    </row>
    <row r="166" spans="1:16">
      <c r="A166" s="165">
        <f>'Conveyor Downtime (new)'!A161</f>
        <v>46106</v>
      </c>
      <c r="O166">
        <f t="shared" si="16"/>
        <v>0</v>
      </c>
      <c r="P166" s="351">
        <f t="shared" si="15"/>
        <v>0</v>
      </c>
    </row>
    <row r="167" spans="1:16">
      <c r="A167" s="165">
        <f>'Conveyor Downtime (new)'!A162</f>
        <v>46106</v>
      </c>
      <c r="B167" s="346"/>
      <c r="C167" s="346"/>
      <c r="D167" s="346"/>
      <c r="E167" s="346"/>
      <c r="F167" s="346"/>
      <c r="G167" s="346"/>
      <c r="H167" s="346"/>
      <c r="I167" s="346"/>
      <c r="J167" s="346"/>
      <c r="K167" s="346"/>
      <c r="L167" s="346"/>
      <c r="M167" s="346"/>
      <c r="N167" s="346"/>
      <c r="O167">
        <f t="shared" si="16"/>
        <v>0</v>
      </c>
      <c r="P167" s="351">
        <f t="shared" si="15"/>
        <v>0</v>
      </c>
    </row>
    <row r="168" spans="1:16">
      <c r="A168" s="165">
        <f>'Conveyor Downtime (new)'!A163</f>
        <v>46107</v>
      </c>
      <c r="O168">
        <f t="shared" si="16"/>
        <v>0</v>
      </c>
      <c r="P168" s="351">
        <f t="shared" si="15"/>
        <v>0</v>
      </c>
    </row>
    <row r="169" spans="1:16">
      <c r="A169" s="165">
        <f>'Conveyor Downtime (new)'!A164</f>
        <v>46107</v>
      </c>
      <c r="B169" s="346"/>
      <c r="C169" s="346"/>
      <c r="D169" s="346"/>
      <c r="E169" s="346"/>
      <c r="F169" s="346"/>
      <c r="G169" s="346"/>
      <c r="H169" s="346"/>
      <c r="I169" s="346"/>
      <c r="J169" s="346"/>
      <c r="K169" s="346"/>
      <c r="L169" s="346"/>
      <c r="M169" s="346"/>
      <c r="N169" s="346"/>
      <c r="O169">
        <f t="shared" si="16"/>
        <v>0</v>
      </c>
      <c r="P169" s="351">
        <f t="shared" si="15"/>
        <v>0</v>
      </c>
    </row>
    <row r="170" spans="1:16">
      <c r="A170" s="165">
        <f>'Conveyor Downtime (new)'!A165</f>
        <v>46107</v>
      </c>
      <c r="O170">
        <f t="shared" si="16"/>
        <v>0</v>
      </c>
      <c r="P170" s="351">
        <f t="shared" si="15"/>
        <v>0</v>
      </c>
    </row>
    <row r="171" spans="1:16">
      <c r="A171" s="165">
        <f>'Conveyor Downtime (new)'!A166</f>
        <v>46107</v>
      </c>
      <c r="B171" s="346">
        <v>10</v>
      </c>
      <c r="C171" s="346"/>
      <c r="D171" s="346"/>
      <c r="E171" s="346"/>
      <c r="F171" s="346"/>
      <c r="G171" s="346"/>
      <c r="H171" s="346"/>
      <c r="I171" s="346"/>
      <c r="J171" s="346"/>
      <c r="K171" s="346"/>
      <c r="L171" s="346"/>
      <c r="M171" s="346"/>
      <c r="N171" s="346"/>
      <c r="O171">
        <f t="shared" si="16"/>
        <v>10</v>
      </c>
      <c r="P171" s="351">
        <f t="shared" si="15"/>
        <v>0.16949152542372881</v>
      </c>
    </row>
    <row r="172" spans="1:16">
      <c r="A172" s="165">
        <f>'Conveyor Downtime (new)'!A167</f>
        <v>46108</v>
      </c>
      <c r="O172">
        <f t="shared" si="16"/>
        <v>0</v>
      </c>
      <c r="P172" s="351">
        <f t="shared" si="15"/>
        <v>0</v>
      </c>
    </row>
    <row r="173" spans="1:16">
      <c r="A173" s="165">
        <f>'Conveyor Downtime (new)'!A168</f>
        <v>46108</v>
      </c>
      <c r="B173" s="346"/>
      <c r="C173" s="346"/>
      <c r="D173" s="346"/>
      <c r="E173" s="346"/>
      <c r="F173" s="346"/>
      <c r="G173" s="346"/>
      <c r="H173" s="346"/>
      <c r="I173" s="346"/>
      <c r="J173" s="346"/>
      <c r="K173" s="346"/>
      <c r="L173" s="346"/>
      <c r="M173" s="346"/>
      <c r="N173" s="346"/>
      <c r="O173">
        <f t="shared" si="16"/>
        <v>0</v>
      </c>
      <c r="P173" s="351">
        <f t="shared" si="15"/>
        <v>0</v>
      </c>
    </row>
    <row r="174" spans="1:16">
      <c r="A174" s="165">
        <f>'Conveyor Downtime (new)'!A169</f>
        <v>46111</v>
      </c>
      <c r="F174">
        <f>4</f>
        <v>4</v>
      </c>
      <c r="O174">
        <f t="shared" si="16"/>
        <v>4</v>
      </c>
      <c r="P174" s="351">
        <f t="shared" si="15"/>
        <v>6.7796610169491525E-2</v>
      </c>
    </row>
    <row r="175" spans="1:16">
      <c r="A175" s="165">
        <f>'Conveyor Downtime (new)'!A170</f>
        <v>46112</v>
      </c>
      <c r="B175" s="346"/>
      <c r="C175" s="346"/>
      <c r="D175" s="346"/>
      <c r="E175" s="346"/>
      <c r="F175" s="346"/>
      <c r="G175" s="346"/>
      <c r="H175" s="346"/>
      <c r="I175" s="346"/>
      <c r="J175" s="346"/>
      <c r="K175" s="346"/>
      <c r="L175" s="346"/>
      <c r="M175" s="346"/>
      <c r="N175" s="346"/>
      <c r="O175">
        <f t="shared" si="16"/>
        <v>0</v>
      </c>
      <c r="P175" s="351">
        <f t="shared" si="15"/>
        <v>0</v>
      </c>
    </row>
    <row r="176" spans="1:16">
      <c r="A176" s="165">
        <f>'Conveyor Downtime (new)'!A171</f>
        <v>46112</v>
      </c>
      <c r="O176">
        <f t="shared" si="16"/>
        <v>0</v>
      </c>
      <c r="P176" s="351">
        <f t="shared" si="15"/>
        <v>0</v>
      </c>
    </row>
    <row r="177" spans="1:16">
      <c r="A177" s="165">
        <f>'Conveyor Downtime (new)'!A172</f>
        <v>46112</v>
      </c>
      <c r="B177" s="346"/>
      <c r="C177" s="346"/>
      <c r="D177" s="346"/>
      <c r="E177" s="346"/>
      <c r="F177" s="346"/>
      <c r="G177" s="346"/>
      <c r="H177" s="346"/>
      <c r="I177" s="346"/>
      <c r="J177" s="346"/>
      <c r="K177" s="346"/>
      <c r="L177" s="346"/>
      <c r="M177" s="346"/>
      <c r="N177" s="346"/>
      <c r="O177">
        <f t="shared" si="16"/>
        <v>0</v>
      </c>
      <c r="P177" s="351">
        <f t="shared" si="15"/>
        <v>0</v>
      </c>
    </row>
    <row r="178" spans="1:16">
      <c r="A178" s="165">
        <f>'Conveyor Downtime (new)'!A173</f>
        <v>46112</v>
      </c>
      <c r="O178">
        <f t="shared" si="16"/>
        <v>0</v>
      </c>
      <c r="P178" s="351">
        <f t="shared" si="15"/>
        <v>0</v>
      </c>
    </row>
    <row r="179" spans="1:16">
      <c r="A179" s="165">
        <f>'Conveyor Downtime (new)'!A174</f>
        <v>0</v>
      </c>
      <c r="B179" s="346"/>
      <c r="C179" s="346"/>
      <c r="D179" s="346"/>
      <c r="E179" s="346"/>
      <c r="F179" s="346"/>
      <c r="G179" s="346"/>
      <c r="H179" s="346"/>
      <c r="I179" s="346"/>
      <c r="J179" s="346"/>
      <c r="K179" s="346"/>
      <c r="L179" s="346"/>
      <c r="M179" s="346"/>
      <c r="N179" s="346"/>
      <c r="O179">
        <f t="shared" si="16"/>
        <v>0</v>
      </c>
      <c r="P179" s="351">
        <f t="shared" si="15"/>
        <v>0</v>
      </c>
    </row>
    <row r="180" spans="1:16">
      <c r="A180" s="165">
        <f>'Conveyor Downtime (new)'!A175</f>
        <v>0</v>
      </c>
      <c r="O180">
        <f t="shared" si="16"/>
        <v>0</v>
      </c>
      <c r="P180" s="351">
        <f t="shared" si="15"/>
        <v>0</v>
      </c>
    </row>
    <row r="181" spans="1:16">
      <c r="A181" s="165">
        <f>'Conveyor Downtime (new)'!A177</f>
        <v>0</v>
      </c>
      <c r="B181" s="346"/>
      <c r="C181" s="346"/>
      <c r="D181" s="346"/>
      <c r="E181" s="346"/>
      <c r="F181" s="346"/>
      <c r="G181" s="346"/>
      <c r="H181" s="346"/>
      <c r="I181" s="346"/>
      <c r="J181" s="346"/>
      <c r="K181" s="346"/>
      <c r="L181" s="346"/>
      <c r="M181" s="346"/>
      <c r="N181" s="346"/>
      <c r="O181">
        <f t="shared" si="16"/>
        <v>0</v>
      </c>
      <c r="P181" s="351">
        <f t="shared" si="15"/>
        <v>0</v>
      </c>
    </row>
    <row r="182" spans="1:16" ht="13.5" thickBot="1">
      <c r="A182" s="165">
        <f>'Conveyor Downtime (new)'!A178</f>
        <v>0</v>
      </c>
      <c r="O182">
        <f t="shared" si="16"/>
        <v>0</v>
      </c>
      <c r="P182" s="351">
        <f>O16/$O$183</f>
        <v>0</v>
      </c>
    </row>
    <row r="183" spans="1:16" ht="15">
      <c r="A183" s="654" t="s">
        <v>246</v>
      </c>
      <c r="B183" s="347">
        <f t="shared" ref="B183:N183" si="17">SUM(B128:B182)</f>
        <v>55</v>
      </c>
      <c r="C183" s="347">
        <f t="shared" si="17"/>
        <v>0</v>
      </c>
      <c r="D183" s="347">
        <f t="shared" si="17"/>
        <v>0</v>
      </c>
      <c r="E183" s="347">
        <f t="shared" si="17"/>
        <v>0</v>
      </c>
      <c r="F183" s="347">
        <f t="shared" si="17"/>
        <v>4</v>
      </c>
      <c r="G183" s="347">
        <f t="shared" si="17"/>
        <v>0</v>
      </c>
      <c r="H183" s="347">
        <f t="shared" si="17"/>
        <v>0</v>
      </c>
      <c r="I183" s="347">
        <f t="shared" si="17"/>
        <v>0</v>
      </c>
      <c r="J183" s="347">
        <f t="shared" si="17"/>
        <v>0</v>
      </c>
      <c r="K183" s="347">
        <f t="shared" si="17"/>
        <v>0</v>
      </c>
      <c r="L183" s="347">
        <f t="shared" si="17"/>
        <v>0</v>
      </c>
      <c r="M183" s="347">
        <f t="shared" si="17"/>
        <v>0</v>
      </c>
      <c r="N183" s="347">
        <f t="shared" si="17"/>
        <v>0</v>
      </c>
      <c r="O183" s="347">
        <f>SUM(O128:O182)</f>
        <v>59</v>
      </c>
    </row>
    <row r="184" spans="1:16" ht="15.75" thickBot="1">
      <c r="A184" s="655"/>
      <c r="B184" s="348">
        <f t="shared" ref="B184:H184" si="18">B183/$O183</f>
        <v>0.93220338983050843</v>
      </c>
      <c r="C184" s="348">
        <f t="shared" si="18"/>
        <v>0</v>
      </c>
      <c r="D184" s="348">
        <f t="shared" si="18"/>
        <v>0</v>
      </c>
      <c r="E184" s="348">
        <f t="shared" si="18"/>
        <v>0</v>
      </c>
      <c r="F184" s="348">
        <f t="shared" si="18"/>
        <v>6.7796610169491525E-2</v>
      </c>
      <c r="G184" s="348">
        <f t="shared" si="18"/>
        <v>0</v>
      </c>
      <c r="H184" s="348">
        <f t="shared" si="18"/>
        <v>0</v>
      </c>
      <c r="I184" s="348">
        <f t="shared" ref="I184:N184" si="19">I183/$O183</f>
        <v>0</v>
      </c>
      <c r="J184" s="348">
        <f t="shared" si="19"/>
        <v>0</v>
      </c>
      <c r="K184" s="348">
        <f t="shared" si="19"/>
        <v>0</v>
      </c>
      <c r="L184" s="348">
        <f t="shared" si="19"/>
        <v>0</v>
      </c>
      <c r="M184" s="348">
        <f t="shared" si="19"/>
        <v>0</v>
      </c>
      <c r="N184" s="348">
        <f t="shared" si="19"/>
        <v>0</v>
      </c>
    </row>
    <row r="187" spans="1:16">
      <c r="A187" s="165">
        <f>'Conveyor Downtime (new)'!A187</f>
        <v>46113</v>
      </c>
      <c r="O187">
        <f t="shared" ref="O187:O219" si="20">SUM(B187:N187)</f>
        <v>0</v>
      </c>
      <c r="P187" s="351">
        <f t="shared" ref="P187:P213" si="21">O187/$O$243</f>
        <v>0</v>
      </c>
    </row>
    <row r="188" spans="1:16">
      <c r="A188" s="165">
        <f>'Conveyor Downtime (new)'!A188</f>
        <v>46113</v>
      </c>
      <c r="B188" s="346"/>
      <c r="C188" s="346"/>
      <c r="D188" s="346"/>
      <c r="E188" s="346"/>
      <c r="F188" s="346"/>
      <c r="G188" s="346"/>
      <c r="H188" s="346"/>
      <c r="I188" s="346"/>
      <c r="J188" s="346"/>
      <c r="K188" s="346"/>
      <c r="L188" s="346"/>
      <c r="M188" s="346"/>
      <c r="N188" s="346"/>
      <c r="O188">
        <f t="shared" si="20"/>
        <v>0</v>
      </c>
      <c r="P188" s="351">
        <f t="shared" si="21"/>
        <v>0</v>
      </c>
    </row>
    <row r="189" spans="1:16">
      <c r="A189" s="165">
        <f>'Conveyor Downtime (new)'!A189</f>
        <v>46113</v>
      </c>
      <c r="O189">
        <f t="shared" si="20"/>
        <v>0</v>
      </c>
      <c r="P189" s="351">
        <f t="shared" si="21"/>
        <v>0</v>
      </c>
    </row>
    <row r="190" spans="1:16">
      <c r="A190" s="165">
        <f>'Conveyor Downtime (new)'!A190</f>
        <v>46114</v>
      </c>
      <c r="B190" s="346"/>
      <c r="C190" s="346"/>
      <c r="D190" s="346"/>
      <c r="E190" s="346"/>
      <c r="F190" s="346"/>
      <c r="G190" s="346"/>
      <c r="H190" s="346"/>
      <c r="I190" s="346"/>
      <c r="J190" s="346"/>
      <c r="K190" s="346"/>
      <c r="L190" s="346"/>
      <c r="M190" s="346"/>
      <c r="N190" s="346"/>
      <c r="O190">
        <f t="shared" si="20"/>
        <v>0</v>
      </c>
      <c r="P190" s="351">
        <f t="shared" si="21"/>
        <v>0</v>
      </c>
    </row>
    <row r="191" spans="1:16">
      <c r="A191" s="165">
        <f>'Conveyor Downtime (new)'!A191</f>
        <v>46114</v>
      </c>
      <c r="B191">
        <f>26+2</f>
        <v>28</v>
      </c>
      <c r="O191">
        <f t="shared" si="20"/>
        <v>28</v>
      </c>
      <c r="P191" s="351">
        <f t="shared" si="21"/>
        <v>0.11965811965811966</v>
      </c>
    </row>
    <row r="192" spans="1:16">
      <c r="A192" s="165">
        <f>'Conveyor Downtime (new)'!A192</f>
        <v>46119</v>
      </c>
      <c r="B192" s="346"/>
      <c r="C192" s="346"/>
      <c r="D192" s="346"/>
      <c r="E192" s="346"/>
      <c r="F192" s="346"/>
      <c r="G192" s="346"/>
      <c r="H192" s="346"/>
      <c r="I192" s="346"/>
      <c r="J192" s="346"/>
      <c r="K192" s="346"/>
      <c r="L192" s="346"/>
      <c r="M192" s="346"/>
      <c r="N192" s="346"/>
      <c r="O192">
        <f t="shared" si="20"/>
        <v>0</v>
      </c>
      <c r="P192" s="351">
        <f t="shared" si="21"/>
        <v>0</v>
      </c>
    </row>
    <row r="193" spans="1:16">
      <c r="A193" s="165">
        <f>'Conveyor Downtime (new)'!A193</f>
        <v>46119</v>
      </c>
      <c r="O193">
        <f t="shared" si="20"/>
        <v>0</v>
      </c>
      <c r="P193" s="351">
        <f t="shared" si="21"/>
        <v>0</v>
      </c>
    </row>
    <row r="194" spans="1:16">
      <c r="A194" s="165">
        <f>'Conveyor Downtime (new)'!A194</f>
        <v>46120</v>
      </c>
      <c r="B194" s="346"/>
      <c r="C194" s="346"/>
      <c r="D194" s="346"/>
      <c r="E194" s="346"/>
      <c r="F194" s="346"/>
      <c r="G194" s="346"/>
      <c r="H194" s="346"/>
      <c r="I194" s="346"/>
      <c r="J194" s="346"/>
      <c r="K194" s="346"/>
      <c r="L194" s="346"/>
      <c r="M194" s="346"/>
      <c r="N194" s="346"/>
      <c r="O194">
        <f t="shared" si="20"/>
        <v>0</v>
      </c>
      <c r="P194" s="351">
        <f t="shared" si="21"/>
        <v>0</v>
      </c>
    </row>
    <row r="195" spans="1:16">
      <c r="A195" s="165">
        <f>'Conveyor Downtime (new)'!A195</f>
        <v>46120</v>
      </c>
      <c r="O195">
        <f t="shared" si="20"/>
        <v>0</v>
      </c>
      <c r="P195" s="351">
        <f t="shared" si="21"/>
        <v>0</v>
      </c>
    </row>
    <row r="196" spans="1:16">
      <c r="A196" s="165">
        <f>'Conveyor Downtime (new)'!A196</f>
        <v>46121</v>
      </c>
      <c r="B196" s="346"/>
      <c r="C196" s="346"/>
      <c r="D196" s="346"/>
      <c r="E196" s="346"/>
      <c r="F196" s="346"/>
      <c r="G196" s="346"/>
      <c r="H196" s="346"/>
      <c r="I196" s="346"/>
      <c r="J196" s="346"/>
      <c r="K196" s="346"/>
      <c r="L196" s="346"/>
      <c r="M196" s="346"/>
      <c r="N196" s="346"/>
      <c r="O196">
        <f t="shared" si="20"/>
        <v>0</v>
      </c>
      <c r="P196" s="351">
        <f t="shared" si="21"/>
        <v>0</v>
      </c>
    </row>
    <row r="197" spans="1:16">
      <c r="A197" s="165">
        <f>'Conveyor Downtime (new)'!A197</f>
        <v>46122</v>
      </c>
      <c r="O197">
        <f t="shared" si="20"/>
        <v>0</v>
      </c>
      <c r="P197" s="351">
        <f t="shared" si="21"/>
        <v>0</v>
      </c>
    </row>
    <row r="198" spans="1:16">
      <c r="A198" s="165">
        <f>'Conveyor Downtime (new)'!A198</f>
        <v>46125</v>
      </c>
      <c r="B198" s="346">
        <f>13+44+5+6+4</f>
        <v>72</v>
      </c>
      <c r="C198" s="346">
        <v>8</v>
      </c>
      <c r="D198" s="346"/>
      <c r="E198" s="346"/>
      <c r="F198" s="346"/>
      <c r="G198" s="346"/>
      <c r="H198" s="346"/>
      <c r="I198" s="346"/>
      <c r="J198" s="346"/>
      <c r="K198" s="346"/>
      <c r="L198" s="346"/>
      <c r="M198" s="346"/>
      <c r="N198" s="346"/>
      <c r="O198">
        <f t="shared" si="20"/>
        <v>80</v>
      </c>
      <c r="P198" s="351">
        <f t="shared" si="21"/>
        <v>0.34188034188034189</v>
      </c>
    </row>
    <row r="199" spans="1:16">
      <c r="A199" s="165">
        <f>'Conveyor Downtime (new)'!A199</f>
        <v>46125</v>
      </c>
      <c r="O199">
        <f t="shared" si="20"/>
        <v>0</v>
      </c>
      <c r="P199" s="351">
        <f t="shared" si="21"/>
        <v>0</v>
      </c>
    </row>
    <row r="200" spans="1:16">
      <c r="A200" s="165">
        <f>'Conveyor Downtime (new)'!A200</f>
        <v>46126</v>
      </c>
      <c r="B200" s="346"/>
      <c r="C200" s="346"/>
      <c r="D200" s="346"/>
      <c r="E200" s="346"/>
      <c r="F200" s="346"/>
      <c r="G200" s="346"/>
      <c r="H200" s="346"/>
      <c r="I200" s="346"/>
      <c r="J200" s="346"/>
      <c r="K200" s="346"/>
      <c r="L200" s="346"/>
      <c r="M200" s="346"/>
      <c r="N200" s="346"/>
      <c r="O200">
        <f t="shared" si="20"/>
        <v>0</v>
      </c>
      <c r="P200" s="351">
        <f t="shared" si="21"/>
        <v>0</v>
      </c>
    </row>
    <row r="201" spans="1:16">
      <c r="A201" s="165">
        <f>'Conveyor Downtime (new)'!A201</f>
        <v>46126</v>
      </c>
      <c r="O201">
        <f t="shared" si="20"/>
        <v>0</v>
      </c>
      <c r="P201" s="351">
        <f t="shared" si="21"/>
        <v>0</v>
      </c>
    </row>
    <row r="202" spans="1:16">
      <c r="A202" s="165">
        <f>'Conveyor Downtime (new)'!A202</f>
        <v>46126</v>
      </c>
      <c r="B202" s="346"/>
      <c r="C202" s="346"/>
      <c r="D202" s="346"/>
      <c r="E202" s="346"/>
      <c r="F202" s="346"/>
      <c r="G202" s="346"/>
      <c r="H202" s="346"/>
      <c r="I202" s="346"/>
      <c r="J202" s="346"/>
      <c r="K202" s="346"/>
      <c r="L202" s="346"/>
      <c r="M202" s="346"/>
      <c r="N202" s="346"/>
      <c r="O202">
        <f t="shared" si="20"/>
        <v>0</v>
      </c>
      <c r="P202" s="351">
        <f t="shared" si="21"/>
        <v>0</v>
      </c>
    </row>
    <row r="203" spans="1:16">
      <c r="A203" s="165">
        <f>'Conveyor Downtime (new)'!A203</f>
        <v>46126</v>
      </c>
      <c r="O203">
        <f t="shared" si="20"/>
        <v>0</v>
      </c>
      <c r="P203" s="351">
        <f t="shared" si="21"/>
        <v>0</v>
      </c>
    </row>
    <row r="204" spans="1:16">
      <c r="A204" s="165">
        <f>'Conveyor Downtime (new)'!A204</f>
        <v>46127</v>
      </c>
      <c r="B204" s="346"/>
      <c r="C204" s="346"/>
      <c r="D204" s="346"/>
      <c r="E204" s="346"/>
      <c r="F204" s="346"/>
      <c r="G204" s="346"/>
      <c r="H204" s="346"/>
      <c r="I204" s="346"/>
      <c r="J204" s="346"/>
      <c r="K204" s="346"/>
      <c r="L204" s="346"/>
      <c r="M204" s="346"/>
      <c r="N204" s="346"/>
      <c r="O204">
        <f t="shared" si="20"/>
        <v>0</v>
      </c>
      <c r="P204" s="351">
        <f t="shared" si="21"/>
        <v>0</v>
      </c>
    </row>
    <row r="205" spans="1:16">
      <c r="A205" s="165">
        <f>'Conveyor Downtime (new)'!A205</f>
        <v>46127</v>
      </c>
      <c r="O205">
        <f t="shared" si="20"/>
        <v>0</v>
      </c>
      <c r="P205" s="351">
        <f t="shared" si="21"/>
        <v>0</v>
      </c>
    </row>
    <row r="206" spans="1:16">
      <c r="A206" s="165">
        <f>'Conveyor Downtime (new)'!A206</f>
        <v>46127</v>
      </c>
      <c r="B206" s="346"/>
      <c r="C206" s="346"/>
      <c r="D206" s="346"/>
      <c r="E206" s="346"/>
      <c r="F206" s="346"/>
      <c r="G206" s="346"/>
      <c r="H206" s="346"/>
      <c r="I206" s="346"/>
      <c r="J206" s="346"/>
      <c r="K206" s="346"/>
      <c r="L206" s="346"/>
      <c r="M206" s="346"/>
      <c r="N206" s="346"/>
      <c r="O206">
        <f t="shared" si="20"/>
        <v>0</v>
      </c>
      <c r="P206" s="351">
        <f t="shared" si="21"/>
        <v>0</v>
      </c>
    </row>
    <row r="207" spans="1:16">
      <c r="A207" s="165">
        <f>'Conveyor Downtime (new)'!A207</f>
        <v>46128</v>
      </c>
      <c r="B207">
        <f>36+38</f>
        <v>74</v>
      </c>
      <c r="O207">
        <f t="shared" si="20"/>
        <v>74</v>
      </c>
      <c r="P207" s="351">
        <f t="shared" si="21"/>
        <v>0.31623931623931623</v>
      </c>
    </row>
    <row r="208" spans="1:16">
      <c r="A208" s="165">
        <f>'Conveyor Downtime (new)'!A208</f>
        <v>46128</v>
      </c>
      <c r="B208" s="346"/>
      <c r="C208" s="346"/>
      <c r="D208" s="346"/>
      <c r="E208" s="346"/>
      <c r="F208" s="346"/>
      <c r="G208" s="346"/>
      <c r="H208" s="346"/>
      <c r="I208" s="346"/>
      <c r="J208" s="346"/>
      <c r="K208" s="346"/>
      <c r="L208" s="346"/>
      <c r="M208" s="346"/>
      <c r="N208" s="346"/>
      <c r="O208">
        <f t="shared" si="20"/>
        <v>0</v>
      </c>
      <c r="P208" s="351">
        <f t="shared" si="21"/>
        <v>0</v>
      </c>
    </row>
    <row r="209" spans="1:16">
      <c r="A209" s="165">
        <f>'Conveyor Downtime (new)'!A209</f>
        <v>46129</v>
      </c>
      <c r="O209">
        <f t="shared" si="20"/>
        <v>0</v>
      </c>
      <c r="P209" s="351">
        <f t="shared" si="21"/>
        <v>0</v>
      </c>
    </row>
    <row r="210" spans="1:16">
      <c r="A210" s="165">
        <f>'Conveyor Downtime (new)'!A210</f>
        <v>46129</v>
      </c>
      <c r="B210" s="346"/>
      <c r="C210" s="346">
        <v>36</v>
      </c>
      <c r="D210" s="346"/>
      <c r="E210" s="346"/>
      <c r="F210" s="346"/>
      <c r="G210" s="346"/>
      <c r="H210" s="346"/>
      <c r="I210" s="346"/>
      <c r="J210" s="346"/>
      <c r="K210" s="346"/>
      <c r="L210" s="346"/>
      <c r="M210" s="346"/>
      <c r="N210" s="346"/>
      <c r="O210">
        <f t="shared" si="20"/>
        <v>36</v>
      </c>
      <c r="P210" s="351">
        <f t="shared" si="21"/>
        <v>0.15384615384615385</v>
      </c>
    </row>
    <row r="211" spans="1:16">
      <c r="A211" s="165">
        <f>'Conveyor Downtime (new)'!A211</f>
        <v>46132</v>
      </c>
      <c r="O211">
        <f t="shared" si="20"/>
        <v>0</v>
      </c>
      <c r="P211" s="351">
        <f t="shared" si="21"/>
        <v>0</v>
      </c>
    </row>
    <row r="212" spans="1:16">
      <c r="A212" s="165">
        <f>'Conveyor Downtime (new)'!A212</f>
        <v>46132</v>
      </c>
      <c r="B212" s="346"/>
      <c r="C212" s="346"/>
      <c r="D212" s="346"/>
      <c r="E212" s="346"/>
      <c r="F212" s="346"/>
      <c r="G212" s="346"/>
      <c r="H212" s="346"/>
      <c r="I212" s="346"/>
      <c r="J212" s="346"/>
      <c r="K212" s="346"/>
      <c r="L212" s="346"/>
      <c r="M212" s="346"/>
      <c r="N212" s="346"/>
      <c r="O212">
        <f t="shared" si="20"/>
        <v>0</v>
      </c>
      <c r="P212" s="351">
        <f t="shared" si="21"/>
        <v>0</v>
      </c>
    </row>
    <row r="213" spans="1:16">
      <c r="A213" s="165">
        <f>'Conveyor Downtime (new)'!A213</f>
        <v>46132</v>
      </c>
      <c r="B213" s="346"/>
      <c r="C213" s="346"/>
      <c r="D213" s="346"/>
      <c r="E213" s="346"/>
      <c r="F213" s="346"/>
      <c r="G213" s="346"/>
      <c r="H213" s="346"/>
      <c r="I213" s="346"/>
      <c r="J213" s="346"/>
      <c r="K213" s="346"/>
      <c r="L213" s="346"/>
      <c r="M213" s="346"/>
      <c r="N213" s="346"/>
      <c r="O213">
        <f t="shared" si="20"/>
        <v>0</v>
      </c>
      <c r="P213" s="351">
        <f t="shared" si="21"/>
        <v>0</v>
      </c>
    </row>
    <row r="214" spans="1:16">
      <c r="A214" s="165">
        <f>'Conveyor Downtime (new)'!A214</f>
        <v>46133</v>
      </c>
      <c r="O214">
        <f t="shared" si="20"/>
        <v>0</v>
      </c>
      <c r="P214" s="351">
        <f t="shared" ref="P214:P219" si="22">O214/$O$243</f>
        <v>0</v>
      </c>
    </row>
    <row r="215" spans="1:16">
      <c r="A215" s="165">
        <f>'Conveyor Downtime (new)'!A215</f>
        <v>46133</v>
      </c>
      <c r="B215" s="346"/>
      <c r="C215" s="346"/>
      <c r="D215" s="346"/>
      <c r="E215" s="346"/>
      <c r="F215" s="346"/>
      <c r="G215" s="346"/>
      <c r="H215" s="346"/>
      <c r="I215" s="346"/>
      <c r="J215" s="346"/>
      <c r="K215" s="346"/>
      <c r="L215" s="346"/>
      <c r="M215" s="346"/>
      <c r="N215" s="346"/>
      <c r="O215">
        <f t="shared" si="20"/>
        <v>0</v>
      </c>
      <c r="P215" s="351">
        <f t="shared" si="22"/>
        <v>0</v>
      </c>
    </row>
    <row r="216" spans="1:16">
      <c r="A216" s="165">
        <f>'Conveyor Downtime (new)'!A216</f>
        <v>46134</v>
      </c>
      <c r="O216">
        <f t="shared" si="20"/>
        <v>0</v>
      </c>
      <c r="P216" s="351">
        <f t="shared" si="22"/>
        <v>0</v>
      </c>
    </row>
    <row r="217" spans="1:16">
      <c r="A217" s="165">
        <f>'Conveyor Downtime (new)'!A217</f>
        <v>46134</v>
      </c>
      <c r="B217" s="346"/>
      <c r="C217" s="346">
        <f>4</f>
        <v>4</v>
      </c>
      <c r="D217" s="346"/>
      <c r="E217" s="346"/>
      <c r="F217" s="346"/>
      <c r="G217" s="346"/>
      <c r="H217" s="346"/>
      <c r="I217" s="346"/>
      <c r="J217" s="346"/>
      <c r="K217" s="346"/>
      <c r="L217" s="346"/>
      <c r="M217" s="346"/>
      <c r="N217" s="346"/>
      <c r="O217">
        <f t="shared" si="20"/>
        <v>4</v>
      </c>
      <c r="P217" s="351">
        <f t="shared" si="22"/>
        <v>1.7094017094017096E-2</v>
      </c>
    </row>
    <row r="218" spans="1:16">
      <c r="A218" s="165">
        <f>'Conveyor Downtime (new)'!A218</f>
        <v>46135</v>
      </c>
      <c r="O218">
        <f t="shared" si="20"/>
        <v>0</v>
      </c>
      <c r="P218" s="351">
        <f t="shared" si="22"/>
        <v>0</v>
      </c>
    </row>
    <row r="219" spans="1:16">
      <c r="A219" s="165">
        <f>'Conveyor Downtime (new)'!A219</f>
        <v>46135</v>
      </c>
      <c r="B219" s="346"/>
      <c r="C219" s="346"/>
      <c r="D219" s="346"/>
      <c r="E219" s="346"/>
      <c r="F219" s="346"/>
      <c r="G219" s="346"/>
      <c r="H219" s="346"/>
      <c r="I219" s="346"/>
      <c r="J219" s="346"/>
      <c r="K219" s="346"/>
      <c r="L219" s="346"/>
      <c r="M219" s="346"/>
      <c r="N219" s="346"/>
      <c r="O219">
        <f t="shared" si="20"/>
        <v>0</v>
      </c>
      <c r="P219" s="351">
        <f t="shared" si="22"/>
        <v>0</v>
      </c>
    </row>
    <row r="220" spans="1:16">
      <c r="A220" s="165">
        <f>'Conveyor Downtime (new)'!A220</f>
        <v>46136</v>
      </c>
      <c r="O220">
        <f t="shared" ref="O220:O242" si="23">SUM(B220:N220)</f>
        <v>0</v>
      </c>
      <c r="P220" s="351">
        <f t="shared" ref="P220:P242" si="24">O220/$O$243</f>
        <v>0</v>
      </c>
    </row>
    <row r="221" spans="1:16">
      <c r="A221" s="165">
        <f>'Conveyor Downtime (new)'!A221</f>
        <v>46136</v>
      </c>
      <c r="B221" s="346"/>
      <c r="C221" s="346"/>
      <c r="D221" s="346"/>
      <c r="E221" s="346"/>
      <c r="F221" s="346"/>
      <c r="G221" s="346"/>
      <c r="H221" s="346"/>
      <c r="I221" s="346"/>
      <c r="J221" s="346"/>
      <c r="K221" s="346"/>
      <c r="L221" s="346"/>
      <c r="M221" s="346"/>
      <c r="N221" s="346"/>
      <c r="O221">
        <f t="shared" si="23"/>
        <v>0</v>
      </c>
      <c r="P221" s="351">
        <f t="shared" si="24"/>
        <v>0</v>
      </c>
    </row>
    <row r="222" spans="1:16">
      <c r="A222" s="165">
        <f>'Conveyor Downtime (new)'!A222</f>
        <v>46139</v>
      </c>
      <c r="O222">
        <f t="shared" si="23"/>
        <v>0</v>
      </c>
      <c r="P222" s="351">
        <f t="shared" si="24"/>
        <v>0</v>
      </c>
    </row>
    <row r="223" spans="1:16">
      <c r="A223" s="165">
        <f>'Conveyor Downtime (new)'!A223</f>
        <v>46140</v>
      </c>
      <c r="B223" s="346"/>
      <c r="C223" s="346"/>
      <c r="D223" s="346"/>
      <c r="E223" s="346"/>
      <c r="F223" s="346"/>
      <c r="G223" s="346"/>
      <c r="H223" s="346"/>
      <c r="I223" s="346"/>
      <c r="J223" s="346"/>
      <c r="K223" s="346"/>
      <c r="L223" s="346"/>
      <c r="M223" s="346"/>
      <c r="N223" s="346"/>
      <c r="O223">
        <f t="shared" si="23"/>
        <v>0</v>
      </c>
      <c r="P223" s="351">
        <f t="shared" si="24"/>
        <v>0</v>
      </c>
    </row>
    <row r="224" spans="1:16">
      <c r="A224" s="165">
        <f>'Conveyor Downtime (new)'!A224</f>
        <v>46141</v>
      </c>
      <c r="O224">
        <f t="shared" si="23"/>
        <v>0</v>
      </c>
      <c r="P224" s="351">
        <f t="shared" si="24"/>
        <v>0</v>
      </c>
    </row>
    <row r="225" spans="1:16">
      <c r="A225" s="165">
        <f>'Conveyor Downtime (new)'!A225</f>
        <v>46141</v>
      </c>
      <c r="B225" s="346">
        <f>6+6</f>
        <v>12</v>
      </c>
      <c r="C225" s="346"/>
      <c r="D225" s="346"/>
      <c r="E225" s="346"/>
      <c r="F225" s="346"/>
      <c r="G225" s="346"/>
      <c r="H225" s="346"/>
      <c r="I225" s="346"/>
      <c r="J225" s="346"/>
      <c r="K225" s="346"/>
      <c r="L225" s="346"/>
      <c r="M225" s="346"/>
      <c r="N225" s="346"/>
      <c r="O225">
        <f t="shared" si="23"/>
        <v>12</v>
      </c>
      <c r="P225" s="351">
        <f t="shared" si="24"/>
        <v>5.128205128205128E-2</v>
      </c>
    </row>
    <row r="226" spans="1:16">
      <c r="A226" s="165">
        <f>'Conveyor Downtime (new)'!A226</f>
        <v>46142</v>
      </c>
      <c r="O226">
        <f t="shared" si="23"/>
        <v>0</v>
      </c>
      <c r="P226" s="351">
        <f t="shared" si="24"/>
        <v>0</v>
      </c>
    </row>
    <row r="227" spans="1:16">
      <c r="A227" s="165">
        <f>'Conveyor Downtime (new)'!A227</f>
        <v>46142</v>
      </c>
      <c r="B227" s="346"/>
      <c r="C227" s="346"/>
      <c r="D227" s="346"/>
      <c r="E227" s="346"/>
      <c r="F227" s="346"/>
      <c r="G227" s="346"/>
      <c r="H227" s="346"/>
      <c r="I227" s="346"/>
      <c r="J227" s="346"/>
      <c r="K227" s="346"/>
      <c r="L227" s="346"/>
      <c r="M227" s="346"/>
      <c r="N227" s="346"/>
      <c r="O227">
        <f t="shared" si="23"/>
        <v>0</v>
      </c>
      <c r="P227" s="351">
        <f t="shared" si="24"/>
        <v>0</v>
      </c>
    </row>
    <row r="228" spans="1:16">
      <c r="A228" s="165">
        <f>'Conveyor Downtime (new)'!A228</f>
        <v>0</v>
      </c>
      <c r="O228">
        <f t="shared" si="23"/>
        <v>0</v>
      </c>
      <c r="P228" s="351">
        <f t="shared" si="24"/>
        <v>0</v>
      </c>
    </row>
    <row r="229" spans="1:16">
      <c r="A229" s="165">
        <f>'Conveyor Downtime (new)'!A229</f>
        <v>0</v>
      </c>
      <c r="B229" s="346"/>
      <c r="C229" s="346"/>
      <c r="D229" s="346"/>
      <c r="E229" s="346"/>
      <c r="F229" s="346"/>
      <c r="G229" s="346"/>
      <c r="H229" s="346"/>
      <c r="I229" s="346"/>
      <c r="J229" s="346"/>
      <c r="K229" s="346"/>
      <c r="L229" s="346"/>
      <c r="M229" s="346"/>
      <c r="N229" s="346"/>
      <c r="O229">
        <f t="shared" si="23"/>
        <v>0</v>
      </c>
      <c r="P229" s="351">
        <f t="shared" si="24"/>
        <v>0</v>
      </c>
    </row>
    <row r="230" spans="1:16">
      <c r="A230" s="165">
        <f>'Conveyor Downtime (new)'!A230</f>
        <v>0</v>
      </c>
      <c r="O230">
        <f t="shared" si="23"/>
        <v>0</v>
      </c>
      <c r="P230" s="351">
        <f t="shared" si="24"/>
        <v>0</v>
      </c>
    </row>
    <row r="231" spans="1:16">
      <c r="A231" s="165">
        <f>'Conveyor Downtime (new)'!A231</f>
        <v>0</v>
      </c>
      <c r="B231" s="346"/>
      <c r="C231" s="346"/>
      <c r="D231" s="346"/>
      <c r="E231" s="346"/>
      <c r="F231" s="346"/>
      <c r="G231" s="346"/>
      <c r="H231" s="346"/>
      <c r="I231" s="346"/>
      <c r="J231" s="346"/>
      <c r="K231" s="346"/>
      <c r="L231" s="346"/>
      <c r="M231" s="346"/>
      <c r="N231" s="346"/>
      <c r="O231">
        <f t="shared" si="23"/>
        <v>0</v>
      </c>
      <c r="P231" s="351">
        <f t="shared" si="24"/>
        <v>0</v>
      </c>
    </row>
    <row r="232" spans="1:16">
      <c r="A232" s="165">
        <f>'Conveyor Downtime (new)'!A232</f>
        <v>0</v>
      </c>
      <c r="O232">
        <f t="shared" si="23"/>
        <v>0</v>
      </c>
      <c r="P232" s="351">
        <f t="shared" si="24"/>
        <v>0</v>
      </c>
    </row>
    <row r="233" spans="1:16">
      <c r="A233" s="165">
        <f>'Conveyor Downtime (new)'!A233</f>
        <v>0</v>
      </c>
      <c r="B233" s="346"/>
      <c r="C233" s="346"/>
      <c r="D233" s="346"/>
      <c r="E233" s="346"/>
      <c r="F233" s="346"/>
      <c r="G233" s="346"/>
      <c r="H233" s="346"/>
      <c r="I233" s="346"/>
      <c r="J233" s="346"/>
      <c r="K233" s="346"/>
      <c r="L233" s="346"/>
      <c r="M233" s="346"/>
      <c r="N233" s="346"/>
      <c r="O233">
        <f t="shared" si="23"/>
        <v>0</v>
      </c>
      <c r="P233" s="351">
        <f t="shared" si="24"/>
        <v>0</v>
      </c>
    </row>
    <row r="234" spans="1:16">
      <c r="A234" s="165">
        <f>'Conveyor Downtime (new)'!A234</f>
        <v>0</v>
      </c>
      <c r="O234">
        <f t="shared" si="23"/>
        <v>0</v>
      </c>
      <c r="P234" s="351">
        <f t="shared" si="24"/>
        <v>0</v>
      </c>
    </row>
    <row r="235" spans="1:16">
      <c r="A235" s="165">
        <f>'Conveyor Downtime (new)'!A235</f>
        <v>0</v>
      </c>
      <c r="B235" s="346"/>
      <c r="C235" s="346"/>
      <c r="D235" s="346"/>
      <c r="E235" s="346"/>
      <c r="F235" s="346"/>
      <c r="G235" s="346"/>
      <c r="H235" s="346"/>
      <c r="I235" s="346"/>
      <c r="J235" s="346"/>
      <c r="K235" s="346"/>
      <c r="L235" s="346"/>
      <c r="M235" s="346"/>
      <c r="N235" s="346"/>
      <c r="O235">
        <f t="shared" si="23"/>
        <v>0</v>
      </c>
      <c r="P235" s="351">
        <f t="shared" si="24"/>
        <v>0</v>
      </c>
    </row>
    <row r="236" spans="1:16">
      <c r="A236" s="165">
        <f>'Conveyor Downtime (new)'!A236</f>
        <v>0</v>
      </c>
      <c r="O236">
        <f t="shared" si="23"/>
        <v>0</v>
      </c>
      <c r="P236" s="351">
        <f t="shared" si="24"/>
        <v>0</v>
      </c>
    </row>
    <row r="237" spans="1:16">
      <c r="A237" s="165">
        <f>'Conveyor Downtime (new)'!A237</f>
        <v>0</v>
      </c>
      <c r="B237" s="346"/>
      <c r="C237" s="346"/>
      <c r="D237" s="346"/>
      <c r="E237" s="346"/>
      <c r="F237" s="346"/>
      <c r="G237" s="346"/>
      <c r="H237" s="346"/>
      <c r="I237" s="346"/>
      <c r="J237" s="346"/>
      <c r="K237" s="346"/>
      <c r="L237" s="346"/>
      <c r="M237" s="346"/>
      <c r="N237" s="346"/>
      <c r="O237">
        <f t="shared" si="23"/>
        <v>0</v>
      </c>
      <c r="P237" s="351">
        <f t="shared" si="24"/>
        <v>0</v>
      </c>
    </row>
    <row r="238" spans="1:16">
      <c r="A238" s="165">
        <f>'Conveyor Downtime (new)'!A238</f>
        <v>0</v>
      </c>
      <c r="O238">
        <f t="shared" si="23"/>
        <v>0</v>
      </c>
      <c r="P238" s="351">
        <f t="shared" si="24"/>
        <v>0</v>
      </c>
    </row>
    <row r="239" spans="1:16">
      <c r="A239" s="165">
        <f>'Conveyor Downtime (new)'!A239</f>
        <v>0</v>
      </c>
      <c r="B239" s="346"/>
      <c r="C239" s="346"/>
      <c r="D239" s="346"/>
      <c r="E239" s="346"/>
      <c r="F239" s="346"/>
      <c r="G239" s="346"/>
      <c r="H239" s="346"/>
      <c r="I239" s="346"/>
      <c r="J239" s="346"/>
      <c r="K239" s="346"/>
      <c r="L239" s="346"/>
      <c r="M239" s="346"/>
      <c r="N239" s="346"/>
      <c r="O239">
        <f t="shared" si="23"/>
        <v>0</v>
      </c>
      <c r="P239" s="351">
        <f t="shared" si="24"/>
        <v>0</v>
      </c>
    </row>
    <row r="240" spans="1:16">
      <c r="A240" s="165">
        <f>'Conveyor Downtime (new)'!A240</f>
        <v>0</v>
      </c>
      <c r="O240">
        <f t="shared" si="23"/>
        <v>0</v>
      </c>
      <c r="P240" s="351">
        <f t="shared" si="24"/>
        <v>0</v>
      </c>
    </row>
    <row r="241" spans="1:16">
      <c r="A241" s="165">
        <f>'Conveyor Downtime (new)'!A241</f>
        <v>0</v>
      </c>
      <c r="B241" s="346"/>
      <c r="C241" s="346"/>
      <c r="D241" s="346"/>
      <c r="E241" s="346"/>
      <c r="F241" s="346"/>
      <c r="G241" s="346"/>
      <c r="H241" s="346"/>
      <c r="I241" s="346"/>
      <c r="J241" s="346"/>
      <c r="K241" s="346"/>
      <c r="L241" s="346"/>
      <c r="M241" s="346"/>
      <c r="N241" s="346"/>
      <c r="O241">
        <f t="shared" si="23"/>
        <v>0</v>
      </c>
      <c r="P241" s="351">
        <f t="shared" si="24"/>
        <v>0</v>
      </c>
    </row>
    <row r="242" spans="1:16" ht="13.5" thickBot="1">
      <c r="A242" s="165"/>
      <c r="O242">
        <f t="shared" si="23"/>
        <v>0</v>
      </c>
      <c r="P242" s="351">
        <f t="shared" si="24"/>
        <v>0</v>
      </c>
    </row>
    <row r="243" spans="1:16" ht="15">
      <c r="A243" s="654" t="s">
        <v>246</v>
      </c>
      <c r="B243" s="347">
        <f t="shared" ref="B243:N243" si="25">SUM(B187:B242)</f>
        <v>186</v>
      </c>
      <c r="C243" s="347">
        <f t="shared" si="25"/>
        <v>48</v>
      </c>
      <c r="D243" s="347">
        <f t="shared" si="25"/>
        <v>0</v>
      </c>
      <c r="E243" s="347">
        <f t="shared" si="25"/>
        <v>0</v>
      </c>
      <c r="F243" s="347">
        <f t="shared" si="25"/>
        <v>0</v>
      </c>
      <c r="G243" s="347">
        <f t="shared" si="25"/>
        <v>0</v>
      </c>
      <c r="H243" s="347">
        <f t="shared" si="25"/>
        <v>0</v>
      </c>
      <c r="I243" s="347">
        <f t="shared" si="25"/>
        <v>0</v>
      </c>
      <c r="J243" s="347">
        <f t="shared" si="25"/>
        <v>0</v>
      </c>
      <c r="K243" s="347">
        <f t="shared" si="25"/>
        <v>0</v>
      </c>
      <c r="L243" s="347">
        <f t="shared" si="25"/>
        <v>0</v>
      </c>
      <c r="M243" s="347">
        <f t="shared" si="25"/>
        <v>0</v>
      </c>
      <c r="N243" s="347">
        <f t="shared" si="25"/>
        <v>0</v>
      </c>
      <c r="O243" s="347">
        <f>SUM(O187:O242)</f>
        <v>234</v>
      </c>
    </row>
    <row r="244" spans="1:16" ht="15.75" thickBot="1">
      <c r="A244" s="655"/>
      <c r="B244" s="348">
        <f t="shared" ref="B244:H244" si="26">B243/$O243</f>
        <v>0.79487179487179482</v>
      </c>
      <c r="C244" s="348">
        <f t="shared" si="26"/>
        <v>0.20512820512820512</v>
      </c>
      <c r="D244" s="348">
        <f t="shared" si="26"/>
        <v>0</v>
      </c>
      <c r="E244" s="348">
        <f t="shared" si="26"/>
        <v>0</v>
      </c>
      <c r="F244" s="348">
        <f t="shared" si="26"/>
        <v>0</v>
      </c>
      <c r="G244" s="348">
        <f t="shared" si="26"/>
        <v>0</v>
      </c>
      <c r="H244" s="348">
        <f t="shared" si="26"/>
        <v>0</v>
      </c>
      <c r="I244" s="348">
        <f t="shared" ref="I244:N244" si="27">I243/$O243</f>
        <v>0</v>
      </c>
      <c r="J244" s="348">
        <f t="shared" si="27"/>
        <v>0</v>
      </c>
      <c r="K244" s="348">
        <f t="shared" si="27"/>
        <v>0</v>
      </c>
      <c r="L244" s="348">
        <f t="shared" si="27"/>
        <v>0</v>
      </c>
      <c r="M244" s="348">
        <f t="shared" si="27"/>
        <v>0</v>
      </c>
      <c r="N244" s="348">
        <f t="shared" si="27"/>
        <v>0</v>
      </c>
    </row>
    <row r="248" spans="1:16">
      <c r="A248" s="165">
        <f>'Conveyor Downtime (new)'!A248</f>
        <v>46146</v>
      </c>
      <c r="B248">
        <f>32</f>
        <v>32</v>
      </c>
      <c r="O248">
        <f t="shared" ref="O248:O279" si="28">SUM(B248:N248)</f>
        <v>32</v>
      </c>
      <c r="P248" s="351">
        <f>O248/$O$303</f>
        <v>0.43835616438356162</v>
      </c>
    </row>
    <row r="249" spans="1:16">
      <c r="A249" s="165">
        <f>'Conveyor Downtime (new)'!A249</f>
        <v>46146</v>
      </c>
      <c r="B249" s="346"/>
      <c r="C249" s="346"/>
      <c r="D249" s="346"/>
      <c r="E249" s="346"/>
      <c r="F249" s="346"/>
      <c r="G249" s="346"/>
      <c r="H249" s="346"/>
      <c r="I249" s="346"/>
      <c r="J249" s="346"/>
      <c r="K249" s="346"/>
      <c r="L249" s="346"/>
      <c r="M249" s="346"/>
      <c r="N249" s="346"/>
      <c r="O249">
        <f t="shared" si="28"/>
        <v>0</v>
      </c>
      <c r="P249" s="351">
        <f t="shared" ref="P249:P302" si="29">O249/$O$303</f>
        <v>0</v>
      </c>
    </row>
    <row r="250" spans="1:16">
      <c r="A250" s="165">
        <f>'Conveyor Downtime (new)'!A250</f>
        <v>46147</v>
      </c>
      <c r="B250">
        <f>11+30</f>
        <v>41</v>
      </c>
      <c r="O250">
        <f t="shared" si="28"/>
        <v>41</v>
      </c>
      <c r="P250" s="351">
        <f t="shared" si="29"/>
        <v>0.56164383561643838</v>
      </c>
    </row>
    <row r="251" spans="1:16">
      <c r="A251" s="165">
        <f>'Conveyor Downtime (new)'!A251</f>
        <v>46147</v>
      </c>
      <c r="O251">
        <f t="shared" si="28"/>
        <v>0</v>
      </c>
      <c r="P251" s="351">
        <f t="shared" si="29"/>
        <v>0</v>
      </c>
    </row>
    <row r="252" spans="1:16" ht="14.1" customHeight="1">
      <c r="A252" s="165">
        <f>'Conveyor Downtime (new)'!A252</f>
        <v>46148</v>
      </c>
      <c r="B252" s="346"/>
      <c r="C252" s="346"/>
      <c r="D252" s="346"/>
      <c r="E252" s="346"/>
      <c r="F252" s="346"/>
      <c r="G252" s="346"/>
      <c r="H252" s="346"/>
      <c r="I252" s="346"/>
      <c r="J252" s="346"/>
      <c r="K252" s="346"/>
      <c r="L252" s="346"/>
      <c r="M252" s="346"/>
      <c r="N252" s="346"/>
      <c r="O252">
        <f t="shared" si="28"/>
        <v>0</v>
      </c>
      <c r="P252" s="351">
        <f t="shared" si="29"/>
        <v>0</v>
      </c>
    </row>
    <row r="253" spans="1:16">
      <c r="A253" s="165">
        <f>'Conveyor Downtime (new)'!A253</f>
        <v>46149</v>
      </c>
      <c r="O253">
        <f t="shared" si="28"/>
        <v>0</v>
      </c>
      <c r="P253" s="351">
        <f t="shared" si="29"/>
        <v>0</v>
      </c>
    </row>
    <row r="254" spans="1:16">
      <c r="A254" s="165">
        <f>'Conveyor Downtime (new)'!A254</f>
        <v>46149</v>
      </c>
      <c r="B254" s="346"/>
      <c r="C254" s="346"/>
      <c r="D254" s="346"/>
      <c r="E254" s="346"/>
      <c r="F254" s="346"/>
      <c r="G254" s="346"/>
      <c r="H254" s="346"/>
      <c r="I254" s="346"/>
      <c r="J254" s="346"/>
      <c r="K254" s="346"/>
      <c r="L254" s="346"/>
      <c r="M254" s="346"/>
      <c r="N254" s="346"/>
      <c r="O254">
        <f t="shared" si="28"/>
        <v>0</v>
      </c>
      <c r="P254" s="351">
        <f t="shared" si="29"/>
        <v>0</v>
      </c>
    </row>
    <row r="255" spans="1:16">
      <c r="A255" s="165">
        <f>'Conveyor Downtime (new)'!A255</f>
        <v>46149</v>
      </c>
      <c r="O255">
        <f t="shared" si="28"/>
        <v>0</v>
      </c>
      <c r="P255" s="351">
        <f t="shared" si="29"/>
        <v>0</v>
      </c>
    </row>
    <row r="256" spans="1:16">
      <c r="A256" s="165">
        <f>'Conveyor Downtime (new)'!A256</f>
        <v>46150</v>
      </c>
      <c r="O256">
        <f t="shared" si="28"/>
        <v>0</v>
      </c>
      <c r="P256" s="351">
        <f t="shared" si="29"/>
        <v>0</v>
      </c>
    </row>
    <row r="257" spans="1:16">
      <c r="A257" s="165">
        <f>'Conveyor Downtime (new)'!A257</f>
        <v>46150</v>
      </c>
      <c r="B257" s="346"/>
      <c r="C257" s="346"/>
      <c r="D257" s="346"/>
      <c r="E257" s="346"/>
      <c r="F257" s="346"/>
      <c r="G257" s="346"/>
      <c r="H257" s="346"/>
      <c r="I257" s="346"/>
      <c r="J257" s="346"/>
      <c r="K257" s="346"/>
      <c r="L257" s="346"/>
      <c r="M257" s="346"/>
      <c r="N257" s="346"/>
      <c r="O257">
        <f t="shared" si="28"/>
        <v>0</v>
      </c>
      <c r="P257" s="351">
        <f t="shared" si="29"/>
        <v>0</v>
      </c>
    </row>
    <row r="258" spans="1:16">
      <c r="A258" s="165">
        <f>'Conveyor Downtime (new)'!A258</f>
        <v>46151</v>
      </c>
      <c r="O258">
        <f t="shared" si="28"/>
        <v>0</v>
      </c>
      <c r="P258" s="351">
        <f t="shared" si="29"/>
        <v>0</v>
      </c>
    </row>
    <row r="259" spans="1:16">
      <c r="A259" s="165">
        <f>'Conveyor Downtime (new)'!A259</f>
        <v>46153</v>
      </c>
      <c r="B259" s="346"/>
      <c r="C259" s="346"/>
      <c r="D259" s="346"/>
      <c r="E259" s="346"/>
      <c r="F259" s="346"/>
      <c r="G259" s="346"/>
      <c r="H259" s="346"/>
      <c r="I259" s="346"/>
      <c r="J259" s="346"/>
      <c r="K259" s="346"/>
      <c r="L259" s="346"/>
      <c r="M259" s="346"/>
      <c r="N259" s="346"/>
      <c r="O259">
        <f t="shared" si="28"/>
        <v>0</v>
      </c>
      <c r="P259" s="351">
        <f t="shared" si="29"/>
        <v>0</v>
      </c>
    </row>
    <row r="260" spans="1:16">
      <c r="A260" s="165">
        <f>'Conveyor Downtime (new)'!A260</f>
        <v>46154</v>
      </c>
      <c r="O260">
        <f t="shared" si="28"/>
        <v>0</v>
      </c>
      <c r="P260" s="351">
        <f t="shared" si="29"/>
        <v>0</v>
      </c>
    </row>
    <row r="261" spans="1:16">
      <c r="A261" s="165">
        <f>'Conveyor Downtime (new)'!A261</f>
        <v>46154</v>
      </c>
      <c r="B261" s="346"/>
      <c r="C261" s="346"/>
      <c r="D261" s="346"/>
      <c r="E261" s="346"/>
      <c r="F261" s="346"/>
      <c r="G261" s="346"/>
      <c r="H261" s="346"/>
      <c r="I261" s="346"/>
      <c r="J261" s="346"/>
      <c r="K261" s="346"/>
      <c r="L261" s="346"/>
      <c r="M261" s="346"/>
      <c r="N261" s="346"/>
      <c r="O261">
        <f t="shared" si="28"/>
        <v>0</v>
      </c>
      <c r="P261" s="351">
        <f t="shared" si="29"/>
        <v>0</v>
      </c>
    </row>
    <row r="262" spans="1:16">
      <c r="A262" s="165">
        <f>'Conveyor Downtime (new)'!A262</f>
        <v>46155</v>
      </c>
      <c r="O262">
        <f t="shared" si="28"/>
        <v>0</v>
      </c>
      <c r="P262" s="351">
        <f t="shared" si="29"/>
        <v>0</v>
      </c>
    </row>
    <row r="263" spans="1:16">
      <c r="A263" s="165">
        <f>'Conveyor Downtime (new)'!A263</f>
        <v>46155</v>
      </c>
      <c r="B263" s="346"/>
      <c r="C263" s="346"/>
      <c r="D263" s="346"/>
      <c r="E263" s="346"/>
      <c r="F263" s="346"/>
      <c r="G263" s="346"/>
      <c r="H263" s="346"/>
      <c r="I263" s="346"/>
      <c r="J263" s="346"/>
      <c r="K263" s="346"/>
      <c r="L263" s="346"/>
      <c r="M263" s="346"/>
      <c r="N263" s="346"/>
      <c r="O263">
        <f t="shared" si="28"/>
        <v>0</v>
      </c>
      <c r="P263" s="351">
        <f t="shared" si="29"/>
        <v>0</v>
      </c>
    </row>
    <row r="264" spans="1:16">
      <c r="A264" s="165">
        <f>'Conveyor Downtime (new)'!A264</f>
        <v>46156</v>
      </c>
      <c r="O264">
        <f t="shared" si="28"/>
        <v>0</v>
      </c>
      <c r="P264" s="351">
        <f t="shared" si="29"/>
        <v>0</v>
      </c>
    </row>
    <row r="265" spans="1:16">
      <c r="A265" s="165">
        <f>'Conveyor Downtime (new)'!A265</f>
        <v>46156</v>
      </c>
      <c r="B265" s="346"/>
      <c r="C265" s="346"/>
      <c r="D265" s="346"/>
      <c r="E265" s="346"/>
      <c r="F265" s="346"/>
      <c r="G265" s="346"/>
      <c r="H265" s="346"/>
      <c r="I265" s="346"/>
      <c r="J265" s="346"/>
      <c r="K265" s="346"/>
      <c r="L265" s="346"/>
      <c r="M265" s="346"/>
      <c r="N265" s="346"/>
      <c r="O265">
        <f t="shared" si="28"/>
        <v>0</v>
      </c>
      <c r="P265" s="351">
        <f t="shared" si="29"/>
        <v>0</v>
      </c>
    </row>
    <row r="266" spans="1:16">
      <c r="A266" s="165">
        <f>'Conveyor Downtime (new)'!A266</f>
        <v>46156</v>
      </c>
      <c r="O266">
        <f t="shared" si="28"/>
        <v>0</v>
      </c>
      <c r="P266" s="351">
        <f t="shared" si="29"/>
        <v>0</v>
      </c>
    </row>
    <row r="267" spans="1:16">
      <c r="A267" s="165">
        <f>'Conveyor Downtime (new)'!A267</f>
        <v>46156</v>
      </c>
      <c r="B267" s="346"/>
      <c r="C267" s="346"/>
      <c r="D267" s="346"/>
      <c r="E267" s="346"/>
      <c r="F267" s="346"/>
      <c r="G267" s="346"/>
      <c r="H267" s="346"/>
      <c r="I267" s="346"/>
      <c r="J267" s="346"/>
      <c r="K267" s="346"/>
      <c r="L267" s="346"/>
      <c r="M267" s="346"/>
      <c r="N267" s="346"/>
      <c r="O267">
        <f t="shared" si="28"/>
        <v>0</v>
      </c>
      <c r="P267" s="351">
        <f t="shared" si="29"/>
        <v>0</v>
      </c>
    </row>
    <row r="268" spans="1:16">
      <c r="A268" s="165">
        <f>'Conveyor Downtime (new)'!A268</f>
        <v>46157</v>
      </c>
      <c r="O268">
        <f t="shared" si="28"/>
        <v>0</v>
      </c>
      <c r="P268" s="351">
        <f t="shared" si="29"/>
        <v>0</v>
      </c>
    </row>
    <row r="269" spans="1:16">
      <c r="A269" s="165">
        <f>'Conveyor Downtime (new)'!A269</f>
        <v>46157</v>
      </c>
      <c r="B269" s="346"/>
      <c r="C269" s="346"/>
      <c r="D269" s="346"/>
      <c r="E269" s="346"/>
      <c r="F269" s="346"/>
      <c r="G269" s="346"/>
      <c r="H269" s="346"/>
      <c r="I269" s="346"/>
      <c r="J269" s="346"/>
      <c r="K269" s="346"/>
      <c r="L269" s="346"/>
      <c r="M269" s="346"/>
      <c r="N269" s="346"/>
      <c r="O269">
        <f t="shared" si="28"/>
        <v>0</v>
      </c>
      <c r="P269" s="351">
        <f t="shared" si="29"/>
        <v>0</v>
      </c>
    </row>
    <row r="270" spans="1:16">
      <c r="A270" s="165">
        <f>'Conveyor Downtime (new)'!A270</f>
        <v>46158</v>
      </c>
      <c r="O270">
        <f t="shared" si="28"/>
        <v>0</v>
      </c>
      <c r="P270" s="351">
        <f t="shared" si="29"/>
        <v>0</v>
      </c>
    </row>
    <row r="271" spans="1:16">
      <c r="A271" s="165">
        <f>'Conveyor Downtime (new)'!A271</f>
        <v>46160</v>
      </c>
      <c r="B271" s="346"/>
      <c r="C271" s="346"/>
      <c r="D271" s="346"/>
      <c r="E271" s="346"/>
      <c r="F271" s="346"/>
      <c r="G271" s="346"/>
      <c r="H271" s="346"/>
      <c r="I271" s="346"/>
      <c r="J271" s="346"/>
      <c r="K271" s="346"/>
      <c r="L271" s="346"/>
      <c r="M271" s="346"/>
      <c r="N271" s="346"/>
      <c r="O271">
        <f t="shared" si="28"/>
        <v>0</v>
      </c>
      <c r="P271" s="351">
        <f t="shared" si="29"/>
        <v>0</v>
      </c>
    </row>
    <row r="272" spans="1:16">
      <c r="A272" s="165">
        <f>'Conveyor Downtime (new)'!A272</f>
        <v>46160</v>
      </c>
      <c r="O272">
        <f t="shared" si="28"/>
        <v>0</v>
      </c>
      <c r="P272" s="351">
        <f t="shared" si="29"/>
        <v>0</v>
      </c>
    </row>
    <row r="273" spans="1:16">
      <c r="A273" s="165">
        <f>'Conveyor Downtime (new)'!A273</f>
        <v>46161</v>
      </c>
      <c r="B273" s="346"/>
      <c r="C273" s="346"/>
      <c r="D273" s="346"/>
      <c r="E273" s="346"/>
      <c r="F273" s="346"/>
      <c r="G273" s="346"/>
      <c r="H273" s="346"/>
      <c r="I273" s="346"/>
      <c r="J273" s="346"/>
      <c r="K273" s="346"/>
      <c r="L273" s="346"/>
      <c r="M273" s="346"/>
      <c r="N273" s="346"/>
      <c r="O273">
        <f t="shared" si="28"/>
        <v>0</v>
      </c>
      <c r="P273" s="351">
        <f t="shared" si="29"/>
        <v>0</v>
      </c>
    </row>
    <row r="274" spans="1:16">
      <c r="A274" s="165">
        <f>'Conveyor Downtime (new)'!A274</f>
        <v>46161</v>
      </c>
      <c r="O274">
        <f t="shared" si="28"/>
        <v>0</v>
      </c>
      <c r="P274" s="351">
        <f t="shared" si="29"/>
        <v>0</v>
      </c>
    </row>
    <row r="275" spans="1:16">
      <c r="A275" s="165">
        <f>'Conveyor Downtime (new)'!A275</f>
        <v>46161</v>
      </c>
      <c r="B275" s="346"/>
      <c r="C275" s="346"/>
      <c r="D275" s="346"/>
      <c r="E275" s="346"/>
      <c r="F275" s="346"/>
      <c r="G275" s="346"/>
      <c r="H275" s="346"/>
      <c r="I275" s="346"/>
      <c r="J275" s="346"/>
      <c r="K275" s="346"/>
      <c r="L275" s="346"/>
      <c r="M275" s="346"/>
      <c r="N275" s="346"/>
      <c r="O275">
        <f t="shared" si="28"/>
        <v>0</v>
      </c>
      <c r="P275" s="351">
        <f t="shared" si="29"/>
        <v>0</v>
      </c>
    </row>
    <row r="276" spans="1:16">
      <c r="A276" s="165">
        <f>'Conveyor Downtime (new)'!A276</f>
        <v>46162</v>
      </c>
      <c r="O276">
        <f t="shared" si="28"/>
        <v>0</v>
      </c>
      <c r="P276" s="351">
        <f t="shared" si="29"/>
        <v>0</v>
      </c>
    </row>
    <row r="277" spans="1:16">
      <c r="A277" s="165">
        <f>'Conveyor Downtime (new)'!A277</f>
        <v>46162</v>
      </c>
      <c r="B277" s="346"/>
      <c r="C277" s="346"/>
      <c r="D277" s="346"/>
      <c r="E277" s="346"/>
      <c r="F277" s="346"/>
      <c r="G277" s="346"/>
      <c r="H277" s="346"/>
      <c r="I277" s="346"/>
      <c r="J277" s="346"/>
      <c r="K277" s="346"/>
      <c r="L277" s="346"/>
      <c r="M277" s="346"/>
      <c r="N277" s="346"/>
      <c r="O277">
        <f t="shared" si="28"/>
        <v>0</v>
      </c>
      <c r="P277" s="351">
        <f t="shared" si="29"/>
        <v>0</v>
      </c>
    </row>
    <row r="278" spans="1:16">
      <c r="A278" s="165">
        <f>'Conveyor Downtime (new)'!A278</f>
        <v>46163</v>
      </c>
      <c r="O278">
        <f t="shared" si="28"/>
        <v>0</v>
      </c>
      <c r="P278" s="351">
        <f t="shared" si="29"/>
        <v>0</v>
      </c>
    </row>
    <row r="279" spans="1:16">
      <c r="A279" s="165">
        <f>'Conveyor Downtime (new)'!A279</f>
        <v>46163</v>
      </c>
      <c r="B279" s="346"/>
      <c r="C279" s="346"/>
      <c r="D279" s="346"/>
      <c r="E279" s="346"/>
      <c r="F279" s="346"/>
      <c r="G279" s="346"/>
      <c r="H279" s="346"/>
      <c r="I279" s="346"/>
      <c r="J279" s="346"/>
      <c r="K279" s="346"/>
      <c r="L279" s="346"/>
      <c r="M279" s="346"/>
      <c r="N279" s="346"/>
      <c r="O279">
        <f t="shared" si="28"/>
        <v>0</v>
      </c>
      <c r="P279" s="351">
        <f t="shared" si="29"/>
        <v>0</v>
      </c>
    </row>
    <row r="280" spans="1:16">
      <c r="A280" s="165">
        <f>'Conveyor Downtime (new)'!A280</f>
        <v>46163</v>
      </c>
      <c r="O280">
        <f t="shared" ref="O280:O302" si="30">SUM(B280:N280)</f>
        <v>0</v>
      </c>
      <c r="P280" s="351">
        <f t="shared" si="29"/>
        <v>0</v>
      </c>
    </row>
    <row r="281" spans="1:16">
      <c r="A281" s="165">
        <f>'Conveyor Downtime (new)'!A281</f>
        <v>46164</v>
      </c>
      <c r="B281" s="346"/>
      <c r="C281" s="346"/>
      <c r="D281" s="346"/>
      <c r="E281" s="346"/>
      <c r="F281" s="346"/>
      <c r="G281" s="346"/>
      <c r="H281" s="346"/>
      <c r="I281" s="346"/>
      <c r="J281" s="346"/>
      <c r="K281" s="346"/>
      <c r="L281" s="346"/>
      <c r="M281" s="346"/>
      <c r="N281" s="346"/>
      <c r="O281">
        <f t="shared" si="30"/>
        <v>0</v>
      </c>
      <c r="P281" s="351">
        <f t="shared" si="29"/>
        <v>0</v>
      </c>
    </row>
    <row r="282" spans="1:16">
      <c r="A282" s="165">
        <f>'Conveyor Downtime (new)'!A282</f>
        <v>46164</v>
      </c>
      <c r="O282">
        <f t="shared" si="30"/>
        <v>0</v>
      </c>
      <c r="P282" s="351">
        <f t="shared" si="29"/>
        <v>0</v>
      </c>
    </row>
    <row r="283" spans="1:16">
      <c r="A283" s="165">
        <f>'Conveyor Downtime (new)'!A283</f>
        <v>46164</v>
      </c>
      <c r="B283" s="346"/>
      <c r="C283" s="346"/>
      <c r="D283" s="346"/>
      <c r="E283" s="346"/>
      <c r="F283" s="346"/>
      <c r="G283" s="346"/>
      <c r="H283" s="346"/>
      <c r="I283" s="346"/>
      <c r="J283" s="346"/>
      <c r="K283" s="346"/>
      <c r="L283" s="346"/>
      <c r="M283" s="346"/>
      <c r="N283" s="346"/>
      <c r="O283">
        <f t="shared" si="30"/>
        <v>0</v>
      </c>
      <c r="P283" s="351">
        <f t="shared" si="29"/>
        <v>0</v>
      </c>
    </row>
    <row r="284" spans="1:16">
      <c r="A284" s="165">
        <f>'Conveyor Downtime (new)'!A284</f>
        <v>46168</v>
      </c>
      <c r="O284">
        <f t="shared" si="30"/>
        <v>0</v>
      </c>
      <c r="P284" s="351">
        <f t="shared" si="29"/>
        <v>0</v>
      </c>
    </row>
    <row r="285" spans="1:16">
      <c r="A285" s="165">
        <f>'Conveyor Downtime (new)'!A285</f>
        <v>46169</v>
      </c>
      <c r="B285" s="346"/>
      <c r="C285" s="346"/>
      <c r="D285" s="346"/>
      <c r="E285" s="346"/>
      <c r="F285" s="346"/>
      <c r="G285" s="346"/>
      <c r="H285" s="346"/>
      <c r="I285" s="346"/>
      <c r="J285" s="346"/>
      <c r="K285" s="346"/>
      <c r="L285" s="346"/>
      <c r="M285" s="346"/>
      <c r="N285" s="346"/>
      <c r="O285">
        <f t="shared" si="30"/>
        <v>0</v>
      </c>
      <c r="P285" s="351">
        <f t="shared" si="29"/>
        <v>0</v>
      </c>
    </row>
    <row r="286" spans="1:16">
      <c r="A286" s="165">
        <f>'Conveyor Downtime (new)'!A286</f>
        <v>46169</v>
      </c>
      <c r="O286">
        <f t="shared" si="30"/>
        <v>0</v>
      </c>
      <c r="P286" s="351">
        <f t="shared" si="29"/>
        <v>0</v>
      </c>
    </row>
    <row r="287" spans="1:16">
      <c r="A287" s="165">
        <f>'Conveyor Downtime (new)'!A287</f>
        <v>46170</v>
      </c>
      <c r="B287" s="346"/>
      <c r="C287" s="346"/>
      <c r="D287" s="346"/>
      <c r="E287" s="346"/>
      <c r="F287" s="346"/>
      <c r="G287" s="346"/>
      <c r="H287" s="346"/>
      <c r="I287" s="346"/>
      <c r="J287" s="346"/>
      <c r="K287" s="346"/>
      <c r="L287" s="346"/>
      <c r="M287" s="346"/>
      <c r="N287" s="346"/>
      <c r="O287">
        <f t="shared" si="30"/>
        <v>0</v>
      </c>
      <c r="P287" s="351">
        <f t="shared" si="29"/>
        <v>0</v>
      </c>
    </row>
    <row r="288" spans="1:16">
      <c r="A288" s="165">
        <f>'Conveyor Downtime (new)'!A288</f>
        <v>0</v>
      </c>
      <c r="O288">
        <f t="shared" si="30"/>
        <v>0</v>
      </c>
      <c r="P288" s="351">
        <f t="shared" si="29"/>
        <v>0</v>
      </c>
    </row>
    <row r="289" spans="1:16">
      <c r="A289" s="165">
        <f>'Conveyor Downtime (new)'!A289</f>
        <v>0</v>
      </c>
      <c r="B289" s="346"/>
      <c r="C289" s="346"/>
      <c r="D289" s="346"/>
      <c r="E289" s="346"/>
      <c r="F289" s="346"/>
      <c r="G289" s="346"/>
      <c r="H289" s="346"/>
      <c r="I289" s="346"/>
      <c r="J289" s="346"/>
      <c r="K289" s="346"/>
      <c r="L289" s="346"/>
      <c r="M289" s="346"/>
      <c r="N289" s="346"/>
      <c r="O289">
        <f t="shared" si="30"/>
        <v>0</v>
      </c>
      <c r="P289" s="351">
        <f t="shared" si="29"/>
        <v>0</v>
      </c>
    </row>
    <row r="290" spans="1:16">
      <c r="A290" s="165">
        <f>'Conveyor Downtime (new)'!A290</f>
        <v>0</v>
      </c>
      <c r="O290">
        <f t="shared" si="30"/>
        <v>0</v>
      </c>
      <c r="P290" s="351">
        <f t="shared" si="29"/>
        <v>0</v>
      </c>
    </row>
    <row r="291" spans="1:16">
      <c r="A291" s="165">
        <f>'Conveyor Downtime (new)'!A291</f>
        <v>0</v>
      </c>
      <c r="B291" s="346"/>
      <c r="C291" s="346"/>
      <c r="D291" s="346"/>
      <c r="E291" s="346"/>
      <c r="F291" s="346"/>
      <c r="G291" s="346"/>
      <c r="H291" s="346"/>
      <c r="I291" s="346"/>
      <c r="J291" s="346"/>
      <c r="K291" s="346"/>
      <c r="L291" s="346"/>
      <c r="M291" s="346"/>
      <c r="N291" s="346"/>
      <c r="O291">
        <f t="shared" si="30"/>
        <v>0</v>
      </c>
      <c r="P291" s="351">
        <f t="shared" si="29"/>
        <v>0</v>
      </c>
    </row>
    <row r="292" spans="1:16">
      <c r="A292" s="165">
        <f>'Conveyor Downtime (new)'!A292</f>
        <v>0</v>
      </c>
      <c r="O292">
        <f t="shared" si="30"/>
        <v>0</v>
      </c>
      <c r="P292" s="351">
        <f t="shared" si="29"/>
        <v>0</v>
      </c>
    </row>
    <row r="293" spans="1:16">
      <c r="A293" s="165">
        <f>'Conveyor Downtime (new)'!A293</f>
        <v>0</v>
      </c>
      <c r="B293" s="346"/>
      <c r="C293" s="346"/>
      <c r="D293" s="346"/>
      <c r="E293" s="346"/>
      <c r="F293" s="346"/>
      <c r="G293" s="346"/>
      <c r="H293" s="346"/>
      <c r="I293" s="346"/>
      <c r="J293" s="346"/>
      <c r="K293" s="346"/>
      <c r="L293" s="346"/>
      <c r="M293" s="346"/>
      <c r="N293" s="346"/>
      <c r="O293">
        <f t="shared" si="30"/>
        <v>0</v>
      </c>
      <c r="P293" s="351">
        <f t="shared" si="29"/>
        <v>0</v>
      </c>
    </row>
    <row r="294" spans="1:16">
      <c r="A294" s="165">
        <f>'Conveyor Downtime (new)'!A294</f>
        <v>0</v>
      </c>
      <c r="O294">
        <f t="shared" si="30"/>
        <v>0</v>
      </c>
      <c r="P294" s="351">
        <f t="shared" si="29"/>
        <v>0</v>
      </c>
    </row>
    <row r="295" spans="1:16">
      <c r="A295" s="165">
        <f>'Conveyor Downtime (new)'!A295</f>
        <v>0</v>
      </c>
      <c r="B295" s="346"/>
      <c r="C295" s="346"/>
      <c r="D295" s="346"/>
      <c r="E295" s="346"/>
      <c r="F295" s="346"/>
      <c r="G295" s="346"/>
      <c r="H295" s="346"/>
      <c r="I295" s="346"/>
      <c r="J295" s="346"/>
      <c r="K295" s="346"/>
      <c r="L295" s="346"/>
      <c r="M295" s="346"/>
      <c r="N295" s="346"/>
      <c r="O295">
        <f t="shared" si="30"/>
        <v>0</v>
      </c>
      <c r="P295" s="351">
        <f t="shared" si="29"/>
        <v>0</v>
      </c>
    </row>
    <row r="296" spans="1:16">
      <c r="A296" s="165">
        <f>'Conveyor Downtime (new)'!A296</f>
        <v>0</v>
      </c>
      <c r="O296">
        <f t="shared" si="30"/>
        <v>0</v>
      </c>
      <c r="P296" s="351">
        <f t="shared" si="29"/>
        <v>0</v>
      </c>
    </row>
    <row r="297" spans="1:16">
      <c r="A297" s="165">
        <f>'Conveyor Downtime (new)'!A297</f>
        <v>0</v>
      </c>
      <c r="B297" s="346"/>
      <c r="C297" s="346"/>
      <c r="D297" s="346"/>
      <c r="E297" s="346"/>
      <c r="F297" s="346"/>
      <c r="G297" s="346"/>
      <c r="H297" s="346"/>
      <c r="I297" s="346"/>
      <c r="J297" s="346"/>
      <c r="K297" s="346"/>
      <c r="L297" s="346"/>
      <c r="M297" s="346"/>
      <c r="N297" s="346"/>
      <c r="O297">
        <f t="shared" si="30"/>
        <v>0</v>
      </c>
      <c r="P297" s="351">
        <f t="shared" si="29"/>
        <v>0</v>
      </c>
    </row>
    <row r="298" spans="1:16">
      <c r="A298" s="165">
        <f>'Conveyor Downtime (new)'!A298</f>
        <v>0</v>
      </c>
      <c r="O298">
        <f t="shared" si="30"/>
        <v>0</v>
      </c>
      <c r="P298" s="351">
        <f t="shared" si="29"/>
        <v>0</v>
      </c>
    </row>
    <row r="299" spans="1:16">
      <c r="A299" s="165">
        <f>'Conveyor Downtime (new)'!A299</f>
        <v>0</v>
      </c>
      <c r="B299" s="346"/>
      <c r="C299" s="346"/>
      <c r="D299" s="346"/>
      <c r="E299" s="346"/>
      <c r="F299" s="346"/>
      <c r="G299" s="346"/>
      <c r="H299" s="346"/>
      <c r="I299" s="346"/>
      <c r="J299" s="346"/>
      <c r="K299" s="346"/>
      <c r="L299" s="346"/>
      <c r="M299" s="346"/>
      <c r="N299" s="346"/>
      <c r="O299">
        <f t="shared" si="30"/>
        <v>0</v>
      </c>
      <c r="P299" s="351">
        <f t="shared" si="29"/>
        <v>0</v>
      </c>
    </row>
    <row r="300" spans="1:16">
      <c r="A300" s="165">
        <f>'Conveyor Downtime (new)'!A300</f>
        <v>0</v>
      </c>
      <c r="O300">
        <f t="shared" si="30"/>
        <v>0</v>
      </c>
      <c r="P300" s="351">
        <f t="shared" si="29"/>
        <v>0</v>
      </c>
    </row>
    <row r="301" spans="1:16">
      <c r="A301" s="165"/>
      <c r="B301" s="346"/>
      <c r="C301" s="346"/>
      <c r="D301" s="346"/>
      <c r="E301" s="346"/>
      <c r="F301" s="346"/>
      <c r="G301" s="346"/>
      <c r="H301" s="346"/>
      <c r="I301" s="346"/>
      <c r="J301" s="346"/>
      <c r="K301" s="346"/>
      <c r="L301" s="346"/>
      <c r="M301" s="346"/>
      <c r="N301" s="346"/>
      <c r="O301">
        <f t="shared" si="30"/>
        <v>0</v>
      </c>
      <c r="P301" s="351">
        <f t="shared" si="29"/>
        <v>0</v>
      </c>
    </row>
    <row r="302" spans="1:16" ht="13.5" thickBot="1">
      <c r="A302" s="165"/>
      <c r="O302">
        <f t="shared" si="30"/>
        <v>0</v>
      </c>
      <c r="P302" s="351">
        <f t="shared" si="29"/>
        <v>0</v>
      </c>
    </row>
    <row r="303" spans="1:16" ht="15">
      <c r="A303" s="654" t="s">
        <v>246</v>
      </c>
      <c r="B303" s="347">
        <f t="shared" ref="B303:N303" si="31">SUM(B248:B302)</f>
        <v>73</v>
      </c>
      <c r="C303" s="347">
        <f t="shared" si="31"/>
        <v>0</v>
      </c>
      <c r="D303" s="347">
        <f t="shared" si="31"/>
        <v>0</v>
      </c>
      <c r="E303" s="347">
        <f t="shared" si="31"/>
        <v>0</v>
      </c>
      <c r="F303" s="347">
        <f t="shared" si="31"/>
        <v>0</v>
      </c>
      <c r="G303" s="347">
        <f t="shared" si="31"/>
        <v>0</v>
      </c>
      <c r="H303" s="347">
        <f t="shared" si="31"/>
        <v>0</v>
      </c>
      <c r="I303" s="347">
        <f t="shared" si="31"/>
        <v>0</v>
      </c>
      <c r="J303" s="347">
        <f t="shared" si="31"/>
        <v>0</v>
      </c>
      <c r="K303" s="347">
        <f t="shared" si="31"/>
        <v>0</v>
      </c>
      <c r="L303" s="347">
        <f t="shared" si="31"/>
        <v>0</v>
      </c>
      <c r="M303" s="347">
        <f t="shared" si="31"/>
        <v>0</v>
      </c>
      <c r="N303" s="347">
        <f t="shared" si="31"/>
        <v>0</v>
      </c>
      <c r="O303" s="347">
        <f>SUM(O248:O302)</f>
        <v>73</v>
      </c>
    </row>
    <row r="304" spans="1:16" ht="15.75" thickBot="1">
      <c r="A304" s="655"/>
      <c r="B304" s="348">
        <f t="shared" ref="B304:H304" si="32">B303/$O303</f>
        <v>1</v>
      </c>
      <c r="C304" s="348">
        <f t="shared" si="32"/>
        <v>0</v>
      </c>
      <c r="D304" s="348">
        <f t="shared" si="32"/>
        <v>0</v>
      </c>
      <c r="E304" s="348">
        <f t="shared" si="32"/>
        <v>0</v>
      </c>
      <c r="F304" s="348">
        <f t="shared" si="32"/>
        <v>0</v>
      </c>
      <c r="G304" s="348">
        <f t="shared" si="32"/>
        <v>0</v>
      </c>
      <c r="H304" s="348">
        <f t="shared" si="32"/>
        <v>0</v>
      </c>
      <c r="I304" s="348">
        <f t="shared" ref="I304:N304" si="33">I303/$O303</f>
        <v>0</v>
      </c>
      <c r="J304" s="348">
        <f t="shared" si="33"/>
        <v>0</v>
      </c>
      <c r="K304" s="348">
        <f t="shared" si="33"/>
        <v>0</v>
      </c>
      <c r="L304" s="348">
        <f t="shared" si="33"/>
        <v>0</v>
      </c>
      <c r="M304" s="348">
        <f t="shared" si="33"/>
        <v>0</v>
      </c>
      <c r="N304" s="348">
        <f t="shared" si="33"/>
        <v>0</v>
      </c>
    </row>
    <row r="307" spans="1:16">
      <c r="A307" s="165">
        <f>'Conveyor Downtime (new)'!A308</f>
        <v>46192</v>
      </c>
      <c r="B307" s="346"/>
      <c r="C307" s="346"/>
      <c r="D307" s="346"/>
      <c r="E307" s="346"/>
      <c r="F307" s="346"/>
      <c r="G307" s="346"/>
      <c r="H307" s="346"/>
      <c r="I307" s="346"/>
      <c r="J307" s="346"/>
      <c r="K307" s="346"/>
      <c r="L307" s="346"/>
      <c r="M307" s="346"/>
      <c r="N307" s="346"/>
      <c r="O307">
        <f t="shared" ref="O307:O343" si="34">SUM(B307:N307)</f>
        <v>0</v>
      </c>
      <c r="P307" s="351">
        <f t="shared" ref="P307" si="35">O307/$O$366</f>
        <v>0</v>
      </c>
    </row>
    <row r="308" spans="1:16">
      <c r="A308" s="165">
        <f>'Conveyor Downtime (new)'!A309</f>
        <v>46193</v>
      </c>
      <c r="O308">
        <f t="shared" si="34"/>
        <v>0</v>
      </c>
      <c r="P308" s="351">
        <f t="shared" ref="P308:P339" si="36">O308/$O$366</f>
        <v>0</v>
      </c>
    </row>
    <row r="309" spans="1:16">
      <c r="A309" s="165">
        <f>'Conveyor Downtime (new)'!A310</f>
        <v>46194</v>
      </c>
      <c r="B309" s="346"/>
      <c r="C309" s="346"/>
      <c r="D309" s="346"/>
      <c r="E309" s="346"/>
      <c r="F309" s="346"/>
      <c r="G309" s="346"/>
      <c r="H309" s="346"/>
      <c r="I309" s="346"/>
      <c r="J309" s="346"/>
      <c r="K309" s="346"/>
      <c r="L309" s="346"/>
      <c r="M309" s="346"/>
      <c r="N309" s="346"/>
      <c r="O309">
        <f t="shared" si="34"/>
        <v>0</v>
      </c>
      <c r="P309" s="351">
        <f t="shared" si="36"/>
        <v>0</v>
      </c>
    </row>
    <row r="310" spans="1:16">
      <c r="A310" s="165">
        <f>'Conveyor Downtime (new)'!A311</f>
        <v>46195</v>
      </c>
      <c r="O310">
        <f t="shared" si="34"/>
        <v>0</v>
      </c>
      <c r="P310" s="351">
        <f t="shared" si="36"/>
        <v>0</v>
      </c>
    </row>
    <row r="311" spans="1:16">
      <c r="A311" s="165">
        <f>'Conveyor Downtime (new)'!A312</f>
        <v>46195</v>
      </c>
      <c r="B311" s="346"/>
      <c r="C311" s="346"/>
      <c r="D311" s="346"/>
      <c r="E311" s="346"/>
      <c r="F311" s="346"/>
      <c r="G311" s="346"/>
      <c r="H311" s="346"/>
      <c r="I311" s="346"/>
      <c r="J311" s="346"/>
      <c r="K311" s="346"/>
      <c r="L311" s="346"/>
      <c r="M311" s="346"/>
      <c r="N311" s="346"/>
      <c r="O311">
        <f t="shared" si="34"/>
        <v>0</v>
      </c>
      <c r="P311" s="351">
        <f t="shared" si="36"/>
        <v>0</v>
      </c>
    </row>
    <row r="312" spans="1:16">
      <c r="A312" s="165">
        <f>'Conveyor Downtime (new)'!A313</f>
        <v>46196</v>
      </c>
      <c r="O312">
        <f t="shared" si="34"/>
        <v>0</v>
      </c>
      <c r="P312" s="351">
        <f t="shared" si="36"/>
        <v>0</v>
      </c>
    </row>
    <row r="313" spans="1:16">
      <c r="A313" s="165">
        <f>'Conveyor Downtime (new)'!A314</f>
        <v>46196</v>
      </c>
      <c r="B313" s="346"/>
      <c r="C313" s="346"/>
      <c r="D313" s="346"/>
      <c r="E313" s="346"/>
      <c r="F313" s="346"/>
      <c r="G313" s="346"/>
      <c r="H313" s="346"/>
      <c r="I313" s="346"/>
      <c r="J313" s="346"/>
      <c r="K313" s="346"/>
      <c r="L313" s="346"/>
      <c r="M313" s="346"/>
      <c r="N313" s="346"/>
      <c r="O313">
        <f t="shared" si="34"/>
        <v>0</v>
      </c>
      <c r="P313" s="351">
        <f t="shared" si="36"/>
        <v>0</v>
      </c>
    </row>
    <row r="314" spans="1:16">
      <c r="A314" s="165">
        <f>'Conveyor Downtime (new)'!A315</f>
        <v>46196</v>
      </c>
      <c r="B314">
        <f>11+26+14</f>
        <v>51</v>
      </c>
      <c r="O314">
        <f t="shared" si="34"/>
        <v>51</v>
      </c>
      <c r="P314" s="351">
        <f t="shared" si="36"/>
        <v>0.48571428571428571</v>
      </c>
    </row>
    <row r="315" spans="1:16">
      <c r="A315" s="165">
        <f>'Conveyor Downtime (new)'!A316</f>
        <v>46197</v>
      </c>
      <c r="B315" s="346"/>
      <c r="C315" s="346"/>
      <c r="D315" s="346"/>
      <c r="E315" s="346"/>
      <c r="F315" s="346"/>
      <c r="G315" s="346"/>
      <c r="H315" s="346"/>
      <c r="I315" s="346"/>
      <c r="J315" s="346"/>
      <c r="K315" s="346"/>
      <c r="L315" s="346"/>
      <c r="M315" s="346"/>
      <c r="N315" s="346"/>
      <c r="O315">
        <f t="shared" si="34"/>
        <v>0</v>
      </c>
      <c r="P315" s="351">
        <f t="shared" si="36"/>
        <v>0</v>
      </c>
    </row>
    <row r="316" spans="1:16">
      <c r="A316" s="165">
        <f>'Conveyor Downtime (new)'!A317</f>
        <v>46197</v>
      </c>
      <c r="O316">
        <f t="shared" si="34"/>
        <v>0</v>
      </c>
      <c r="P316" s="351">
        <f t="shared" si="36"/>
        <v>0</v>
      </c>
    </row>
    <row r="317" spans="1:16">
      <c r="A317" s="165">
        <f>'Conveyor Downtime (new)'!A318</f>
        <v>46198</v>
      </c>
      <c r="B317" s="346"/>
      <c r="C317" s="346"/>
      <c r="D317" s="346"/>
      <c r="E317" s="346"/>
      <c r="F317" s="346"/>
      <c r="G317" s="346"/>
      <c r="H317" s="346"/>
      <c r="I317" s="346"/>
      <c r="J317" s="346"/>
      <c r="K317" s="346"/>
      <c r="L317" s="346"/>
      <c r="M317" s="346"/>
      <c r="N317" s="346"/>
      <c r="O317">
        <f t="shared" si="34"/>
        <v>0</v>
      </c>
      <c r="P317" s="351">
        <f t="shared" si="36"/>
        <v>0</v>
      </c>
    </row>
    <row r="318" spans="1:16">
      <c r="A318" s="165">
        <f>'Conveyor Downtime (new)'!A319</f>
        <v>46198</v>
      </c>
      <c r="O318">
        <f t="shared" si="34"/>
        <v>0</v>
      </c>
      <c r="P318" s="351">
        <f t="shared" si="36"/>
        <v>0</v>
      </c>
    </row>
    <row r="319" spans="1:16">
      <c r="A319" s="165">
        <f>'Conveyor Downtime (new)'!A320</f>
        <v>46198</v>
      </c>
      <c r="B319" s="346"/>
      <c r="C319" s="346"/>
      <c r="D319" s="346"/>
      <c r="E319" s="346"/>
      <c r="F319" s="346"/>
      <c r="G319" s="346"/>
      <c r="H319" s="346"/>
      <c r="I319" s="346"/>
      <c r="J319" s="346"/>
      <c r="K319" s="346"/>
      <c r="L319" s="346"/>
      <c r="M319" s="346"/>
      <c r="N319" s="346"/>
      <c r="O319">
        <f t="shared" si="34"/>
        <v>0</v>
      </c>
      <c r="P319" s="351">
        <f t="shared" si="36"/>
        <v>0</v>
      </c>
    </row>
    <row r="320" spans="1:16">
      <c r="A320" s="165">
        <f>'Conveyor Downtime (new)'!A321</f>
        <v>46198</v>
      </c>
      <c r="O320">
        <f t="shared" si="34"/>
        <v>0</v>
      </c>
      <c r="P320" s="351">
        <f t="shared" si="36"/>
        <v>0</v>
      </c>
    </row>
    <row r="321" spans="1:16">
      <c r="A321" s="165">
        <f>'Conveyor Downtime (new)'!A322</f>
        <v>46199</v>
      </c>
      <c r="B321" s="346"/>
      <c r="C321" s="346"/>
      <c r="D321" s="346"/>
      <c r="E321" s="346"/>
      <c r="F321" s="346"/>
      <c r="G321" s="346"/>
      <c r="H321" s="346"/>
      <c r="I321" s="346"/>
      <c r="J321" s="346"/>
      <c r="K321" s="346"/>
      <c r="L321" s="346"/>
      <c r="M321" s="346"/>
      <c r="N321" s="346"/>
      <c r="O321">
        <f t="shared" si="34"/>
        <v>0</v>
      </c>
      <c r="P321" s="351">
        <f t="shared" si="36"/>
        <v>0</v>
      </c>
    </row>
    <row r="322" spans="1:16">
      <c r="A322" s="165">
        <f>'Conveyor Downtime (new)'!A323</f>
        <v>46199</v>
      </c>
      <c r="B322" s="346"/>
      <c r="C322" s="346"/>
      <c r="D322" s="346"/>
      <c r="E322" s="346"/>
      <c r="F322" s="346"/>
      <c r="G322" s="346"/>
      <c r="H322" s="346"/>
      <c r="I322" s="346"/>
      <c r="J322" s="346"/>
      <c r="K322" s="346"/>
      <c r="L322" s="346"/>
      <c r="M322" s="346"/>
      <c r="N322" s="346"/>
      <c r="O322">
        <f t="shared" ref="O322" si="37">SUM(B322:N322)</f>
        <v>0</v>
      </c>
      <c r="P322" s="351">
        <f t="shared" si="36"/>
        <v>0</v>
      </c>
    </row>
    <row r="323" spans="1:16">
      <c r="A323" s="165">
        <f>'Conveyor Downtime (new)'!A324</f>
        <v>46200</v>
      </c>
      <c r="B323" s="346"/>
      <c r="C323" s="346"/>
      <c r="D323" s="346"/>
      <c r="E323" s="346"/>
      <c r="F323" s="346"/>
      <c r="G323" s="346"/>
      <c r="H323" s="346"/>
      <c r="I323" s="346"/>
      <c r="J323" s="346"/>
      <c r="K323" s="346"/>
      <c r="L323" s="346"/>
      <c r="M323" s="346"/>
      <c r="N323" s="346"/>
      <c r="O323">
        <f t="shared" si="34"/>
        <v>0</v>
      </c>
      <c r="P323" s="351">
        <f t="shared" si="36"/>
        <v>0</v>
      </c>
    </row>
    <row r="324" spans="1:16">
      <c r="A324" s="165">
        <f>'Conveyor Downtime (new)'!A325</f>
        <v>46200</v>
      </c>
      <c r="O324">
        <f t="shared" si="34"/>
        <v>0</v>
      </c>
      <c r="P324" s="351">
        <f t="shared" si="36"/>
        <v>0</v>
      </c>
    </row>
    <row r="325" spans="1:16">
      <c r="A325" s="165">
        <f>'Conveyor Downtime (new)'!A326</f>
        <v>46202</v>
      </c>
      <c r="D325">
        <f>17+7</f>
        <v>24</v>
      </c>
      <c r="O325">
        <f t="shared" si="34"/>
        <v>24</v>
      </c>
      <c r="P325" s="351">
        <f t="shared" si="36"/>
        <v>0.22857142857142856</v>
      </c>
    </row>
    <row r="326" spans="1:16">
      <c r="A326" s="165">
        <f>'Conveyor Downtime (new)'!A327</f>
        <v>46202</v>
      </c>
      <c r="B326" s="346"/>
      <c r="C326" s="346"/>
      <c r="D326" s="346"/>
      <c r="E326" s="346"/>
      <c r="F326" s="346"/>
      <c r="G326" s="346"/>
      <c r="H326" s="346"/>
      <c r="I326" s="346"/>
      <c r="J326" s="346"/>
      <c r="K326" s="346"/>
      <c r="L326" s="346"/>
      <c r="M326" s="346"/>
      <c r="N326" s="346"/>
      <c r="O326">
        <f t="shared" si="34"/>
        <v>0</v>
      </c>
      <c r="P326" s="351">
        <f t="shared" si="36"/>
        <v>0</v>
      </c>
    </row>
    <row r="327" spans="1:16">
      <c r="A327" s="165">
        <f>'Conveyor Downtime (new)'!A328</f>
        <v>46202</v>
      </c>
      <c r="B327" s="346"/>
      <c r="C327" s="346"/>
      <c r="D327" s="346"/>
      <c r="E327" s="346"/>
      <c r="F327" s="346"/>
      <c r="G327" s="346"/>
      <c r="H327" s="346"/>
      <c r="I327" s="346"/>
      <c r="J327" s="346"/>
      <c r="K327" s="346"/>
      <c r="L327" s="346"/>
      <c r="M327" s="346"/>
      <c r="N327" s="346"/>
      <c r="O327">
        <f t="shared" si="34"/>
        <v>0</v>
      </c>
      <c r="P327" s="351">
        <f t="shared" si="36"/>
        <v>0</v>
      </c>
    </row>
    <row r="328" spans="1:16">
      <c r="A328" s="165">
        <f>'Conveyor Downtime (new)'!A329</f>
        <v>46203</v>
      </c>
      <c r="O328">
        <f t="shared" si="34"/>
        <v>0</v>
      </c>
      <c r="P328" s="351">
        <f t="shared" si="36"/>
        <v>0</v>
      </c>
    </row>
    <row r="329" spans="1:16">
      <c r="A329" s="165">
        <f>'Conveyor Downtime (new)'!A330</f>
        <v>46203</v>
      </c>
      <c r="B329" s="346">
        <f>30</f>
        <v>30</v>
      </c>
      <c r="C329" s="346"/>
      <c r="D329" s="346"/>
      <c r="E329" s="346"/>
      <c r="F329" s="346"/>
      <c r="G329" s="346"/>
      <c r="H329" s="346"/>
      <c r="I329" s="346"/>
      <c r="J329" s="346"/>
      <c r="K329" s="346"/>
      <c r="L329" s="346"/>
      <c r="M329" s="346"/>
      <c r="N329" s="346"/>
      <c r="O329">
        <f t="shared" si="34"/>
        <v>30</v>
      </c>
      <c r="P329" s="351">
        <f t="shared" si="36"/>
        <v>0.2857142857142857</v>
      </c>
    </row>
    <row r="330" spans="1:16">
      <c r="A330" s="165">
        <f>'Conveyor Downtime (new)'!A331</f>
        <v>0</v>
      </c>
      <c r="B330" s="346"/>
      <c r="C330" s="346"/>
      <c r="D330" s="346"/>
      <c r="E330" s="346"/>
      <c r="F330" s="346"/>
      <c r="G330" s="346"/>
      <c r="H330" s="346"/>
      <c r="I330" s="346"/>
      <c r="J330" s="346"/>
      <c r="K330" s="346"/>
      <c r="L330" s="346"/>
      <c r="M330" s="346"/>
      <c r="N330" s="346"/>
      <c r="O330">
        <f t="shared" si="34"/>
        <v>0</v>
      </c>
      <c r="P330" s="351">
        <f t="shared" si="36"/>
        <v>0</v>
      </c>
    </row>
    <row r="331" spans="1:16">
      <c r="A331" s="165">
        <f>'Conveyor Downtime (new)'!A332</f>
        <v>0</v>
      </c>
      <c r="B331" s="346"/>
      <c r="C331" s="346"/>
      <c r="D331" s="346"/>
      <c r="E331" s="346"/>
      <c r="F331" s="346"/>
      <c r="G331" s="346"/>
      <c r="H331" s="346"/>
      <c r="I331" s="346"/>
      <c r="J331" s="346"/>
      <c r="K331" s="346"/>
      <c r="L331" s="346"/>
      <c r="M331" s="346"/>
      <c r="N331" s="346"/>
      <c r="O331">
        <f t="shared" si="34"/>
        <v>0</v>
      </c>
      <c r="P331" s="351">
        <f t="shared" si="36"/>
        <v>0</v>
      </c>
    </row>
    <row r="332" spans="1:16">
      <c r="A332" s="165">
        <f>'Conveyor Downtime (new)'!A333</f>
        <v>0</v>
      </c>
      <c r="O332">
        <f t="shared" si="34"/>
        <v>0</v>
      </c>
      <c r="P332" s="351">
        <f t="shared" si="36"/>
        <v>0</v>
      </c>
    </row>
    <row r="333" spans="1:16">
      <c r="A333" s="165">
        <f>'Conveyor Downtime (new)'!A334</f>
        <v>0</v>
      </c>
      <c r="B333" s="346"/>
      <c r="C333" s="346"/>
      <c r="D333" s="346"/>
      <c r="E333" s="346"/>
      <c r="F333" s="346"/>
      <c r="G333" s="346"/>
      <c r="H333" s="346"/>
      <c r="I333" s="346"/>
      <c r="J333" s="346"/>
      <c r="K333" s="346"/>
      <c r="L333" s="346"/>
      <c r="M333" s="346"/>
      <c r="N333" s="346"/>
      <c r="O333">
        <f t="shared" si="34"/>
        <v>0</v>
      </c>
      <c r="P333" s="351">
        <f t="shared" si="36"/>
        <v>0</v>
      </c>
    </row>
    <row r="334" spans="1:16" ht="13.5" thickBot="1">
      <c r="A334" s="165">
        <f>'Conveyor Downtime (new)'!A335</f>
        <v>0</v>
      </c>
      <c r="O334">
        <f t="shared" si="34"/>
        <v>0</v>
      </c>
      <c r="P334" s="351">
        <f t="shared" si="36"/>
        <v>0</v>
      </c>
    </row>
    <row r="335" spans="1:16" hidden="1">
      <c r="A335" s="165">
        <f>'Conveyor Downtime (new)'!A336</f>
        <v>0</v>
      </c>
      <c r="O335">
        <f t="shared" si="34"/>
        <v>0</v>
      </c>
      <c r="P335" s="351">
        <f t="shared" si="36"/>
        <v>0</v>
      </c>
    </row>
    <row r="336" spans="1:16" hidden="1">
      <c r="A336" s="165">
        <f>'Conveyor Downtime (new)'!A337</f>
        <v>0</v>
      </c>
      <c r="B336" s="346"/>
      <c r="C336" s="346"/>
      <c r="D336" s="346"/>
      <c r="E336" s="346"/>
      <c r="F336" s="346"/>
      <c r="G336" s="346"/>
      <c r="H336" s="346"/>
      <c r="I336" s="346"/>
      <c r="J336" s="346"/>
      <c r="K336" s="346"/>
      <c r="L336" s="346"/>
      <c r="M336" s="346"/>
      <c r="N336" s="346"/>
      <c r="O336">
        <f t="shared" si="34"/>
        <v>0</v>
      </c>
      <c r="P336" s="351">
        <f t="shared" si="36"/>
        <v>0</v>
      </c>
    </row>
    <row r="337" spans="1:16" hidden="1">
      <c r="A337" s="165">
        <f>'Conveyor Downtime (new)'!A338</f>
        <v>0</v>
      </c>
      <c r="O337">
        <f t="shared" si="34"/>
        <v>0</v>
      </c>
      <c r="P337" s="351">
        <f t="shared" si="36"/>
        <v>0</v>
      </c>
    </row>
    <row r="338" spans="1:16" hidden="1">
      <c r="A338" s="165">
        <f>'Conveyor Downtime (new)'!A339</f>
        <v>0</v>
      </c>
      <c r="O338">
        <f t="shared" si="34"/>
        <v>0</v>
      </c>
      <c r="P338" s="351">
        <f t="shared" si="36"/>
        <v>0</v>
      </c>
    </row>
    <row r="339" spans="1:16" hidden="1">
      <c r="A339" s="165">
        <f>'Conveyor Downtime (new)'!A340</f>
        <v>0</v>
      </c>
      <c r="O339">
        <f t="shared" si="34"/>
        <v>0</v>
      </c>
      <c r="P339" s="351">
        <f t="shared" si="36"/>
        <v>0</v>
      </c>
    </row>
    <row r="340" spans="1:16" hidden="1">
      <c r="A340" s="165">
        <f>'Conveyor Downtime (new)'!A341</f>
        <v>0</v>
      </c>
      <c r="B340" s="346"/>
      <c r="C340" s="346"/>
      <c r="D340" s="346"/>
      <c r="E340" s="346"/>
      <c r="F340" s="346"/>
      <c r="G340" s="346"/>
      <c r="H340" s="346"/>
      <c r="I340" s="346"/>
      <c r="J340" s="346"/>
      <c r="K340" s="346"/>
      <c r="L340" s="346"/>
      <c r="M340" s="346"/>
      <c r="N340" s="346"/>
      <c r="O340">
        <f t="shared" si="34"/>
        <v>0</v>
      </c>
      <c r="P340" s="351">
        <f t="shared" ref="P340:P350" si="38">O340/$O$366</f>
        <v>0</v>
      </c>
    </row>
    <row r="341" spans="1:16" hidden="1">
      <c r="A341" s="165">
        <f>'Conveyor Downtime (new)'!A342</f>
        <v>0</v>
      </c>
      <c r="O341">
        <f t="shared" si="34"/>
        <v>0</v>
      </c>
      <c r="P341" s="351">
        <f t="shared" si="38"/>
        <v>0</v>
      </c>
    </row>
    <row r="342" spans="1:16" hidden="1">
      <c r="A342" s="165">
        <f>'Conveyor Downtime (new)'!A343</f>
        <v>0</v>
      </c>
      <c r="B342" s="346"/>
      <c r="C342" s="346"/>
      <c r="D342" s="346"/>
      <c r="E342" s="346"/>
      <c r="F342" s="346"/>
      <c r="G342" s="346"/>
      <c r="H342" s="346"/>
      <c r="I342" s="346"/>
      <c r="J342" s="346"/>
      <c r="K342" s="346"/>
      <c r="L342" s="346"/>
      <c r="M342" s="346"/>
      <c r="N342" s="346"/>
      <c r="O342">
        <f t="shared" si="34"/>
        <v>0</v>
      </c>
      <c r="P342" s="351">
        <f t="shared" si="38"/>
        <v>0</v>
      </c>
    </row>
    <row r="343" spans="1:16" hidden="1">
      <c r="A343" s="165">
        <f>'Conveyor Downtime (new)'!A344</f>
        <v>0</v>
      </c>
      <c r="O343">
        <f t="shared" si="34"/>
        <v>0</v>
      </c>
      <c r="P343" s="351">
        <f t="shared" si="38"/>
        <v>0</v>
      </c>
    </row>
    <row r="344" spans="1:16" hidden="1">
      <c r="A344" s="165">
        <f>'Conveyor Downtime (new)'!A345</f>
        <v>0</v>
      </c>
      <c r="B344" s="346"/>
      <c r="C344" s="346"/>
      <c r="D344" s="346"/>
      <c r="E344" s="346"/>
      <c r="F344" s="346"/>
      <c r="G344" s="346"/>
      <c r="H344" s="346"/>
      <c r="I344" s="346"/>
      <c r="J344" s="346"/>
      <c r="K344" s="346"/>
      <c r="L344" s="346"/>
      <c r="M344" s="346"/>
      <c r="N344" s="346"/>
      <c r="O344">
        <f t="shared" ref="O344:O365" si="39">SUM(B344:N344)</f>
        <v>0</v>
      </c>
      <c r="P344" s="351">
        <f t="shared" si="38"/>
        <v>0</v>
      </c>
    </row>
    <row r="345" spans="1:16" hidden="1">
      <c r="A345" s="165">
        <f>'Conveyor Downtime (new)'!A346</f>
        <v>0</v>
      </c>
      <c r="O345">
        <f t="shared" si="39"/>
        <v>0</v>
      </c>
      <c r="P345" s="351">
        <f t="shared" si="38"/>
        <v>0</v>
      </c>
    </row>
    <row r="346" spans="1:16" hidden="1">
      <c r="A346" s="165">
        <f>'Conveyor Downtime (new)'!A347</f>
        <v>0</v>
      </c>
      <c r="B346" s="346"/>
      <c r="C346" s="346"/>
      <c r="D346" s="346"/>
      <c r="E346" s="346"/>
      <c r="F346" s="346"/>
      <c r="G346" s="346"/>
      <c r="H346" s="346"/>
      <c r="I346" s="346"/>
      <c r="J346" s="346"/>
      <c r="K346" s="346"/>
      <c r="L346" s="346"/>
      <c r="M346" s="346"/>
      <c r="N346" s="346"/>
      <c r="O346">
        <f t="shared" si="39"/>
        <v>0</v>
      </c>
      <c r="P346" s="351">
        <f t="shared" si="38"/>
        <v>0</v>
      </c>
    </row>
    <row r="347" spans="1:16" hidden="1">
      <c r="A347" s="165">
        <f>'Conveyor Downtime (new)'!A348</f>
        <v>0</v>
      </c>
      <c r="O347">
        <f t="shared" si="39"/>
        <v>0</v>
      </c>
      <c r="P347" s="351">
        <f t="shared" si="38"/>
        <v>0</v>
      </c>
    </row>
    <row r="348" spans="1:16" hidden="1">
      <c r="A348" s="165">
        <f>'Conveyor Downtime (new)'!A349</f>
        <v>0</v>
      </c>
      <c r="B348" s="346"/>
      <c r="C348" s="346"/>
      <c r="D348" s="346"/>
      <c r="E348" s="346"/>
      <c r="F348" s="346"/>
      <c r="G348" s="346"/>
      <c r="H348" s="346"/>
      <c r="I348" s="346"/>
      <c r="J348" s="346"/>
      <c r="K348" s="346"/>
      <c r="L348" s="346"/>
      <c r="M348" s="346"/>
      <c r="N348" s="346"/>
      <c r="O348">
        <f t="shared" si="39"/>
        <v>0</v>
      </c>
      <c r="P348" s="351">
        <f t="shared" si="38"/>
        <v>0</v>
      </c>
    </row>
    <row r="349" spans="1:16" hidden="1">
      <c r="A349" s="165">
        <f>'Conveyor Downtime (new)'!A350</f>
        <v>0</v>
      </c>
      <c r="O349">
        <f t="shared" si="39"/>
        <v>0</v>
      </c>
      <c r="P349" s="351">
        <f t="shared" si="38"/>
        <v>0</v>
      </c>
    </row>
    <row r="350" spans="1:16" hidden="1">
      <c r="A350" s="165">
        <f>'Conveyor Downtime (new)'!A351</f>
        <v>0</v>
      </c>
      <c r="B350" s="346"/>
      <c r="C350" s="346"/>
      <c r="D350" s="346"/>
      <c r="E350" s="346"/>
      <c r="F350" s="346"/>
      <c r="G350" s="346"/>
      <c r="H350" s="346"/>
      <c r="I350" s="346"/>
      <c r="J350" s="346"/>
      <c r="K350" s="346"/>
      <c r="L350" s="346"/>
      <c r="M350" s="346"/>
      <c r="N350" s="346"/>
      <c r="O350">
        <f t="shared" si="39"/>
        <v>0</v>
      </c>
      <c r="P350" s="351">
        <f t="shared" si="38"/>
        <v>0</v>
      </c>
    </row>
    <row r="351" spans="1:16" hidden="1">
      <c r="A351" s="165">
        <f>'Conveyor Downtime (new)'!A352</f>
        <v>0</v>
      </c>
      <c r="O351">
        <f t="shared" si="39"/>
        <v>0</v>
      </c>
      <c r="P351" s="351">
        <f t="shared" ref="P351:P365" si="40">O351/$O$183</f>
        <v>0</v>
      </c>
    </row>
    <row r="352" spans="1:16" hidden="1">
      <c r="A352" s="165">
        <f>'Conveyor Downtime (new)'!A353</f>
        <v>0</v>
      </c>
      <c r="B352" s="346"/>
      <c r="C352" s="346"/>
      <c r="D352" s="346"/>
      <c r="E352" s="346"/>
      <c r="F352" s="346"/>
      <c r="G352" s="346"/>
      <c r="H352" s="346"/>
      <c r="I352" s="346"/>
      <c r="J352" s="346"/>
      <c r="K352" s="346"/>
      <c r="L352" s="346"/>
      <c r="M352" s="346"/>
      <c r="N352" s="346"/>
      <c r="O352">
        <f t="shared" si="39"/>
        <v>0</v>
      </c>
      <c r="P352" s="351">
        <f t="shared" si="40"/>
        <v>0</v>
      </c>
    </row>
    <row r="353" spans="1:16" hidden="1">
      <c r="A353" s="165"/>
      <c r="O353">
        <f t="shared" si="39"/>
        <v>0</v>
      </c>
      <c r="P353" s="351">
        <f t="shared" si="40"/>
        <v>0</v>
      </c>
    </row>
    <row r="354" spans="1:16" hidden="1">
      <c r="A354" s="165"/>
      <c r="B354" s="346"/>
      <c r="C354" s="346"/>
      <c r="D354" s="346"/>
      <c r="E354" s="346"/>
      <c r="F354" s="346"/>
      <c r="G354" s="346"/>
      <c r="H354" s="346"/>
      <c r="I354" s="346"/>
      <c r="J354" s="346"/>
      <c r="K354" s="346"/>
      <c r="L354" s="346"/>
      <c r="M354" s="346"/>
      <c r="N354" s="346"/>
      <c r="O354">
        <f t="shared" si="39"/>
        <v>0</v>
      </c>
      <c r="P354" s="351">
        <f t="shared" si="40"/>
        <v>0</v>
      </c>
    </row>
    <row r="355" spans="1:16" hidden="1">
      <c r="A355" s="165"/>
      <c r="O355">
        <f t="shared" si="39"/>
        <v>0</v>
      </c>
      <c r="P355" s="351">
        <f t="shared" si="40"/>
        <v>0</v>
      </c>
    </row>
    <row r="356" spans="1:16" hidden="1">
      <c r="A356" s="165"/>
      <c r="B356" s="346"/>
      <c r="C356" s="346"/>
      <c r="D356" s="346"/>
      <c r="E356" s="346"/>
      <c r="F356" s="346"/>
      <c r="G356" s="346"/>
      <c r="H356" s="346"/>
      <c r="I356" s="346"/>
      <c r="J356" s="346"/>
      <c r="K356" s="346"/>
      <c r="L356" s="346"/>
      <c r="M356" s="346"/>
      <c r="N356" s="346"/>
      <c r="O356">
        <f t="shared" si="39"/>
        <v>0</v>
      </c>
      <c r="P356" s="351">
        <f t="shared" si="40"/>
        <v>0</v>
      </c>
    </row>
    <row r="357" spans="1:16" hidden="1">
      <c r="A357" s="165"/>
      <c r="O357">
        <f t="shared" si="39"/>
        <v>0</v>
      </c>
      <c r="P357" s="351">
        <f t="shared" si="40"/>
        <v>0</v>
      </c>
    </row>
    <row r="358" spans="1:16" hidden="1">
      <c r="A358" s="165"/>
      <c r="B358" s="346"/>
      <c r="C358" s="346"/>
      <c r="D358" s="346"/>
      <c r="E358" s="346"/>
      <c r="F358" s="346"/>
      <c r="G358" s="346"/>
      <c r="H358" s="346"/>
      <c r="I358" s="346"/>
      <c r="J358" s="346"/>
      <c r="K358" s="346"/>
      <c r="L358" s="346"/>
      <c r="M358" s="346"/>
      <c r="N358" s="346"/>
      <c r="O358">
        <f t="shared" si="39"/>
        <v>0</v>
      </c>
      <c r="P358" s="351">
        <f t="shared" si="40"/>
        <v>0</v>
      </c>
    </row>
    <row r="359" spans="1:16" hidden="1">
      <c r="A359" s="165"/>
      <c r="O359">
        <f t="shared" si="39"/>
        <v>0</v>
      </c>
      <c r="P359" s="351">
        <f t="shared" si="40"/>
        <v>0</v>
      </c>
    </row>
    <row r="360" spans="1:16" hidden="1">
      <c r="A360" s="165"/>
      <c r="B360" s="346"/>
      <c r="C360" s="346"/>
      <c r="D360" s="346"/>
      <c r="E360" s="346"/>
      <c r="F360" s="346"/>
      <c r="G360" s="346"/>
      <c r="H360" s="346"/>
      <c r="I360" s="346"/>
      <c r="J360" s="346"/>
      <c r="K360" s="346"/>
      <c r="L360" s="346"/>
      <c r="M360" s="346"/>
      <c r="N360" s="346"/>
      <c r="O360">
        <f t="shared" si="39"/>
        <v>0</v>
      </c>
      <c r="P360" s="351">
        <f t="shared" si="40"/>
        <v>0</v>
      </c>
    </row>
    <row r="361" spans="1:16" hidden="1">
      <c r="A361" s="165"/>
      <c r="O361">
        <f t="shared" si="39"/>
        <v>0</v>
      </c>
      <c r="P361" s="351">
        <f t="shared" si="40"/>
        <v>0</v>
      </c>
    </row>
    <row r="362" spans="1:16" hidden="1">
      <c r="A362" s="165"/>
      <c r="B362" s="346"/>
      <c r="C362" s="346"/>
      <c r="D362" s="346"/>
      <c r="E362" s="346"/>
      <c r="F362" s="346"/>
      <c r="G362" s="346"/>
      <c r="H362" s="346"/>
      <c r="I362" s="346"/>
      <c r="J362" s="346"/>
      <c r="K362" s="346"/>
      <c r="L362" s="346"/>
      <c r="M362" s="346"/>
      <c r="N362" s="346"/>
      <c r="O362">
        <f t="shared" si="39"/>
        <v>0</v>
      </c>
      <c r="P362" s="351">
        <f t="shared" si="40"/>
        <v>0</v>
      </c>
    </row>
    <row r="363" spans="1:16" hidden="1">
      <c r="A363" s="165"/>
      <c r="O363">
        <f t="shared" si="39"/>
        <v>0</v>
      </c>
      <c r="P363" s="351">
        <f t="shared" si="40"/>
        <v>0</v>
      </c>
    </row>
    <row r="364" spans="1:16" hidden="1">
      <c r="A364" s="165"/>
      <c r="B364" s="346"/>
      <c r="C364" s="346"/>
      <c r="D364" s="346"/>
      <c r="E364" s="346"/>
      <c r="F364" s="346"/>
      <c r="G364" s="346"/>
      <c r="H364" s="346"/>
      <c r="I364" s="346"/>
      <c r="J364" s="346"/>
      <c r="K364" s="346"/>
      <c r="L364" s="346"/>
      <c r="M364" s="346"/>
      <c r="N364" s="346"/>
      <c r="O364">
        <f t="shared" si="39"/>
        <v>0</v>
      </c>
      <c r="P364" s="351">
        <f t="shared" si="40"/>
        <v>0</v>
      </c>
    </row>
    <row r="365" spans="1:16" ht="13.5" hidden="1" thickBot="1">
      <c r="A365" s="165"/>
      <c r="O365">
        <f t="shared" si="39"/>
        <v>0</v>
      </c>
      <c r="P365" s="351">
        <f t="shared" si="40"/>
        <v>0</v>
      </c>
    </row>
    <row r="366" spans="1:16" ht="15">
      <c r="A366" s="654" t="s">
        <v>246</v>
      </c>
      <c r="B366" s="347">
        <f t="shared" ref="B366:O366" si="41">SUM(B307:B365)</f>
        <v>81</v>
      </c>
      <c r="C366" s="347">
        <f t="shared" si="41"/>
        <v>0</v>
      </c>
      <c r="D366" s="347">
        <f t="shared" si="41"/>
        <v>24</v>
      </c>
      <c r="E366" s="347">
        <f t="shared" si="41"/>
        <v>0</v>
      </c>
      <c r="F366" s="347">
        <f t="shared" si="41"/>
        <v>0</v>
      </c>
      <c r="G366" s="347">
        <f t="shared" si="41"/>
        <v>0</v>
      </c>
      <c r="H366" s="347">
        <f t="shared" si="41"/>
        <v>0</v>
      </c>
      <c r="I366" s="347">
        <f t="shared" si="41"/>
        <v>0</v>
      </c>
      <c r="J366" s="347">
        <f t="shared" si="41"/>
        <v>0</v>
      </c>
      <c r="K366" s="347">
        <f t="shared" si="41"/>
        <v>0</v>
      </c>
      <c r="L366" s="347">
        <f t="shared" si="41"/>
        <v>0</v>
      </c>
      <c r="M366" s="347">
        <f t="shared" si="41"/>
        <v>0</v>
      </c>
      <c r="N366" s="347">
        <f t="shared" si="41"/>
        <v>0</v>
      </c>
      <c r="O366" s="347">
        <f t="shared" si="41"/>
        <v>105</v>
      </c>
    </row>
    <row r="367" spans="1:16" ht="15.75" thickBot="1">
      <c r="A367" s="655"/>
      <c r="B367" s="348">
        <f t="shared" ref="B367:H367" si="42">B366/$O366</f>
        <v>0.77142857142857146</v>
      </c>
      <c r="C367" s="348">
        <f t="shared" si="42"/>
        <v>0</v>
      </c>
      <c r="D367" s="348">
        <f t="shared" si="42"/>
        <v>0.22857142857142856</v>
      </c>
      <c r="E367" s="348">
        <f t="shared" si="42"/>
        <v>0</v>
      </c>
      <c r="F367" s="348">
        <f t="shared" si="42"/>
        <v>0</v>
      </c>
      <c r="G367" s="348">
        <f t="shared" si="42"/>
        <v>0</v>
      </c>
      <c r="H367" s="348">
        <f t="shared" si="42"/>
        <v>0</v>
      </c>
      <c r="I367" s="348">
        <f t="shared" ref="I367:N367" si="43">I366/$O366</f>
        <v>0</v>
      </c>
      <c r="J367" s="348">
        <f t="shared" si="43"/>
        <v>0</v>
      </c>
      <c r="K367" s="348">
        <f t="shared" si="43"/>
        <v>0</v>
      </c>
      <c r="L367" s="348">
        <f t="shared" si="43"/>
        <v>0</v>
      </c>
      <c r="M367" s="348">
        <f t="shared" si="43"/>
        <v>0</v>
      </c>
      <c r="N367" s="348">
        <f t="shared" si="43"/>
        <v>0</v>
      </c>
    </row>
    <row r="369" spans="1:16">
      <c r="A369" s="165">
        <f>'Conveyor Downtime (new)'!A372</f>
        <v>46204</v>
      </c>
      <c r="B369" s="346"/>
      <c r="C369" s="346"/>
      <c r="D369" s="346"/>
      <c r="E369" s="346"/>
      <c r="F369" s="346"/>
      <c r="G369" s="346"/>
      <c r="H369" s="346"/>
      <c r="I369" s="346"/>
      <c r="J369" s="346"/>
      <c r="K369" s="346"/>
      <c r="L369" s="346"/>
      <c r="M369" s="346"/>
      <c r="N369" s="346"/>
      <c r="O369">
        <f t="shared" ref="O369:O399" si="44">SUM(B369:N369)</f>
        <v>0</v>
      </c>
      <c r="P369" s="351">
        <f t="shared" ref="P369:P409" si="45">O369/$O$425</f>
        <v>0</v>
      </c>
    </row>
    <row r="370" spans="1:16">
      <c r="A370" s="165">
        <f>'Conveyor Downtime (new)'!A373</f>
        <v>46204</v>
      </c>
      <c r="O370">
        <f t="shared" si="44"/>
        <v>0</v>
      </c>
      <c r="P370" s="351">
        <f t="shared" si="45"/>
        <v>0</v>
      </c>
    </row>
    <row r="371" spans="1:16">
      <c r="A371" s="165">
        <f>'Conveyor Downtime (new)'!A374</f>
        <v>46205</v>
      </c>
      <c r="B371" s="346"/>
      <c r="C371" s="346"/>
      <c r="D371" s="346"/>
      <c r="E371" s="346"/>
      <c r="F371" s="346"/>
      <c r="G371" s="346"/>
      <c r="H371" s="346"/>
      <c r="I371" s="346"/>
      <c r="J371" s="346"/>
      <c r="K371" s="346"/>
      <c r="L371" s="346"/>
      <c r="M371" s="346"/>
      <c r="N371" s="346"/>
      <c r="O371">
        <f t="shared" si="44"/>
        <v>0</v>
      </c>
      <c r="P371" s="351">
        <f t="shared" si="45"/>
        <v>0</v>
      </c>
    </row>
    <row r="372" spans="1:16">
      <c r="A372" s="165">
        <f>'Conveyor Downtime (new)'!A375</f>
        <v>46205</v>
      </c>
      <c r="O372">
        <f t="shared" si="44"/>
        <v>0</v>
      </c>
      <c r="P372" s="351">
        <f t="shared" si="45"/>
        <v>0</v>
      </c>
    </row>
    <row r="373" spans="1:16">
      <c r="A373" s="165">
        <f>'Conveyor Downtime (new)'!A376</f>
        <v>46205</v>
      </c>
      <c r="B373" s="346">
        <v>20</v>
      </c>
      <c r="C373" s="346"/>
      <c r="D373" s="346"/>
      <c r="E373" s="346"/>
      <c r="F373" s="346"/>
      <c r="G373" s="346"/>
      <c r="H373" s="346"/>
      <c r="I373" s="346"/>
      <c r="J373" s="346"/>
      <c r="K373" s="346"/>
      <c r="L373" s="346"/>
      <c r="M373" s="346"/>
      <c r="N373" s="346"/>
      <c r="O373">
        <f t="shared" si="44"/>
        <v>20</v>
      </c>
      <c r="P373" s="351">
        <f t="shared" si="45"/>
        <v>3.2051282051282048E-2</v>
      </c>
    </row>
    <row r="374" spans="1:16">
      <c r="A374" s="165">
        <f>'Conveyor Downtime (new)'!A377</f>
        <v>46206</v>
      </c>
      <c r="O374">
        <f t="shared" si="44"/>
        <v>0</v>
      </c>
      <c r="P374" s="351">
        <f t="shared" si="45"/>
        <v>0</v>
      </c>
    </row>
    <row r="375" spans="1:16">
      <c r="A375" s="165">
        <f>'Conveyor Downtime (new)'!A378</f>
        <v>46206</v>
      </c>
      <c r="O375">
        <f t="shared" si="44"/>
        <v>0</v>
      </c>
      <c r="P375" s="351">
        <f t="shared" si="45"/>
        <v>0</v>
      </c>
    </row>
    <row r="376" spans="1:16">
      <c r="A376" s="165">
        <f>'Conveyor Downtime (new)'!A379</f>
        <v>46209</v>
      </c>
      <c r="B376" s="346">
        <f>53+60+60+43+26</f>
        <v>242</v>
      </c>
      <c r="C376" s="346"/>
      <c r="D376" s="346"/>
      <c r="E376" s="346"/>
      <c r="F376" s="346"/>
      <c r="G376" s="346"/>
      <c r="H376" s="346"/>
      <c r="I376" s="346"/>
      <c r="J376" s="346"/>
      <c r="K376" s="346"/>
      <c r="L376" s="346"/>
      <c r="M376" s="346"/>
      <c r="N376" s="346"/>
      <c r="O376">
        <f t="shared" si="44"/>
        <v>242</v>
      </c>
      <c r="P376" s="351">
        <f t="shared" si="45"/>
        <v>0.38782051282051283</v>
      </c>
    </row>
    <row r="377" spans="1:16">
      <c r="A377" s="165">
        <f>'Conveyor Downtime (new)'!A380</f>
        <v>46210</v>
      </c>
      <c r="B377">
        <f>5+3+12</f>
        <v>20</v>
      </c>
      <c r="O377">
        <f t="shared" si="44"/>
        <v>20</v>
      </c>
      <c r="P377" s="351">
        <f t="shared" si="45"/>
        <v>3.2051282051282048E-2</v>
      </c>
    </row>
    <row r="378" spans="1:16">
      <c r="A378" s="165">
        <f>'Conveyor Downtime (new)'!A381</f>
        <v>46210</v>
      </c>
      <c r="B378" s="346"/>
      <c r="C378" s="346"/>
      <c r="D378" s="346"/>
      <c r="E378" s="346"/>
      <c r="F378" s="346"/>
      <c r="G378" s="346"/>
      <c r="H378" s="346"/>
      <c r="I378" s="346"/>
      <c r="J378" s="346"/>
      <c r="K378" s="346"/>
      <c r="L378" s="346"/>
      <c r="M378" s="346"/>
      <c r="N378" s="346"/>
      <c r="O378">
        <f t="shared" si="44"/>
        <v>0</v>
      </c>
      <c r="P378" s="351">
        <f t="shared" si="45"/>
        <v>0</v>
      </c>
    </row>
    <row r="379" spans="1:16">
      <c r="A379" s="165">
        <f>'Conveyor Downtime (new)'!A382</f>
        <v>46211</v>
      </c>
      <c r="B379">
        <f>40+60</f>
        <v>100</v>
      </c>
      <c r="O379">
        <f t="shared" si="44"/>
        <v>100</v>
      </c>
      <c r="P379" s="351">
        <f t="shared" si="45"/>
        <v>0.16025641025641027</v>
      </c>
    </row>
    <row r="380" spans="1:16">
      <c r="A380" s="165">
        <f>'Conveyor Downtime (new)'!A383</f>
        <v>46211</v>
      </c>
      <c r="B380" s="346"/>
      <c r="C380" s="346"/>
      <c r="D380" s="346"/>
      <c r="E380" s="346"/>
      <c r="F380" s="346"/>
      <c r="G380" s="346"/>
      <c r="H380" s="346"/>
      <c r="I380" s="346"/>
      <c r="J380" s="346"/>
      <c r="K380" s="346"/>
      <c r="L380" s="346"/>
      <c r="M380" s="346"/>
      <c r="N380" s="346"/>
      <c r="O380">
        <f t="shared" si="44"/>
        <v>0</v>
      </c>
      <c r="P380" s="351">
        <f t="shared" si="45"/>
        <v>0</v>
      </c>
    </row>
    <row r="381" spans="1:16">
      <c r="A381" s="165">
        <f>'Conveyor Downtime (new)'!A384</f>
        <v>46211</v>
      </c>
      <c r="O381">
        <f t="shared" si="44"/>
        <v>0</v>
      </c>
      <c r="P381" s="351">
        <f t="shared" si="45"/>
        <v>0</v>
      </c>
    </row>
    <row r="382" spans="1:16">
      <c r="A382" s="165">
        <f>'Conveyor Downtime (new)'!A385</f>
        <v>46211</v>
      </c>
      <c r="B382" s="346"/>
      <c r="C382" s="346"/>
      <c r="D382" s="346"/>
      <c r="E382" s="346"/>
      <c r="F382" s="346"/>
      <c r="G382" s="346"/>
      <c r="H382" s="346"/>
      <c r="I382" s="346"/>
      <c r="J382" s="346"/>
      <c r="K382" s="346"/>
      <c r="L382" s="346"/>
      <c r="M382" s="346"/>
      <c r="N382" s="346"/>
      <c r="O382">
        <f t="shared" si="44"/>
        <v>0</v>
      </c>
      <c r="P382" s="351">
        <f t="shared" si="45"/>
        <v>0</v>
      </c>
    </row>
    <row r="383" spans="1:16">
      <c r="A383" s="165">
        <f>'Conveyor Downtime (new)'!A386</f>
        <v>46211</v>
      </c>
      <c r="O383">
        <f t="shared" si="44"/>
        <v>0</v>
      </c>
      <c r="P383" s="351">
        <f t="shared" si="45"/>
        <v>0</v>
      </c>
    </row>
    <row r="384" spans="1:16">
      <c r="A384" s="165">
        <f>'Conveyor Downtime (new)'!A387</f>
        <v>46212</v>
      </c>
      <c r="B384" s="346"/>
      <c r="C384" s="346"/>
      <c r="D384" s="346"/>
      <c r="E384" s="346"/>
      <c r="F384" s="346"/>
      <c r="G384" s="346"/>
      <c r="H384" s="346"/>
      <c r="I384" s="346"/>
      <c r="J384" s="346"/>
      <c r="K384" s="346"/>
      <c r="L384" s="346"/>
      <c r="M384" s="346"/>
      <c r="N384" s="346"/>
      <c r="O384">
        <f t="shared" si="44"/>
        <v>0</v>
      </c>
      <c r="P384" s="351">
        <f t="shared" si="45"/>
        <v>0</v>
      </c>
    </row>
    <row r="385" spans="1:16">
      <c r="A385" s="165">
        <f>'Conveyor Downtime (new)'!A388</f>
        <v>46212</v>
      </c>
      <c r="O385">
        <f t="shared" si="44"/>
        <v>0</v>
      </c>
      <c r="P385" s="351">
        <f t="shared" si="45"/>
        <v>0</v>
      </c>
    </row>
    <row r="386" spans="1:16">
      <c r="A386" s="165">
        <f>'Conveyor Downtime (new)'!A389</f>
        <v>46212</v>
      </c>
      <c r="B386" s="346"/>
      <c r="C386" s="346"/>
      <c r="D386" s="346"/>
      <c r="E386" s="346"/>
      <c r="F386" s="346"/>
      <c r="G386" s="346"/>
      <c r="H386" s="346"/>
      <c r="I386" s="346"/>
      <c r="J386" s="346"/>
      <c r="K386" s="346"/>
      <c r="L386" s="346"/>
      <c r="M386" s="346"/>
      <c r="N386" s="346"/>
      <c r="O386">
        <f t="shared" si="44"/>
        <v>0</v>
      </c>
      <c r="P386" s="351">
        <f t="shared" si="45"/>
        <v>0</v>
      </c>
    </row>
    <row r="387" spans="1:16">
      <c r="A387" s="165">
        <f>'Conveyor Downtime (new)'!A390</f>
        <v>46213</v>
      </c>
      <c r="B387">
        <f>4</f>
        <v>4</v>
      </c>
      <c r="O387">
        <f t="shared" si="44"/>
        <v>4</v>
      </c>
      <c r="P387" s="351">
        <f t="shared" si="45"/>
        <v>6.41025641025641E-3</v>
      </c>
    </row>
    <row r="388" spans="1:16">
      <c r="A388" s="165">
        <f>'Conveyor Downtime (new)'!A391</f>
        <v>46213</v>
      </c>
      <c r="B388" s="346">
        <f>15</f>
        <v>15</v>
      </c>
      <c r="C388" s="346"/>
      <c r="D388" s="346"/>
      <c r="E388" s="346"/>
      <c r="F388" s="346"/>
      <c r="G388" s="346"/>
      <c r="H388" s="346"/>
      <c r="I388" s="346"/>
      <c r="J388" s="346"/>
      <c r="K388" s="346"/>
      <c r="L388" s="346"/>
      <c r="M388" s="346"/>
      <c r="N388" s="346"/>
      <c r="O388">
        <f t="shared" si="44"/>
        <v>15</v>
      </c>
      <c r="P388" s="351">
        <f t="shared" si="45"/>
        <v>2.403846153846154E-2</v>
      </c>
    </row>
    <row r="389" spans="1:16">
      <c r="A389" s="165">
        <f>'Conveyor Downtime (new)'!A392</f>
        <v>46216</v>
      </c>
      <c r="B389">
        <f>2+3+45+2+55+60</f>
        <v>167</v>
      </c>
      <c r="O389">
        <f t="shared" si="44"/>
        <v>167</v>
      </c>
      <c r="P389" s="351">
        <f t="shared" si="45"/>
        <v>0.26762820512820512</v>
      </c>
    </row>
    <row r="390" spans="1:16">
      <c r="A390" s="165">
        <f>'Conveyor Downtime (new)'!A393</f>
        <v>46216</v>
      </c>
      <c r="B390" s="346"/>
      <c r="C390" s="346"/>
      <c r="D390" s="346"/>
      <c r="E390" s="346"/>
      <c r="F390" s="346"/>
      <c r="G390" s="346"/>
      <c r="H390" s="346"/>
      <c r="I390" s="346"/>
      <c r="J390" s="346"/>
      <c r="K390" s="346"/>
      <c r="L390" s="346"/>
      <c r="M390" s="346"/>
      <c r="N390" s="346"/>
      <c r="O390">
        <f t="shared" si="44"/>
        <v>0</v>
      </c>
      <c r="P390" s="351">
        <f t="shared" si="45"/>
        <v>0</v>
      </c>
    </row>
    <row r="391" spans="1:16">
      <c r="A391" s="165">
        <f>'Conveyor Downtime (new)'!A394</f>
        <v>46217</v>
      </c>
      <c r="B391">
        <f>10+6+3</f>
        <v>19</v>
      </c>
      <c r="O391">
        <f t="shared" si="44"/>
        <v>19</v>
      </c>
      <c r="P391" s="351">
        <f t="shared" si="45"/>
        <v>3.0448717948717948E-2</v>
      </c>
    </row>
    <row r="392" spans="1:16">
      <c r="A392" s="165">
        <f>'Conveyor Downtime (new)'!A395</f>
        <v>46218</v>
      </c>
      <c r="B392" s="346"/>
      <c r="C392" s="346"/>
      <c r="D392" s="346"/>
      <c r="E392" s="346"/>
      <c r="F392" s="346"/>
      <c r="G392" s="346"/>
      <c r="H392" s="346"/>
      <c r="I392" s="346"/>
      <c r="J392" s="346"/>
      <c r="K392" s="346"/>
      <c r="L392" s="346"/>
      <c r="M392" s="346"/>
      <c r="N392" s="346"/>
      <c r="O392">
        <f t="shared" si="44"/>
        <v>0</v>
      </c>
      <c r="P392" s="351">
        <f t="shared" si="45"/>
        <v>0</v>
      </c>
    </row>
    <row r="393" spans="1:16">
      <c r="A393" s="165">
        <f>'Conveyor Downtime (new)'!A396</f>
        <v>46218</v>
      </c>
      <c r="O393">
        <f t="shared" si="44"/>
        <v>0</v>
      </c>
      <c r="P393" s="351">
        <f t="shared" si="45"/>
        <v>0</v>
      </c>
    </row>
    <row r="394" spans="1:16">
      <c r="A394" s="165">
        <f>'Conveyor Downtime (new)'!A397</f>
        <v>46219</v>
      </c>
      <c r="B394" s="346"/>
      <c r="C394" s="346"/>
      <c r="D394" s="346"/>
      <c r="E394" s="346"/>
      <c r="F394" s="346"/>
      <c r="G394" s="346"/>
      <c r="H394" s="346"/>
      <c r="I394" s="346"/>
      <c r="J394" s="346"/>
      <c r="K394" s="346"/>
      <c r="L394" s="346"/>
      <c r="M394" s="346"/>
      <c r="N394" s="346"/>
      <c r="O394">
        <f t="shared" si="44"/>
        <v>0</v>
      </c>
      <c r="P394" s="351">
        <f t="shared" si="45"/>
        <v>0</v>
      </c>
    </row>
    <row r="395" spans="1:16">
      <c r="A395" s="165">
        <f>'Conveyor Downtime (new)'!A398</f>
        <v>46219</v>
      </c>
      <c r="O395">
        <f t="shared" si="44"/>
        <v>0</v>
      </c>
      <c r="P395" s="351">
        <f t="shared" si="45"/>
        <v>0</v>
      </c>
    </row>
    <row r="396" spans="1:16">
      <c r="A396" s="165">
        <f>'Conveyor Downtime (new)'!A399</f>
        <v>46219</v>
      </c>
      <c r="B396" s="346"/>
      <c r="C396" s="346"/>
      <c r="D396" s="346"/>
      <c r="E396" s="346"/>
      <c r="F396" s="346"/>
      <c r="G396" s="346"/>
      <c r="H396" s="346"/>
      <c r="I396" s="346"/>
      <c r="J396" s="346"/>
      <c r="K396" s="346"/>
      <c r="L396" s="346"/>
      <c r="M396" s="346"/>
      <c r="N396" s="346"/>
      <c r="O396">
        <f t="shared" si="44"/>
        <v>0</v>
      </c>
      <c r="P396" s="351">
        <f t="shared" si="45"/>
        <v>0</v>
      </c>
    </row>
    <row r="397" spans="1:16">
      <c r="A397" s="165">
        <f>'Conveyor Downtime (new)'!A400</f>
        <v>46219</v>
      </c>
      <c r="O397">
        <f t="shared" si="44"/>
        <v>0</v>
      </c>
      <c r="P397" s="351">
        <f t="shared" si="45"/>
        <v>0</v>
      </c>
    </row>
    <row r="398" spans="1:16">
      <c r="A398" s="165">
        <f>'Conveyor Downtime (new)'!A401</f>
        <v>46220</v>
      </c>
      <c r="B398" s="346"/>
      <c r="C398" s="346"/>
      <c r="D398" s="346"/>
      <c r="E398" s="346"/>
      <c r="F398" s="346"/>
      <c r="G398" s="346"/>
      <c r="H398" s="346"/>
      <c r="I398" s="346"/>
      <c r="J398" s="346"/>
      <c r="K398" s="346"/>
      <c r="L398" s="346"/>
      <c r="M398" s="346"/>
      <c r="N398" s="346"/>
      <c r="O398">
        <f t="shared" si="44"/>
        <v>0</v>
      </c>
      <c r="P398" s="351">
        <f t="shared" si="45"/>
        <v>0</v>
      </c>
    </row>
    <row r="399" spans="1:16">
      <c r="A399" s="165">
        <f>'Conveyor Downtime (new)'!A402</f>
        <v>46220</v>
      </c>
      <c r="O399">
        <f t="shared" si="44"/>
        <v>0</v>
      </c>
      <c r="P399" s="351">
        <f t="shared" si="45"/>
        <v>0</v>
      </c>
    </row>
    <row r="400" spans="1:16">
      <c r="A400" s="165">
        <f>'Conveyor Downtime (new)'!A403</f>
        <v>46223</v>
      </c>
      <c r="B400" s="346"/>
      <c r="C400" s="346"/>
      <c r="D400" s="346"/>
      <c r="E400" s="346"/>
      <c r="F400" s="346"/>
      <c r="G400" s="346"/>
      <c r="H400" s="346"/>
      <c r="I400" s="346"/>
      <c r="J400" s="346"/>
      <c r="K400" s="346"/>
      <c r="L400" s="346"/>
      <c r="M400" s="346"/>
      <c r="N400" s="346"/>
      <c r="O400">
        <f t="shared" ref="O400:O424" si="46">SUM(B400:N400)</f>
        <v>0</v>
      </c>
      <c r="P400" s="351">
        <f t="shared" si="45"/>
        <v>0</v>
      </c>
    </row>
    <row r="401" spans="1:16">
      <c r="A401" s="165">
        <f>'Conveyor Downtime (new)'!A405</f>
        <v>46224</v>
      </c>
      <c r="O401">
        <f t="shared" si="46"/>
        <v>0</v>
      </c>
      <c r="P401" s="351">
        <f t="shared" si="45"/>
        <v>0</v>
      </c>
    </row>
    <row r="402" spans="1:16">
      <c r="A402" s="165">
        <f>'Conveyor Downtime (new)'!A406</f>
        <v>46224</v>
      </c>
      <c r="O402">
        <f t="shared" si="46"/>
        <v>0</v>
      </c>
      <c r="P402" s="351">
        <f t="shared" si="45"/>
        <v>0</v>
      </c>
    </row>
    <row r="403" spans="1:16">
      <c r="A403" s="165">
        <f>'Conveyor Downtime (new)'!A407</f>
        <v>46224</v>
      </c>
      <c r="B403" s="346"/>
      <c r="C403" s="346"/>
      <c r="D403" s="346"/>
      <c r="E403" s="346"/>
      <c r="F403" s="346"/>
      <c r="G403" s="346"/>
      <c r="H403" s="346"/>
      <c r="I403" s="346"/>
      <c r="J403" s="346"/>
      <c r="K403" s="346"/>
      <c r="L403" s="346"/>
      <c r="M403" s="346"/>
      <c r="N403" s="346"/>
      <c r="O403">
        <f t="shared" si="46"/>
        <v>0</v>
      </c>
      <c r="P403" s="351">
        <f t="shared" si="45"/>
        <v>0</v>
      </c>
    </row>
    <row r="404" spans="1:16">
      <c r="A404" s="165">
        <f>'Conveyor Downtime (new)'!A408</f>
        <v>46225</v>
      </c>
      <c r="O404">
        <f t="shared" si="46"/>
        <v>0</v>
      </c>
      <c r="P404" s="351">
        <f t="shared" si="45"/>
        <v>0</v>
      </c>
    </row>
    <row r="405" spans="1:16">
      <c r="A405" s="165">
        <f>'Conveyor Downtime (new)'!A409</f>
        <v>46225</v>
      </c>
      <c r="B405" s="346"/>
      <c r="C405" s="346"/>
      <c r="D405" s="346"/>
      <c r="E405" s="346"/>
      <c r="F405" s="346"/>
      <c r="G405" s="346"/>
      <c r="H405" s="346"/>
      <c r="I405" s="346"/>
      <c r="J405" s="346"/>
      <c r="K405" s="346"/>
      <c r="L405" s="346"/>
      <c r="M405" s="346"/>
      <c r="N405" s="346"/>
      <c r="O405">
        <f t="shared" si="46"/>
        <v>0</v>
      </c>
      <c r="P405" s="351">
        <f t="shared" si="45"/>
        <v>0</v>
      </c>
    </row>
    <row r="406" spans="1:16">
      <c r="A406" s="165">
        <f>'Conveyor Downtime (new)'!A410</f>
        <v>46226</v>
      </c>
      <c r="O406">
        <f t="shared" si="46"/>
        <v>0</v>
      </c>
      <c r="P406" s="351">
        <f t="shared" si="45"/>
        <v>0</v>
      </c>
    </row>
    <row r="407" spans="1:16">
      <c r="A407" s="165">
        <f>'Conveyor Downtime (new)'!A411</f>
        <v>46226</v>
      </c>
      <c r="B407" s="346"/>
      <c r="C407" s="346"/>
      <c r="D407" s="346"/>
      <c r="E407" s="346"/>
      <c r="F407" s="346"/>
      <c r="G407" s="346"/>
      <c r="H407" s="346"/>
      <c r="I407" s="346"/>
      <c r="J407" s="346"/>
      <c r="K407" s="346"/>
      <c r="L407" s="346"/>
      <c r="M407" s="346"/>
      <c r="N407" s="346"/>
      <c r="O407">
        <f t="shared" si="46"/>
        <v>0</v>
      </c>
      <c r="P407" s="351">
        <f t="shared" si="45"/>
        <v>0</v>
      </c>
    </row>
    <row r="408" spans="1:16">
      <c r="A408" s="165">
        <f>'Conveyor Downtime (new)'!A412</f>
        <v>46227</v>
      </c>
      <c r="B408">
        <f>3</f>
        <v>3</v>
      </c>
      <c r="O408">
        <f t="shared" si="46"/>
        <v>3</v>
      </c>
      <c r="P408" s="351">
        <f t="shared" si="45"/>
        <v>4.807692307692308E-3</v>
      </c>
    </row>
    <row r="409" spans="1:16">
      <c r="A409" s="165">
        <f>'Conveyor Downtime (new)'!A413</f>
        <v>46227</v>
      </c>
      <c r="B409" s="346"/>
      <c r="C409" s="346"/>
      <c r="D409" s="346"/>
      <c r="E409" s="346"/>
      <c r="F409" s="346"/>
      <c r="G409" s="346"/>
      <c r="H409" s="346"/>
      <c r="I409" s="346"/>
      <c r="J409" s="346"/>
      <c r="K409" s="346"/>
      <c r="L409" s="346"/>
      <c r="M409" s="346"/>
      <c r="N409" s="346"/>
      <c r="O409">
        <f t="shared" si="46"/>
        <v>0</v>
      </c>
      <c r="P409" s="351">
        <f t="shared" si="45"/>
        <v>0</v>
      </c>
    </row>
    <row r="410" spans="1:16">
      <c r="A410" s="165">
        <f>'Conveyor Downtime (new)'!A414</f>
        <v>46230</v>
      </c>
      <c r="O410">
        <f t="shared" ref="O410:O415" si="47">SUM(B410:N410)</f>
        <v>0</v>
      </c>
      <c r="P410" s="351">
        <f t="shared" ref="P410:P415" si="48">O410/$O$425</f>
        <v>0</v>
      </c>
    </row>
    <row r="411" spans="1:16">
      <c r="A411" s="165">
        <f>'Conveyor Downtime (new)'!A415</f>
        <v>46231</v>
      </c>
      <c r="B411" s="346">
        <f>5+11</f>
        <v>16</v>
      </c>
      <c r="C411" s="346"/>
      <c r="D411" s="346"/>
      <c r="E411" s="346"/>
      <c r="F411" s="346"/>
      <c r="G411" s="346"/>
      <c r="H411" s="346"/>
      <c r="I411" s="346"/>
      <c r="J411" s="346"/>
      <c r="K411" s="346"/>
      <c r="L411" s="346"/>
      <c r="M411" s="346"/>
      <c r="N411" s="346"/>
      <c r="O411">
        <f t="shared" si="47"/>
        <v>16</v>
      </c>
      <c r="P411" s="351">
        <f t="shared" si="48"/>
        <v>2.564102564102564E-2</v>
      </c>
    </row>
    <row r="412" spans="1:16">
      <c r="A412" s="165">
        <f>'Conveyor Downtime (new)'!A416</f>
        <v>46231</v>
      </c>
      <c r="O412">
        <f t="shared" si="47"/>
        <v>0</v>
      </c>
      <c r="P412" s="351">
        <f t="shared" si="48"/>
        <v>0</v>
      </c>
    </row>
    <row r="413" spans="1:16">
      <c r="A413" s="165">
        <f>'Conveyor Downtime (new)'!A417</f>
        <v>46232</v>
      </c>
      <c r="B413" s="346"/>
      <c r="C413" s="346"/>
      <c r="D413" s="346"/>
      <c r="E413" s="346"/>
      <c r="F413" s="346"/>
      <c r="G413" s="346"/>
      <c r="H413" s="346"/>
      <c r="I413" s="346"/>
      <c r="J413" s="346"/>
      <c r="K413" s="346"/>
      <c r="L413" s="346"/>
      <c r="M413" s="346"/>
      <c r="N413" s="346"/>
      <c r="O413">
        <f t="shared" si="47"/>
        <v>0</v>
      </c>
      <c r="P413" s="351">
        <f t="shared" si="48"/>
        <v>0</v>
      </c>
    </row>
    <row r="414" spans="1:16">
      <c r="A414" s="165">
        <f>'Conveyor Downtime (new)'!A418</f>
        <v>46232</v>
      </c>
      <c r="B414">
        <v>6</v>
      </c>
      <c r="O414">
        <f t="shared" si="47"/>
        <v>6</v>
      </c>
      <c r="P414" s="351">
        <f t="shared" si="48"/>
        <v>9.6153846153846159E-3</v>
      </c>
    </row>
    <row r="415" spans="1:16">
      <c r="A415" s="165">
        <f>'Conveyor Downtime (new)'!A419</f>
        <v>46232</v>
      </c>
      <c r="B415" s="346"/>
      <c r="C415" s="346"/>
      <c r="D415" s="346"/>
      <c r="E415" s="346"/>
      <c r="F415" s="346"/>
      <c r="G415" s="346"/>
      <c r="H415" s="346"/>
      <c r="I415" s="346"/>
      <c r="J415" s="346"/>
      <c r="K415" s="346"/>
      <c r="L415" s="346"/>
      <c r="M415" s="346"/>
      <c r="N415" s="346"/>
      <c r="O415">
        <f t="shared" si="47"/>
        <v>0</v>
      </c>
      <c r="P415" s="351">
        <f t="shared" si="48"/>
        <v>0</v>
      </c>
    </row>
    <row r="416" spans="1:16">
      <c r="A416" s="165">
        <f>'Conveyor Downtime (new)'!A420</f>
        <v>46233</v>
      </c>
      <c r="O416">
        <f t="shared" si="46"/>
        <v>0</v>
      </c>
      <c r="P416" s="351">
        <f t="shared" ref="P416:P424" si="49">O416/$O$425</f>
        <v>0</v>
      </c>
    </row>
    <row r="417" spans="1:16">
      <c r="A417" s="165">
        <f>'Conveyor Downtime (new)'!A421</f>
        <v>46233</v>
      </c>
      <c r="B417" s="346"/>
      <c r="C417" s="346"/>
      <c r="D417" s="346"/>
      <c r="E417" s="346"/>
      <c r="F417" s="346"/>
      <c r="G417" s="346"/>
      <c r="H417" s="346"/>
      <c r="I417" s="346"/>
      <c r="J417" s="346"/>
      <c r="K417" s="346"/>
      <c r="L417" s="346"/>
      <c r="M417" s="346"/>
      <c r="N417" s="346"/>
      <c r="O417">
        <f t="shared" si="46"/>
        <v>0</v>
      </c>
      <c r="P417" s="351">
        <f t="shared" si="49"/>
        <v>0</v>
      </c>
    </row>
    <row r="418" spans="1:16">
      <c r="A418" s="165">
        <f>'Conveyor Downtime (new)'!A422</f>
        <v>46233</v>
      </c>
      <c r="O418">
        <f t="shared" si="46"/>
        <v>0</v>
      </c>
      <c r="P418" s="351">
        <f t="shared" si="49"/>
        <v>0</v>
      </c>
    </row>
    <row r="419" spans="1:16">
      <c r="A419" s="165">
        <f>'Conveyor Downtime (new)'!A423</f>
        <v>46234</v>
      </c>
      <c r="B419" s="346">
        <f>5+7</f>
        <v>12</v>
      </c>
      <c r="C419" s="346"/>
      <c r="D419" s="346"/>
      <c r="E419" s="346"/>
      <c r="F419" s="346"/>
      <c r="G419" s="346"/>
      <c r="H419" s="346"/>
      <c r="I419" s="346"/>
      <c r="J419" s="346"/>
      <c r="K419" s="346"/>
      <c r="L419" s="346"/>
      <c r="M419" s="346"/>
      <c r="N419" s="346"/>
      <c r="O419">
        <f t="shared" si="46"/>
        <v>12</v>
      </c>
      <c r="P419" s="351">
        <f t="shared" si="49"/>
        <v>1.9230769230769232E-2</v>
      </c>
    </row>
    <row r="420" spans="1:16">
      <c r="A420" s="165">
        <f>'Conveyor Downtime (new)'!A424</f>
        <v>0</v>
      </c>
      <c r="O420">
        <f t="shared" si="46"/>
        <v>0</v>
      </c>
      <c r="P420" s="351">
        <f t="shared" si="49"/>
        <v>0</v>
      </c>
    </row>
    <row r="421" spans="1:16">
      <c r="A421" s="165">
        <f>'Conveyor Downtime (new)'!A425</f>
        <v>0</v>
      </c>
      <c r="B421" s="346"/>
      <c r="C421" s="346"/>
      <c r="D421" s="346"/>
      <c r="E421" s="346"/>
      <c r="F421" s="346"/>
      <c r="G421" s="346"/>
      <c r="H421" s="346"/>
      <c r="I421" s="346"/>
      <c r="J421" s="346"/>
      <c r="K421" s="346"/>
      <c r="L421" s="346"/>
      <c r="M421" s="346"/>
      <c r="N421" s="346"/>
      <c r="O421">
        <f t="shared" si="46"/>
        <v>0</v>
      </c>
      <c r="P421" s="351">
        <f t="shared" si="49"/>
        <v>0</v>
      </c>
    </row>
    <row r="422" spans="1:16">
      <c r="A422" s="165">
        <f>'Conveyor Downtime (new)'!A426</f>
        <v>0</v>
      </c>
      <c r="O422">
        <f t="shared" si="46"/>
        <v>0</v>
      </c>
      <c r="P422" s="351">
        <f t="shared" si="49"/>
        <v>0</v>
      </c>
    </row>
    <row r="423" spans="1:16">
      <c r="A423" s="165">
        <f>'Conveyor Downtime (new)'!A427</f>
        <v>0</v>
      </c>
      <c r="B423" s="346"/>
      <c r="C423" s="346"/>
      <c r="D423" s="346"/>
      <c r="E423" s="346"/>
      <c r="F423" s="346"/>
      <c r="G423" s="346"/>
      <c r="H423" s="346"/>
      <c r="I423" s="346"/>
      <c r="J423" s="346"/>
      <c r="K423" s="346"/>
      <c r="L423" s="346"/>
      <c r="M423" s="346"/>
      <c r="N423" s="346"/>
      <c r="O423">
        <f t="shared" si="46"/>
        <v>0</v>
      </c>
      <c r="P423" s="351">
        <f t="shared" si="49"/>
        <v>0</v>
      </c>
    </row>
    <row r="424" spans="1:16" ht="13.5" thickBot="1">
      <c r="A424" s="165">
        <f>'Conveyor Downtime (new)'!A428</f>
        <v>0</v>
      </c>
      <c r="O424">
        <f t="shared" si="46"/>
        <v>0</v>
      </c>
      <c r="P424" s="351">
        <f t="shared" si="49"/>
        <v>0</v>
      </c>
    </row>
    <row r="425" spans="1:16" ht="15">
      <c r="A425" s="654" t="s">
        <v>246</v>
      </c>
      <c r="B425" s="347">
        <f t="shared" ref="B425:N425" si="50">SUM(B369:B424)</f>
        <v>624</v>
      </c>
      <c r="C425" s="347">
        <f t="shared" si="50"/>
        <v>0</v>
      </c>
      <c r="D425" s="347">
        <f t="shared" si="50"/>
        <v>0</v>
      </c>
      <c r="E425" s="347">
        <f t="shared" si="50"/>
        <v>0</v>
      </c>
      <c r="F425" s="347">
        <f t="shared" si="50"/>
        <v>0</v>
      </c>
      <c r="G425" s="347">
        <f t="shared" si="50"/>
        <v>0</v>
      </c>
      <c r="H425" s="347">
        <f t="shared" si="50"/>
        <v>0</v>
      </c>
      <c r="I425" s="347">
        <f t="shared" si="50"/>
        <v>0</v>
      </c>
      <c r="J425" s="347">
        <f t="shared" si="50"/>
        <v>0</v>
      </c>
      <c r="K425" s="347">
        <f t="shared" si="50"/>
        <v>0</v>
      </c>
      <c r="L425" s="347">
        <f t="shared" si="50"/>
        <v>0</v>
      </c>
      <c r="M425" s="347">
        <f t="shared" si="50"/>
        <v>0</v>
      </c>
      <c r="N425" s="347">
        <f t="shared" si="50"/>
        <v>0</v>
      </c>
      <c r="O425" s="347">
        <f>SUM(O369:O424)</f>
        <v>624</v>
      </c>
    </row>
    <row r="426" spans="1:16" ht="15.75" thickBot="1">
      <c r="A426" s="655"/>
      <c r="B426" s="348">
        <f t="shared" ref="B426:H426" si="51">B425/$O425</f>
        <v>1</v>
      </c>
      <c r="C426" s="348">
        <f t="shared" si="51"/>
        <v>0</v>
      </c>
      <c r="D426" s="348">
        <f t="shared" si="51"/>
        <v>0</v>
      </c>
      <c r="E426" s="348">
        <f t="shared" si="51"/>
        <v>0</v>
      </c>
      <c r="F426" s="348">
        <f t="shared" si="51"/>
        <v>0</v>
      </c>
      <c r="G426" s="348">
        <f t="shared" si="51"/>
        <v>0</v>
      </c>
      <c r="H426" s="348">
        <f t="shared" si="51"/>
        <v>0</v>
      </c>
      <c r="I426" s="348">
        <f t="shared" ref="I426:N426" si="52">I425/$O425</f>
        <v>0</v>
      </c>
      <c r="J426" s="348">
        <f t="shared" si="52"/>
        <v>0</v>
      </c>
      <c r="K426" s="348">
        <f t="shared" si="52"/>
        <v>0</v>
      </c>
      <c r="L426" s="348">
        <f t="shared" si="52"/>
        <v>0</v>
      </c>
      <c r="M426" s="348">
        <f t="shared" si="52"/>
        <v>0</v>
      </c>
      <c r="N426" s="348">
        <f t="shared" si="52"/>
        <v>0</v>
      </c>
    </row>
    <row r="428" spans="1:16" ht="12" customHeight="1"/>
    <row r="429" spans="1:16">
      <c r="A429" s="165">
        <f>'Conveyor Downtime (new)'!A433</f>
        <v>46237</v>
      </c>
      <c r="O429">
        <f t="shared" ref="O429:O461" si="53">SUM(B429:N429)</f>
        <v>0</v>
      </c>
      <c r="P429" s="351">
        <f t="shared" ref="P429:P473" si="54">O429/$O$483</f>
        <v>0</v>
      </c>
    </row>
    <row r="430" spans="1:16">
      <c r="A430" s="165">
        <f>'Conveyor Downtime (new)'!A434</f>
        <v>46238</v>
      </c>
      <c r="B430" s="346"/>
      <c r="C430" s="346"/>
      <c r="D430" s="346"/>
      <c r="E430" s="346"/>
      <c r="F430" s="346"/>
      <c r="G430" s="346"/>
      <c r="H430" s="346"/>
      <c r="I430" s="346"/>
      <c r="J430" s="346"/>
      <c r="K430" s="346"/>
      <c r="L430" s="346"/>
      <c r="M430" s="346"/>
      <c r="N430" s="346"/>
      <c r="O430">
        <f t="shared" si="53"/>
        <v>0</v>
      </c>
      <c r="P430" s="351">
        <f t="shared" si="54"/>
        <v>0</v>
      </c>
    </row>
    <row r="431" spans="1:16">
      <c r="A431" s="165">
        <f>'Conveyor Downtime (new)'!A435</f>
        <v>46239</v>
      </c>
      <c r="O431">
        <f t="shared" si="53"/>
        <v>0</v>
      </c>
      <c r="P431" s="351">
        <f t="shared" si="54"/>
        <v>0</v>
      </c>
    </row>
    <row r="432" spans="1:16">
      <c r="A432" s="165">
        <f>'Conveyor Downtime (new)'!A436</f>
        <v>46239</v>
      </c>
      <c r="B432" s="346">
        <f>12+5+9+15</f>
        <v>41</v>
      </c>
      <c r="C432" s="346"/>
      <c r="D432" s="346"/>
      <c r="E432" s="346"/>
      <c r="F432" s="346"/>
      <c r="G432" s="346"/>
      <c r="H432" s="346"/>
      <c r="I432" s="346"/>
      <c r="J432" s="346"/>
      <c r="K432" s="346"/>
      <c r="L432" s="346"/>
      <c r="M432" s="346"/>
      <c r="N432" s="346"/>
      <c r="O432">
        <f t="shared" si="53"/>
        <v>41</v>
      </c>
      <c r="P432" s="351">
        <f t="shared" si="54"/>
        <v>0.41836734693877553</v>
      </c>
    </row>
    <row r="433" spans="1:16">
      <c r="A433" s="165">
        <f>'Conveyor Downtime (new)'!A437</f>
        <v>46239</v>
      </c>
      <c r="O433">
        <f t="shared" si="53"/>
        <v>0</v>
      </c>
      <c r="P433" s="351">
        <f t="shared" si="54"/>
        <v>0</v>
      </c>
    </row>
    <row r="434" spans="1:16">
      <c r="A434" s="165">
        <f>'Conveyor Downtime (new)'!A438</f>
        <v>46240</v>
      </c>
      <c r="B434" s="346"/>
      <c r="C434" s="346"/>
      <c r="D434" s="346"/>
      <c r="E434" s="346"/>
      <c r="F434" s="346"/>
      <c r="G434" s="346"/>
      <c r="H434" s="346"/>
      <c r="I434" s="346"/>
      <c r="J434" s="346"/>
      <c r="K434" s="346"/>
      <c r="L434" s="346"/>
      <c r="M434" s="346"/>
      <c r="N434" s="346"/>
      <c r="O434">
        <f t="shared" si="53"/>
        <v>0</v>
      </c>
      <c r="P434" s="351">
        <f t="shared" si="54"/>
        <v>0</v>
      </c>
    </row>
    <row r="435" spans="1:16">
      <c r="A435" s="165">
        <f>'Conveyor Downtime (new)'!A439</f>
        <v>46241</v>
      </c>
      <c r="O435">
        <f t="shared" si="53"/>
        <v>0</v>
      </c>
      <c r="P435" s="351">
        <f t="shared" si="54"/>
        <v>0</v>
      </c>
    </row>
    <row r="436" spans="1:16">
      <c r="A436" s="165">
        <f>'Conveyor Downtime (new)'!A440</f>
        <v>46241</v>
      </c>
      <c r="B436" s="346"/>
      <c r="C436" s="346"/>
      <c r="D436" s="346"/>
      <c r="E436" s="346"/>
      <c r="F436" s="346"/>
      <c r="G436" s="346"/>
      <c r="H436" s="346"/>
      <c r="I436" s="346"/>
      <c r="J436" s="346"/>
      <c r="K436" s="346"/>
      <c r="L436" s="346"/>
      <c r="M436" s="346"/>
      <c r="N436" s="346"/>
      <c r="O436">
        <f t="shared" si="53"/>
        <v>0</v>
      </c>
      <c r="P436" s="351">
        <f t="shared" si="54"/>
        <v>0</v>
      </c>
    </row>
    <row r="437" spans="1:16">
      <c r="A437" s="165">
        <f>'Conveyor Downtime (new)'!A441</f>
        <v>46246</v>
      </c>
      <c r="B437">
        <f>6+9</f>
        <v>15</v>
      </c>
      <c r="O437">
        <f t="shared" si="53"/>
        <v>15</v>
      </c>
      <c r="P437" s="351">
        <f t="shared" si="54"/>
        <v>0.15306122448979592</v>
      </c>
    </row>
    <row r="438" spans="1:16">
      <c r="A438" s="165">
        <f>'Conveyor Downtime (new)'!A442</f>
        <v>46247</v>
      </c>
      <c r="B438" s="346"/>
      <c r="C438" s="346"/>
      <c r="D438" s="346"/>
      <c r="E438" s="346"/>
      <c r="F438" s="346"/>
      <c r="G438" s="346"/>
      <c r="H438" s="346"/>
      <c r="I438" s="346"/>
      <c r="J438" s="346"/>
      <c r="K438" s="346"/>
      <c r="L438" s="346"/>
      <c r="M438" s="346"/>
      <c r="N438" s="346"/>
      <c r="O438">
        <f t="shared" si="53"/>
        <v>0</v>
      </c>
      <c r="P438" s="351">
        <f t="shared" si="54"/>
        <v>0</v>
      </c>
    </row>
    <row r="439" spans="1:16">
      <c r="A439" s="165">
        <f>'Conveyor Downtime (new)'!A443</f>
        <v>46247</v>
      </c>
      <c r="O439">
        <f t="shared" si="53"/>
        <v>0</v>
      </c>
      <c r="P439" s="351">
        <f t="shared" si="54"/>
        <v>0</v>
      </c>
    </row>
    <row r="440" spans="1:16">
      <c r="A440" s="165">
        <f>'Conveyor Downtime (new)'!A444</f>
        <v>46247</v>
      </c>
      <c r="B440" s="346"/>
      <c r="C440" s="346"/>
      <c r="D440" s="346"/>
      <c r="E440" s="346"/>
      <c r="F440" s="346"/>
      <c r="G440" s="346"/>
      <c r="H440" s="346"/>
      <c r="I440" s="346"/>
      <c r="J440" s="346"/>
      <c r="K440" s="346"/>
      <c r="L440" s="346"/>
      <c r="M440" s="346"/>
      <c r="N440" s="346"/>
      <c r="O440">
        <f t="shared" si="53"/>
        <v>0</v>
      </c>
      <c r="P440" s="351">
        <f t="shared" si="54"/>
        <v>0</v>
      </c>
    </row>
    <row r="441" spans="1:16">
      <c r="A441" s="165">
        <f>'Conveyor Downtime (new)'!A445</f>
        <v>46248</v>
      </c>
      <c r="O441">
        <f t="shared" si="53"/>
        <v>0</v>
      </c>
      <c r="P441" s="351">
        <f t="shared" si="54"/>
        <v>0</v>
      </c>
    </row>
    <row r="442" spans="1:16">
      <c r="A442" s="165">
        <f>'Conveyor Downtime (new)'!A446</f>
        <v>46248</v>
      </c>
      <c r="B442" s="346"/>
      <c r="C442" s="346"/>
      <c r="D442" s="346"/>
      <c r="E442" s="346"/>
      <c r="F442" s="346"/>
      <c r="G442" s="346"/>
      <c r="H442" s="346"/>
      <c r="I442" s="346"/>
      <c r="J442" s="346"/>
      <c r="K442" s="346"/>
      <c r="L442" s="346"/>
      <c r="M442" s="346"/>
      <c r="N442" s="346"/>
      <c r="O442">
        <f t="shared" si="53"/>
        <v>0</v>
      </c>
      <c r="P442" s="351">
        <f t="shared" si="54"/>
        <v>0</v>
      </c>
    </row>
    <row r="443" spans="1:16">
      <c r="A443" s="165">
        <f>'Conveyor Downtime (new)'!A447</f>
        <v>46251</v>
      </c>
      <c r="O443">
        <f t="shared" si="53"/>
        <v>0</v>
      </c>
      <c r="P443" s="351">
        <f t="shared" si="54"/>
        <v>0</v>
      </c>
    </row>
    <row r="444" spans="1:16">
      <c r="A444" s="165">
        <f>'Conveyor Downtime (new)'!A448</f>
        <v>46251</v>
      </c>
      <c r="B444" s="346"/>
      <c r="C444" s="346"/>
      <c r="D444" s="346"/>
      <c r="E444" s="346"/>
      <c r="F444" s="346"/>
      <c r="G444" s="346"/>
      <c r="H444" s="346"/>
      <c r="I444" s="346"/>
      <c r="J444" s="346"/>
      <c r="K444" s="346"/>
      <c r="L444" s="346"/>
      <c r="M444" s="346"/>
      <c r="N444" s="346"/>
      <c r="O444">
        <f t="shared" si="53"/>
        <v>0</v>
      </c>
      <c r="P444" s="351">
        <f t="shared" si="54"/>
        <v>0</v>
      </c>
    </row>
    <row r="445" spans="1:16" s="77" customFormat="1">
      <c r="A445" s="165">
        <f>'Conveyor Downtime (new)'!A449</f>
        <v>46252</v>
      </c>
      <c r="O445" s="77">
        <f t="shared" si="53"/>
        <v>0</v>
      </c>
      <c r="P445" s="385">
        <f t="shared" si="54"/>
        <v>0</v>
      </c>
    </row>
    <row r="446" spans="1:16">
      <c r="A446" s="165">
        <f>'Conveyor Downtime (new)'!A450</f>
        <v>46252</v>
      </c>
      <c r="O446">
        <f t="shared" si="53"/>
        <v>0</v>
      </c>
      <c r="P446" s="351">
        <f t="shared" si="54"/>
        <v>0</v>
      </c>
    </row>
    <row r="447" spans="1:16">
      <c r="A447" s="165">
        <f>'Conveyor Downtime (new)'!A451</f>
        <v>46253</v>
      </c>
      <c r="B447" s="346"/>
      <c r="C447" s="346"/>
      <c r="D447" s="346"/>
      <c r="E447" s="346"/>
      <c r="F447" s="346"/>
      <c r="G447" s="346"/>
      <c r="H447" s="346"/>
      <c r="I447" s="346"/>
      <c r="J447" s="346"/>
      <c r="K447" s="346"/>
      <c r="L447" s="346"/>
      <c r="M447" s="346"/>
      <c r="N447" s="346"/>
      <c r="O447">
        <f t="shared" si="53"/>
        <v>0</v>
      </c>
      <c r="P447" s="351">
        <f t="shared" si="54"/>
        <v>0</v>
      </c>
    </row>
    <row r="448" spans="1:16">
      <c r="A448" s="165">
        <f>'Conveyor Downtime (new)'!A452</f>
        <v>46253</v>
      </c>
      <c r="O448">
        <f t="shared" si="53"/>
        <v>0</v>
      </c>
      <c r="P448" s="351">
        <f t="shared" si="54"/>
        <v>0</v>
      </c>
    </row>
    <row r="449" spans="1:16">
      <c r="A449" s="165">
        <f>'Conveyor Downtime (new)'!A453</f>
        <v>46254</v>
      </c>
      <c r="B449" s="346"/>
      <c r="C449" s="346"/>
      <c r="D449" s="346"/>
      <c r="E449" s="346"/>
      <c r="F449" s="346"/>
      <c r="G449" s="346"/>
      <c r="H449" s="346"/>
      <c r="I449" s="346"/>
      <c r="J449" s="346"/>
      <c r="K449" s="346"/>
      <c r="L449" s="346"/>
      <c r="M449" s="346"/>
      <c r="N449" s="346"/>
      <c r="O449">
        <f t="shared" si="53"/>
        <v>0</v>
      </c>
      <c r="P449" s="351">
        <f t="shared" si="54"/>
        <v>0</v>
      </c>
    </row>
    <row r="450" spans="1:16">
      <c r="A450" s="165">
        <f>'Conveyor Downtime (new)'!A454</f>
        <v>46254</v>
      </c>
      <c r="O450">
        <f t="shared" si="53"/>
        <v>0</v>
      </c>
      <c r="P450" s="351">
        <f t="shared" si="54"/>
        <v>0</v>
      </c>
    </row>
    <row r="451" spans="1:16">
      <c r="A451" s="165">
        <f>'Conveyor Downtime (new)'!A455</f>
        <v>46258</v>
      </c>
      <c r="B451" s="346">
        <f>7</f>
        <v>7</v>
      </c>
      <c r="C451" s="346"/>
      <c r="D451" s="346"/>
      <c r="E451" s="346"/>
      <c r="F451" s="346"/>
      <c r="G451" s="346"/>
      <c r="H451" s="346"/>
      <c r="I451" s="346"/>
      <c r="J451" s="346"/>
      <c r="K451" s="346"/>
      <c r="L451" s="346"/>
      <c r="M451" s="346"/>
      <c r="N451" s="346"/>
      <c r="O451">
        <f t="shared" si="53"/>
        <v>7</v>
      </c>
      <c r="P451" s="351">
        <f t="shared" si="54"/>
        <v>7.1428571428571425E-2</v>
      </c>
    </row>
    <row r="452" spans="1:16">
      <c r="A452" s="165">
        <f>'Conveyor Downtime (new)'!A456</f>
        <v>46258</v>
      </c>
      <c r="B452">
        <f>24</f>
        <v>24</v>
      </c>
      <c r="O452">
        <f t="shared" si="53"/>
        <v>24</v>
      </c>
      <c r="P452" s="351">
        <f t="shared" si="54"/>
        <v>0.24489795918367346</v>
      </c>
    </row>
    <row r="453" spans="1:16">
      <c r="A453" s="165">
        <f>'Conveyor Downtime (new)'!A457</f>
        <v>46259</v>
      </c>
      <c r="B453" s="346"/>
      <c r="C453" s="346"/>
      <c r="D453" s="346"/>
      <c r="E453" s="346"/>
      <c r="F453" s="346"/>
      <c r="G453" s="346"/>
      <c r="H453" s="346"/>
      <c r="I453" s="346"/>
      <c r="J453" s="346"/>
      <c r="K453" s="346"/>
      <c r="L453" s="346"/>
      <c r="M453" s="346"/>
      <c r="N453" s="346"/>
      <c r="O453">
        <f t="shared" si="53"/>
        <v>0</v>
      </c>
      <c r="P453" s="351">
        <f t="shared" si="54"/>
        <v>0</v>
      </c>
    </row>
    <row r="454" spans="1:16">
      <c r="A454" s="165">
        <f>'Conveyor Downtime (new)'!A458</f>
        <v>46259</v>
      </c>
      <c r="O454">
        <f t="shared" si="53"/>
        <v>0</v>
      </c>
      <c r="P454" s="351">
        <f t="shared" si="54"/>
        <v>0</v>
      </c>
    </row>
    <row r="455" spans="1:16">
      <c r="A455" s="165">
        <f>'Conveyor Downtime (new)'!A459</f>
        <v>46260</v>
      </c>
      <c r="B455" s="346"/>
      <c r="C455" s="346"/>
      <c r="D455" s="346"/>
      <c r="E455" s="346"/>
      <c r="F455" s="346"/>
      <c r="G455" s="346"/>
      <c r="H455" s="346"/>
      <c r="I455" s="346"/>
      <c r="J455" s="346"/>
      <c r="K455" s="346"/>
      <c r="L455" s="346"/>
      <c r="M455" s="346"/>
      <c r="N455" s="346"/>
      <c r="O455">
        <f t="shared" si="53"/>
        <v>0</v>
      </c>
      <c r="P455" s="351">
        <f t="shared" si="54"/>
        <v>0</v>
      </c>
    </row>
    <row r="456" spans="1:16">
      <c r="A456" s="165">
        <f>'Conveyor Downtime (new)'!A460</f>
        <v>46260</v>
      </c>
      <c r="O456">
        <f t="shared" si="53"/>
        <v>0</v>
      </c>
      <c r="P456" s="351">
        <f t="shared" si="54"/>
        <v>0</v>
      </c>
    </row>
    <row r="457" spans="1:16">
      <c r="A457" s="165">
        <f>'Conveyor Downtime (new)'!A461</f>
        <v>46261</v>
      </c>
      <c r="B457" s="346"/>
      <c r="C457" s="346"/>
      <c r="D457" s="346"/>
      <c r="E457" s="346"/>
      <c r="F457" s="346"/>
      <c r="G457" s="346"/>
      <c r="H457" s="346"/>
      <c r="I457" s="346"/>
      <c r="J457" s="346"/>
      <c r="K457" s="346"/>
      <c r="L457" s="346"/>
      <c r="M457" s="346"/>
      <c r="N457" s="346"/>
      <c r="O457">
        <f t="shared" si="53"/>
        <v>0</v>
      </c>
      <c r="P457" s="351">
        <f t="shared" si="54"/>
        <v>0</v>
      </c>
    </row>
    <row r="458" spans="1:16">
      <c r="A458" s="165">
        <f>'Conveyor Downtime (new)'!A462</f>
        <v>46261</v>
      </c>
      <c r="O458">
        <f t="shared" si="53"/>
        <v>0</v>
      </c>
      <c r="P458" s="351">
        <f t="shared" si="54"/>
        <v>0</v>
      </c>
    </row>
    <row r="459" spans="1:16">
      <c r="A459" s="165">
        <f>'Conveyor Downtime (new)'!A463</f>
        <v>46261</v>
      </c>
      <c r="B459" s="346"/>
      <c r="C459" s="346"/>
      <c r="D459" s="346"/>
      <c r="E459" s="346"/>
      <c r="F459" s="346"/>
      <c r="G459" s="346"/>
      <c r="H459" s="346"/>
      <c r="I459" s="346"/>
      <c r="J459" s="346"/>
      <c r="K459" s="346"/>
      <c r="L459" s="346"/>
      <c r="M459" s="346"/>
      <c r="N459" s="346"/>
      <c r="O459">
        <f t="shared" si="53"/>
        <v>0</v>
      </c>
      <c r="P459" s="351">
        <f t="shared" si="54"/>
        <v>0</v>
      </c>
    </row>
    <row r="460" spans="1:16">
      <c r="A460" s="165">
        <f>'Conveyor Downtime (new)'!A464</f>
        <v>46262</v>
      </c>
      <c r="O460">
        <f t="shared" si="53"/>
        <v>0</v>
      </c>
      <c r="P460" s="351">
        <f t="shared" si="54"/>
        <v>0</v>
      </c>
    </row>
    <row r="461" spans="1:16">
      <c r="A461" s="165">
        <f>'Conveyor Downtime (new)'!A465</f>
        <v>46262</v>
      </c>
      <c r="B461" s="346">
        <v>11</v>
      </c>
      <c r="C461" s="346"/>
      <c r="D461" s="346"/>
      <c r="E461" s="346"/>
      <c r="F461" s="346"/>
      <c r="G461" s="346"/>
      <c r="H461" s="346"/>
      <c r="I461" s="346"/>
      <c r="J461" s="346"/>
      <c r="K461" s="346"/>
      <c r="L461" s="346"/>
      <c r="M461" s="346"/>
      <c r="N461" s="346"/>
      <c r="O461">
        <f t="shared" si="53"/>
        <v>11</v>
      </c>
      <c r="P461" s="351">
        <f t="shared" si="54"/>
        <v>0.11224489795918367</v>
      </c>
    </row>
    <row r="462" spans="1:16">
      <c r="A462" s="165">
        <f>'Conveyor Downtime (new)'!A466</f>
        <v>46262</v>
      </c>
      <c r="O462">
        <f t="shared" ref="O462:O482" si="55">SUM(B462:N462)</f>
        <v>0</v>
      </c>
      <c r="P462" s="351">
        <f t="shared" si="54"/>
        <v>0</v>
      </c>
    </row>
    <row r="463" spans="1:16">
      <c r="A463" s="165">
        <f>'Conveyor Downtime (new)'!A467</f>
        <v>46262</v>
      </c>
      <c r="B463" s="346"/>
      <c r="C463" s="346"/>
      <c r="D463" s="346"/>
      <c r="E463" s="346"/>
      <c r="F463" s="346"/>
      <c r="G463" s="346"/>
      <c r="H463" s="346"/>
      <c r="I463" s="346"/>
      <c r="J463" s="346"/>
      <c r="K463" s="346"/>
      <c r="L463" s="346"/>
      <c r="M463" s="346"/>
      <c r="N463" s="346"/>
      <c r="O463">
        <f t="shared" si="55"/>
        <v>0</v>
      </c>
      <c r="P463" s="351">
        <f t="shared" si="54"/>
        <v>0</v>
      </c>
    </row>
    <row r="464" spans="1:16">
      <c r="A464" s="165">
        <f>'Conveyor Downtime (new)'!A468</f>
        <v>46265</v>
      </c>
      <c r="O464">
        <f t="shared" si="55"/>
        <v>0</v>
      </c>
      <c r="P464" s="351">
        <f t="shared" si="54"/>
        <v>0</v>
      </c>
    </row>
    <row r="465" spans="1:16">
      <c r="A465" s="165">
        <f>'Conveyor Downtime (new)'!A469</f>
        <v>0</v>
      </c>
      <c r="B465" s="346"/>
      <c r="C465" s="346"/>
      <c r="D465" s="346"/>
      <c r="E465" s="346"/>
      <c r="F465" s="346"/>
      <c r="G465" s="346"/>
      <c r="H465" s="346"/>
      <c r="I465" s="346"/>
      <c r="J465" s="346"/>
      <c r="K465" s="346"/>
      <c r="L465" s="346"/>
      <c r="M465" s="346"/>
      <c r="N465" s="346"/>
      <c r="O465">
        <f t="shared" si="55"/>
        <v>0</v>
      </c>
      <c r="P465" s="351">
        <f t="shared" si="54"/>
        <v>0</v>
      </c>
    </row>
    <row r="466" spans="1:16">
      <c r="A466" s="165"/>
      <c r="O466">
        <f t="shared" si="55"/>
        <v>0</v>
      </c>
      <c r="P466" s="351">
        <f t="shared" si="54"/>
        <v>0</v>
      </c>
    </row>
    <row r="467" spans="1:16">
      <c r="A467" s="165"/>
      <c r="B467" s="346"/>
      <c r="C467" s="346"/>
      <c r="D467" s="346"/>
      <c r="E467" s="346"/>
      <c r="F467" s="346"/>
      <c r="G467" s="346"/>
      <c r="H467" s="346"/>
      <c r="I467" s="346"/>
      <c r="J467" s="346"/>
      <c r="K467" s="346"/>
      <c r="L467" s="346"/>
      <c r="M467" s="346"/>
      <c r="N467" s="346"/>
      <c r="O467">
        <f t="shared" si="55"/>
        <v>0</v>
      </c>
      <c r="P467" s="351">
        <f t="shared" si="54"/>
        <v>0</v>
      </c>
    </row>
    <row r="468" spans="1:16">
      <c r="A468" s="165"/>
      <c r="O468">
        <f t="shared" si="55"/>
        <v>0</v>
      </c>
      <c r="P468" s="351">
        <f t="shared" si="54"/>
        <v>0</v>
      </c>
    </row>
    <row r="469" spans="1:16">
      <c r="A469" s="165"/>
      <c r="B469" s="346"/>
      <c r="C469" s="346"/>
      <c r="D469" s="346"/>
      <c r="E469" s="346"/>
      <c r="F469" s="346"/>
      <c r="G469" s="346"/>
      <c r="H469" s="346"/>
      <c r="I469" s="346"/>
      <c r="J469" s="346"/>
      <c r="K469" s="346"/>
      <c r="L469" s="346"/>
      <c r="M469" s="346"/>
      <c r="N469" s="346"/>
      <c r="O469">
        <f t="shared" si="55"/>
        <v>0</v>
      </c>
      <c r="P469" s="351">
        <f t="shared" si="54"/>
        <v>0</v>
      </c>
    </row>
    <row r="470" spans="1:16">
      <c r="A470" s="165"/>
      <c r="O470">
        <f t="shared" si="55"/>
        <v>0</v>
      </c>
      <c r="P470" s="351">
        <f t="shared" si="54"/>
        <v>0</v>
      </c>
    </row>
    <row r="471" spans="1:16">
      <c r="A471" s="165"/>
      <c r="B471" s="346"/>
      <c r="C471" s="346"/>
      <c r="D471" s="346"/>
      <c r="E471" s="346"/>
      <c r="F471" s="346"/>
      <c r="G471" s="346"/>
      <c r="H471" s="346"/>
      <c r="I471" s="346"/>
      <c r="J471" s="346"/>
      <c r="K471" s="346"/>
      <c r="L471" s="346"/>
      <c r="M471" s="346"/>
      <c r="N471" s="346"/>
      <c r="O471">
        <f t="shared" si="55"/>
        <v>0</v>
      </c>
      <c r="P471" s="351">
        <f t="shared" si="54"/>
        <v>0</v>
      </c>
    </row>
    <row r="472" spans="1:16">
      <c r="A472" s="165"/>
      <c r="O472">
        <f t="shared" si="55"/>
        <v>0</v>
      </c>
      <c r="P472" s="351">
        <f t="shared" si="54"/>
        <v>0</v>
      </c>
    </row>
    <row r="473" spans="1:16">
      <c r="A473" s="165"/>
      <c r="B473" s="346"/>
      <c r="C473" s="346"/>
      <c r="D473" s="346"/>
      <c r="E473" s="346"/>
      <c r="F473" s="346"/>
      <c r="G473" s="346"/>
      <c r="H473" s="346"/>
      <c r="I473" s="346"/>
      <c r="J473" s="346"/>
      <c r="K473" s="346"/>
      <c r="L473" s="346"/>
      <c r="M473" s="346"/>
      <c r="N473" s="346"/>
      <c r="O473">
        <f t="shared" si="55"/>
        <v>0</v>
      </c>
      <c r="P473" s="351">
        <f t="shared" si="54"/>
        <v>0</v>
      </c>
    </row>
    <row r="474" spans="1:16">
      <c r="A474" s="165"/>
      <c r="O474">
        <f t="shared" si="55"/>
        <v>0</v>
      </c>
      <c r="P474" s="351">
        <f t="shared" ref="P474:P482" si="56">O474/$O$183</f>
        <v>0</v>
      </c>
    </row>
    <row r="475" spans="1:16">
      <c r="A475" s="165"/>
      <c r="B475" s="346"/>
      <c r="C475" s="346"/>
      <c r="D475" s="346"/>
      <c r="E475" s="346"/>
      <c r="F475" s="346"/>
      <c r="G475" s="346"/>
      <c r="H475" s="346"/>
      <c r="I475" s="346"/>
      <c r="J475" s="346"/>
      <c r="K475" s="346"/>
      <c r="L475" s="346"/>
      <c r="M475" s="346"/>
      <c r="N475" s="346"/>
      <c r="O475">
        <f t="shared" si="55"/>
        <v>0</v>
      </c>
      <c r="P475" s="351">
        <f t="shared" si="56"/>
        <v>0</v>
      </c>
    </row>
    <row r="476" spans="1:16">
      <c r="A476" s="165"/>
      <c r="O476">
        <f t="shared" si="55"/>
        <v>0</v>
      </c>
      <c r="P476" s="351">
        <f t="shared" si="56"/>
        <v>0</v>
      </c>
    </row>
    <row r="477" spans="1:16">
      <c r="A477" s="165"/>
      <c r="B477" s="346"/>
      <c r="C477" s="346"/>
      <c r="D477" s="346"/>
      <c r="E477" s="346"/>
      <c r="F477" s="346"/>
      <c r="G477" s="346"/>
      <c r="H477" s="346"/>
      <c r="I477" s="346"/>
      <c r="J477" s="346"/>
      <c r="K477" s="346"/>
      <c r="L477" s="346"/>
      <c r="M477" s="346"/>
      <c r="N477" s="346"/>
      <c r="O477">
        <f t="shared" si="55"/>
        <v>0</v>
      </c>
      <c r="P477" s="351">
        <f t="shared" si="56"/>
        <v>0</v>
      </c>
    </row>
    <row r="478" spans="1:16">
      <c r="A478" s="165"/>
      <c r="O478">
        <f t="shared" si="55"/>
        <v>0</v>
      </c>
      <c r="P478" s="351">
        <f t="shared" si="56"/>
        <v>0</v>
      </c>
    </row>
    <row r="479" spans="1:16">
      <c r="A479" s="165"/>
      <c r="B479" s="346"/>
      <c r="C479" s="346"/>
      <c r="D479" s="346"/>
      <c r="E479" s="346"/>
      <c r="F479" s="346"/>
      <c r="G479" s="346"/>
      <c r="H479" s="346"/>
      <c r="I479" s="346"/>
      <c r="J479" s="346"/>
      <c r="K479" s="346"/>
      <c r="L479" s="346"/>
      <c r="M479" s="346"/>
      <c r="N479" s="346"/>
      <c r="O479">
        <f t="shared" si="55"/>
        <v>0</v>
      </c>
      <c r="P479" s="351">
        <f t="shared" si="56"/>
        <v>0</v>
      </c>
    </row>
    <row r="480" spans="1:16">
      <c r="A480" s="165"/>
      <c r="O480">
        <f t="shared" si="55"/>
        <v>0</v>
      </c>
      <c r="P480" s="351">
        <f t="shared" si="56"/>
        <v>0</v>
      </c>
    </row>
    <row r="481" spans="1:16">
      <c r="A481" s="165"/>
      <c r="B481" s="346"/>
      <c r="C481" s="346"/>
      <c r="D481" s="346"/>
      <c r="E481" s="346"/>
      <c r="F481" s="346"/>
      <c r="G481" s="346"/>
      <c r="H481" s="346"/>
      <c r="I481" s="346"/>
      <c r="J481" s="346"/>
      <c r="K481" s="346"/>
      <c r="L481" s="346"/>
      <c r="M481" s="346"/>
      <c r="N481" s="346"/>
      <c r="O481">
        <f t="shared" si="55"/>
        <v>0</v>
      </c>
      <c r="P481" s="351">
        <f t="shared" si="56"/>
        <v>0</v>
      </c>
    </row>
    <row r="482" spans="1:16" ht="13.5" thickBot="1">
      <c r="A482" s="165"/>
      <c r="O482">
        <f t="shared" si="55"/>
        <v>0</v>
      </c>
      <c r="P482" s="351">
        <f t="shared" si="56"/>
        <v>0</v>
      </c>
    </row>
    <row r="483" spans="1:16" ht="15">
      <c r="A483" s="654" t="s">
        <v>246</v>
      </c>
      <c r="B483" s="347">
        <f t="shared" ref="B483:N483" si="57">SUM(B429:B482)</f>
        <v>98</v>
      </c>
      <c r="C483" s="347">
        <f t="shared" si="57"/>
        <v>0</v>
      </c>
      <c r="D483" s="347">
        <f t="shared" si="57"/>
        <v>0</v>
      </c>
      <c r="E483" s="347">
        <f t="shared" si="57"/>
        <v>0</v>
      </c>
      <c r="F483" s="347">
        <f t="shared" si="57"/>
        <v>0</v>
      </c>
      <c r="G483" s="347">
        <f t="shared" si="57"/>
        <v>0</v>
      </c>
      <c r="H483" s="347">
        <f t="shared" si="57"/>
        <v>0</v>
      </c>
      <c r="I483" s="347">
        <f t="shared" si="57"/>
        <v>0</v>
      </c>
      <c r="J483" s="347">
        <f t="shared" si="57"/>
        <v>0</v>
      </c>
      <c r="K483" s="347">
        <f t="shared" si="57"/>
        <v>0</v>
      </c>
      <c r="L483" s="347">
        <f t="shared" si="57"/>
        <v>0</v>
      </c>
      <c r="M483" s="347">
        <f t="shared" si="57"/>
        <v>0</v>
      </c>
      <c r="N483" s="347">
        <f t="shared" si="57"/>
        <v>0</v>
      </c>
      <c r="O483" s="347">
        <f>SUM(O429:O482)</f>
        <v>98</v>
      </c>
    </row>
    <row r="484" spans="1:16" ht="15.75" thickBot="1">
      <c r="A484" s="655"/>
      <c r="B484" s="348">
        <f t="shared" ref="B484:H484" si="58">B483/$O483</f>
        <v>1</v>
      </c>
      <c r="C484" s="348">
        <f t="shared" si="58"/>
        <v>0</v>
      </c>
      <c r="D484" s="348">
        <f t="shared" si="58"/>
        <v>0</v>
      </c>
      <c r="E484" s="348">
        <f t="shared" si="58"/>
        <v>0</v>
      </c>
      <c r="F484" s="348">
        <f t="shared" si="58"/>
        <v>0</v>
      </c>
      <c r="G484" s="348">
        <f t="shared" si="58"/>
        <v>0</v>
      </c>
      <c r="H484" s="348">
        <f t="shared" si="58"/>
        <v>0</v>
      </c>
      <c r="I484" s="348">
        <f t="shared" ref="I484:N484" si="59">I483/$O483</f>
        <v>0</v>
      </c>
      <c r="J484" s="348">
        <f t="shared" si="59"/>
        <v>0</v>
      </c>
      <c r="K484" s="348">
        <f t="shared" si="59"/>
        <v>0</v>
      </c>
      <c r="L484" s="348">
        <f t="shared" si="59"/>
        <v>0</v>
      </c>
      <c r="M484" s="348">
        <f t="shared" si="59"/>
        <v>0</v>
      </c>
      <c r="N484" s="348">
        <f t="shared" si="59"/>
        <v>0</v>
      </c>
    </row>
    <row r="488" spans="1:16">
      <c r="A488" s="165">
        <f>'Conveyor Downtime (new)'!A494</f>
        <v>46266</v>
      </c>
      <c r="B488">
        <f>4</f>
        <v>4</v>
      </c>
      <c r="O488">
        <f t="shared" ref="O488:O522" si="60">SUM(B488:N488)</f>
        <v>4</v>
      </c>
      <c r="P488" s="351">
        <f t="shared" ref="P488:P506" si="61">O488/$O$542</f>
        <v>1.9047619047619049E-2</v>
      </c>
    </row>
    <row r="489" spans="1:16">
      <c r="A489" s="165">
        <f>'Conveyor Downtime (new)'!A495</f>
        <v>46266</v>
      </c>
      <c r="B489" s="346"/>
      <c r="C489" s="346"/>
      <c r="D489" s="346"/>
      <c r="E489" s="346"/>
      <c r="F489" s="346"/>
      <c r="G489" s="346"/>
      <c r="H489" s="346"/>
      <c r="I489" s="346"/>
      <c r="J489" s="346"/>
      <c r="K489" s="346"/>
      <c r="L489" s="346"/>
      <c r="M489" s="346"/>
      <c r="N489" s="346"/>
      <c r="O489">
        <f t="shared" si="60"/>
        <v>0</v>
      </c>
      <c r="P489" s="351">
        <f t="shared" si="61"/>
        <v>0</v>
      </c>
    </row>
    <row r="490" spans="1:16">
      <c r="A490" s="165">
        <f>'Conveyor Downtime (new)'!A496</f>
        <v>46267</v>
      </c>
      <c r="O490">
        <f t="shared" si="60"/>
        <v>0</v>
      </c>
      <c r="P490" s="351">
        <f t="shared" si="61"/>
        <v>0</v>
      </c>
    </row>
    <row r="491" spans="1:16">
      <c r="A491" s="165">
        <f>'Conveyor Downtime (new)'!A497</f>
        <v>46267</v>
      </c>
      <c r="B491" s="346"/>
      <c r="C491" s="346"/>
      <c r="D491" s="346"/>
      <c r="E491" s="346"/>
      <c r="F491" s="346"/>
      <c r="G491" s="346"/>
      <c r="H491" s="346"/>
      <c r="I491" s="346"/>
      <c r="J491" s="346"/>
      <c r="K491" s="346"/>
      <c r="L491" s="346"/>
      <c r="M491" s="346"/>
      <c r="N491" s="346"/>
      <c r="O491">
        <f t="shared" si="60"/>
        <v>0</v>
      </c>
      <c r="P491" s="351">
        <f t="shared" si="61"/>
        <v>0</v>
      </c>
    </row>
    <row r="492" spans="1:16">
      <c r="A492" s="165">
        <f>'Conveyor Downtime (new)'!A498</f>
        <v>46267</v>
      </c>
      <c r="O492">
        <f t="shared" si="60"/>
        <v>0</v>
      </c>
      <c r="P492" s="351">
        <f t="shared" si="61"/>
        <v>0</v>
      </c>
    </row>
    <row r="493" spans="1:16">
      <c r="A493" s="165">
        <f>'Conveyor Downtime (new)'!A499</f>
        <v>46268</v>
      </c>
      <c r="B493" s="346"/>
      <c r="C493" s="346"/>
      <c r="D493" s="346"/>
      <c r="E493" s="346"/>
      <c r="F493" s="346"/>
      <c r="G493" s="346"/>
      <c r="H493" s="346"/>
      <c r="I493" s="346"/>
      <c r="J493" s="346"/>
      <c r="K493" s="346"/>
      <c r="L493" s="346"/>
      <c r="M493" s="346"/>
      <c r="N493" s="346"/>
      <c r="O493">
        <f t="shared" si="60"/>
        <v>0</v>
      </c>
      <c r="P493" s="351">
        <f t="shared" si="61"/>
        <v>0</v>
      </c>
    </row>
    <row r="494" spans="1:16">
      <c r="A494" s="165">
        <f>'Conveyor Downtime (new)'!A500</f>
        <v>46268</v>
      </c>
      <c r="B494">
        <f>13+4+13+7+7</f>
        <v>44</v>
      </c>
      <c r="O494">
        <f t="shared" si="60"/>
        <v>44</v>
      </c>
      <c r="P494" s="351">
        <f t="shared" si="61"/>
        <v>0.20952380952380953</v>
      </c>
    </row>
    <row r="495" spans="1:16">
      <c r="A495" s="165">
        <f>'Conveyor Downtime (new)'!A501</f>
        <v>46268</v>
      </c>
      <c r="B495" s="346"/>
      <c r="C495" s="346"/>
      <c r="D495" s="346"/>
      <c r="E495" s="346"/>
      <c r="F495" s="346"/>
      <c r="G495" s="346"/>
      <c r="H495" s="346"/>
      <c r="I495" s="346"/>
      <c r="J495" s="346"/>
      <c r="K495" s="346"/>
      <c r="L495" s="346"/>
      <c r="M495" s="346"/>
      <c r="N495" s="346"/>
      <c r="O495">
        <f t="shared" si="60"/>
        <v>0</v>
      </c>
      <c r="P495" s="351">
        <f t="shared" si="61"/>
        <v>0</v>
      </c>
    </row>
    <row r="496" spans="1:16">
      <c r="A496" s="165">
        <f>'Conveyor Downtime (new)'!A502</f>
        <v>46269</v>
      </c>
      <c r="O496">
        <f t="shared" si="60"/>
        <v>0</v>
      </c>
      <c r="P496" s="351">
        <f t="shared" si="61"/>
        <v>0</v>
      </c>
    </row>
    <row r="497" spans="1:16">
      <c r="A497" s="165">
        <f>'Conveyor Downtime (new)'!A503</f>
        <v>46273</v>
      </c>
      <c r="B497" s="346"/>
      <c r="C497" s="346"/>
      <c r="D497" s="346"/>
      <c r="E497" s="346"/>
      <c r="F497" s="346"/>
      <c r="G497" s="346"/>
      <c r="H497" s="346"/>
      <c r="I497" s="346"/>
      <c r="J497" s="346"/>
      <c r="K497" s="346"/>
      <c r="L497" s="346"/>
      <c r="M497" s="346"/>
      <c r="N497" s="346"/>
      <c r="O497">
        <f t="shared" si="60"/>
        <v>0</v>
      </c>
      <c r="P497" s="351">
        <f t="shared" si="61"/>
        <v>0</v>
      </c>
    </row>
    <row r="498" spans="1:16">
      <c r="A498" s="165">
        <f>'Conveyor Downtime (new)'!A504</f>
        <v>46274</v>
      </c>
      <c r="O498">
        <f t="shared" si="60"/>
        <v>0</v>
      </c>
      <c r="P498" s="351">
        <f t="shared" si="61"/>
        <v>0</v>
      </c>
    </row>
    <row r="499" spans="1:16">
      <c r="A499" s="165">
        <f>'Conveyor Downtime (new)'!A505</f>
        <v>46275</v>
      </c>
      <c r="B499" s="346"/>
      <c r="C499" s="346"/>
      <c r="D499" s="346"/>
      <c r="E499" s="346"/>
      <c r="F499" s="346"/>
      <c r="G499" s="346"/>
      <c r="H499" s="346"/>
      <c r="I499" s="346"/>
      <c r="J499" s="346"/>
      <c r="K499" s="346"/>
      <c r="L499" s="346"/>
      <c r="M499" s="346"/>
      <c r="N499" s="346"/>
      <c r="O499">
        <f t="shared" si="60"/>
        <v>0</v>
      </c>
      <c r="P499" s="351">
        <f t="shared" si="61"/>
        <v>0</v>
      </c>
    </row>
    <row r="500" spans="1:16">
      <c r="A500" s="165">
        <f>'Conveyor Downtime (new)'!A506</f>
        <v>46276</v>
      </c>
      <c r="O500">
        <f t="shared" si="60"/>
        <v>0</v>
      </c>
      <c r="P500" s="351">
        <f t="shared" si="61"/>
        <v>0</v>
      </c>
    </row>
    <row r="501" spans="1:16">
      <c r="A501" s="165">
        <f>'Conveyor Downtime (new)'!A507</f>
        <v>46276</v>
      </c>
      <c r="B501" s="346"/>
      <c r="C501" s="346"/>
      <c r="D501" s="346"/>
      <c r="E501" s="346"/>
      <c r="F501" s="346"/>
      <c r="G501" s="346"/>
      <c r="H501" s="346"/>
      <c r="I501" s="346"/>
      <c r="J501" s="346"/>
      <c r="K501" s="346"/>
      <c r="L501" s="346"/>
      <c r="M501" s="346"/>
      <c r="N501" s="346"/>
      <c r="O501">
        <f t="shared" si="60"/>
        <v>0</v>
      </c>
      <c r="P501" s="351">
        <f t="shared" si="61"/>
        <v>0</v>
      </c>
    </row>
    <row r="502" spans="1:16">
      <c r="A502" s="165">
        <f>'Conveyor Downtime (new)'!A508</f>
        <v>46279</v>
      </c>
      <c r="O502">
        <f t="shared" si="60"/>
        <v>0</v>
      </c>
      <c r="P502" s="351">
        <f t="shared" si="61"/>
        <v>0</v>
      </c>
    </row>
    <row r="503" spans="1:16">
      <c r="A503" s="165">
        <f>'Conveyor Downtime (new)'!A509</f>
        <v>46279</v>
      </c>
      <c r="B503" s="346"/>
      <c r="C503" s="346"/>
      <c r="D503" s="346"/>
      <c r="E503" s="346"/>
      <c r="F503" s="346"/>
      <c r="G503" s="346"/>
      <c r="H503" s="346"/>
      <c r="I503" s="346"/>
      <c r="J503" s="346"/>
      <c r="K503" s="346"/>
      <c r="L503" s="346"/>
      <c r="M503" s="346"/>
      <c r="N503" s="346"/>
      <c r="O503">
        <f t="shared" si="60"/>
        <v>0</v>
      </c>
      <c r="P503" s="351">
        <f t="shared" si="61"/>
        <v>0</v>
      </c>
    </row>
    <row r="504" spans="1:16">
      <c r="A504" s="165">
        <f>'Conveyor Downtime (new)'!A510</f>
        <v>46280</v>
      </c>
      <c r="B504" s="346"/>
      <c r="C504" s="346"/>
      <c r="D504" s="346"/>
      <c r="E504" s="346"/>
      <c r="F504" s="346"/>
      <c r="G504" s="346"/>
      <c r="H504" s="346"/>
      <c r="I504" s="346"/>
      <c r="J504" s="346"/>
      <c r="K504" s="346"/>
      <c r="L504" s="346"/>
      <c r="M504" s="346"/>
      <c r="N504" s="346"/>
      <c r="O504">
        <f t="shared" si="60"/>
        <v>0</v>
      </c>
      <c r="P504" s="351">
        <f t="shared" si="61"/>
        <v>0</v>
      </c>
    </row>
    <row r="505" spans="1:16">
      <c r="A505" s="165">
        <f>'Conveyor Downtime (new)'!A511</f>
        <v>46280</v>
      </c>
      <c r="B505" s="346">
        <f>12+8</f>
        <v>20</v>
      </c>
      <c r="C505" s="346"/>
      <c r="D505" s="346"/>
      <c r="E505" s="346"/>
      <c r="F505" s="346"/>
      <c r="G505" s="346"/>
      <c r="H505" s="346"/>
      <c r="I505" s="346"/>
      <c r="J505" s="346"/>
      <c r="K505" s="346"/>
      <c r="L505" s="346"/>
      <c r="M505" s="346"/>
      <c r="N505" s="346"/>
      <c r="O505">
        <f t="shared" si="60"/>
        <v>20</v>
      </c>
      <c r="P505" s="351">
        <f t="shared" si="61"/>
        <v>9.5238095238095233E-2</v>
      </c>
    </row>
    <row r="506" spans="1:16">
      <c r="A506" s="165">
        <f>'Conveyor Downtime (new)'!A512</f>
        <v>46281</v>
      </c>
      <c r="O506">
        <f t="shared" si="60"/>
        <v>0</v>
      </c>
      <c r="P506" s="351">
        <f t="shared" si="61"/>
        <v>0</v>
      </c>
    </row>
    <row r="507" spans="1:16">
      <c r="A507" s="165">
        <f>'Conveyor Downtime (new)'!A513</f>
        <v>46281</v>
      </c>
      <c r="B507" s="346"/>
      <c r="C507" s="346"/>
      <c r="D507" s="346"/>
      <c r="E507" s="346"/>
      <c r="F507" s="346"/>
      <c r="G507" s="346"/>
      <c r="H507" s="346"/>
      <c r="I507" s="346"/>
      <c r="J507" s="346"/>
      <c r="K507" s="346"/>
      <c r="L507" s="346"/>
      <c r="M507" s="346"/>
      <c r="N507" s="346"/>
      <c r="O507">
        <f t="shared" si="60"/>
        <v>0</v>
      </c>
      <c r="P507" s="351">
        <f t="shared" ref="P507:P521" si="62">O507/$O$542</f>
        <v>0</v>
      </c>
    </row>
    <row r="508" spans="1:16">
      <c r="A508" s="165">
        <f>'Conveyor Downtime (new)'!A514</f>
        <v>46282</v>
      </c>
      <c r="B508">
        <f>10+10+60+23</f>
        <v>103</v>
      </c>
      <c r="O508">
        <f t="shared" si="60"/>
        <v>103</v>
      </c>
      <c r="P508" s="351">
        <f t="shared" si="62"/>
        <v>0.49047619047619045</v>
      </c>
    </row>
    <row r="509" spans="1:16">
      <c r="A509" s="165">
        <f>'Conveyor Downtime (new)'!A515</f>
        <v>46282</v>
      </c>
      <c r="B509" s="346"/>
      <c r="C509" s="346"/>
      <c r="D509" s="346"/>
      <c r="E509" s="346"/>
      <c r="F509" s="346"/>
      <c r="G509" s="346"/>
      <c r="H509" s="346"/>
      <c r="I509" s="346"/>
      <c r="J509" s="346"/>
      <c r="K509" s="346"/>
      <c r="L509" s="346"/>
      <c r="M509" s="346"/>
      <c r="N509" s="346"/>
      <c r="O509">
        <f t="shared" si="60"/>
        <v>0</v>
      </c>
      <c r="P509" s="351">
        <f t="shared" si="62"/>
        <v>0</v>
      </c>
    </row>
    <row r="510" spans="1:16">
      <c r="A510" s="165">
        <f>'Conveyor Downtime (new)'!A516</f>
        <v>46282</v>
      </c>
      <c r="O510">
        <f t="shared" si="60"/>
        <v>0</v>
      </c>
      <c r="P510" s="351">
        <f t="shared" si="62"/>
        <v>0</v>
      </c>
    </row>
    <row r="511" spans="1:16">
      <c r="A511" s="165">
        <f>'Conveyor Downtime (new)'!A517</f>
        <v>46283</v>
      </c>
      <c r="B511" s="346">
        <f>4</f>
        <v>4</v>
      </c>
      <c r="C511" s="346"/>
      <c r="D511" s="346"/>
      <c r="E511" s="346"/>
      <c r="F511" s="346"/>
      <c r="G511" s="346"/>
      <c r="H511" s="346"/>
      <c r="I511" s="346"/>
      <c r="J511" s="346"/>
      <c r="K511" s="346"/>
      <c r="L511" s="346"/>
      <c r="M511" s="346"/>
      <c r="N511" s="346"/>
      <c r="O511">
        <f t="shared" si="60"/>
        <v>4</v>
      </c>
      <c r="P511" s="351">
        <f t="shared" si="62"/>
        <v>1.9047619047619049E-2</v>
      </c>
    </row>
    <row r="512" spans="1:16">
      <c r="A512" s="165">
        <f>'Conveyor Downtime (new)'!A518</f>
        <v>46283</v>
      </c>
      <c r="O512">
        <f t="shared" si="60"/>
        <v>0</v>
      </c>
      <c r="P512" s="351">
        <f t="shared" si="62"/>
        <v>0</v>
      </c>
    </row>
    <row r="513" spans="1:16">
      <c r="A513" s="165">
        <f>'Conveyor Downtime (new)'!A519</f>
        <v>46283</v>
      </c>
      <c r="B513" s="346"/>
      <c r="C513" s="346"/>
      <c r="D513" s="346"/>
      <c r="E513" s="346"/>
      <c r="F513" s="346"/>
      <c r="G513" s="346"/>
      <c r="H513" s="346"/>
      <c r="I513" s="346"/>
      <c r="J513" s="346"/>
      <c r="K513" s="346"/>
      <c r="L513" s="346"/>
      <c r="M513" s="346"/>
      <c r="N513" s="346"/>
      <c r="O513">
        <f t="shared" si="60"/>
        <v>0</v>
      </c>
      <c r="P513" s="351">
        <f t="shared" si="62"/>
        <v>0</v>
      </c>
    </row>
    <row r="514" spans="1:16">
      <c r="A514" s="165">
        <f>'Conveyor Downtime (new)'!A520</f>
        <v>46286</v>
      </c>
      <c r="O514">
        <f t="shared" si="60"/>
        <v>0</v>
      </c>
      <c r="P514" s="351">
        <f t="shared" si="62"/>
        <v>0</v>
      </c>
    </row>
    <row r="515" spans="1:16">
      <c r="A515" s="165">
        <f>'Conveyor Downtime (new)'!A521</f>
        <v>46286</v>
      </c>
      <c r="O515">
        <f t="shared" si="60"/>
        <v>0</v>
      </c>
      <c r="P515" s="351">
        <f t="shared" si="62"/>
        <v>0</v>
      </c>
    </row>
    <row r="516" spans="1:16">
      <c r="A516" s="165">
        <f>'Conveyor Downtime (new)'!A522</f>
        <v>46287</v>
      </c>
      <c r="B516" s="346"/>
      <c r="C516" s="346"/>
      <c r="D516" s="346"/>
      <c r="E516" s="346"/>
      <c r="F516" s="346"/>
      <c r="G516" s="346"/>
      <c r="H516" s="346"/>
      <c r="I516" s="346"/>
      <c r="J516" s="346"/>
      <c r="K516" s="346"/>
      <c r="L516" s="346"/>
      <c r="M516" s="346"/>
      <c r="N516" s="346"/>
      <c r="O516">
        <f t="shared" si="60"/>
        <v>0</v>
      </c>
      <c r="P516" s="351">
        <f t="shared" si="62"/>
        <v>0</v>
      </c>
    </row>
    <row r="517" spans="1:16">
      <c r="A517" s="165">
        <f>'Conveyor Downtime (new)'!A523</f>
        <v>46288</v>
      </c>
      <c r="B517">
        <f>4</f>
        <v>4</v>
      </c>
      <c r="O517">
        <f t="shared" si="60"/>
        <v>4</v>
      </c>
      <c r="P517" s="351">
        <f t="shared" si="62"/>
        <v>1.9047619047619049E-2</v>
      </c>
    </row>
    <row r="518" spans="1:16">
      <c r="A518" s="165">
        <f>'Conveyor Downtime (new)'!A524</f>
        <v>46288</v>
      </c>
      <c r="B518" s="346">
        <f>15</f>
        <v>15</v>
      </c>
      <c r="C518" s="346"/>
      <c r="D518" s="346"/>
      <c r="E518" s="346"/>
      <c r="F518" s="346"/>
      <c r="G518" s="346"/>
      <c r="H518" s="346"/>
      <c r="I518" s="346"/>
      <c r="J518" s="346"/>
      <c r="K518" s="346"/>
      <c r="L518" s="346"/>
      <c r="M518" s="346"/>
      <c r="N518" s="346"/>
      <c r="O518">
        <f t="shared" si="60"/>
        <v>15</v>
      </c>
      <c r="P518" s="351">
        <f t="shared" si="62"/>
        <v>7.1428571428571425E-2</v>
      </c>
    </row>
    <row r="519" spans="1:16">
      <c r="A519" s="165">
        <f>'Conveyor Downtime (new)'!A525</f>
        <v>46289</v>
      </c>
      <c r="O519">
        <f t="shared" si="60"/>
        <v>0</v>
      </c>
      <c r="P519" s="351">
        <f t="shared" si="62"/>
        <v>0</v>
      </c>
    </row>
    <row r="520" spans="1:16">
      <c r="A520" s="165">
        <f>'Conveyor Downtime (new)'!A526</f>
        <v>46290</v>
      </c>
      <c r="B520" s="346"/>
      <c r="C520" s="346"/>
      <c r="D520" s="346"/>
      <c r="E520" s="346"/>
      <c r="F520" s="346"/>
      <c r="G520" s="346"/>
      <c r="H520" s="346"/>
      <c r="I520" s="346"/>
      <c r="J520" s="346"/>
      <c r="K520" s="346"/>
      <c r="L520" s="346"/>
      <c r="M520" s="346"/>
      <c r="N520" s="346"/>
      <c r="O520">
        <f t="shared" si="60"/>
        <v>0</v>
      </c>
      <c r="P520" s="351">
        <f t="shared" si="62"/>
        <v>0</v>
      </c>
    </row>
    <row r="521" spans="1:16">
      <c r="A521" s="165">
        <f>'Conveyor Downtime (new)'!A527</f>
        <v>46290</v>
      </c>
      <c r="O521">
        <f t="shared" si="60"/>
        <v>0</v>
      </c>
      <c r="P521" s="351">
        <f t="shared" si="62"/>
        <v>0</v>
      </c>
    </row>
    <row r="522" spans="1:16">
      <c r="A522" s="165">
        <f>'Conveyor Downtime (new)'!A528</f>
        <v>46293</v>
      </c>
      <c r="B522" s="346"/>
      <c r="C522" s="346"/>
      <c r="D522" s="346"/>
      <c r="E522" s="346"/>
      <c r="F522" s="346"/>
      <c r="G522" s="346"/>
      <c r="H522" s="346"/>
      <c r="I522" s="346"/>
      <c r="J522" s="346"/>
      <c r="K522" s="346"/>
      <c r="L522" s="346"/>
      <c r="M522" s="346"/>
      <c r="N522" s="346"/>
      <c r="O522">
        <f t="shared" si="60"/>
        <v>0</v>
      </c>
      <c r="P522" s="351">
        <f t="shared" ref="P522:P541" si="63">O522/$O$542</f>
        <v>0</v>
      </c>
    </row>
    <row r="523" spans="1:16">
      <c r="A523" s="165">
        <f>'Conveyor Downtime (new)'!A529</f>
        <v>46294</v>
      </c>
      <c r="B523">
        <v>6</v>
      </c>
      <c r="O523">
        <f t="shared" ref="O523:O541" si="64">SUM(B523:N523)</f>
        <v>6</v>
      </c>
      <c r="P523" s="351">
        <f t="shared" si="63"/>
        <v>2.8571428571428571E-2</v>
      </c>
    </row>
    <row r="524" spans="1:16">
      <c r="A524" s="165">
        <f>'Conveyor Downtime (new)'!A530</f>
        <v>46294</v>
      </c>
      <c r="B524" s="346"/>
      <c r="C524" s="346"/>
      <c r="D524" s="346"/>
      <c r="E524" s="346"/>
      <c r="F524" s="346"/>
      <c r="G524" s="346"/>
      <c r="H524" s="346"/>
      <c r="I524" s="346"/>
      <c r="J524" s="346"/>
      <c r="K524" s="346"/>
      <c r="L524" s="346"/>
      <c r="M524" s="346"/>
      <c r="N524" s="346"/>
      <c r="O524">
        <f t="shared" si="64"/>
        <v>0</v>
      </c>
      <c r="P524" s="351">
        <f t="shared" si="63"/>
        <v>0</v>
      </c>
    </row>
    <row r="525" spans="1:16">
      <c r="A525" s="165">
        <f>'Conveyor Downtime (new)'!A531</f>
        <v>46295</v>
      </c>
      <c r="B525">
        <f>3+3+4</f>
        <v>10</v>
      </c>
      <c r="O525">
        <f t="shared" si="64"/>
        <v>10</v>
      </c>
      <c r="P525" s="351">
        <f t="shared" si="63"/>
        <v>4.7619047619047616E-2</v>
      </c>
    </row>
    <row r="526" spans="1:16">
      <c r="A526" s="165">
        <f>'Conveyor Downtime (new)'!A532</f>
        <v>46295</v>
      </c>
      <c r="B526" s="346"/>
      <c r="C526" s="346"/>
      <c r="D526" s="346"/>
      <c r="E526" s="346"/>
      <c r="F526" s="346"/>
      <c r="G526" s="346"/>
      <c r="H526" s="346"/>
      <c r="I526" s="346"/>
      <c r="J526" s="346"/>
      <c r="K526" s="346"/>
      <c r="L526" s="346"/>
      <c r="M526" s="346"/>
      <c r="N526" s="346"/>
      <c r="O526">
        <f t="shared" si="64"/>
        <v>0</v>
      </c>
      <c r="P526" s="351">
        <f t="shared" si="63"/>
        <v>0</v>
      </c>
    </row>
    <row r="527" spans="1:16">
      <c r="A527" s="165">
        <f>'Conveyor Downtime (new)'!A533</f>
        <v>0</v>
      </c>
      <c r="O527">
        <f t="shared" si="64"/>
        <v>0</v>
      </c>
      <c r="P527" s="351">
        <f t="shared" si="63"/>
        <v>0</v>
      </c>
    </row>
    <row r="528" spans="1:16">
      <c r="A528" s="165">
        <f>'Conveyor Downtime (new)'!A534</f>
        <v>0</v>
      </c>
      <c r="B528" s="346"/>
      <c r="C528" s="346"/>
      <c r="D528" s="346"/>
      <c r="E528" s="346"/>
      <c r="F528" s="346"/>
      <c r="G528" s="346"/>
      <c r="H528" s="346"/>
      <c r="I528" s="346"/>
      <c r="J528" s="346"/>
      <c r="K528" s="346"/>
      <c r="L528" s="346"/>
      <c r="M528" s="346"/>
      <c r="N528" s="346"/>
      <c r="O528">
        <f t="shared" si="64"/>
        <v>0</v>
      </c>
      <c r="P528" s="351">
        <f t="shared" si="63"/>
        <v>0</v>
      </c>
    </row>
    <row r="529" spans="1:16">
      <c r="A529" s="165">
        <f>'Conveyor Downtime (new)'!A535</f>
        <v>0</v>
      </c>
      <c r="O529">
        <f t="shared" si="64"/>
        <v>0</v>
      </c>
      <c r="P529" s="351">
        <f t="shared" si="63"/>
        <v>0</v>
      </c>
    </row>
    <row r="530" spans="1:16">
      <c r="A530" s="165">
        <f>'Conveyor Downtime (new)'!A536</f>
        <v>0</v>
      </c>
      <c r="B530" s="346"/>
      <c r="C530" s="346"/>
      <c r="D530" s="346"/>
      <c r="E530" s="346"/>
      <c r="F530" s="346"/>
      <c r="G530" s="346"/>
      <c r="H530" s="346"/>
      <c r="I530" s="346"/>
      <c r="J530" s="346"/>
      <c r="K530" s="346"/>
      <c r="L530" s="346"/>
      <c r="M530" s="346"/>
      <c r="N530" s="346"/>
      <c r="O530">
        <f t="shared" si="64"/>
        <v>0</v>
      </c>
      <c r="P530" s="351">
        <f t="shared" si="63"/>
        <v>0</v>
      </c>
    </row>
    <row r="531" spans="1:16">
      <c r="A531" s="165">
        <f>'Conveyor Downtime (new)'!A537</f>
        <v>0</v>
      </c>
      <c r="O531">
        <f t="shared" si="64"/>
        <v>0</v>
      </c>
      <c r="P531" s="351">
        <f t="shared" si="63"/>
        <v>0</v>
      </c>
    </row>
    <row r="532" spans="1:16">
      <c r="A532" s="165">
        <f>'Conveyor Downtime (new)'!A538</f>
        <v>0</v>
      </c>
      <c r="B532" s="346"/>
      <c r="C532" s="346"/>
      <c r="D532" s="346"/>
      <c r="E532" s="346"/>
      <c r="F532" s="346"/>
      <c r="G532" s="346"/>
      <c r="H532" s="346"/>
      <c r="I532" s="346"/>
      <c r="J532" s="346"/>
      <c r="K532" s="346"/>
      <c r="L532" s="346"/>
      <c r="M532" s="346"/>
      <c r="N532" s="346"/>
      <c r="O532">
        <f t="shared" si="64"/>
        <v>0</v>
      </c>
      <c r="P532" s="351">
        <f t="shared" si="63"/>
        <v>0</v>
      </c>
    </row>
    <row r="533" spans="1:16">
      <c r="A533" s="165">
        <f>'Conveyor Downtime (new)'!A539</f>
        <v>0</v>
      </c>
      <c r="O533">
        <f t="shared" si="64"/>
        <v>0</v>
      </c>
      <c r="P533" s="351">
        <f t="shared" si="63"/>
        <v>0</v>
      </c>
    </row>
    <row r="534" spans="1:16">
      <c r="A534" s="165">
        <f>'Conveyor Downtime (new)'!A540</f>
        <v>0</v>
      </c>
      <c r="B534" s="346"/>
      <c r="C534" s="346"/>
      <c r="D534" s="346"/>
      <c r="E534" s="346"/>
      <c r="F534" s="346"/>
      <c r="G534" s="346"/>
      <c r="H534" s="346"/>
      <c r="I534" s="346"/>
      <c r="J534" s="346"/>
      <c r="K534" s="346"/>
      <c r="L534" s="346"/>
      <c r="M534" s="346"/>
      <c r="N534" s="346"/>
      <c r="O534">
        <f t="shared" si="64"/>
        <v>0</v>
      </c>
      <c r="P534" s="351">
        <f t="shared" si="63"/>
        <v>0</v>
      </c>
    </row>
    <row r="535" spans="1:16">
      <c r="A535" s="165">
        <f>'Conveyor Downtime (new)'!A541</f>
        <v>0</v>
      </c>
      <c r="O535">
        <f t="shared" si="64"/>
        <v>0</v>
      </c>
      <c r="P535" s="351">
        <f t="shared" si="63"/>
        <v>0</v>
      </c>
    </row>
    <row r="536" spans="1:16">
      <c r="A536" s="165">
        <f>'Conveyor Downtime (new)'!A542</f>
        <v>0</v>
      </c>
      <c r="B536" s="346"/>
      <c r="C536" s="346"/>
      <c r="D536" s="346"/>
      <c r="E536" s="346"/>
      <c r="F536" s="346"/>
      <c r="G536" s="346"/>
      <c r="H536" s="346"/>
      <c r="I536" s="346"/>
      <c r="J536" s="346"/>
      <c r="K536" s="346"/>
      <c r="L536" s="346"/>
      <c r="M536" s="346"/>
      <c r="N536" s="346"/>
      <c r="O536">
        <f t="shared" si="64"/>
        <v>0</v>
      </c>
      <c r="P536" s="351">
        <f t="shared" si="63"/>
        <v>0</v>
      </c>
    </row>
    <row r="537" spans="1:16">
      <c r="A537" s="165">
        <f>'Conveyor Downtime (new)'!A543</f>
        <v>0</v>
      </c>
      <c r="O537">
        <f t="shared" si="64"/>
        <v>0</v>
      </c>
      <c r="P537" s="351">
        <f t="shared" si="63"/>
        <v>0</v>
      </c>
    </row>
    <row r="538" spans="1:16">
      <c r="A538" s="165">
        <f>'Conveyor Downtime (new)'!A544</f>
        <v>0</v>
      </c>
      <c r="B538" s="346"/>
      <c r="C538" s="346"/>
      <c r="D538" s="346"/>
      <c r="E538" s="346"/>
      <c r="F538" s="346"/>
      <c r="G538" s="346"/>
      <c r="H538" s="346"/>
      <c r="I538" s="346"/>
      <c r="J538" s="346"/>
      <c r="K538" s="346"/>
      <c r="L538" s="346"/>
      <c r="M538" s="346"/>
      <c r="N538" s="346"/>
      <c r="O538">
        <f t="shared" si="64"/>
        <v>0</v>
      </c>
      <c r="P538" s="351">
        <f t="shared" si="63"/>
        <v>0</v>
      </c>
    </row>
    <row r="539" spans="1:16">
      <c r="A539" s="165">
        <f>'Conveyor Downtime (new)'!A545</f>
        <v>0</v>
      </c>
      <c r="O539">
        <f t="shared" si="64"/>
        <v>0</v>
      </c>
      <c r="P539" s="351">
        <f t="shared" si="63"/>
        <v>0</v>
      </c>
    </row>
    <row r="540" spans="1:16">
      <c r="A540" s="165">
        <f>'Conveyor Downtime (new)'!A546</f>
        <v>0</v>
      </c>
      <c r="B540" s="346"/>
      <c r="C540" s="346"/>
      <c r="D540" s="346"/>
      <c r="E540" s="346"/>
      <c r="F540" s="346"/>
      <c r="G540" s="346"/>
      <c r="H540" s="346"/>
      <c r="I540" s="346"/>
      <c r="J540" s="346"/>
      <c r="K540" s="346"/>
      <c r="L540" s="346"/>
      <c r="M540" s="346"/>
      <c r="N540" s="346"/>
      <c r="O540">
        <f t="shared" si="64"/>
        <v>0</v>
      </c>
      <c r="P540" s="351">
        <f t="shared" si="63"/>
        <v>0</v>
      </c>
    </row>
    <row r="541" spans="1:16" ht="13.5" thickBot="1">
      <c r="A541" s="165"/>
      <c r="O541">
        <f t="shared" si="64"/>
        <v>0</v>
      </c>
      <c r="P541" s="351">
        <f t="shared" si="63"/>
        <v>0</v>
      </c>
    </row>
    <row r="542" spans="1:16" ht="15">
      <c r="A542" s="654" t="s">
        <v>246</v>
      </c>
      <c r="B542" s="347">
        <f t="shared" ref="B542:N542" si="65">SUM(B488:B541)</f>
        <v>210</v>
      </c>
      <c r="C542" s="347">
        <f t="shared" si="65"/>
        <v>0</v>
      </c>
      <c r="D542" s="347">
        <f t="shared" si="65"/>
        <v>0</v>
      </c>
      <c r="E542" s="347">
        <f t="shared" si="65"/>
        <v>0</v>
      </c>
      <c r="F542" s="347">
        <f t="shared" si="65"/>
        <v>0</v>
      </c>
      <c r="G542" s="347">
        <f t="shared" si="65"/>
        <v>0</v>
      </c>
      <c r="H542" s="347">
        <f t="shared" si="65"/>
        <v>0</v>
      </c>
      <c r="I542" s="347">
        <f t="shared" si="65"/>
        <v>0</v>
      </c>
      <c r="J542" s="347">
        <f t="shared" si="65"/>
        <v>0</v>
      </c>
      <c r="K542" s="347">
        <f t="shared" si="65"/>
        <v>0</v>
      </c>
      <c r="L542" s="347">
        <f t="shared" si="65"/>
        <v>0</v>
      </c>
      <c r="M542" s="347">
        <f t="shared" si="65"/>
        <v>0</v>
      </c>
      <c r="N542" s="347">
        <f t="shared" si="65"/>
        <v>0</v>
      </c>
      <c r="O542" s="347">
        <f>SUM(O488:O541)</f>
        <v>210</v>
      </c>
    </row>
    <row r="543" spans="1:16" ht="15.75" thickBot="1">
      <c r="A543" s="655"/>
      <c r="B543" s="348">
        <f t="shared" ref="B543:H543" si="66">B542/$O542</f>
        <v>1</v>
      </c>
      <c r="C543" s="348">
        <f t="shared" si="66"/>
        <v>0</v>
      </c>
      <c r="D543" s="348">
        <f t="shared" si="66"/>
        <v>0</v>
      </c>
      <c r="E543" s="348">
        <f t="shared" si="66"/>
        <v>0</v>
      </c>
      <c r="F543" s="348">
        <f t="shared" si="66"/>
        <v>0</v>
      </c>
      <c r="G543" s="348">
        <f t="shared" si="66"/>
        <v>0</v>
      </c>
      <c r="H543" s="348">
        <f t="shared" si="66"/>
        <v>0</v>
      </c>
      <c r="I543" s="348">
        <f t="shared" ref="I543:N543" si="67">I542/$O542</f>
        <v>0</v>
      </c>
      <c r="J543" s="348">
        <f t="shared" si="67"/>
        <v>0</v>
      </c>
      <c r="K543" s="348">
        <f t="shared" si="67"/>
        <v>0</v>
      </c>
      <c r="L543" s="348">
        <f t="shared" si="67"/>
        <v>0</v>
      </c>
      <c r="M543" s="348">
        <f t="shared" si="67"/>
        <v>0</v>
      </c>
      <c r="N543" s="348">
        <f t="shared" si="67"/>
        <v>0</v>
      </c>
    </row>
    <row r="546" spans="1:16">
      <c r="A546" s="165">
        <f>'Conveyor Downtime (new)'!A556</f>
        <v>46296</v>
      </c>
      <c r="O546">
        <f t="shared" ref="O546:O592" si="68">SUM(B546:N546)</f>
        <v>0</v>
      </c>
      <c r="P546" s="351" t="e">
        <f t="shared" ref="P546:P592" si="69">O546/$O$602</f>
        <v>#DIV/0!</v>
      </c>
    </row>
    <row r="547" spans="1:16">
      <c r="A547" s="165">
        <f>'Conveyor Downtime (new)'!A557</f>
        <v>0</v>
      </c>
      <c r="B547" s="346"/>
      <c r="C547" s="346"/>
      <c r="D547" s="346"/>
      <c r="E547" s="346"/>
      <c r="F547" s="346"/>
      <c r="G547" s="346"/>
      <c r="H547" s="346"/>
      <c r="I547" s="346"/>
      <c r="J547" s="346"/>
      <c r="K547" s="346"/>
      <c r="L547" s="346"/>
      <c r="M547" s="346"/>
      <c r="N547" s="346"/>
      <c r="O547">
        <f t="shared" si="68"/>
        <v>0</v>
      </c>
      <c r="P547" s="351" t="e">
        <f t="shared" si="69"/>
        <v>#DIV/0!</v>
      </c>
    </row>
    <row r="548" spans="1:16">
      <c r="A548" s="165">
        <f>'Conveyor Downtime (new)'!A558</f>
        <v>0</v>
      </c>
      <c r="O548">
        <f t="shared" si="68"/>
        <v>0</v>
      </c>
      <c r="P548" s="351" t="e">
        <f t="shared" si="69"/>
        <v>#DIV/0!</v>
      </c>
    </row>
    <row r="549" spans="1:16">
      <c r="A549" s="165">
        <f>'Conveyor Downtime (new)'!A559</f>
        <v>0</v>
      </c>
      <c r="B549" s="346"/>
      <c r="C549" s="346"/>
      <c r="D549" s="346"/>
      <c r="E549" s="346"/>
      <c r="F549" s="346"/>
      <c r="G549" s="346"/>
      <c r="H549" s="346"/>
      <c r="I549" s="346"/>
      <c r="J549" s="346"/>
      <c r="K549" s="346"/>
      <c r="L549" s="346"/>
      <c r="M549" s="346"/>
      <c r="N549" s="346"/>
      <c r="O549">
        <f t="shared" si="68"/>
        <v>0</v>
      </c>
      <c r="P549" s="351" t="e">
        <f t="shared" si="69"/>
        <v>#DIV/0!</v>
      </c>
    </row>
    <row r="550" spans="1:16">
      <c r="A550" s="165">
        <f>'Conveyor Downtime (new)'!A560</f>
        <v>0</v>
      </c>
      <c r="O550">
        <f t="shared" si="68"/>
        <v>0</v>
      </c>
      <c r="P550" s="351" t="e">
        <f t="shared" si="69"/>
        <v>#DIV/0!</v>
      </c>
    </row>
    <row r="551" spans="1:16">
      <c r="A551" s="165">
        <f>'Conveyor Downtime (new)'!A561</f>
        <v>0</v>
      </c>
      <c r="B551" s="346"/>
      <c r="C551" s="346"/>
      <c r="D551" s="346"/>
      <c r="E551" s="346"/>
      <c r="F551" s="346"/>
      <c r="G551" s="346"/>
      <c r="H551" s="346"/>
      <c r="I551" s="346"/>
      <c r="J551" s="346"/>
      <c r="K551" s="346"/>
      <c r="L551" s="346"/>
      <c r="M551" s="346"/>
      <c r="N551" s="346"/>
      <c r="O551">
        <f t="shared" si="68"/>
        <v>0</v>
      </c>
      <c r="P551" s="351" t="e">
        <f t="shared" si="69"/>
        <v>#DIV/0!</v>
      </c>
    </row>
    <row r="552" spans="1:16">
      <c r="A552" s="165">
        <f>'Conveyor Downtime (new)'!A562</f>
        <v>0</v>
      </c>
      <c r="O552">
        <f t="shared" si="68"/>
        <v>0</v>
      </c>
      <c r="P552" s="351" t="e">
        <f t="shared" si="69"/>
        <v>#DIV/0!</v>
      </c>
    </row>
    <row r="553" spans="1:16">
      <c r="A553" s="165">
        <f>'Conveyor Downtime (new)'!A563</f>
        <v>0</v>
      </c>
      <c r="B553" s="346"/>
      <c r="C553" s="346"/>
      <c r="D553" s="346"/>
      <c r="E553" s="346"/>
      <c r="F553" s="346"/>
      <c r="G553" s="346"/>
      <c r="H553" s="346"/>
      <c r="I553" s="346"/>
      <c r="J553" s="346"/>
      <c r="K553" s="346"/>
      <c r="L553" s="346"/>
      <c r="M553" s="346"/>
      <c r="N553" s="346"/>
      <c r="O553">
        <f t="shared" si="68"/>
        <v>0</v>
      </c>
      <c r="P553" s="351" t="e">
        <f t="shared" si="69"/>
        <v>#DIV/0!</v>
      </c>
    </row>
    <row r="554" spans="1:16">
      <c r="A554" s="165">
        <f>'Conveyor Downtime (new)'!A564</f>
        <v>0</v>
      </c>
      <c r="O554">
        <f t="shared" si="68"/>
        <v>0</v>
      </c>
      <c r="P554" s="351" t="e">
        <f t="shared" si="69"/>
        <v>#DIV/0!</v>
      </c>
    </row>
    <row r="555" spans="1:16">
      <c r="A555" s="165">
        <f>'Conveyor Downtime (new)'!A565</f>
        <v>0</v>
      </c>
      <c r="B555" s="346"/>
      <c r="C555" s="346"/>
      <c r="D555" s="346"/>
      <c r="E555" s="346"/>
      <c r="F555" s="346"/>
      <c r="G555" s="346"/>
      <c r="H555" s="346"/>
      <c r="I555" s="346"/>
      <c r="J555" s="346"/>
      <c r="K555" s="346"/>
      <c r="L555" s="346"/>
      <c r="M555" s="346"/>
      <c r="N555" s="346"/>
      <c r="O555">
        <f t="shared" si="68"/>
        <v>0</v>
      </c>
      <c r="P555" s="351" t="e">
        <f t="shared" si="69"/>
        <v>#DIV/0!</v>
      </c>
    </row>
    <row r="556" spans="1:16">
      <c r="A556" s="165">
        <f>'Conveyor Downtime (new)'!A566</f>
        <v>0</v>
      </c>
      <c r="O556">
        <f t="shared" si="68"/>
        <v>0</v>
      </c>
      <c r="P556" s="351" t="e">
        <f t="shared" si="69"/>
        <v>#DIV/0!</v>
      </c>
    </row>
    <row r="557" spans="1:16">
      <c r="A557" s="165">
        <f>'Conveyor Downtime (new)'!A567</f>
        <v>0</v>
      </c>
      <c r="B557" s="346"/>
      <c r="C557" s="346"/>
      <c r="D557" s="346"/>
      <c r="E557" s="346"/>
      <c r="F557" s="346"/>
      <c r="G557" s="346"/>
      <c r="H557" s="346"/>
      <c r="I557" s="346"/>
      <c r="J557" s="346"/>
      <c r="K557" s="346"/>
      <c r="L557" s="346"/>
      <c r="M557" s="346"/>
      <c r="N557" s="346"/>
      <c r="O557">
        <f t="shared" si="68"/>
        <v>0</v>
      </c>
      <c r="P557" s="351" t="e">
        <f t="shared" si="69"/>
        <v>#DIV/0!</v>
      </c>
    </row>
    <row r="558" spans="1:16">
      <c r="A558" s="165">
        <f>'Conveyor Downtime (new)'!A568</f>
        <v>0</v>
      </c>
      <c r="O558">
        <f t="shared" si="68"/>
        <v>0</v>
      </c>
      <c r="P558" s="351" t="e">
        <f t="shared" si="69"/>
        <v>#DIV/0!</v>
      </c>
    </row>
    <row r="559" spans="1:16">
      <c r="A559" s="165">
        <f>'Conveyor Downtime (new)'!A569</f>
        <v>0</v>
      </c>
      <c r="B559" s="346"/>
      <c r="C559" s="346"/>
      <c r="D559" s="346"/>
      <c r="E559" s="346"/>
      <c r="F559" s="346"/>
      <c r="G559" s="346"/>
      <c r="H559" s="346"/>
      <c r="I559" s="346"/>
      <c r="J559" s="346"/>
      <c r="K559" s="346"/>
      <c r="L559" s="346"/>
      <c r="M559" s="346"/>
      <c r="N559" s="346"/>
      <c r="O559">
        <f t="shared" si="68"/>
        <v>0</v>
      </c>
      <c r="P559" s="351" t="e">
        <f t="shared" si="69"/>
        <v>#DIV/0!</v>
      </c>
    </row>
    <row r="560" spans="1:16">
      <c r="A560" s="165">
        <f>'Conveyor Downtime (new)'!A570</f>
        <v>0</v>
      </c>
      <c r="O560">
        <f t="shared" si="68"/>
        <v>0</v>
      </c>
      <c r="P560" s="351" t="e">
        <f t="shared" si="69"/>
        <v>#DIV/0!</v>
      </c>
    </row>
    <row r="561" spans="1:16">
      <c r="A561" s="165">
        <f>'Conveyor Downtime (new)'!A571</f>
        <v>0</v>
      </c>
      <c r="B561" s="346"/>
      <c r="C561" s="346"/>
      <c r="D561" s="346"/>
      <c r="E561" s="346"/>
      <c r="F561" s="346"/>
      <c r="G561" s="346"/>
      <c r="H561" s="346"/>
      <c r="I561" s="346"/>
      <c r="J561" s="346"/>
      <c r="K561" s="346"/>
      <c r="L561" s="346"/>
      <c r="M561" s="346"/>
      <c r="N561" s="346"/>
      <c r="O561">
        <f t="shared" si="68"/>
        <v>0</v>
      </c>
      <c r="P561" s="351" t="e">
        <f t="shared" si="69"/>
        <v>#DIV/0!</v>
      </c>
    </row>
    <row r="562" spans="1:16">
      <c r="A562" s="165">
        <f>'Conveyor Downtime (new)'!A572</f>
        <v>0</v>
      </c>
      <c r="O562">
        <f t="shared" si="68"/>
        <v>0</v>
      </c>
      <c r="P562" s="351" t="e">
        <f t="shared" si="69"/>
        <v>#DIV/0!</v>
      </c>
    </row>
    <row r="563" spans="1:16">
      <c r="A563" s="165">
        <f>'Conveyor Downtime (new)'!A573</f>
        <v>0</v>
      </c>
      <c r="B563" s="346"/>
      <c r="C563" s="346"/>
      <c r="D563" s="346"/>
      <c r="E563" s="346"/>
      <c r="F563" s="346"/>
      <c r="G563" s="346"/>
      <c r="H563" s="346"/>
      <c r="I563" s="346"/>
      <c r="J563" s="346"/>
      <c r="K563" s="346"/>
      <c r="L563" s="346"/>
      <c r="M563" s="346"/>
      <c r="N563" s="346"/>
      <c r="O563">
        <f t="shared" si="68"/>
        <v>0</v>
      </c>
      <c r="P563" s="351" t="e">
        <f t="shared" si="69"/>
        <v>#DIV/0!</v>
      </c>
    </row>
    <row r="564" spans="1:16">
      <c r="A564" s="165">
        <f>'Conveyor Downtime (new)'!A574</f>
        <v>0</v>
      </c>
      <c r="O564">
        <f t="shared" si="68"/>
        <v>0</v>
      </c>
      <c r="P564" s="351" t="e">
        <f t="shared" si="69"/>
        <v>#DIV/0!</v>
      </c>
    </row>
    <row r="565" spans="1:16">
      <c r="A565" s="165">
        <f>'Conveyor Downtime (new)'!A575</f>
        <v>0</v>
      </c>
      <c r="B565" s="346"/>
      <c r="C565" s="346"/>
      <c r="D565" s="346"/>
      <c r="E565" s="346"/>
      <c r="F565" s="346"/>
      <c r="G565" s="346"/>
      <c r="H565" s="346"/>
      <c r="I565" s="346"/>
      <c r="J565" s="346"/>
      <c r="K565" s="346"/>
      <c r="L565" s="346"/>
      <c r="M565" s="346"/>
      <c r="N565" s="346"/>
      <c r="O565">
        <f t="shared" si="68"/>
        <v>0</v>
      </c>
      <c r="P565" s="351" t="e">
        <f t="shared" si="69"/>
        <v>#DIV/0!</v>
      </c>
    </row>
    <row r="566" spans="1:16">
      <c r="A566" s="165">
        <f>'Conveyor Downtime (new)'!A576</f>
        <v>0</v>
      </c>
      <c r="O566">
        <f t="shared" si="68"/>
        <v>0</v>
      </c>
      <c r="P566" s="351" t="e">
        <f t="shared" si="69"/>
        <v>#DIV/0!</v>
      </c>
    </row>
    <row r="567" spans="1:16">
      <c r="A567" s="165">
        <f>'Conveyor Downtime (new)'!A577</f>
        <v>0</v>
      </c>
      <c r="B567" s="346"/>
      <c r="C567" s="346"/>
      <c r="D567" s="346"/>
      <c r="E567" s="346"/>
      <c r="F567" s="346"/>
      <c r="G567" s="346"/>
      <c r="H567" s="346"/>
      <c r="I567" s="346"/>
      <c r="J567" s="346"/>
      <c r="K567" s="346"/>
      <c r="L567" s="346"/>
      <c r="M567" s="346"/>
      <c r="N567" s="346"/>
      <c r="O567">
        <f t="shared" si="68"/>
        <v>0</v>
      </c>
      <c r="P567" s="351" t="e">
        <f t="shared" si="69"/>
        <v>#DIV/0!</v>
      </c>
    </row>
    <row r="568" spans="1:16">
      <c r="A568" s="165">
        <f>'Conveyor Downtime (new)'!A578</f>
        <v>0</v>
      </c>
      <c r="O568">
        <f t="shared" si="68"/>
        <v>0</v>
      </c>
      <c r="P568" s="351" t="e">
        <f t="shared" si="69"/>
        <v>#DIV/0!</v>
      </c>
    </row>
    <row r="569" spans="1:16">
      <c r="A569" s="165">
        <f>'Conveyor Downtime (new)'!A579</f>
        <v>0</v>
      </c>
      <c r="B569" s="346"/>
      <c r="C569" s="346"/>
      <c r="D569" s="346"/>
      <c r="E569" s="346"/>
      <c r="F569" s="346"/>
      <c r="G569" s="346"/>
      <c r="H569" s="346"/>
      <c r="I569" s="346"/>
      <c r="J569" s="346"/>
      <c r="K569" s="346"/>
      <c r="L569" s="346"/>
      <c r="M569" s="346"/>
      <c r="N569" s="346"/>
      <c r="O569">
        <f t="shared" si="68"/>
        <v>0</v>
      </c>
      <c r="P569" s="351" t="e">
        <f t="shared" si="69"/>
        <v>#DIV/0!</v>
      </c>
    </row>
    <row r="570" spans="1:16">
      <c r="A570" s="165">
        <f>'Conveyor Downtime (new)'!A580</f>
        <v>0</v>
      </c>
      <c r="O570">
        <f t="shared" si="68"/>
        <v>0</v>
      </c>
      <c r="P570" s="351" t="e">
        <f t="shared" si="69"/>
        <v>#DIV/0!</v>
      </c>
    </row>
    <row r="571" spans="1:16">
      <c r="A571" s="165">
        <f>'Conveyor Downtime (new)'!A581</f>
        <v>0</v>
      </c>
      <c r="B571" s="346"/>
      <c r="C571" s="346"/>
      <c r="D571" s="346"/>
      <c r="E571" s="346"/>
      <c r="F571" s="346"/>
      <c r="G571" s="346"/>
      <c r="H571" s="346"/>
      <c r="I571" s="346"/>
      <c r="J571" s="346"/>
      <c r="K571" s="346"/>
      <c r="L571" s="346"/>
      <c r="M571" s="346"/>
      <c r="N571" s="346"/>
      <c r="O571">
        <f t="shared" si="68"/>
        <v>0</v>
      </c>
      <c r="P571" s="351" t="e">
        <f t="shared" si="69"/>
        <v>#DIV/0!</v>
      </c>
    </row>
    <row r="572" spans="1:16">
      <c r="A572" s="165">
        <f>'Conveyor Downtime (new)'!A582</f>
        <v>0</v>
      </c>
      <c r="O572">
        <f t="shared" si="68"/>
        <v>0</v>
      </c>
      <c r="P572" s="351" t="e">
        <f t="shared" si="69"/>
        <v>#DIV/0!</v>
      </c>
    </row>
    <row r="573" spans="1:16">
      <c r="A573" s="165">
        <f>'Conveyor Downtime (new)'!A583</f>
        <v>0</v>
      </c>
      <c r="B573" s="346"/>
      <c r="C573" s="346"/>
      <c r="D573" s="346"/>
      <c r="E573" s="346"/>
      <c r="F573" s="346"/>
      <c r="G573" s="346"/>
      <c r="H573" s="346"/>
      <c r="I573" s="346"/>
      <c r="J573" s="346"/>
      <c r="K573" s="346"/>
      <c r="L573" s="346"/>
      <c r="M573" s="346"/>
      <c r="N573" s="346"/>
      <c r="O573">
        <f t="shared" si="68"/>
        <v>0</v>
      </c>
      <c r="P573" s="351" t="e">
        <f t="shared" si="69"/>
        <v>#DIV/0!</v>
      </c>
    </row>
    <row r="574" spans="1:16">
      <c r="A574" s="165">
        <f>'Conveyor Downtime (new)'!A584</f>
        <v>0</v>
      </c>
      <c r="O574">
        <f t="shared" si="68"/>
        <v>0</v>
      </c>
      <c r="P574" s="351" t="e">
        <f t="shared" si="69"/>
        <v>#DIV/0!</v>
      </c>
    </row>
    <row r="575" spans="1:16">
      <c r="A575" s="165">
        <f>'Conveyor Downtime (new)'!A585</f>
        <v>0</v>
      </c>
      <c r="B575" s="346"/>
      <c r="C575" s="346"/>
      <c r="D575" s="346"/>
      <c r="E575" s="346"/>
      <c r="F575" s="346"/>
      <c r="G575" s="346"/>
      <c r="H575" s="346"/>
      <c r="I575" s="346"/>
      <c r="J575" s="346"/>
      <c r="K575" s="346"/>
      <c r="L575" s="346"/>
      <c r="M575" s="346"/>
      <c r="N575" s="346"/>
      <c r="O575">
        <f t="shared" si="68"/>
        <v>0</v>
      </c>
      <c r="P575" s="351" t="e">
        <f t="shared" si="69"/>
        <v>#DIV/0!</v>
      </c>
    </row>
    <row r="576" spans="1:16">
      <c r="A576" s="165">
        <f>'Conveyor Downtime (new)'!A586</f>
        <v>0</v>
      </c>
      <c r="O576">
        <f t="shared" si="68"/>
        <v>0</v>
      </c>
      <c r="P576" s="351" t="e">
        <f t="shared" si="69"/>
        <v>#DIV/0!</v>
      </c>
    </row>
    <row r="577" spans="1:16">
      <c r="A577" s="165">
        <f>'Conveyor Downtime (new)'!A587</f>
        <v>0</v>
      </c>
      <c r="B577" s="346"/>
      <c r="C577" s="346"/>
      <c r="D577" s="346"/>
      <c r="E577" s="346"/>
      <c r="F577" s="346"/>
      <c r="G577" s="346"/>
      <c r="H577" s="346"/>
      <c r="I577" s="346"/>
      <c r="J577" s="346"/>
      <c r="K577" s="346"/>
      <c r="L577" s="346"/>
      <c r="M577" s="346"/>
      <c r="N577" s="346"/>
      <c r="O577">
        <f t="shared" si="68"/>
        <v>0</v>
      </c>
      <c r="P577" s="351" t="e">
        <f t="shared" si="69"/>
        <v>#DIV/0!</v>
      </c>
    </row>
    <row r="578" spans="1:16">
      <c r="A578" s="165">
        <f>'Conveyor Downtime (new)'!A588</f>
        <v>0</v>
      </c>
      <c r="O578">
        <f t="shared" si="68"/>
        <v>0</v>
      </c>
      <c r="P578" s="351" t="e">
        <f t="shared" si="69"/>
        <v>#DIV/0!</v>
      </c>
    </row>
    <row r="579" spans="1:16">
      <c r="A579" s="165">
        <f>'Conveyor Downtime (new)'!A589</f>
        <v>0</v>
      </c>
      <c r="B579" s="346"/>
      <c r="C579" s="346"/>
      <c r="D579" s="346"/>
      <c r="E579" s="346"/>
      <c r="F579" s="346"/>
      <c r="G579" s="346"/>
      <c r="H579" s="346"/>
      <c r="I579" s="346"/>
      <c r="J579" s="346"/>
      <c r="K579" s="346"/>
      <c r="L579" s="346"/>
      <c r="M579" s="346"/>
      <c r="N579" s="346"/>
      <c r="O579">
        <f t="shared" si="68"/>
        <v>0</v>
      </c>
      <c r="P579" s="351" t="e">
        <f t="shared" si="69"/>
        <v>#DIV/0!</v>
      </c>
    </row>
    <row r="580" spans="1:16">
      <c r="A580" s="165">
        <f>'Conveyor Downtime (new)'!A590</f>
        <v>0</v>
      </c>
      <c r="O580">
        <f t="shared" si="68"/>
        <v>0</v>
      </c>
      <c r="P580" s="351" t="e">
        <f t="shared" si="69"/>
        <v>#DIV/0!</v>
      </c>
    </row>
    <row r="581" spans="1:16">
      <c r="A581" s="165">
        <f>'Conveyor Downtime (new)'!A591</f>
        <v>0</v>
      </c>
      <c r="B581" s="346"/>
      <c r="C581" s="346"/>
      <c r="D581" s="346"/>
      <c r="E581" s="346"/>
      <c r="F581" s="346"/>
      <c r="G581" s="346"/>
      <c r="H581" s="346"/>
      <c r="I581" s="346"/>
      <c r="J581" s="346"/>
      <c r="K581" s="346"/>
      <c r="L581" s="346"/>
      <c r="M581" s="346"/>
      <c r="N581" s="346"/>
      <c r="O581">
        <f t="shared" si="68"/>
        <v>0</v>
      </c>
      <c r="P581" s="351" t="e">
        <f t="shared" si="69"/>
        <v>#DIV/0!</v>
      </c>
    </row>
    <row r="582" spans="1:16">
      <c r="A582" s="165">
        <f>'Conveyor Downtime (new)'!A592</f>
        <v>0</v>
      </c>
      <c r="O582">
        <f t="shared" si="68"/>
        <v>0</v>
      </c>
      <c r="P582" s="351" t="e">
        <f t="shared" si="69"/>
        <v>#DIV/0!</v>
      </c>
    </row>
    <row r="583" spans="1:16">
      <c r="A583" s="165">
        <f>'Conveyor Downtime (new)'!A593</f>
        <v>0</v>
      </c>
      <c r="B583" s="346"/>
      <c r="C583" s="346"/>
      <c r="D583" s="346"/>
      <c r="E583" s="346"/>
      <c r="F583" s="346"/>
      <c r="G583" s="346"/>
      <c r="H583" s="346"/>
      <c r="I583" s="346"/>
      <c r="J583" s="346"/>
      <c r="K583" s="346"/>
      <c r="L583" s="346"/>
      <c r="M583" s="346"/>
      <c r="N583" s="346"/>
      <c r="O583">
        <f t="shared" si="68"/>
        <v>0</v>
      </c>
      <c r="P583" s="351" t="e">
        <f t="shared" si="69"/>
        <v>#DIV/0!</v>
      </c>
    </row>
    <row r="584" spans="1:16">
      <c r="A584" s="165">
        <f>'Conveyor Downtime (new)'!A594</f>
        <v>0</v>
      </c>
      <c r="O584">
        <f t="shared" si="68"/>
        <v>0</v>
      </c>
      <c r="P584" s="351" t="e">
        <f t="shared" si="69"/>
        <v>#DIV/0!</v>
      </c>
    </row>
    <row r="585" spans="1:16">
      <c r="A585" s="165">
        <f>'Conveyor Downtime (new)'!A595</f>
        <v>0</v>
      </c>
      <c r="B585" s="346"/>
      <c r="C585" s="346"/>
      <c r="D585" s="346"/>
      <c r="E585" s="346"/>
      <c r="F585" s="346"/>
      <c r="G585" s="346"/>
      <c r="H585" s="346"/>
      <c r="I585" s="346"/>
      <c r="J585" s="346"/>
      <c r="K585" s="346"/>
      <c r="L585" s="346"/>
      <c r="M585" s="346"/>
      <c r="N585" s="346"/>
      <c r="O585">
        <f t="shared" si="68"/>
        <v>0</v>
      </c>
      <c r="P585" s="351" t="e">
        <f t="shared" si="69"/>
        <v>#DIV/0!</v>
      </c>
    </row>
    <row r="586" spans="1:16">
      <c r="A586" s="165">
        <f>'Conveyor Downtime (new)'!A596</f>
        <v>0</v>
      </c>
      <c r="O586">
        <f t="shared" si="68"/>
        <v>0</v>
      </c>
      <c r="P586" s="351" t="e">
        <f t="shared" si="69"/>
        <v>#DIV/0!</v>
      </c>
    </row>
    <row r="587" spans="1:16">
      <c r="A587" s="165">
        <f>'Conveyor Downtime (new)'!A597</f>
        <v>0</v>
      </c>
      <c r="B587" s="346"/>
      <c r="C587" s="346"/>
      <c r="D587" s="346"/>
      <c r="E587" s="346"/>
      <c r="F587" s="346"/>
      <c r="G587" s="346"/>
      <c r="H587" s="346"/>
      <c r="I587" s="346"/>
      <c r="J587" s="346"/>
      <c r="K587" s="346"/>
      <c r="L587" s="346"/>
      <c r="M587" s="346"/>
      <c r="N587" s="346"/>
      <c r="O587">
        <f t="shared" si="68"/>
        <v>0</v>
      </c>
      <c r="P587" s="351" t="e">
        <f t="shared" si="69"/>
        <v>#DIV/0!</v>
      </c>
    </row>
    <row r="588" spans="1:16">
      <c r="A588" s="165">
        <f>'Conveyor Downtime (new)'!A598</f>
        <v>0</v>
      </c>
      <c r="O588">
        <f t="shared" si="68"/>
        <v>0</v>
      </c>
      <c r="P588" s="351" t="e">
        <f t="shared" si="69"/>
        <v>#DIV/0!</v>
      </c>
    </row>
    <row r="589" spans="1:16">
      <c r="A589" s="165">
        <f>'Conveyor Downtime (new)'!A599</f>
        <v>0</v>
      </c>
      <c r="B589" s="346"/>
      <c r="C589" s="346"/>
      <c r="D589" s="346"/>
      <c r="E589" s="346"/>
      <c r="F589" s="346"/>
      <c r="G589" s="346"/>
      <c r="H589" s="346"/>
      <c r="I589" s="346"/>
      <c r="J589" s="346"/>
      <c r="K589" s="346"/>
      <c r="L589" s="346"/>
      <c r="M589" s="346"/>
      <c r="N589" s="346"/>
      <c r="O589">
        <f t="shared" si="68"/>
        <v>0</v>
      </c>
      <c r="P589" s="351" t="e">
        <f t="shared" si="69"/>
        <v>#DIV/0!</v>
      </c>
    </row>
    <row r="590" spans="1:16">
      <c r="A590" s="165">
        <v>45594</v>
      </c>
      <c r="O590">
        <f t="shared" si="68"/>
        <v>0</v>
      </c>
      <c r="P590" s="351" t="e">
        <f t="shared" si="69"/>
        <v>#DIV/0!</v>
      </c>
    </row>
    <row r="591" spans="1:16">
      <c r="A591" s="165">
        <f>'Conveyor Downtime (new)'!A601</f>
        <v>0</v>
      </c>
      <c r="B591" s="346"/>
      <c r="C591" s="346"/>
      <c r="D591" s="346"/>
      <c r="E591" s="346"/>
      <c r="F591" s="346"/>
      <c r="G591" s="346"/>
      <c r="H591" s="346"/>
      <c r="I591" s="346"/>
      <c r="J591" s="346"/>
      <c r="K591" s="346"/>
      <c r="L591" s="346"/>
      <c r="M591" s="346"/>
      <c r="N591" s="346"/>
      <c r="O591">
        <f t="shared" si="68"/>
        <v>0</v>
      </c>
      <c r="P591" s="351" t="e">
        <f t="shared" si="69"/>
        <v>#DIV/0!</v>
      </c>
    </row>
    <row r="592" spans="1:16">
      <c r="A592" s="165">
        <f>'Conveyor Downtime (new)'!A602</f>
        <v>0</v>
      </c>
      <c r="O592">
        <f t="shared" si="68"/>
        <v>0</v>
      </c>
      <c r="P592" s="351" t="e">
        <f t="shared" si="69"/>
        <v>#DIV/0!</v>
      </c>
    </row>
    <row r="593" spans="1:16">
      <c r="A593" s="165">
        <f>'Conveyor Downtime (new)'!A603</f>
        <v>0</v>
      </c>
      <c r="B593" s="346"/>
      <c r="C593" s="346"/>
      <c r="D593" s="346"/>
      <c r="E593" s="346"/>
      <c r="F593" s="346"/>
      <c r="G593" s="346"/>
      <c r="H593" s="346"/>
      <c r="I593" s="346"/>
      <c r="J593" s="346"/>
      <c r="K593" s="346"/>
      <c r="L593" s="346"/>
      <c r="M593" s="346"/>
      <c r="N593" s="346"/>
      <c r="O593">
        <f t="shared" ref="O593:O601" si="70">SUM(B593:N593)</f>
        <v>0</v>
      </c>
      <c r="P593" s="351" t="e">
        <f t="shared" ref="P593:P601" si="71">O593/$O$602</f>
        <v>#DIV/0!</v>
      </c>
    </row>
    <row r="594" spans="1:16">
      <c r="A594" s="165">
        <f>'Conveyor Downtime (new)'!A604</f>
        <v>0</v>
      </c>
      <c r="O594">
        <f t="shared" si="70"/>
        <v>0</v>
      </c>
      <c r="P594" s="351" t="e">
        <f t="shared" si="71"/>
        <v>#DIV/0!</v>
      </c>
    </row>
    <row r="595" spans="1:16">
      <c r="A595" s="165">
        <f>'Conveyor Downtime (new)'!A605</f>
        <v>0</v>
      </c>
      <c r="B595" s="346"/>
      <c r="C595" s="346"/>
      <c r="D595" s="346"/>
      <c r="E595" s="346"/>
      <c r="F595" s="346"/>
      <c r="G595" s="346"/>
      <c r="H595" s="346"/>
      <c r="I595" s="346"/>
      <c r="J595" s="346"/>
      <c r="K595" s="346"/>
      <c r="L595" s="346"/>
      <c r="M595" s="346"/>
      <c r="N595" s="346"/>
      <c r="O595">
        <f t="shared" si="70"/>
        <v>0</v>
      </c>
      <c r="P595" s="351" t="e">
        <f t="shared" si="71"/>
        <v>#DIV/0!</v>
      </c>
    </row>
    <row r="596" spans="1:16">
      <c r="A596" s="165">
        <f>'Conveyor Downtime (new)'!A606</f>
        <v>0</v>
      </c>
      <c r="O596">
        <f t="shared" si="70"/>
        <v>0</v>
      </c>
      <c r="P596" s="351" t="e">
        <f t="shared" si="71"/>
        <v>#DIV/0!</v>
      </c>
    </row>
    <row r="597" spans="1:16">
      <c r="A597" s="165">
        <f>'Conveyor Downtime (new)'!A607</f>
        <v>0</v>
      </c>
      <c r="B597" s="346"/>
      <c r="C597" s="346"/>
      <c r="D597" s="346"/>
      <c r="E597" s="346"/>
      <c r="F597" s="346"/>
      <c r="G597" s="346"/>
      <c r="H597" s="346"/>
      <c r="I597" s="346"/>
      <c r="J597" s="346"/>
      <c r="K597" s="346"/>
      <c r="L597" s="346"/>
      <c r="M597" s="346"/>
      <c r="N597" s="346"/>
      <c r="O597">
        <f t="shared" si="70"/>
        <v>0</v>
      </c>
      <c r="P597" s="351" t="e">
        <f t="shared" si="71"/>
        <v>#DIV/0!</v>
      </c>
    </row>
    <row r="598" spans="1:16">
      <c r="A598" s="165">
        <f>'Conveyor Downtime (new)'!A608</f>
        <v>0</v>
      </c>
      <c r="O598">
        <f t="shared" si="70"/>
        <v>0</v>
      </c>
      <c r="P598" s="351" t="e">
        <f t="shared" si="71"/>
        <v>#DIV/0!</v>
      </c>
    </row>
    <row r="599" spans="1:16">
      <c r="A599" s="165">
        <f>'Conveyor Downtime (new)'!A609</f>
        <v>0</v>
      </c>
      <c r="B599" s="346"/>
      <c r="C599" s="346"/>
      <c r="D599" s="346"/>
      <c r="E599" s="346"/>
      <c r="F599" s="346"/>
      <c r="G599" s="346"/>
      <c r="H599" s="346"/>
      <c r="I599" s="346"/>
      <c r="J599" s="346"/>
      <c r="K599" s="346"/>
      <c r="L599" s="346"/>
      <c r="M599" s="346"/>
      <c r="N599" s="346"/>
      <c r="O599">
        <f t="shared" si="70"/>
        <v>0</v>
      </c>
      <c r="P599" s="351" t="e">
        <f t="shared" si="71"/>
        <v>#DIV/0!</v>
      </c>
    </row>
    <row r="600" spans="1:16">
      <c r="A600" s="165">
        <f>'Conveyor Downtime (new)'!A610</f>
        <v>0</v>
      </c>
      <c r="O600">
        <f t="shared" si="70"/>
        <v>0</v>
      </c>
      <c r="P600" s="351" t="e">
        <f t="shared" si="71"/>
        <v>#DIV/0!</v>
      </c>
    </row>
    <row r="601" spans="1:16" ht="13.5" thickBot="1">
      <c r="A601" s="165"/>
      <c r="O601">
        <f t="shared" si="70"/>
        <v>0</v>
      </c>
      <c r="P601" s="351" t="e">
        <f t="shared" si="71"/>
        <v>#DIV/0!</v>
      </c>
    </row>
    <row r="602" spans="1:16" ht="15">
      <c r="A602" s="654" t="s">
        <v>246</v>
      </c>
      <c r="B602" s="347">
        <f>SUM(B546:B601)</f>
        <v>0</v>
      </c>
      <c r="C602" s="347">
        <f t="shared" ref="C602:N602" si="72">SUM(C546:C601)</f>
        <v>0</v>
      </c>
      <c r="D602" s="347">
        <f t="shared" si="72"/>
        <v>0</v>
      </c>
      <c r="E602" s="347">
        <f t="shared" si="72"/>
        <v>0</v>
      </c>
      <c r="F602" s="347">
        <f t="shared" si="72"/>
        <v>0</v>
      </c>
      <c r="G602" s="347">
        <f t="shared" si="72"/>
        <v>0</v>
      </c>
      <c r="H602" s="347">
        <f t="shared" si="72"/>
        <v>0</v>
      </c>
      <c r="I602" s="347">
        <f t="shared" si="72"/>
        <v>0</v>
      </c>
      <c r="J602" s="347">
        <f t="shared" si="72"/>
        <v>0</v>
      </c>
      <c r="K602" s="347">
        <f t="shared" si="72"/>
        <v>0</v>
      </c>
      <c r="L602" s="347">
        <f t="shared" si="72"/>
        <v>0</v>
      </c>
      <c r="M602" s="347">
        <f t="shared" si="72"/>
        <v>0</v>
      </c>
      <c r="N602" s="347">
        <f t="shared" si="72"/>
        <v>0</v>
      </c>
      <c r="O602" s="347">
        <f>SUM(O546:O601)</f>
        <v>0</v>
      </c>
    </row>
    <row r="603" spans="1:16" ht="17.25" customHeight="1" thickBot="1">
      <c r="A603" s="655"/>
      <c r="B603" s="348" t="e">
        <f t="shared" ref="B603:H603" si="73">B602/$O602</f>
        <v>#DIV/0!</v>
      </c>
      <c r="C603" s="348" t="e">
        <f t="shared" si="73"/>
        <v>#DIV/0!</v>
      </c>
      <c r="D603" s="348" t="e">
        <f t="shared" si="73"/>
        <v>#DIV/0!</v>
      </c>
      <c r="E603" s="348" t="e">
        <f t="shared" si="73"/>
        <v>#DIV/0!</v>
      </c>
      <c r="F603" s="348" t="e">
        <f t="shared" si="73"/>
        <v>#DIV/0!</v>
      </c>
      <c r="G603" s="348" t="e">
        <f t="shared" si="73"/>
        <v>#DIV/0!</v>
      </c>
      <c r="H603" s="348" t="e">
        <f t="shared" si="73"/>
        <v>#DIV/0!</v>
      </c>
      <c r="I603" s="348" t="e">
        <f t="shared" ref="I603:N603" si="74">I602/$O602</f>
        <v>#DIV/0!</v>
      </c>
      <c r="J603" s="348" t="e">
        <f t="shared" si="74"/>
        <v>#DIV/0!</v>
      </c>
      <c r="K603" s="348" t="e">
        <f t="shared" si="74"/>
        <v>#DIV/0!</v>
      </c>
      <c r="L603" s="348" t="e">
        <f t="shared" si="74"/>
        <v>#DIV/0!</v>
      </c>
      <c r="M603" s="348" t="e">
        <f t="shared" si="74"/>
        <v>#DIV/0!</v>
      </c>
      <c r="N603" s="348" t="e">
        <f t="shared" si="74"/>
        <v>#DIV/0!</v>
      </c>
    </row>
    <row r="607" spans="1:16">
      <c r="A607" s="165">
        <f>'Conveyor Downtime (new)'!A617</f>
        <v>0</v>
      </c>
      <c r="O607">
        <f t="shared" ref="O607:O627" si="75">SUM(B607:N607)</f>
        <v>0</v>
      </c>
      <c r="P607" s="351" t="e">
        <f t="shared" ref="P607:P627" si="76">O607/$O$660</f>
        <v>#DIV/0!</v>
      </c>
    </row>
    <row r="608" spans="1:16">
      <c r="A608" s="165">
        <f>'Conveyor Downtime (new)'!A618</f>
        <v>0</v>
      </c>
      <c r="B608" s="346"/>
      <c r="C608" s="346"/>
      <c r="D608" s="346"/>
      <c r="E608" s="346"/>
      <c r="F608" s="346"/>
      <c r="G608" s="346"/>
      <c r="H608" s="346"/>
      <c r="I608" s="346"/>
      <c r="J608" s="346"/>
      <c r="K608" s="346"/>
      <c r="L608" s="346"/>
      <c r="M608" s="346"/>
      <c r="N608" s="346"/>
      <c r="O608">
        <f t="shared" si="75"/>
        <v>0</v>
      </c>
      <c r="P608" s="351" t="e">
        <f t="shared" si="76"/>
        <v>#DIV/0!</v>
      </c>
    </row>
    <row r="609" spans="1:16">
      <c r="A609" s="165">
        <f>'Conveyor Downtime (new)'!A619</f>
        <v>0</v>
      </c>
      <c r="K609" s="346"/>
      <c r="O609">
        <f t="shared" si="75"/>
        <v>0</v>
      </c>
      <c r="P609" s="351" t="e">
        <f t="shared" si="76"/>
        <v>#DIV/0!</v>
      </c>
    </row>
    <row r="610" spans="1:16">
      <c r="A610" s="165">
        <f>'Conveyor Downtime (new)'!A620</f>
        <v>0</v>
      </c>
      <c r="B610" s="346"/>
      <c r="C610" s="346"/>
      <c r="D610" s="346"/>
      <c r="E610" s="346"/>
      <c r="F610" s="346"/>
      <c r="G610" s="346"/>
      <c r="H610" s="346"/>
      <c r="I610" s="346"/>
      <c r="J610" s="346"/>
      <c r="K610" s="346"/>
      <c r="L610" s="346"/>
      <c r="M610" s="346"/>
      <c r="N610" s="346"/>
      <c r="O610">
        <f t="shared" si="75"/>
        <v>0</v>
      </c>
      <c r="P610" s="351" t="e">
        <f t="shared" si="76"/>
        <v>#DIV/0!</v>
      </c>
    </row>
    <row r="611" spans="1:16">
      <c r="A611" s="165">
        <f>'Conveyor Downtime (new)'!A621</f>
        <v>0</v>
      </c>
      <c r="O611">
        <f t="shared" si="75"/>
        <v>0</v>
      </c>
      <c r="P611" s="351" t="e">
        <f t="shared" si="76"/>
        <v>#DIV/0!</v>
      </c>
    </row>
    <row r="612" spans="1:16">
      <c r="A612" s="165">
        <f>'Conveyor Downtime (new)'!A622</f>
        <v>0</v>
      </c>
      <c r="B612" s="346"/>
      <c r="C612" s="346"/>
      <c r="D612" s="346"/>
      <c r="E612" s="346"/>
      <c r="F612" s="346"/>
      <c r="G612" s="346"/>
      <c r="H612" s="346"/>
      <c r="I612" s="346"/>
      <c r="J612" s="346"/>
      <c r="K612" s="346"/>
      <c r="L612" s="346"/>
      <c r="M612" s="346"/>
      <c r="N612" s="346"/>
      <c r="O612">
        <f t="shared" si="75"/>
        <v>0</v>
      </c>
      <c r="P612" s="351" t="e">
        <f t="shared" si="76"/>
        <v>#DIV/0!</v>
      </c>
    </row>
    <row r="613" spans="1:16">
      <c r="A613" s="165">
        <f>'Conveyor Downtime (new)'!A623</f>
        <v>0</v>
      </c>
      <c r="O613">
        <f t="shared" si="75"/>
        <v>0</v>
      </c>
      <c r="P613" s="351" t="e">
        <f t="shared" si="76"/>
        <v>#DIV/0!</v>
      </c>
    </row>
    <row r="614" spans="1:16">
      <c r="A614" s="165">
        <f>'Conveyor Downtime (new)'!A624</f>
        <v>0</v>
      </c>
      <c r="B614" s="346"/>
      <c r="C614" s="346"/>
      <c r="D614" s="346"/>
      <c r="E614" s="346"/>
      <c r="F614" s="346"/>
      <c r="G614" s="346"/>
      <c r="H614" s="346"/>
      <c r="I614" s="346"/>
      <c r="J614" s="346"/>
      <c r="K614" s="346"/>
      <c r="L614" s="346"/>
      <c r="M614" s="346"/>
      <c r="N614" s="346"/>
      <c r="O614">
        <f t="shared" si="75"/>
        <v>0</v>
      </c>
      <c r="P614" s="351" t="e">
        <f t="shared" si="76"/>
        <v>#DIV/0!</v>
      </c>
    </row>
    <row r="615" spans="1:16">
      <c r="A615" s="165">
        <f>'Conveyor Downtime (new)'!A625</f>
        <v>0</v>
      </c>
      <c r="O615">
        <f t="shared" si="75"/>
        <v>0</v>
      </c>
      <c r="P615" s="351" t="e">
        <f t="shared" si="76"/>
        <v>#DIV/0!</v>
      </c>
    </row>
    <row r="616" spans="1:16">
      <c r="A616" s="165">
        <f>'Conveyor Downtime (new)'!A626</f>
        <v>0</v>
      </c>
      <c r="B616" s="346"/>
      <c r="C616" s="346"/>
      <c r="D616" s="346"/>
      <c r="E616" s="346"/>
      <c r="F616" s="346"/>
      <c r="G616" s="346"/>
      <c r="H616" s="346"/>
      <c r="I616" s="346"/>
      <c r="J616" s="346"/>
      <c r="K616" s="346"/>
      <c r="L616" s="346"/>
      <c r="M616" s="346"/>
      <c r="N616" s="346"/>
      <c r="O616">
        <f t="shared" si="75"/>
        <v>0</v>
      </c>
      <c r="P616" s="351" t="e">
        <f t="shared" si="76"/>
        <v>#DIV/0!</v>
      </c>
    </row>
    <row r="617" spans="1:16">
      <c r="A617" s="165">
        <f>'Conveyor Downtime (new)'!A627</f>
        <v>0</v>
      </c>
      <c r="O617">
        <f t="shared" si="75"/>
        <v>0</v>
      </c>
      <c r="P617" s="351" t="e">
        <f t="shared" si="76"/>
        <v>#DIV/0!</v>
      </c>
    </row>
    <row r="618" spans="1:16">
      <c r="A618" s="165">
        <f>'Conveyor Downtime (new)'!A628</f>
        <v>0</v>
      </c>
      <c r="B618" s="346"/>
      <c r="C618" s="346"/>
      <c r="D618" s="346"/>
      <c r="E618" s="346"/>
      <c r="F618" s="346"/>
      <c r="G618" s="346"/>
      <c r="H618" s="346"/>
      <c r="I618" s="346"/>
      <c r="J618" s="346"/>
      <c r="K618" s="346"/>
      <c r="L618" s="346"/>
      <c r="M618" s="346"/>
      <c r="N618" s="346"/>
      <c r="O618">
        <f t="shared" si="75"/>
        <v>0</v>
      </c>
      <c r="P618" s="351" t="e">
        <f t="shared" si="76"/>
        <v>#DIV/0!</v>
      </c>
    </row>
    <row r="619" spans="1:16">
      <c r="A619" s="165">
        <f>'Conveyor Downtime (new)'!A629</f>
        <v>0</v>
      </c>
      <c r="O619">
        <f t="shared" si="75"/>
        <v>0</v>
      </c>
      <c r="P619" s="351" t="e">
        <f t="shared" si="76"/>
        <v>#DIV/0!</v>
      </c>
    </row>
    <row r="620" spans="1:16">
      <c r="A620" s="165">
        <f>'Conveyor Downtime (new)'!A630</f>
        <v>0</v>
      </c>
      <c r="B620" s="346"/>
      <c r="C620" s="346"/>
      <c r="D620" s="346"/>
      <c r="E620" s="346"/>
      <c r="F620" s="346"/>
      <c r="G620" s="346"/>
      <c r="H620" s="346"/>
      <c r="I620" s="346"/>
      <c r="J620" s="346"/>
      <c r="K620" s="346"/>
      <c r="L620" s="346"/>
      <c r="M620" s="346"/>
      <c r="N620" s="346"/>
      <c r="O620">
        <f t="shared" si="75"/>
        <v>0</v>
      </c>
      <c r="P620" s="351" t="e">
        <f t="shared" si="76"/>
        <v>#DIV/0!</v>
      </c>
    </row>
    <row r="621" spans="1:16">
      <c r="A621" s="165">
        <f>'Conveyor Downtime (new)'!A631</f>
        <v>0</v>
      </c>
      <c r="O621">
        <f t="shared" si="75"/>
        <v>0</v>
      </c>
      <c r="P621" s="351" t="e">
        <f t="shared" si="76"/>
        <v>#DIV/0!</v>
      </c>
    </row>
    <row r="622" spans="1:16">
      <c r="A622" s="165">
        <f>'Conveyor Downtime (new)'!A632</f>
        <v>0</v>
      </c>
      <c r="B622" s="346"/>
      <c r="C622" s="346"/>
      <c r="D622" s="346"/>
      <c r="E622" s="346"/>
      <c r="F622" s="346"/>
      <c r="G622" s="346"/>
      <c r="H622" s="346"/>
      <c r="I622" s="346"/>
      <c r="J622" s="346"/>
      <c r="K622" s="346"/>
      <c r="L622" s="346"/>
      <c r="M622" s="346"/>
      <c r="N622" s="346"/>
      <c r="O622">
        <f t="shared" si="75"/>
        <v>0</v>
      </c>
      <c r="P622" s="351" t="e">
        <f t="shared" si="76"/>
        <v>#DIV/0!</v>
      </c>
    </row>
    <row r="623" spans="1:16">
      <c r="A623" s="165">
        <f>'Conveyor Downtime (new)'!A633</f>
        <v>0</v>
      </c>
      <c r="O623">
        <f t="shared" si="75"/>
        <v>0</v>
      </c>
      <c r="P623" s="351" t="e">
        <f t="shared" si="76"/>
        <v>#DIV/0!</v>
      </c>
    </row>
    <row r="624" spans="1:16">
      <c r="A624" s="165">
        <f>'Conveyor Downtime (new)'!A634</f>
        <v>0</v>
      </c>
      <c r="B624" s="346"/>
      <c r="C624" s="346"/>
      <c r="D624" s="346"/>
      <c r="E624" s="346"/>
      <c r="F624" s="346"/>
      <c r="G624" s="346"/>
      <c r="H624" s="346"/>
      <c r="I624" s="346"/>
      <c r="J624" s="346"/>
      <c r="K624" s="346"/>
      <c r="L624" s="346"/>
      <c r="M624" s="346"/>
      <c r="N624" s="346"/>
      <c r="O624">
        <f t="shared" si="75"/>
        <v>0</v>
      </c>
      <c r="P624" s="351" t="e">
        <f t="shared" si="76"/>
        <v>#DIV/0!</v>
      </c>
    </row>
    <row r="625" spans="1:16">
      <c r="A625" s="165">
        <f>'Conveyor Downtime (new)'!A635</f>
        <v>0</v>
      </c>
      <c r="O625">
        <f t="shared" si="75"/>
        <v>0</v>
      </c>
      <c r="P625" s="351" t="e">
        <f t="shared" si="76"/>
        <v>#DIV/0!</v>
      </c>
    </row>
    <row r="626" spans="1:16">
      <c r="A626" s="165">
        <f>'Conveyor Downtime (new)'!A636</f>
        <v>0</v>
      </c>
      <c r="O626">
        <f t="shared" si="75"/>
        <v>0</v>
      </c>
      <c r="P626" s="351" t="e">
        <f t="shared" si="76"/>
        <v>#DIV/0!</v>
      </c>
    </row>
    <row r="627" spans="1:16">
      <c r="A627" s="165">
        <f>'Conveyor Downtime (new)'!A637</f>
        <v>0</v>
      </c>
      <c r="B627" s="346"/>
      <c r="C627" s="346"/>
      <c r="D627" s="346"/>
      <c r="E627" s="346"/>
      <c r="F627" s="346"/>
      <c r="G627" s="346"/>
      <c r="H627" s="346"/>
      <c r="I627" s="346"/>
      <c r="J627" s="346"/>
      <c r="K627" s="346"/>
      <c r="L627" s="346"/>
      <c r="M627" s="346"/>
      <c r="N627" s="346"/>
      <c r="O627">
        <f t="shared" si="75"/>
        <v>0</v>
      </c>
      <c r="P627" s="351" t="e">
        <f t="shared" si="76"/>
        <v>#DIV/0!</v>
      </c>
    </row>
    <row r="628" spans="1:16">
      <c r="A628" s="165">
        <f>'Conveyor Downtime (new)'!A638</f>
        <v>0</v>
      </c>
      <c r="O628">
        <f t="shared" ref="O628:O658" si="77">SUM(B628:N628)</f>
        <v>0</v>
      </c>
      <c r="P628" s="351" t="e">
        <f t="shared" ref="P628:P651" si="78">O628/$O$660</f>
        <v>#DIV/0!</v>
      </c>
    </row>
    <row r="629" spans="1:16">
      <c r="A629" s="165">
        <f>'Conveyor Downtime (new)'!A639</f>
        <v>0</v>
      </c>
      <c r="B629" s="346"/>
      <c r="C629" s="346"/>
      <c r="D629" s="346"/>
      <c r="E629" s="346"/>
      <c r="F629" s="346"/>
      <c r="G629" s="346"/>
      <c r="H629" s="346"/>
      <c r="I629" s="346"/>
      <c r="J629" s="346"/>
      <c r="K629" s="346"/>
      <c r="L629" s="346"/>
      <c r="M629" s="346"/>
      <c r="N629" s="346"/>
      <c r="O629">
        <f t="shared" si="77"/>
        <v>0</v>
      </c>
      <c r="P629" s="351" t="e">
        <f t="shared" si="78"/>
        <v>#DIV/0!</v>
      </c>
    </row>
    <row r="630" spans="1:16">
      <c r="A630" s="165">
        <f>'Conveyor Downtime (new)'!A640</f>
        <v>0</v>
      </c>
      <c r="O630">
        <f t="shared" si="77"/>
        <v>0</v>
      </c>
      <c r="P630" s="351" t="e">
        <f t="shared" si="78"/>
        <v>#DIV/0!</v>
      </c>
    </row>
    <row r="631" spans="1:16">
      <c r="A631" s="165">
        <f>'Conveyor Downtime (new)'!A641</f>
        <v>0</v>
      </c>
      <c r="B631" s="346"/>
      <c r="C631" s="346"/>
      <c r="D631" s="346"/>
      <c r="E631" s="346"/>
      <c r="F631" s="346"/>
      <c r="G631" s="346"/>
      <c r="H631" s="346"/>
      <c r="I631" s="346"/>
      <c r="J631" s="346"/>
      <c r="K631" s="346"/>
      <c r="L631" s="346"/>
      <c r="M631" s="346"/>
      <c r="N631" s="346"/>
      <c r="O631">
        <f t="shared" si="77"/>
        <v>0</v>
      </c>
      <c r="P631" s="351" t="e">
        <f t="shared" si="78"/>
        <v>#DIV/0!</v>
      </c>
    </row>
    <row r="632" spans="1:16">
      <c r="A632" s="165">
        <f>'Conveyor Downtime (new)'!A642</f>
        <v>0</v>
      </c>
      <c r="O632">
        <f t="shared" si="77"/>
        <v>0</v>
      </c>
      <c r="P632" s="351" t="e">
        <f t="shared" si="78"/>
        <v>#DIV/0!</v>
      </c>
    </row>
    <row r="633" spans="1:16">
      <c r="A633" s="165">
        <f>'Conveyor Downtime (new)'!A643</f>
        <v>0</v>
      </c>
      <c r="B633" s="346"/>
      <c r="C633" s="346"/>
      <c r="D633" s="346"/>
      <c r="E633" s="346"/>
      <c r="F633" s="346"/>
      <c r="G633" s="346"/>
      <c r="H633" s="346"/>
      <c r="I633" s="346"/>
      <c r="J633" s="346"/>
      <c r="K633" s="346"/>
      <c r="L633" s="346"/>
      <c r="M633" s="346"/>
      <c r="N633" s="346"/>
      <c r="O633">
        <f t="shared" si="77"/>
        <v>0</v>
      </c>
      <c r="P633" s="351" t="e">
        <f t="shared" si="78"/>
        <v>#DIV/0!</v>
      </c>
    </row>
    <row r="634" spans="1:16">
      <c r="A634" s="165">
        <f>'Conveyor Downtime (new)'!A644</f>
        <v>0</v>
      </c>
      <c r="O634">
        <f t="shared" si="77"/>
        <v>0</v>
      </c>
      <c r="P634" s="351" t="e">
        <f t="shared" si="78"/>
        <v>#DIV/0!</v>
      </c>
    </row>
    <row r="635" spans="1:16">
      <c r="A635" s="165">
        <f>'Conveyor Downtime (new)'!A645</f>
        <v>0</v>
      </c>
      <c r="B635" s="346"/>
      <c r="D635" s="346"/>
      <c r="E635" s="346"/>
      <c r="F635" s="346"/>
      <c r="G635" s="346"/>
      <c r="H635" s="346"/>
      <c r="I635" s="346"/>
      <c r="J635" s="346"/>
      <c r="K635" s="346"/>
      <c r="L635" s="346"/>
      <c r="M635" s="346"/>
      <c r="N635" s="346"/>
      <c r="O635">
        <f t="shared" si="77"/>
        <v>0</v>
      </c>
      <c r="P635" s="351" t="e">
        <f t="shared" si="78"/>
        <v>#DIV/0!</v>
      </c>
    </row>
    <row r="636" spans="1:16">
      <c r="A636" s="165">
        <f>'Conveyor Downtime (new)'!A646</f>
        <v>0</v>
      </c>
      <c r="C636" s="346"/>
      <c r="O636">
        <f t="shared" si="77"/>
        <v>0</v>
      </c>
      <c r="P636" s="351" t="e">
        <f t="shared" si="78"/>
        <v>#DIV/0!</v>
      </c>
    </row>
    <row r="637" spans="1:16">
      <c r="A637" s="165">
        <f>'Conveyor Downtime (new)'!A647</f>
        <v>0</v>
      </c>
      <c r="B637" s="346"/>
      <c r="C637" s="346"/>
      <c r="D637" s="346"/>
      <c r="E637" s="346"/>
      <c r="F637" s="346"/>
      <c r="G637" s="346"/>
      <c r="H637" s="346"/>
      <c r="I637" s="346"/>
      <c r="J637" s="346"/>
      <c r="K637" s="346"/>
      <c r="L637" s="346"/>
      <c r="M637" s="346"/>
      <c r="N637" s="346"/>
      <c r="O637">
        <f t="shared" si="77"/>
        <v>0</v>
      </c>
      <c r="P637" s="351" t="e">
        <f t="shared" si="78"/>
        <v>#DIV/0!</v>
      </c>
    </row>
    <row r="638" spans="1:16">
      <c r="A638" s="165">
        <f>'Conveyor Downtime (new)'!A648</f>
        <v>0</v>
      </c>
      <c r="O638">
        <f t="shared" si="77"/>
        <v>0</v>
      </c>
      <c r="P638" s="351" t="e">
        <f t="shared" si="78"/>
        <v>#DIV/0!</v>
      </c>
    </row>
    <row r="639" spans="1:16">
      <c r="A639" s="165">
        <f>'Conveyor Downtime (new)'!A649</f>
        <v>0</v>
      </c>
      <c r="B639" s="346"/>
      <c r="C639" s="346"/>
      <c r="D639" s="346"/>
      <c r="E639" s="346"/>
      <c r="F639" s="346"/>
      <c r="G639" s="346"/>
      <c r="H639" s="346"/>
      <c r="I639" s="346"/>
      <c r="J639" s="346"/>
      <c r="K639" s="346"/>
      <c r="L639" s="346"/>
      <c r="M639" s="346"/>
      <c r="N639" s="346"/>
      <c r="O639">
        <f t="shared" si="77"/>
        <v>0</v>
      </c>
      <c r="P639" s="351" t="e">
        <f t="shared" si="78"/>
        <v>#DIV/0!</v>
      </c>
    </row>
    <row r="640" spans="1:16">
      <c r="A640" s="165">
        <f>'Conveyor Downtime (new)'!A650</f>
        <v>0</v>
      </c>
      <c r="O640">
        <f t="shared" si="77"/>
        <v>0</v>
      </c>
      <c r="P640" s="351" t="e">
        <f t="shared" si="78"/>
        <v>#DIV/0!</v>
      </c>
    </row>
    <row r="641" spans="1:16">
      <c r="A641" s="165">
        <f>'Conveyor Downtime (new)'!A651</f>
        <v>0</v>
      </c>
      <c r="B641" s="346"/>
      <c r="C641" s="346"/>
      <c r="D641" s="346"/>
      <c r="E641" s="346"/>
      <c r="F641" s="346"/>
      <c r="G641" s="346"/>
      <c r="H641" s="346"/>
      <c r="I641" s="346"/>
      <c r="J641" s="346"/>
      <c r="K641" s="346"/>
      <c r="L641" s="346"/>
      <c r="M641" s="346"/>
      <c r="N641" s="346"/>
      <c r="O641">
        <f t="shared" si="77"/>
        <v>0</v>
      </c>
      <c r="P641" s="351" t="e">
        <f t="shared" si="78"/>
        <v>#DIV/0!</v>
      </c>
    </row>
    <row r="642" spans="1:16">
      <c r="A642" s="165">
        <f>'Conveyor Downtime (new)'!A652</f>
        <v>0</v>
      </c>
      <c r="O642">
        <f t="shared" si="77"/>
        <v>0</v>
      </c>
      <c r="P642" s="351" t="e">
        <f t="shared" si="78"/>
        <v>#DIV/0!</v>
      </c>
    </row>
    <row r="643" spans="1:16">
      <c r="A643" s="165">
        <f>'Conveyor Downtime (new)'!A653</f>
        <v>0</v>
      </c>
      <c r="B643" s="346"/>
      <c r="C643" s="346"/>
      <c r="D643" s="346"/>
      <c r="E643" s="346"/>
      <c r="F643" s="346"/>
      <c r="G643" s="346"/>
      <c r="H643" s="346"/>
      <c r="I643" s="346"/>
      <c r="J643" s="346"/>
      <c r="K643" s="346"/>
      <c r="L643" s="346"/>
      <c r="M643" s="346"/>
      <c r="N643" s="346"/>
      <c r="O643">
        <f t="shared" si="77"/>
        <v>0</v>
      </c>
      <c r="P643" s="351" t="e">
        <f t="shared" si="78"/>
        <v>#DIV/0!</v>
      </c>
    </row>
    <row r="644" spans="1:16">
      <c r="A644" s="165">
        <f>'Conveyor Downtime (new)'!A654</f>
        <v>0</v>
      </c>
      <c r="O644">
        <f t="shared" si="77"/>
        <v>0</v>
      </c>
      <c r="P644" s="351" t="e">
        <f t="shared" si="78"/>
        <v>#DIV/0!</v>
      </c>
    </row>
    <row r="645" spans="1:16">
      <c r="A645" s="165">
        <f>'Conveyor Downtime (new)'!A655</f>
        <v>0</v>
      </c>
      <c r="B645" s="346"/>
      <c r="C645" s="346"/>
      <c r="D645" s="346"/>
      <c r="E645" s="346"/>
      <c r="F645" s="346"/>
      <c r="G645" s="346"/>
      <c r="H645" s="346"/>
      <c r="I645" s="346"/>
      <c r="J645" s="346"/>
      <c r="K645" s="346"/>
      <c r="L645" s="346"/>
      <c r="M645" s="346"/>
      <c r="N645" s="346"/>
      <c r="O645">
        <f t="shared" si="77"/>
        <v>0</v>
      </c>
      <c r="P645" s="351" t="e">
        <f t="shared" si="78"/>
        <v>#DIV/0!</v>
      </c>
    </row>
    <row r="646" spans="1:16">
      <c r="A646" s="165">
        <f>'Conveyor Downtime (new)'!A656</f>
        <v>0</v>
      </c>
      <c r="O646">
        <f t="shared" si="77"/>
        <v>0</v>
      </c>
      <c r="P646" s="351" t="e">
        <f t="shared" si="78"/>
        <v>#DIV/0!</v>
      </c>
    </row>
    <row r="647" spans="1:16">
      <c r="A647" s="165">
        <f>'Conveyor Downtime (new)'!A657</f>
        <v>0</v>
      </c>
      <c r="B647" s="346"/>
      <c r="C647" s="346"/>
      <c r="D647" s="346"/>
      <c r="E647" s="346"/>
      <c r="F647" s="346"/>
      <c r="G647" s="346"/>
      <c r="H647" s="346"/>
      <c r="I647" s="346"/>
      <c r="J647" s="346"/>
      <c r="K647" s="346"/>
      <c r="L647" s="346"/>
      <c r="M647" s="346"/>
      <c r="N647" s="346"/>
      <c r="O647">
        <f t="shared" si="77"/>
        <v>0</v>
      </c>
      <c r="P647" s="351" t="e">
        <f t="shared" si="78"/>
        <v>#DIV/0!</v>
      </c>
    </row>
    <row r="648" spans="1:16">
      <c r="A648" s="165">
        <f>'Conveyor Downtime (new)'!A658</f>
        <v>0</v>
      </c>
      <c r="O648">
        <f t="shared" si="77"/>
        <v>0</v>
      </c>
      <c r="P648" s="351" t="e">
        <f t="shared" si="78"/>
        <v>#DIV/0!</v>
      </c>
    </row>
    <row r="649" spans="1:16">
      <c r="A649" s="165">
        <f>'Conveyor Downtime (new)'!A659</f>
        <v>0</v>
      </c>
      <c r="B649" s="346"/>
      <c r="C649" s="346"/>
      <c r="D649" s="346"/>
      <c r="E649" s="346"/>
      <c r="F649" s="346"/>
      <c r="G649" s="346"/>
      <c r="H649" s="346"/>
      <c r="I649" s="346"/>
      <c r="J649" s="346"/>
      <c r="K649" s="346"/>
      <c r="L649" s="346"/>
      <c r="M649" s="346"/>
      <c r="N649" s="346"/>
      <c r="O649">
        <f t="shared" si="77"/>
        <v>0</v>
      </c>
      <c r="P649" s="351" t="e">
        <f t="shared" si="78"/>
        <v>#DIV/0!</v>
      </c>
    </row>
    <row r="650" spans="1:16">
      <c r="A650" s="165">
        <f>'Conveyor Downtime (new)'!A660</f>
        <v>0</v>
      </c>
      <c r="O650">
        <f t="shared" si="77"/>
        <v>0</v>
      </c>
      <c r="P650" s="351" t="e">
        <f t="shared" si="78"/>
        <v>#DIV/0!</v>
      </c>
    </row>
    <row r="651" spans="1:16">
      <c r="A651" s="165">
        <f>'Conveyor Downtime (new)'!A661</f>
        <v>0</v>
      </c>
      <c r="B651" s="346"/>
      <c r="C651" s="346"/>
      <c r="D651" s="346"/>
      <c r="E651" s="346"/>
      <c r="F651" s="346"/>
      <c r="G651" s="346"/>
      <c r="H651" s="346"/>
      <c r="I651" s="346"/>
      <c r="J651" s="346"/>
      <c r="K651" s="346"/>
      <c r="L651" s="346"/>
      <c r="M651" s="346"/>
      <c r="N651" s="346"/>
      <c r="O651">
        <f t="shared" si="77"/>
        <v>0</v>
      </c>
      <c r="P651" s="351" t="e">
        <f t="shared" si="78"/>
        <v>#DIV/0!</v>
      </c>
    </row>
    <row r="652" spans="1:16">
      <c r="A652" s="165">
        <f>'Conveyor Downtime (new)'!A662</f>
        <v>0</v>
      </c>
      <c r="O652">
        <f t="shared" si="77"/>
        <v>0</v>
      </c>
      <c r="P652" s="351" t="e">
        <f t="shared" ref="P652:P658" si="79">O652/$O$660</f>
        <v>#DIV/0!</v>
      </c>
    </row>
    <row r="653" spans="1:16">
      <c r="A653" s="165">
        <f>'Conveyor Downtime (new)'!A663</f>
        <v>0</v>
      </c>
      <c r="B653" s="346"/>
      <c r="C653" s="346"/>
      <c r="D653" s="346"/>
      <c r="E653" s="346"/>
      <c r="F653" s="346"/>
      <c r="G653" s="346"/>
      <c r="H653" s="346"/>
      <c r="I653" s="346"/>
      <c r="J653" s="346"/>
      <c r="K653" s="346"/>
      <c r="L653" s="346"/>
      <c r="M653" s="346"/>
      <c r="N653" s="346"/>
      <c r="O653">
        <f t="shared" si="77"/>
        <v>0</v>
      </c>
      <c r="P653" s="351" t="e">
        <f t="shared" si="79"/>
        <v>#DIV/0!</v>
      </c>
    </row>
    <row r="654" spans="1:16">
      <c r="A654" s="165">
        <f>'Conveyor Downtime (new)'!A664</f>
        <v>0</v>
      </c>
      <c r="O654">
        <f t="shared" si="77"/>
        <v>0</v>
      </c>
      <c r="P654" s="351" t="e">
        <f t="shared" si="79"/>
        <v>#DIV/0!</v>
      </c>
    </row>
    <row r="655" spans="1:16">
      <c r="A655" s="165">
        <f>'Conveyor Downtime (new)'!A665</f>
        <v>0</v>
      </c>
      <c r="B655" s="346"/>
      <c r="C655" s="346"/>
      <c r="D655" s="346"/>
      <c r="E655" s="346"/>
      <c r="F655" s="346"/>
      <c r="G655" s="346"/>
      <c r="H655" s="346"/>
      <c r="I655" s="346"/>
      <c r="J655" s="346"/>
      <c r="K655" s="346"/>
      <c r="L655" s="346"/>
      <c r="M655" s="346"/>
      <c r="N655" s="346"/>
      <c r="O655">
        <f t="shared" si="77"/>
        <v>0</v>
      </c>
      <c r="P655" s="351" t="e">
        <f t="shared" si="79"/>
        <v>#DIV/0!</v>
      </c>
    </row>
    <row r="656" spans="1:16">
      <c r="A656" s="165">
        <f>'Conveyor Downtime (new)'!A666</f>
        <v>0</v>
      </c>
      <c r="O656">
        <f t="shared" si="77"/>
        <v>0</v>
      </c>
      <c r="P656" s="351" t="e">
        <f t="shared" si="79"/>
        <v>#DIV/0!</v>
      </c>
    </row>
    <row r="657" spans="1:16">
      <c r="A657" s="165">
        <f>'Conveyor Downtime (new)'!A667</f>
        <v>0</v>
      </c>
      <c r="B657" s="346"/>
      <c r="C657" s="346"/>
      <c r="D657" s="346"/>
      <c r="E657" s="346"/>
      <c r="F657" s="346"/>
      <c r="G657" s="346"/>
      <c r="H657" s="346"/>
      <c r="I657" s="346"/>
      <c r="J657" s="346"/>
      <c r="K657" s="346"/>
      <c r="L657" s="346"/>
      <c r="M657" s="346"/>
      <c r="N657" s="346"/>
      <c r="O657">
        <f t="shared" si="77"/>
        <v>0</v>
      </c>
      <c r="P657" s="351" t="e">
        <f t="shared" si="79"/>
        <v>#DIV/0!</v>
      </c>
    </row>
    <row r="658" spans="1:16">
      <c r="A658" s="165"/>
      <c r="O658">
        <f t="shared" si="77"/>
        <v>0</v>
      </c>
      <c r="P658" s="351" t="e">
        <f t="shared" si="79"/>
        <v>#DIV/0!</v>
      </c>
    </row>
    <row r="659" spans="1:16" ht="13.5" thickBot="1">
      <c r="A659" s="165"/>
      <c r="B659" s="346"/>
      <c r="C659" s="346"/>
      <c r="D659" s="346"/>
      <c r="E659" s="346"/>
      <c r="F659" s="346"/>
      <c r="G659" s="346"/>
      <c r="H659" s="346"/>
      <c r="I659" s="346"/>
      <c r="J659" s="346"/>
      <c r="K659" s="346"/>
      <c r="L659" s="346"/>
      <c r="M659" s="346"/>
      <c r="N659" s="346"/>
      <c r="P659" s="351"/>
    </row>
    <row r="660" spans="1:16" ht="15">
      <c r="A660" s="654" t="s">
        <v>246</v>
      </c>
      <c r="B660" s="347">
        <f t="shared" ref="B660:N660" si="80">SUM(B607:B659)</f>
        <v>0</v>
      </c>
      <c r="C660" s="347">
        <f t="shared" si="80"/>
        <v>0</v>
      </c>
      <c r="D660" s="347">
        <f t="shared" si="80"/>
        <v>0</v>
      </c>
      <c r="E660" s="347">
        <f t="shared" si="80"/>
        <v>0</v>
      </c>
      <c r="F660" s="347">
        <f t="shared" si="80"/>
        <v>0</v>
      </c>
      <c r="G660" s="347">
        <f t="shared" si="80"/>
        <v>0</v>
      </c>
      <c r="H660" s="347">
        <f t="shared" si="80"/>
        <v>0</v>
      </c>
      <c r="I660" s="347">
        <f t="shared" si="80"/>
        <v>0</v>
      </c>
      <c r="J660" s="347">
        <f t="shared" si="80"/>
        <v>0</v>
      </c>
      <c r="K660" s="347">
        <f t="shared" si="80"/>
        <v>0</v>
      </c>
      <c r="L660" s="347">
        <f t="shared" si="80"/>
        <v>0</v>
      </c>
      <c r="M660" s="347">
        <f t="shared" si="80"/>
        <v>0</v>
      </c>
      <c r="N660" s="347">
        <f t="shared" si="80"/>
        <v>0</v>
      </c>
      <c r="O660" s="347">
        <f>SUM(O607:O659)</f>
        <v>0</v>
      </c>
    </row>
    <row r="661" spans="1:16" ht="15.75" thickBot="1">
      <c r="A661" s="655"/>
      <c r="B661" s="348" t="e">
        <f>B660/$O660</f>
        <v>#DIV/0!</v>
      </c>
      <c r="C661" s="348" t="e">
        <f t="shared" ref="C661:N661" si="81">C660/$O660</f>
        <v>#DIV/0!</v>
      </c>
      <c r="D661" s="348" t="e">
        <f t="shared" si="81"/>
        <v>#DIV/0!</v>
      </c>
      <c r="E661" s="348" t="e">
        <f t="shared" si="81"/>
        <v>#DIV/0!</v>
      </c>
      <c r="F661" s="348" t="e">
        <f t="shared" si="81"/>
        <v>#DIV/0!</v>
      </c>
      <c r="G661" s="348" t="e">
        <f t="shared" si="81"/>
        <v>#DIV/0!</v>
      </c>
      <c r="H661" s="348" t="e">
        <f t="shared" si="81"/>
        <v>#DIV/0!</v>
      </c>
      <c r="I661" s="348" t="e">
        <f t="shared" si="81"/>
        <v>#DIV/0!</v>
      </c>
      <c r="J661" s="348" t="e">
        <f t="shared" si="81"/>
        <v>#DIV/0!</v>
      </c>
      <c r="K661" s="348" t="e">
        <f t="shared" si="81"/>
        <v>#DIV/0!</v>
      </c>
      <c r="L661" s="348" t="e">
        <f t="shared" si="81"/>
        <v>#DIV/0!</v>
      </c>
      <c r="M661" s="348" t="e">
        <f t="shared" si="81"/>
        <v>#DIV/0!</v>
      </c>
      <c r="N661" s="348" t="e">
        <f t="shared" si="81"/>
        <v>#DIV/0!</v>
      </c>
    </row>
    <row r="665" spans="1:16">
      <c r="A665" s="165">
        <f>'Conveyor Downtime (new)'!A678</f>
        <v>0</v>
      </c>
      <c r="B665" s="346"/>
      <c r="C665" s="346"/>
      <c r="D665" s="346"/>
      <c r="E665" s="346"/>
      <c r="F665" s="346"/>
      <c r="G665" s="346"/>
      <c r="H665" s="346"/>
      <c r="I665" s="346"/>
      <c r="J665" s="346"/>
      <c r="K665" s="346"/>
      <c r="L665" s="346"/>
      <c r="M665" s="346"/>
      <c r="N665" s="346"/>
      <c r="O665">
        <f t="shared" ref="O665:O696" si="82">SUM(B665:N665)</f>
        <v>0</v>
      </c>
      <c r="P665" s="351" t="e">
        <f t="shared" ref="P665:P703" si="83">O665/$O$720</f>
        <v>#DIV/0!</v>
      </c>
    </row>
    <row r="666" spans="1:16">
      <c r="A666" s="165">
        <f>'Conveyor Downtime (new)'!A679</f>
        <v>0</v>
      </c>
      <c r="O666">
        <f t="shared" si="82"/>
        <v>0</v>
      </c>
      <c r="P666" s="351" t="e">
        <f t="shared" si="83"/>
        <v>#DIV/0!</v>
      </c>
    </row>
    <row r="667" spans="1:16">
      <c r="A667" s="165">
        <f>'Conveyor Downtime (new)'!A680</f>
        <v>0</v>
      </c>
      <c r="B667" s="346"/>
      <c r="C667" s="346"/>
      <c r="D667" s="346"/>
      <c r="E667" s="346"/>
      <c r="F667" s="346"/>
      <c r="G667" s="346"/>
      <c r="H667" s="346"/>
      <c r="I667" s="346"/>
      <c r="J667" s="346"/>
      <c r="K667" s="346"/>
      <c r="L667" s="346"/>
      <c r="M667" s="346"/>
      <c r="N667" s="346"/>
      <c r="O667">
        <f t="shared" si="82"/>
        <v>0</v>
      </c>
      <c r="P667" s="351" t="e">
        <f t="shared" si="83"/>
        <v>#DIV/0!</v>
      </c>
    </row>
    <row r="668" spans="1:16">
      <c r="A668" s="165">
        <f>'Conveyor Downtime (new)'!A681</f>
        <v>0</v>
      </c>
      <c r="O668">
        <f t="shared" si="82"/>
        <v>0</v>
      </c>
      <c r="P668" s="351" t="e">
        <f t="shared" si="83"/>
        <v>#DIV/0!</v>
      </c>
    </row>
    <row r="669" spans="1:16">
      <c r="A669" s="165">
        <f>'Conveyor Downtime (new)'!A682</f>
        <v>0</v>
      </c>
      <c r="B669" s="346"/>
      <c r="C669" s="346"/>
      <c r="D669" s="346"/>
      <c r="E669" s="346"/>
      <c r="F669" s="346"/>
      <c r="G669" s="346"/>
      <c r="H669" s="346"/>
      <c r="I669" s="346"/>
      <c r="J669" s="346"/>
      <c r="K669" s="346"/>
      <c r="L669" s="346"/>
      <c r="M669" s="346"/>
      <c r="N669" s="346"/>
      <c r="O669">
        <f t="shared" si="82"/>
        <v>0</v>
      </c>
      <c r="P669" s="351" t="e">
        <f t="shared" si="83"/>
        <v>#DIV/0!</v>
      </c>
    </row>
    <row r="670" spans="1:16">
      <c r="A670" s="165">
        <f>'Conveyor Downtime (new)'!A683</f>
        <v>0</v>
      </c>
      <c r="O670">
        <f t="shared" si="82"/>
        <v>0</v>
      </c>
      <c r="P670" s="351" t="e">
        <f t="shared" si="83"/>
        <v>#DIV/0!</v>
      </c>
    </row>
    <row r="671" spans="1:16">
      <c r="A671" s="165">
        <f>'Conveyor Downtime (new)'!A684</f>
        <v>0</v>
      </c>
      <c r="B671" s="346"/>
      <c r="C671" s="346"/>
      <c r="D671" s="346"/>
      <c r="E671" s="346"/>
      <c r="F671" s="346"/>
      <c r="G671" s="346"/>
      <c r="H671" s="346"/>
      <c r="I671" s="346"/>
      <c r="J671" s="346"/>
      <c r="K671" s="346"/>
      <c r="L671" s="346"/>
      <c r="M671" s="346"/>
      <c r="N671" s="346"/>
      <c r="O671">
        <f t="shared" si="82"/>
        <v>0</v>
      </c>
      <c r="P671" s="351" t="e">
        <f t="shared" si="83"/>
        <v>#DIV/0!</v>
      </c>
    </row>
    <row r="672" spans="1:16">
      <c r="A672" s="165">
        <f>'Conveyor Downtime (new)'!A685</f>
        <v>0</v>
      </c>
      <c r="O672">
        <f t="shared" si="82"/>
        <v>0</v>
      </c>
      <c r="P672" s="351" t="e">
        <f t="shared" si="83"/>
        <v>#DIV/0!</v>
      </c>
    </row>
    <row r="673" spans="1:16">
      <c r="A673" s="165">
        <f>'Conveyor Downtime (new)'!A686</f>
        <v>0</v>
      </c>
      <c r="B673" s="346"/>
      <c r="C673" s="346"/>
      <c r="D673" s="346"/>
      <c r="E673" s="346"/>
      <c r="F673" s="346"/>
      <c r="G673" s="346"/>
      <c r="H673" s="346"/>
      <c r="I673" s="346"/>
      <c r="J673" s="346"/>
      <c r="K673" s="346"/>
      <c r="L673" s="346"/>
      <c r="M673" s="346"/>
      <c r="N673" s="346"/>
      <c r="O673">
        <f t="shared" si="82"/>
        <v>0</v>
      </c>
      <c r="P673" s="351" t="e">
        <f t="shared" si="83"/>
        <v>#DIV/0!</v>
      </c>
    </row>
    <row r="674" spans="1:16">
      <c r="A674" s="165">
        <f>'Conveyor Downtime (new)'!A687</f>
        <v>0</v>
      </c>
      <c r="O674">
        <f t="shared" si="82"/>
        <v>0</v>
      </c>
      <c r="P674" s="351" t="e">
        <f t="shared" si="83"/>
        <v>#DIV/0!</v>
      </c>
    </row>
    <row r="675" spans="1:16">
      <c r="A675" s="165">
        <f>'Conveyor Downtime (new)'!A688</f>
        <v>0</v>
      </c>
      <c r="B675" s="346"/>
      <c r="C675" s="346"/>
      <c r="D675" s="346"/>
      <c r="E675" s="346"/>
      <c r="F675" s="346"/>
      <c r="G675" s="346"/>
      <c r="H675" s="346"/>
      <c r="I675" s="346"/>
      <c r="J675" s="346"/>
      <c r="K675" s="346"/>
      <c r="L675" s="346"/>
      <c r="M675" s="346"/>
      <c r="N675" s="346"/>
      <c r="O675">
        <f t="shared" si="82"/>
        <v>0</v>
      </c>
      <c r="P675" s="351" t="e">
        <f t="shared" si="83"/>
        <v>#DIV/0!</v>
      </c>
    </row>
    <row r="676" spans="1:16">
      <c r="A676" s="165">
        <f>'Conveyor Downtime (new)'!A689</f>
        <v>0</v>
      </c>
      <c r="O676">
        <f t="shared" si="82"/>
        <v>0</v>
      </c>
      <c r="P676" s="351" t="e">
        <f t="shared" si="83"/>
        <v>#DIV/0!</v>
      </c>
    </row>
    <row r="677" spans="1:16">
      <c r="A677" s="165">
        <f>'Conveyor Downtime (new)'!A690</f>
        <v>0</v>
      </c>
      <c r="B677" s="346"/>
      <c r="C677" s="346"/>
      <c r="D677" s="346"/>
      <c r="E677" s="346"/>
      <c r="F677" s="346"/>
      <c r="G677" s="346"/>
      <c r="H677" s="346"/>
      <c r="I677" s="346"/>
      <c r="J677" s="346"/>
      <c r="K677" s="346"/>
      <c r="L677" s="346"/>
      <c r="M677" s="346"/>
      <c r="N677" s="346"/>
      <c r="O677">
        <f t="shared" si="82"/>
        <v>0</v>
      </c>
      <c r="P677" s="351" t="e">
        <f t="shared" si="83"/>
        <v>#DIV/0!</v>
      </c>
    </row>
    <row r="678" spans="1:16">
      <c r="A678" s="165">
        <f>'Conveyor Downtime (new)'!A691</f>
        <v>0</v>
      </c>
      <c r="O678">
        <f t="shared" si="82"/>
        <v>0</v>
      </c>
      <c r="P678" s="351" t="e">
        <f t="shared" si="83"/>
        <v>#DIV/0!</v>
      </c>
    </row>
    <row r="679" spans="1:16">
      <c r="A679" s="165">
        <f>'Conveyor Downtime (new)'!A692</f>
        <v>0</v>
      </c>
      <c r="B679" s="346"/>
      <c r="C679" s="346"/>
      <c r="D679" s="346"/>
      <c r="E679" s="346"/>
      <c r="F679" s="346"/>
      <c r="G679" s="346"/>
      <c r="H679" s="346"/>
      <c r="I679" s="346"/>
      <c r="J679" s="346"/>
      <c r="K679" s="346"/>
      <c r="L679" s="346"/>
      <c r="M679" s="346"/>
      <c r="N679" s="346"/>
      <c r="O679">
        <f t="shared" si="82"/>
        <v>0</v>
      </c>
      <c r="P679" s="351" t="e">
        <f t="shared" si="83"/>
        <v>#DIV/0!</v>
      </c>
    </row>
    <row r="680" spans="1:16">
      <c r="A680" s="165">
        <f>'Conveyor Downtime (new)'!A693</f>
        <v>0</v>
      </c>
      <c r="O680">
        <f t="shared" si="82"/>
        <v>0</v>
      </c>
      <c r="P680" s="351" t="e">
        <f t="shared" si="83"/>
        <v>#DIV/0!</v>
      </c>
    </row>
    <row r="681" spans="1:16">
      <c r="A681" s="165">
        <f>'Conveyor Downtime (new)'!A694</f>
        <v>0</v>
      </c>
      <c r="B681" s="346"/>
      <c r="C681" s="346"/>
      <c r="D681" s="346"/>
      <c r="E681" s="346"/>
      <c r="F681" s="346"/>
      <c r="G681" s="346"/>
      <c r="H681" s="346"/>
      <c r="I681" s="346"/>
      <c r="J681" s="346"/>
      <c r="K681" s="346"/>
      <c r="L681" s="346"/>
      <c r="M681" s="346"/>
      <c r="N681" s="346"/>
      <c r="O681">
        <f t="shared" si="82"/>
        <v>0</v>
      </c>
      <c r="P681" s="351" t="e">
        <f t="shared" si="83"/>
        <v>#DIV/0!</v>
      </c>
    </row>
    <row r="682" spans="1:16">
      <c r="A682" s="165">
        <f>'Conveyor Downtime (new)'!A695</f>
        <v>0</v>
      </c>
      <c r="O682">
        <f t="shared" si="82"/>
        <v>0</v>
      </c>
      <c r="P682" s="351" t="e">
        <f t="shared" si="83"/>
        <v>#DIV/0!</v>
      </c>
    </row>
    <row r="683" spans="1:16">
      <c r="A683" s="165">
        <f>'Conveyor Downtime (new)'!A696</f>
        <v>0</v>
      </c>
      <c r="B683" s="346"/>
      <c r="C683" s="346"/>
      <c r="D683" s="346"/>
      <c r="E683" s="346"/>
      <c r="F683" s="346"/>
      <c r="G683" s="346"/>
      <c r="H683" s="346"/>
      <c r="I683" s="346"/>
      <c r="J683" s="346"/>
      <c r="K683" s="346"/>
      <c r="L683" s="346"/>
      <c r="M683" s="346"/>
      <c r="N683" s="346"/>
      <c r="O683">
        <f t="shared" si="82"/>
        <v>0</v>
      </c>
      <c r="P683" s="351" t="e">
        <f t="shared" si="83"/>
        <v>#DIV/0!</v>
      </c>
    </row>
    <row r="684" spans="1:16">
      <c r="A684" s="165">
        <f>'Conveyor Downtime (new)'!A697</f>
        <v>0</v>
      </c>
      <c r="O684">
        <f t="shared" si="82"/>
        <v>0</v>
      </c>
      <c r="P684" s="351" t="e">
        <f t="shared" si="83"/>
        <v>#DIV/0!</v>
      </c>
    </row>
    <row r="685" spans="1:16">
      <c r="A685" s="165">
        <f>'Conveyor Downtime (new)'!A698</f>
        <v>0</v>
      </c>
      <c r="B685" s="346"/>
      <c r="C685" s="346"/>
      <c r="D685" s="346"/>
      <c r="E685" s="346"/>
      <c r="F685" s="346"/>
      <c r="G685" s="346"/>
      <c r="H685" s="346"/>
      <c r="I685" s="346"/>
      <c r="J685" s="346"/>
      <c r="K685" s="346"/>
      <c r="L685" s="346"/>
      <c r="M685" s="346"/>
      <c r="N685" s="346"/>
      <c r="O685">
        <f t="shared" si="82"/>
        <v>0</v>
      </c>
      <c r="P685" s="351" t="e">
        <f t="shared" si="83"/>
        <v>#DIV/0!</v>
      </c>
    </row>
    <row r="686" spans="1:16">
      <c r="A686" s="165">
        <f>'Conveyor Downtime (new)'!A699</f>
        <v>0</v>
      </c>
      <c r="O686">
        <f t="shared" si="82"/>
        <v>0</v>
      </c>
      <c r="P686" s="351" t="e">
        <f t="shared" si="83"/>
        <v>#DIV/0!</v>
      </c>
    </row>
    <row r="687" spans="1:16">
      <c r="A687" s="165">
        <f>'Conveyor Downtime (new)'!A700</f>
        <v>0</v>
      </c>
      <c r="B687" s="346"/>
      <c r="C687" s="346"/>
      <c r="D687" s="346"/>
      <c r="E687" s="346"/>
      <c r="F687" s="346"/>
      <c r="G687" s="346"/>
      <c r="H687" s="346"/>
      <c r="I687" s="346"/>
      <c r="J687" s="346"/>
      <c r="K687" s="346"/>
      <c r="L687" s="346"/>
      <c r="M687" s="346"/>
      <c r="N687" s="346"/>
      <c r="O687">
        <f t="shared" si="82"/>
        <v>0</v>
      </c>
      <c r="P687" s="351" t="e">
        <f t="shared" si="83"/>
        <v>#DIV/0!</v>
      </c>
    </row>
    <row r="688" spans="1:16">
      <c r="A688" s="165">
        <f>'Conveyor Downtime (new)'!A701</f>
        <v>0</v>
      </c>
      <c r="O688">
        <f t="shared" si="82"/>
        <v>0</v>
      </c>
      <c r="P688" s="351" t="e">
        <f t="shared" si="83"/>
        <v>#DIV/0!</v>
      </c>
    </row>
    <row r="689" spans="1:16">
      <c r="A689" s="165">
        <f>'Conveyor Downtime (new)'!A702</f>
        <v>0</v>
      </c>
      <c r="B689" s="346"/>
      <c r="C689" s="346"/>
      <c r="D689" s="346"/>
      <c r="E689" s="346"/>
      <c r="F689" s="346"/>
      <c r="G689" s="346"/>
      <c r="H689" s="346"/>
      <c r="I689" s="346"/>
      <c r="J689" s="346"/>
      <c r="K689" s="346"/>
      <c r="L689" s="346"/>
      <c r="M689" s="346"/>
      <c r="N689" s="346"/>
      <c r="O689">
        <f t="shared" si="82"/>
        <v>0</v>
      </c>
      <c r="P689" s="351" t="e">
        <f t="shared" si="83"/>
        <v>#DIV/0!</v>
      </c>
    </row>
    <row r="690" spans="1:16">
      <c r="A690" s="165">
        <f>'Conveyor Downtime (new)'!A703</f>
        <v>0</v>
      </c>
      <c r="O690">
        <f t="shared" si="82"/>
        <v>0</v>
      </c>
      <c r="P690" s="351" t="e">
        <f t="shared" si="83"/>
        <v>#DIV/0!</v>
      </c>
    </row>
    <row r="691" spans="1:16">
      <c r="A691" s="165">
        <f>'Conveyor Downtime (new)'!A704</f>
        <v>0</v>
      </c>
      <c r="B691" s="346"/>
      <c r="C691" s="346"/>
      <c r="D691" s="346"/>
      <c r="E691" s="346"/>
      <c r="F691" s="346"/>
      <c r="G691" s="346"/>
      <c r="H691" s="346"/>
      <c r="I691" s="346"/>
      <c r="J691" s="346"/>
      <c r="K691" s="346"/>
      <c r="L691" s="346"/>
      <c r="M691" s="346"/>
      <c r="N691" s="346"/>
      <c r="O691">
        <f t="shared" si="82"/>
        <v>0</v>
      </c>
      <c r="P691" s="351" t="e">
        <f t="shared" si="83"/>
        <v>#DIV/0!</v>
      </c>
    </row>
    <row r="692" spans="1:16">
      <c r="A692" s="165">
        <f>'Conveyor Downtime (new)'!A705</f>
        <v>0</v>
      </c>
      <c r="O692">
        <f t="shared" si="82"/>
        <v>0</v>
      </c>
      <c r="P692" s="351" t="e">
        <f t="shared" si="83"/>
        <v>#DIV/0!</v>
      </c>
    </row>
    <row r="693" spans="1:16">
      <c r="A693" s="165">
        <f>'Conveyor Downtime (new)'!A706</f>
        <v>0</v>
      </c>
      <c r="B693" s="346"/>
      <c r="C693" s="346"/>
      <c r="D693" s="346"/>
      <c r="E693" s="346"/>
      <c r="F693" s="346"/>
      <c r="G693" s="346"/>
      <c r="H693" s="346"/>
      <c r="I693" s="346"/>
      <c r="J693" s="346"/>
      <c r="K693" s="346"/>
      <c r="L693" s="346"/>
      <c r="M693" s="346"/>
      <c r="N693" s="346"/>
      <c r="O693">
        <f t="shared" si="82"/>
        <v>0</v>
      </c>
      <c r="P693" s="351" t="e">
        <f t="shared" si="83"/>
        <v>#DIV/0!</v>
      </c>
    </row>
    <row r="694" spans="1:16">
      <c r="A694" s="165">
        <f>'Conveyor Downtime (new)'!A707</f>
        <v>0</v>
      </c>
      <c r="O694">
        <f t="shared" si="82"/>
        <v>0</v>
      </c>
      <c r="P694" s="351" t="e">
        <f t="shared" si="83"/>
        <v>#DIV/0!</v>
      </c>
    </row>
    <row r="695" spans="1:16">
      <c r="A695" s="165">
        <f>'Conveyor Downtime (new)'!A708</f>
        <v>0</v>
      </c>
      <c r="B695" s="346"/>
      <c r="C695" s="346"/>
      <c r="D695" s="346"/>
      <c r="E695" s="346"/>
      <c r="F695" s="346"/>
      <c r="G695" s="346"/>
      <c r="H695" s="346"/>
      <c r="I695" s="346"/>
      <c r="J695" s="346"/>
      <c r="K695" s="346"/>
      <c r="L695" s="346"/>
      <c r="M695" s="346"/>
      <c r="N695" s="346"/>
      <c r="O695">
        <f t="shared" si="82"/>
        <v>0</v>
      </c>
      <c r="P695" s="351" t="e">
        <f t="shared" si="83"/>
        <v>#DIV/0!</v>
      </c>
    </row>
    <row r="696" spans="1:16">
      <c r="A696" s="165">
        <f>'Conveyor Downtime (new)'!A709</f>
        <v>0</v>
      </c>
      <c r="O696">
        <f t="shared" si="82"/>
        <v>0</v>
      </c>
      <c r="P696" s="351" t="e">
        <f t="shared" si="83"/>
        <v>#DIV/0!</v>
      </c>
    </row>
    <row r="697" spans="1:16">
      <c r="A697" s="165">
        <f>'Conveyor Downtime (new)'!A710</f>
        <v>0</v>
      </c>
      <c r="B697" s="346"/>
      <c r="C697" s="346"/>
      <c r="D697" s="346"/>
      <c r="E697" s="346"/>
      <c r="F697" s="346"/>
      <c r="G697" s="346"/>
      <c r="H697" s="346"/>
      <c r="I697" s="346"/>
      <c r="J697" s="346"/>
      <c r="K697" s="346"/>
      <c r="L697" s="346"/>
      <c r="M697" s="346"/>
      <c r="N697" s="346"/>
      <c r="O697">
        <f t="shared" ref="O697:O717" si="84">SUM(B697:N697)</f>
        <v>0</v>
      </c>
      <c r="P697" s="351" t="e">
        <f t="shared" si="83"/>
        <v>#DIV/0!</v>
      </c>
    </row>
    <row r="698" spans="1:16">
      <c r="A698" s="165">
        <f>'Conveyor Downtime (new)'!A711</f>
        <v>0</v>
      </c>
      <c r="O698">
        <f t="shared" si="84"/>
        <v>0</v>
      </c>
      <c r="P698" s="351" t="e">
        <f t="shared" si="83"/>
        <v>#DIV/0!</v>
      </c>
    </row>
    <row r="699" spans="1:16">
      <c r="A699" s="165">
        <f>'Conveyor Downtime (new)'!A712</f>
        <v>0</v>
      </c>
      <c r="B699" s="346"/>
      <c r="C699" s="346"/>
      <c r="D699" s="346"/>
      <c r="E699" s="346"/>
      <c r="F699" s="346"/>
      <c r="G699" s="346"/>
      <c r="H699" s="346"/>
      <c r="I699" s="346"/>
      <c r="J699" s="346"/>
      <c r="K699" s="346"/>
      <c r="L699" s="346"/>
      <c r="M699" s="346"/>
      <c r="N699" s="346"/>
      <c r="O699">
        <f t="shared" si="84"/>
        <v>0</v>
      </c>
      <c r="P699" s="351" t="e">
        <f t="shared" si="83"/>
        <v>#DIV/0!</v>
      </c>
    </row>
    <row r="700" spans="1:16">
      <c r="A700" s="165">
        <f>'Conveyor Downtime (new)'!A713</f>
        <v>0</v>
      </c>
      <c r="O700">
        <f t="shared" si="84"/>
        <v>0</v>
      </c>
      <c r="P700" s="351" t="e">
        <f t="shared" si="83"/>
        <v>#DIV/0!</v>
      </c>
    </row>
    <row r="701" spans="1:16">
      <c r="A701" s="165">
        <f>'Conveyor Downtime (new)'!A714</f>
        <v>0</v>
      </c>
      <c r="B701" s="346"/>
      <c r="C701" s="346"/>
      <c r="D701" s="346"/>
      <c r="E701" s="346"/>
      <c r="F701" s="346"/>
      <c r="G701" s="346"/>
      <c r="H701" s="346"/>
      <c r="I701" s="346"/>
      <c r="J701" s="346"/>
      <c r="K701" s="346"/>
      <c r="L701" s="346"/>
      <c r="M701" s="346"/>
      <c r="N701" s="346"/>
      <c r="O701">
        <f t="shared" si="84"/>
        <v>0</v>
      </c>
      <c r="P701" s="351" t="e">
        <f t="shared" si="83"/>
        <v>#DIV/0!</v>
      </c>
    </row>
    <row r="702" spans="1:16">
      <c r="A702" s="165">
        <f>'Conveyor Downtime (new)'!A715</f>
        <v>0</v>
      </c>
      <c r="O702">
        <f t="shared" si="84"/>
        <v>0</v>
      </c>
      <c r="P702" s="351" t="e">
        <f t="shared" si="83"/>
        <v>#DIV/0!</v>
      </c>
    </row>
    <row r="703" spans="1:16">
      <c r="A703" s="165">
        <f>'Conveyor Downtime (new)'!A716</f>
        <v>0</v>
      </c>
      <c r="B703" s="346"/>
      <c r="C703" s="346"/>
      <c r="D703" s="346"/>
      <c r="E703" s="346"/>
      <c r="F703" s="346"/>
      <c r="G703" s="346"/>
      <c r="H703" s="346"/>
      <c r="I703" s="346"/>
      <c r="J703" s="346"/>
      <c r="K703" s="346"/>
      <c r="L703" s="346"/>
      <c r="M703" s="346"/>
      <c r="N703" s="346"/>
      <c r="O703">
        <f t="shared" si="84"/>
        <v>0</v>
      </c>
      <c r="P703" s="351" t="e">
        <f t="shared" si="83"/>
        <v>#DIV/0!</v>
      </c>
    </row>
    <row r="704" spans="1:16">
      <c r="A704" s="165">
        <f>'Conveyor Downtime (new)'!A717</f>
        <v>0</v>
      </c>
      <c r="O704">
        <f t="shared" si="84"/>
        <v>0</v>
      </c>
      <c r="P704" s="351" t="e">
        <f t="shared" ref="P704:P717" si="85">O704/$O$720</f>
        <v>#DIV/0!</v>
      </c>
    </row>
    <row r="705" spans="1:16">
      <c r="A705" s="165">
        <f>'Conveyor Downtime (new)'!A718</f>
        <v>0</v>
      </c>
      <c r="B705" s="346"/>
      <c r="C705" s="346"/>
      <c r="D705" s="346"/>
      <c r="E705" s="346"/>
      <c r="F705" s="346"/>
      <c r="G705" s="346"/>
      <c r="H705" s="346"/>
      <c r="I705" s="346"/>
      <c r="J705" s="346"/>
      <c r="K705" s="346"/>
      <c r="L705" s="346"/>
      <c r="M705" s="346"/>
      <c r="N705" s="346"/>
      <c r="O705">
        <f t="shared" si="84"/>
        <v>0</v>
      </c>
      <c r="P705" s="351" t="e">
        <f t="shared" si="85"/>
        <v>#DIV/0!</v>
      </c>
    </row>
    <row r="706" spans="1:16">
      <c r="A706" s="165">
        <f>'Conveyor Downtime (new)'!A719</f>
        <v>0</v>
      </c>
      <c r="O706">
        <f t="shared" si="84"/>
        <v>0</v>
      </c>
      <c r="P706" s="351" t="e">
        <f t="shared" si="85"/>
        <v>#DIV/0!</v>
      </c>
    </row>
    <row r="707" spans="1:16">
      <c r="A707" s="165">
        <f>'Conveyor Downtime (new)'!A720</f>
        <v>0</v>
      </c>
      <c r="B707" s="346"/>
      <c r="C707" s="346"/>
      <c r="D707" s="346"/>
      <c r="E707" s="346"/>
      <c r="F707" s="346"/>
      <c r="G707" s="346"/>
      <c r="H707" s="346"/>
      <c r="I707" s="346"/>
      <c r="J707" s="346"/>
      <c r="K707" s="346"/>
      <c r="L707" s="346"/>
      <c r="M707" s="346"/>
      <c r="N707" s="346"/>
      <c r="O707">
        <f t="shared" si="84"/>
        <v>0</v>
      </c>
      <c r="P707" s="351" t="e">
        <f t="shared" si="85"/>
        <v>#DIV/0!</v>
      </c>
    </row>
    <row r="708" spans="1:16">
      <c r="A708" s="165">
        <f>'Conveyor Downtime (new)'!A721</f>
        <v>0</v>
      </c>
      <c r="O708">
        <f t="shared" si="84"/>
        <v>0</v>
      </c>
      <c r="P708" s="351" t="e">
        <f t="shared" si="85"/>
        <v>#DIV/0!</v>
      </c>
    </row>
    <row r="709" spans="1:16">
      <c r="A709" s="165">
        <f>'Conveyor Downtime (new)'!A722</f>
        <v>0</v>
      </c>
      <c r="B709" s="346"/>
      <c r="C709" s="346"/>
      <c r="D709" s="346"/>
      <c r="E709" s="346"/>
      <c r="F709" s="346"/>
      <c r="G709" s="346"/>
      <c r="H709" s="346"/>
      <c r="I709" s="346"/>
      <c r="J709" s="346"/>
      <c r="K709" s="346"/>
      <c r="L709" s="346"/>
      <c r="M709" s="346"/>
      <c r="N709" s="346"/>
      <c r="O709">
        <f t="shared" si="84"/>
        <v>0</v>
      </c>
      <c r="P709" s="351" t="e">
        <f t="shared" si="85"/>
        <v>#DIV/0!</v>
      </c>
    </row>
    <row r="710" spans="1:16">
      <c r="A710" s="165">
        <f>'Conveyor Downtime (new)'!A723</f>
        <v>0</v>
      </c>
      <c r="O710">
        <f t="shared" si="84"/>
        <v>0</v>
      </c>
      <c r="P710" s="351" t="e">
        <f t="shared" si="85"/>
        <v>#DIV/0!</v>
      </c>
    </row>
    <row r="711" spans="1:16">
      <c r="A711" s="165">
        <f>'Conveyor Downtime (new)'!A724</f>
        <v>0</v>
      </c>
      <c r="B711" s="346"/>
      <c r="C711" s="346"/>
      <c r="D711" s="346"/>
      <c r="E711" s="346"/>
      <c r="F711" s="346"/>
      <c r="G711" s="346"/>
      <c r="H711" s="346"/>
      <c r="I711" s="346"/>
      <c r="J711" s="346"/>
      <c r="K711" s="346"/>
      <c r="L711" s="346"/>
      <c r="M711" s="346"/>
      <c r="N711" s="346"/>
      <c r="O711">
        <f t="shared" si="84"/>
        <v>0</v>
      </c>
      <c r="P711" s="351" t="e">
        <f t="shared" si="85"/>
        <v>#DIV/0!</v>
      </c>
    </row>
    <row r="712" spans="1:16">
      <c r="A712" s="165">
        <f>'Conveyor Downtime (new)'!A725</f>
        <v>0</v>
      </c>
      <c r="O712">
        <f t="shared" si="84"/>
        <v>0</v>
      </c>
      <c r="P712" s="351" t="e">
        <f t="shared" si="85"/>
        <v>#DIV/0!</v>
      </c>
    </row>
    <row r="713" spans="1:16">
      <c r="A713" s="165">
        <f>'Conveyor Downtime (new)'!A726</f>
        <v>0</v>
      </c>
      <c r="B713" s="346"/>
      <c r="C713" s="346"/>
      <c r="D713" s="346"/>
      <c r="E713" s="346"/>
      <c r="F713" s="346"/>
      <c r="G713" s="346"/>
      <c r="H713" s="346"/>
      <c r="I713" s="346"/>
      <c r="J713" s="346"/>
      <c r="K713" s="346"/>
      <c r="L713" s="346"/>
      <c r="M713" s="346"/>
      <c r="N713" s="346"/>
      <c r="O713">
        <f t="shared" si="84"/>
        <v>0</v>
      </c>
      <c r="P713" s="351" t="e">
        <f t="shared" si="85"/>
        <v>#DIV/0!</v>
      </c>
    </row>
    <row r="714" spans="1:16">
      <c r="A714" s="165">
        <f>'Conveyor Downtime (new)'!A727</f>
        <v>0</v>
      </c>
      <c r="O714">
        <f t="shared" si="84"/>
        <v>0</v>
      </c>
      <c r="P714" s="351" t="e">
        <f t="shared" si="85"/>
        <v>#DIV/0!</v>
      </c>
    </row>
    <row r="715" spans="1:16">
      <c r="A715" s="165">
        <f>'Conveyor Downtime (new)'!A728</f>
        <v>0</v>
      </c>
      <c r="B715" s="346"/>
      <c r="C715" s="346"/>
      <c r="D715" s="346"/>
      <c r="E715" s="346"/>
      <c r="F715" s="346"/>
      <c r="G715" s="346"/>
      <c r="H715" s="346"/>
      <c r="I715" s="346"/>
      <c r="J715" s="346"/>
      <c r="K715" s="346"/>
      <c r="L715" s="346"/>
      <c r="M715" s="346"/>
      <c r="N715" s="346"/>
      <c r="O715">
        <f t="shared" si="84"/>
        <v>0</v>
      </c>
      <c r="P715" s="351" t="e">
        <f t="shared" si="85"/>
        <v>#DIV/0!</v>
      </c>
    </row>
    <row r="716" spans="1:16">
      <c r="A716" s="165"/>
      <c r="O716">
        <f t="shared" si="84"/>
        <v>0</v>
      </c>
      <c r="P716" s="351" t="e">
        <f t="shared" si="85"/>
        <v>#DIV/0!</v>
      </c>
    </row>
    <row r="717" spans="1:16">
      <c r="A717" s="165"/>
      <c r="B717" s="346"/>
      <c r="C717" s="346"/>
      <c r="D717" s="346"/>
      <c r="E717" s="346"/>
      <c r="F717" s="346"/>
      <c r="G717" s="346"/>
      <c r="H717" s="346"/>
      <c r="I717" s="346"/>
      <c r="J717" s="346"/>
      <c r="K717" s="346"/>
      <c r="L717" s="346"/>
      <c r="M717" s="346"/>
      <c r="N717" s="346"/>
      <c r="O717">
        <f t="shared" si="84"/>
        <v>0</v>
      </c>
      <c r="P717" s="351" t="e">
        <f t="shared" si="85"/>
        <v>#DIV/0!</v>
      </c>
    </row>
    <row r="718" spans="1:16">
      <c r="A718" s="165"/>
      <c r="P718" s="351"/>
    </row>
    <row r="719" spans="1:16" ht="13.5" thickBot="1">
      <c r="A719" s="165"/>
      <c r="B719" s="346"/>
      <c r="C719" s="346"/>
      <c r="D719" s="346"/>
      <c r="E719" s="346"/>
      <c r="F719" s="346"/>
      <c r="G719" s="346"/>
      <c r="H719" s="346"/>
      <c r="I719" s="346"/>
      <c r="J719" s="346"/>
      <c r="K719" s="346"/>
      <c r="L719" s="346"/>
      <c r="M719" s="346"/>
      <c r="N719" s="346"/>
      <c r="P719" s="351"/>
    </row>
    <row r="720" spans="1:16" ht="15">
      <c r="A720" s="654" t="s">
        <v>246</v>
      </c>
      <c r="B720" s="347">
        <f>SUM(B665:B719)</f>
        <v>0</v>
      </c>
      <c r="C720" s="347">
        <f t="shared" ref="C720:O720" si="86">SUM(C665:C719)</f>
        <v>0</v>
      </c>
      <c r="D720" s="347">
        <f t="shared" si="86"/>
        <v>0</v>
      </c>
      <c r="E720" s="347">
        <f t="shared" si="86"/>
        <v>0</v>
      </c>
      <c r="F720" s="347">
        <f t="shared" si="86"/>
        <v>0</v>
      </c>
      <c r="G720" s="347">
        <f t="shared" si="86"/>
        <v>0</v>
      </c>
      <c r="H720" s="347">
        <f t="shared" si="86"/>
        <v>0</v>
      </c>
      <c r="I720" s="347">
        <f t="shared" si="86"/>
        <v>0</v>
      </c>
      <c r="J720" s="347">
        <f t="shared" si="86"/>
        <v>0</v>
      </c>
      <c r="K720" s="347">
        <f t="shared" si="86"/>
        <v>0</v>
      </c>
      <c r="L720" s="347">
        <f t="shared" si="86"/>
        <v>0</v>
      </c>
      <c r="M720" s="347">
        <f t="shared" si="86"/>
        <v>0</v>
      </c>
      <c r="N720" s="347">
        <f t="shared" si="86"/>
        <v>0</v>
      </c>
      <c r="O720" s="347">
        <f t="shared" si="86"/>
        <v>0</v>
      </c>
    </row>
    <row r="721" spans="1:15" ht="15.75" thickBot="1">
      <c r="A721" s="655"/>
      <c r="B721" s="348" t="e">
        <f t="shared" ref="B721:N721" si="87">B720/$O720</f>
        <v>#DIV/0!</v>
      </c>
      <c r="C721" s="348" t="e">
        <f t="shared" si="87"/>
        <v>#DIV/0!</v>
      </c>
      <c r="D721" s="348" t="e">
        <f t="shared" si="87"/>
        <v>#DIV/0!</v>
      </c>
      <c r="E721" s="348" t="e">
        <f t="shared" si="87"/>
        <v>#DIV/0!</v>
      </c>
      <c r="F721" s="348" t="e">
        <f t="shared" si="87"/>
        <v>#DIV/0!</v>
      </c>
      <c r="G721" s="348" t="e">
        <f t="shared" si="87"/>
        <v>#DIV/0!</v>
      </c>
      <c r="H721" s="348" t="e">
        <f t="shared" si="87"/>
        <v>#DIV/0!</v>
      </c>
      <c r="I721" s="348" t="e">
        <f t="shared" si="87"/>
        <v>#DIV/0!</v>
      </c>
      <c r="J721" s="348" t="e">
        <f t="shared" si="87"/>
        <v>#DIV/0!</v>
      </c>
      <c r="K721" s="348" t="e">
        <f t="shared" si="87"/>
        <v>#DIV/0!</v>
      </c>
      <c r="L721" s="348" t="e">
        <f t="shared" si="87"/>
        <v>#DIV/0!</v>
      </c>
      <c r="M721" s="348" t="e">
        <f t="shared" si="87"/>
        <v>#DIV/0!</v>
      </c>
      <c r="N721" s="348" t="e">
        <f t="shared" si="87"/>
        <v>#DIV/0!</v>
      </c>
    </row>
    <row r="722" spans="1:15" ht="13.5" thickBot="1"/>
    <row r="723" spans="1:15" s="184" customFormat="1" ht="15">
      <c r="A723" s="650" t="s">
        <v>246</v>
      </c>
      <c r="B723" s="519">
        <f t="shared" ref="B723:O723" si="88">SUM(B720,B660,B602,B542,B483,B425,B366,B303,B243,B183,B121,B67)</f>
        <v>1447</v>
      </c>
      <c r="C723" s="519">
        <f t="shared" si="88"/>
        <v>48</v>
      </c>
      <c r="D723" s="519">
        <f t="shared" si="88"/>
        <v>26</v>
      </c>
      <c r="E723" s="519">
        <f t="shared" si="88"/>
        <v>0</v>
      </c>
      <c r="F723" s="519">
        <f t="shared" si="88"/>
        <v>4</v>
      </c>
      <c r="G723" s="519">
        <f t="shared" si="88"/>
        <v>0</v>
      </c>
      <c r="H723" s="519">
        <f t="shared" si="88"/>
        <v>0</v>
      </c>
      <c r="I723" s="519">
        <f t="shared" si="88"/>
        <v>0</v>
      </c>
      <c r="J723" s="519">
        <f t="shared" si="88"/>
        <v>57</v>
      </c>
      <c r="K723" s="519">
        <f t="shared" si="88"/>
        <v>0</v>
      </c>
      <c r="L723" s="519">
        <f t="shared" si="88"/>
        <v>0</v>
      </c>
      <c r="M723" s="519">
        <f t="shared" si="88"/>
        <v>0</v>
      </c>
      <c r="N723" s="519">
        <f t="shared" si="88"/>
        <v>0</v>
      </c>
      <c r="O723" s="519">
        <f t="shared" si="88"/>
        <v>1582</v>
      </c>
    </row>
    <row r="724" spans="1:15" s="184" customFormat="1" ht="15.75" thickBot="1">
      <c r="A724" s="651"/>
      <c r="B724" s="521">
        <f t="shared" ref="B724:N724" si="89">B723/$O723</f>
        <v>0.91466498103666249</v>
      </c>
      <c r="C724" s="521">
        <f t="shared" si="89"/>
        <v>3.0341340075853349E-2</v>
      </c>
      <c r="D724" s="521">
        <f t="shared" si="89"/>
        <v>1.643489254108723E-2</v>
      </c>
      <c r="E724" s="521">
        <f t="shared" si="89"/>
        <v>0</v>
      </c>
      <c r="F724" s="521">
        <f t="shared" si="89"/>
        <v>2.5284450063211127E-3</v>
      </c>
      <c r="G724" s="521">
        <f t="shared" si="89"/>
        <v>0</v>
      </c>
      <c r="H724" s="521">
        <f t="shared" si="89"/>
        <v>0</v>
      </c>
      <c r="I724" s="521">
        <f t="shared" si="89"/>
        <v>0</v>
      </c>
      <c r="J724" s="521">
        <f t="shared" si="89"/>
        <v>3.6030341340075857E-2</v>
      </c>
      <c r="K724" s="521">
        <f t="shared" si="89"/>
        <v>0</v>
      </c>
      <c r="L724" s="521">
        <f t="shared" si="89"/>
        <v>0</v>
      </c>
      <c r="M724" s="521">
        <f t="shared" si="89"/>
        <v>0</v>
      </c>
      <c r="N724" s="521">
        <f t="shared" si="89"/>
        <v>0</v>
      </c>
    </row>
  </sheetData>
  <mergeCells count="12">
    <mergeCell ref="A723:A724"/>
    <mergeCell ref="A121:A122"/>
    <mergeCell ref="A183:A184"/>
    <mergeCell ref="A243:A244"/>
    <mergeCell ref="A303:A304"/>
    <mergeCell ref="A366:A367"/>
    <mergeCell ref="A720:A721"/>
    <mergeCell ref="A425:A426"/>
    <mergeCell ref="A483:A484"/>
    <mergeCell ref="A542:A543"/>
    <mergeCell ref="A602:A603"/>
    <mergeCell ref="A660:A661"/>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6">
    <tabColor rgb="FF92D050"/>
  </sheetPr>
  <dimension ref="A3:AO696"/>
  <sheetViews>
    <sheetView topLeftCell="A2" zoomScaleNormal="100" workbookViewId="0">
      <pane xSplit="1" ySplit="3" topLeftCell="I510" activePane="bottomRight" state="frozen"/>
      <selection pane="topRight"/>
      <selection pane="bottomLeft"/>
      <selection pane="bottomRight" activeCell="A516" sqref="A516:XFD516"/>
    </sheetView>
  </sheetViews>
  <sheetFormatPr defaultColWidth="9" defaultRowHeight="12.75"/>
  <cols>
    <col min="1" max="2" width="10.5703125" customWidth="1"/>
    <col min="3" max="3" width="9.42578125" customWidth="1"/>
    <col min="4" max="5" width="17" customWidth="1"/>
    <col min="6" max="9" width="13.5703125" customWidth="1"/>
    <col min="10" max="14" width="9.42578125" customWidth="1"/>
    <col min="15" max="15" width="10.5703125" customWidth="1"/>
    <col min="16" max="16" width="10.85546875" customWidth="1"/>
    <col min="17" max="17" width="10.42578125" customWidth="1"/>
    <col min="18" max="21" width="11" customWidth="1"/>
    <col min="22" max="22" width="14.42578125" customWidth="1"/>
    <col min="23" max="23" width="8.5703125" customWidth="1"/>
    <col min="24" max="25" width="10" customWidth="1"/>
    <col min="26" max="27" width="10.42578125" customWidth="1"/>
    <col min="28" max="28" width="11.5703125" customWidth="1"/>
    <col min="29" max="30" width="12.42578125" customWidth="1"/>
    <col min="31" max="38" width="10.5703125" customWidth="1"/>
    <col min="39" max="39" width="14.42578125" customWidth="1"/>
    <col min="41" max="41" width="9.5703125" style="351" bestFit="1" customWidth="1"/>
  </cols>
  <sheetData>
    <row r="3" spans="1:41" ht="15">
      <c r="B3" s="279" t="s">
        <v>284</v>
      </c>
      <c r="C3" s="279"/>
      <c r="D3" s="279"/>
      <c r="E3" s="279"/>
      <c r="F3" s="279"/>
      <c r="G3" s="279"/>
      <c r="H3" s="279"/>
      <c r="I3" s="279"/>
      <c r="J3" s="279"/>
      <c r="K3" s="279"/>
      <c r="L3" s="279"/>
      <c r="M3" s="279"/>
      <c r="N3" s="279"/>
      <c r="O3" s="279"/>
      <c r="P3" s="279"/>
      <c r="Q3" s="279"/>
      <c r="R3" s="279"/>
      <c r="S3" s="279"/>
      <c r="T3" s="279"/>
      <c r="U3" s="279"/>
      <c r="V3" s="279"/>
      <c r="W3" s="279"/>
      <c r="X3" s="279"/>
      <c r="Y3" s="279"/>
      <c r="Z3" s="279"/>
      <c r="AA3" s="279"/>
      <c r="AB3" s="279"/>
      <c r="AC3" s="279"/>
      <c r="AD3" s="279"/>
      <c r="AE3" s="279"/>
      <c r="AF3" s="279"/>
      <c r="AG3" s="279"/>
      <c r="AH3" s="279"/>
      <c r="AI3" s="279"/>
      <c r="AJ3" s="279"/>
      <c r="AK3" s="279"/>
      <c r="AL3" s="279"/>
      <c r="AM3" s="279"/>
    </row>
    <row r="4" spans="1:41" ht="45.75" customHeight="1">
      <c r="A4" s="279" t="s">
        <v>81</v>
      </c>
      <c r="B4" s="349" t="s">
        <v>285</v>
      </c>
      <c r="C4" s="349" t="s">
        <v>286</v>
      </c>
      <c r="D4" s="344" t="s">
        <v>287</v>
      </c>
      <c r="E4" s="344" t="s">
        <v>288</v>
      </c>
      <c r="F4" s="349" t="s">
        <v>289</v>
      </c>
      <c r="G4" s="349" t="s">
        <v>290</v>
      </c>
      <c r="H4" s="349" t="s">
        <v>291</v>
      </c>
      <c r="I4" s="344" t="s">
        <v>292</v>
      </c>
      <c r="J4" s="344" t="s">
        <v>293</v>
      </c>
      <c r="K4" s="380" t="s">
        <v>294</v>
      </c>
      <c r="L4" s="373" t="s">
        <v>295</v>
      </c>
      <c r="M4" s="373" t="s">
        <v>296</v>
      </c>
      <c r="N4" s="373" t="s">
        <v>297</v>
      </c>
      <c r="O4" s="380" t="s">
        <v>298</v>
      </c>
      <c r="P4" s="380" t="s">
        <v>299</v>
      </c>
      <c r="Q4" s="344" t="s">
        <v>300</v>
      </c>
      <c r="R4" s="344" t="s">
        <v>301</v>
      </c>
      <c r="S4" s="344" t="s">
        <v>146</v>
      </c>
      <c r="T4" s="344" t="s">
        <v>255</v>
      </c>
      <c r="U4" s="344" t="s">
        <v>200</v>
      </c>
      <c r="V4" s="344" t="s">
        <v>302</v>
      </c>
      <c r="W4" s="344" t="s">
        <v>222</v>
      </c>
      <c r="X4" s="344" t="s">
        <v>303</v>
      </c>
      <c r="Y4" s="344" t="s">
        <v>304</v>
      </c>
      <c r="Z4" s="396" t="s">
        <v>305</v>
      </c>
      <c r="AA4" s="344" t="s">
        <v>306</v>
      </c>
      <c r="AB4" s="344" t="s">
        <v>192</v>
      </c>
      <c r="AC4" s="344" t="s">
        <v>307</v>
      </c>
      <c r="AD4" s="344" t="s">
        <v>308</v>
      </c>
      <c r="AE4" s="349" t="s">
        <v>309</v>
      </c>
      <c r="AF4" s="349" t="s">
        <v>310</v>
      </c>
      <c r="AG4" s="381" t="s">
        <v>311</v>
      </c>
      <c r="AH4" s="381" t="s">
        <v>140</v>
      </c>
      <c r="AI4" s="381" t="s">
        <v>312</v>
      </c>
      <c r="AJ4" s="344" t="s">
        <v>313</v>
      </c>
      <c r="AK4" s="344" t="s">
        <v>248</v>
      </c>
      <c r="AL4" s="344" t="s">
        <v>314</v>
      </c>
      <c r="AM4" s="382" t="s">
        <v>315</v>
      </c>
    </row>
    <row r="5" spans="1:41" s="378" customFormat="1" ht="26.25">
      <c r="A5" s="379">
        <v>2026</v>
      </c>
      <c r="AO5" s="383"/>
    </row>
    <row r="6" spans="1:41">
      <c r="A6" s="165">
        <f>'Conveyor Downtime (new)'!A6</f>
        <v>46024</v>
      </c>
      <c r="AN6">
        <f>SUM(B6:AM6)</f>
        <v>0</v>
      </c>
      <c r="AO6" s="351">
        <f t="shared" ref="AO6:AO50" si="0">AN6/$AN$67</f>
        <v>0</v>
      </c>
    </row>
    <row r="7" spans="1:41">
      <c r="A7" s="165">
        <f>'Conveyor Downtime (new)'!A7</f>
        <v>46027</v>
      </c>
      <c r="B7" s="346"/>
      <c r="C7" s="346"/>
      <c r="D7" s="346"/>
      <c r="E7" s="346"/>
      <c r="F7" s="346"/>
      <c r="G7" s="346"/>
      <c r="H7" s="346"/>
      <c r="I7" s="346"/>
      <c r="J7" s="346"/>
      <c r="K7" s="346"/>
      <c r="L7" s="346"/>
      <c r="M7" s="346"/>
      <c r="N7" s="346"/>
      <c r="O7" s="346"/>
      <c r="P7" s="346"/>
      <c r="Q7" s="346"/>
      <c r="R7" s="346"/>
      <c r="S7" s="346"/>
      <c r="T7" s="346"/>
      <c r="U7" s="346"/>
      <c r="V7" s="346"/>
      <c r="W7" s="346"/>
      <c r="X7" s="346"/>
      <c r="Y7" s="346"/>
      <c r="Z7" s="346"/>
      <c r="AA7" s="346"/>
      <c r="AB7" s="346"/>
      <c r="AC7" s="346"/>
      <c r="AD7" s="346"/>
      <c r="AE7" s="346"/>
      <c r="AF7" s="346"/>
      <c r="AG7" s="346"/>
      <c r="AH7" s="346"/>
      <c r="AI7" s="346"/>
      <c r="AJ7" s="346"/>
      <c r="AK7" s="346"/>
      <c r="AL7" s="346"/>
      <c r="AM7" s="346"/>
      <c r="AN7">
        <f t="shared" ref="AN7:AN43" si="1">SUM(B7:AM7)</f>
        <v>0</v>
      </c>
      <c r="AO7" s="351">
        <f t="shared" si="0"/>
        <v>0</v>
      </c>
    </row>
    <row r="8" spans="1:41">
      <c r="A8" s="165">
        <f>'Conveyor Downtime (new)'!A8</f>
        <v>46028</v>
      </c>
      <c r="AN8">
        <f t="shared" si="1"/>
        <v>0</v>
      </c>
      <c r="AO8" s="351">
        <f t="shared" si="0"/>
        <v>0</v>
      </c>
    </row>
    <row r="9" spans="1:41">
      <c r="A9" s="165">
        <f>'Conveyor Downtime (new)'!A9</f>
        <v>46029</v>
      </c>
      <c r="B9" s="346"/>
      <c r="C9" s="346"/>
      <c r="D9" s="346"/>
      <c r="E9" s="346"/>
      <c r="F9" s="346"/>
      <c r="G9" s="346"/>
      <c r="H9" s="346"/>
      <c r="I9" s="346"/>
      <c r="J9" s="346"/>
      <c r="K9" s="346"/>
      <c r="L9" s="346"/>
      <c r="M9" s="346"/>
      <c r="N9" s="346"/>
      <c r="O9" s="346"/>
      <c r="P9" s="346"/>
      <c r="Q9" s="346"/>
      <c r="R9" s="346"/>
      <c r="S9" s="346"/>
      <c r="T9" s="346"/>
      <c r="U9" s="346"/>
      <c r="V9" s="346"/>
      <c r="W9" s="346"/>
      <c r="X9" s="346"/>
      <c r="Y9" s="346"/>
      <c r="Z9" s="346"/>
      <c r="AA9" s="346"/>
      <c r="AB9" s="346"/>
      <c r="AC9" s="346"/>
      <c r="AD9" s="346"/>
      <c r="AE9" s="346"/>
      <c r="AF9" s="346"/>
      <c r="AG9" s="346"/>
      <c r="AH9" s="346"/>
      <c r="AI9" s="346"/>
      <c r="AJ9" s="346"/>
      <c r="AK9" s="346"/>
      <c r="AL9" s="346"/>
      <c r="AM9" s="346"/>
      <c r="AN9">
        <f t="shared" si="1"/>
        <v>0</v>
      </c>
      <c r="AO9" s="351">
        <f t="shared" si="0"/>
        <v>0</v>
      </c>
    </row>
    <row r="10" spans="1:41">
      <c r="A10" s="165">
        <f>'Conveyor Downtime (new)'!A10</f>
        <v>46030</v>
      </c>
      <c r="F10">
        <f>7</f>
        <v>7</v>
      </c>
      <c r="AN10">
        <f t="shared" si="1"/>
        <v>7</v>
      </c>
      <c r="AO10" s="351">
        <f t="shared" si="0"/>
        <v>3.4313725490196081E-2</v>
      </c>
    </row>
    <row r="11" spans="1:41">
      <c r="A11" s="165">
        <f>'Conveyor Downtime (new)'!A11</f>
        <v>46031</v>
      </c>
      <c r="B11" s="346">
        <f>3+5</f>
        <v>8</v>
      </c>
      <c r="C11" s="346"/>
      <c r="D11" s="346"/>
      <c r="E11" s="346"/>
      <c r="F11" s="346"/>
      <c r="G11" s="346"/>
      <c r="H11" s="346"/>
      <c r="I11" s="346"/>
      <c r="J11" s="346"/>
      <c r="K11" s="346"/>
      <c r="L11" s="346"/>
      <c r="M11" s="346"/>
      <c r="N11" s="346"/>
      <c r="O11" s="346"/>
      <c r="P11" s="346"/>
      <c r="Q11" s="346"/>
      <c r="R11" s="346"/>
      <c r="S11" s="346"/>
      <c r="T11" s="346"/>
      <c r="U11" s="346"/>
      <c r="V11" s="346"/>
      <c r="W11" s="346"/>
      <c r="X11" s="346"/>
      <c r="Y11" s="346"/>
      <c r="Z11" s="346"/>
      <c r="AA11" s="346"/>
      <c r="AB11" s="346"/>
      <c r="AC11" s="346"/>
      <c r="AD11" s="346"/>
      <c r="AE11" s="346"/>
      <c r="AF11" s="346"/>
      <c r="AG11" s="346"/>
      <c r="AH11" s="346"/>
      <c r="AI11" s="346"/>
      <c r="AJ11" s="346"/>
      <c r="AK11" s="346"/>
      <c r="AL11" s="346"/>
      <c r="AM11" s="346">
        <f>11</f>
        <v>11</v>
      </c>
      <c r="AN11">
        <f t="shared" si="1"/>
        <v>19</v>
      </c>
      <c r="AO11" s="351">
        <f t="shared" si="0"/>
        <v>9.3137254901960786E-2</v>
      </c>
    </row>
    <row r="12" spans="1:41">
      <c r="A12" s="165">
        <f>'Conveyor Downtime (new)'!A12</f>
        <v>46031</v>
      </c>
      <c r="AM12">
        <f>7+18+2</f>
        <v>27</v>
      </c>
      <c r="AN12">
        <f t="shared" si="1"/>
        <v>27</v>
      </c>
      <c r="AO12" s="351">
        <f t="shared" si="0"/>
        <v>0.13235294117647059</v>
      </c>
    </row>
    <row r="13" spans="1:41">
      <c r="A13" s="165">
        <f>'Conveyor Downtime (new)'!A13</f>
        <v>46032</v>
      </c>
      <c r="B13" s="346"/>
      <c r="C13" s="346"/>
      <c r="D13" s="346"/>
      <c r="E13" s="346"/>
      <c r="F13" s="346"/>
      <c r="G13" s="346"/>
      <c r="H13" s="346"/>
      <c r="I13" s="346"/>
      <c r="J13" s="346"/>
      <c r="K13" s="346"/>
      <c r="L13" s="346"/>
      <c r="M13" s="346"/>
      <c r="N13" s="346"/>
      <c r="O13" s="346"/>
      <c r="P13" s="346"/>
      <c r="Q13" s="346"/>
      <c r="R13" s="346"/>
      <c r="S13" s="346"/>
      <c r="T13" s="346"/>
      <c r="U13" s="346"/>
      <c r="V13" s="346"/>
      <c r="W13" s="346"/>
      <c r="X13" s="346"/>
      <c r="Y13" s="346"/>
      <c r="Z13" s="346"/>
      <c r="AA13" s="346"/>
      <c r="AB13" s="346"/>
      <c r="AC13" s="346"/>
      <c r="AD13" s="346"/>
      <c r="AE13" s="346"/>
      <c r="AF13" s="346"/>
      <c r="AG13" s="346"/>
      <c r="AH13" s="346"/>
      <c r="AI13" s="346"/>
      <c r="AJ13" s="346"/>
      <c r="AK13" s="346"/>
      <c r="AL13" s="346"/>
      <c r="AM13" s="346"/>
      <c r="AN13">
        <f t="shared" si="1"/>
        <v>0</v>
      </c>
      <c r="AO13" s="351">
        <f t="shared" si="0"/>
        <v>0</v>
      </c>
    </row>
    <row r="14" spans="1:41">
      <c r="A14" s="165">
        <f>'Conveyor Downtime (new)'!A14</f>
        <v>46034</v>
      </c>
      <c r="AN14">
        <f t="shared" si="1"/>
        <v>0</v>
      </c>
      <c r="AO14" s="351">
        <f t="shared" si="0"/>
        <v>0</v>
      </c>
    </row>
    <row r="15" spans="1:41">
      <c r="A15" s="165">
        <f>'Conveyor Downtime (new)'!A15</f>
        <v>46034</v>
      </c>
      <c r="B15" s="346"/>
      <c r="C15" s="346"/>
      <c r="D15" s="346"/>
      <c r="E15" s="346"/>
      <c r="F15" s="346"/>
      <c r="G15" s="346"/>
      <c r="H15" s="346"/>
      <c r="I15" s="346"/>
      <c r="J15" s="346"/>
      <c r="K15" s="346"/>
      <c r="L15" s="346"/>
      <c r="M15" s="346"/>
      <c r="N15" s="346"/>
      <c r="O15" s="346"/>
      <c r="P15" s="346"/>
      <c r="Q15" s="346"/>
      <c r="R15" s="346"/>
      <c r="S15" s="346"/>
      <c r="T15" s="346"/>
      <c r="U15" s="346"/>
      <c r="V15" s="346"/>
      <c r="W15" s="346"/>
      <c r="X15" s="346"/>
      <c r="Y15" s="346"/>
      <c r="Z15" s="346"/>
      <c r="AA15" s="346"/>
      <c r="AB15" s="346"/>
      <c r="AC15" s="346"/>
      <c r="AD15" s="346"/>
      <c r="AE15" s="346"/>
      <c r="AF15" s="346"/>
      <c r="AG15" s="346"/>
      <c r="AH15" s="346"/>
      <c r="AI15" s="346"/>
      <c r="AJ15" s="346"/>
      <c r="AK15" s="346"/>
      <c r="AL15" s="346"/>
      <c r="AM15" s="346"/>
      <c r="AN15">
        <f t="shared" si="1"/>
        <v>0</v>
      </c>
      <c r="AO15" s="351">
        <f t="shared" si="0"/>
        <v>0</v>
      </c>
    </row>
    <row r="16" spans="1:41">
      <c r="A16" s="165">
        <f>'Conveyor Downtime (new)'!A16</f>
        <v>46034</v>
      </c>
      <c r="F16">
        <f>6</f>
        <v>6</v>
      </c>
      <c r="AN16">
        <f t="shared" si="1"/>
        <v>6</v>
      </c>
      <c r="AO16" s="351">
        <f t="shared" si="0"/>
        <v>2.9411764705882353E-2</v>
      </c>
    </row>
    <row r="17" spans="1:41">
      <c r="A17" s="165">
        <f>'Conveyor Downtime (new)'!A17</f>
        <v>46035</v>
      </c>
      <c r="B17" s="346"/>
      <c r="C17" s="346"/>
      <c r="D17" s="346"/>
      <c r="E17" s="346"/>
      <c r="F17" s="346"/>
      <c r="G17" s="346"/>
      <c r="H17" s="346"/>
      <c r="I17" s="346"/>
      <c r="J17" s="346"/>
      <c r="K17" s="346"/>
      <c r="L17" s="346"/>
      <c r="M17" s="346"/>
      <c r="N17" s="346"/>
      <c r="O17" s="346"/>
      <c r="P17" s="346"/>
      <c r="Q17" s="346"/>
      <c r="R17" s="346"/>
      <c r="S17" s="346"/>
      <c r="T17" s="346"/>
      <c r="U17" s="346"/>
      <c r="V17" s="346"/>
      <c r="W17" s="346"/>
      <c r="X17" s="346"/>
      <c r="Y17" s="346"/>
      <c r="Z17" s="346"/>
      <c r="AA17" s="346"/>
      <c r="AB17" s="346"/>
      <c r="AC17" s="346"/>
      <c r="AD17" s="346"/>
      <c r="AE17" s="346"/>
      <c r="AF17" s="346"/>
      <c r="AG17" s="346"/>
      <c r="AH17" s="346"/>
      <c r="AI17" s="346"/>
      <c r="AJ17" s="346"/>
      <c r="AK17" s="346"/>
      <c r="AL17" s="346"/>
      <c r="AM17" s="346"/>
      <c r="AN17">
        <f t="shared" si="1"/>
        <v>0</v>
      </c>
      <c r="AO17" s="351">
        <f t="shared" si="0"/>
        <v>0</v>
      </c>
    </row>
    <row r="18" spans="1:41">
      <c r="A18" s="165">
        <f>'Conveyor Downtime (new)'!A18</f>
        <v>46035</v>
      </c>
      <c r="B18">
        <v>5</v>
      </c>
      <c r="M18">
        <f>30+18</f>
        <v>48</v>
      </c>
      <c r="AN18">
        <f t="shared" si="1"/>
        <v>53</v>
      </c>
      <c r="AO18" s="351">
        <f t="shared" si="0"/>
        <v>0.25980392156862747</v>
      </c>
    </row>
    <row r="19" spans="1:41">
      <c r="A19" s="165">
        <f>'Conveyor Downtime (new)'!A19</f>
        <v>46036</v>
      </c>
      <c r="B19" s="346"/>
      <c r="C19" s="346"/>
      <c r="D19" s="346"/>
      <c r="E19" s="346"/>
      <c r="F19" s="346"/>
      <c r="G19" s="346"/>
      <c r="H19" s="346"/>
      <c r="I19" s="346"/>
      <c r="J19" s="346"/>
      <c r="K19" s="346"/>
      <c r="L19" s="346"/>
      <c r="M19" s="346"/>
      <c r="N19" s="346"/>
      <c r="O19" s="346"/>
      <c r="P19" s="346"/>
      <c r="Q19" s="346"/>
      <c r="R19" s="346"/>
      <c r="S19" s="346"/>
      <c r="T19" s="346"/>
      <c r="U19" s="346"/>
      <c r="V19" s="346"/>
      <c r="W19" s="346"/>
      <c r="X19" s="346"/>
      <c r="Y19" s="346"/>
      <c r="Z19" s="346"/>
      <c r="AA19" s="346"/>
      <c r="AB19" s="346"/>
      <c r="AC19" s="346"/>
      <c r="AD19" s="346"/>
      <c r="AE19" s="346"/>
      <c r="AF19" s="346"/>
      <c r="AG19" s="346"/>
      <c r="AH19" s="346"/>
      <c r="AI19" s="346"/>
      <c r="AJ19" s="346"/>
      <c r="AK19" s="346"/>
      <c r="AL19" s="346"/>
      <c r="AM19" s="346"/>
      <c r="AN19">
        <f t="shared" si="1"/>
        <v>0</v>
      </c>
      <c r="AO19" s="351">
        <f t="shared" si="0"/>
        <v>0</v>
      </c>
    </row>
    <row r="20" spans="1:41">
      <c r="A20" s="165">
        <f>'Conveyor Downtime (new)'!A20</f>
        <v>46036</v>
      </c>
      <c r="B20">
        <f>2+2+4</f>
        <v>8</v>
      </c>
      <c r="F20">
        <f>3</f>
        <v>3</v>
      </c>
      <c r="AN20">
        <f t="shared" si="1"/>
        <v>11</v>
      </c>
      <c r="AO20" s="351">
        <f t="shared" si="0"/>
        <v>5.3921568627450983E-2</v>
      </c>
    </row>
    <row r="21" spans="1:41">
      <c r="A21" s="165">
        <f>'Conveyor Downtime (new)'!A21</f>
        <v>46037</v>
      </c>
      <c r="B21" s="346"/>
      <c r="C21" s="346"/>
      <c r="D21" s="346"/>
      <c r="E21" s="346"/>
      <c r="F21" s="346"/>
      <c r="G21" s="346"/>
      <c r="H21" s="346"/>
      <c r="I21" s="346"/>
      <c r="J21" s="346"/>
      <c r="K21" s="346"/>
      <c r="L21" s="346"/>
      <c r="M21" s="346"/>
      <c r="N21" s="346"/>
      <c r="O21" s="346"/>
      <c r="P21" s="346"/>
      <c r="Q21" s="346"/>
      <c r="R21" s="346"/>
      <c r="S21" s="346"/>
      <c r="T21" s="346"/>
      <c r="U21" s="346"/>
      <c r="V21" s="346"/>
      <c r="W21" s="346"/>
      <c r="X21" s="346"/>
      <c r="Y21" s="346"/>
      <c r="Z21" s="346"/>
      <c r="AA21" s="346"/>
      <c r="AB21" s="346"/>
      <c r="AC21" s="346"/>
      <c r="AD21" s="346"/>
      <c r="AE21" s="346"/>
      <c r="AF21" s="346"/>
      <c r="AG21" s="346"/>
      <c r="AH21" s="346"/>
      <c r="AI21" s="346"/>
      <c r="AJ21" s="346"/>
      <c r="AK21" s="346"/>
      <c r="AL21" s="346"/>
      <c r="AM21" s="346"/>
      <c r="AN21">
        <f t="shared" si="1"/>
        <v>0</v>
      </c>
      <c r="AO21" s="351">
        <f t="shared" si="0"/>
        <v>0</v>
      </c>
    </row>
    <row r="22" spans="1:41">
      <c r="A22" s="165">
        <f>'Conveyor Downtime (new)'!A22</f>
        <v>46037</v>
      </c>
      <c r="AN22">
        <f t="shared" si="1"/>
        <v>0</v>
      </c>
      <c r="AO22" s="351">
        <f t="shared" si="0"/>
        <v>0</v>
      </c>
    </row>
    <row r="23" spans="1:41">
      <c r="A23" s="165">
        <f>'Conveyor Downtime (new)'!A23</f>
        <v>46038</v>
      </c>
      <c r="B23" s="346"/>
      <c r="C23" s="346"/>
      <c r="D23" s="346"/>
      <c r="E23" s="346"/>
      <c r="F23" s="346">
        <f>8</f>
        <v>8</v>
      </c>
      <c r="G23" s="346"/>
      <c r="H23" s="346"/>
      <c r="I23" s="346"/>
      <c r="J23" s="346"/>
      <c r="K23" s="346"/>
      <c r="L23" s="346"/>
      <c r="M23" s="346"/>
      <c r="N23" s="346"/>
      <c r="O23" s="346"/>
      <c r="P23" s="346"/>
      <c r="Q23" s="346"/>
      <c r="R23" s="346"/>
      <c r="S23" s="346"/>
      <c r="T23" s="346"/>
      <c r="U23" s="346"/>
      <c r="V23" s="346"/>
      <c r="W23" s="346"/>
      <c r="X23" s="346"/>
      <c r="Y23" s="346"/>
      <c r="Z23" s="346"/>
      <c r="AA23" s="346"/>
      <c r="AB23" s="346"/>
      <c r="AC23" s="346"/>
      <c r="AD23" s="346"/>
      <c r="AE23" s="346"/>
      <c r="AF23" s="346"/>
      <c r="AG23" s="346"/>
      <c r="AH23" s="346"/>
      <c r="AI23" s="346"/>
      <c r="AJ23" s="346"/>
      <c r="AK23" s="346"/>
      <c r="AL23" s="346"/>
      <c r="AM23" s="346"/>
      <c r="AN23">
        <f t="shared" si="1"/>
        <v>8</v>
      </c>
      <c r="AO23" s="351">
        <f t="shared" si="0"/>
        <v>3.9215686274509803E-2</v>
      </c>
    </row>
    <row r="24" spans="1:41">
      <c r="A24" s="165">
        <f>'Conveyor Downtime (new)'!A24</f>
        <v>46038</v>
      </c>
      <c r="M24">
        <f>11</f>
        <v>11</v>
      </c>
      <c r="AL24">
        <v>5</v>
      </c>
      <c r="AN24">
        <f t="shared" si="1"/>
        <v>16</v>
      </c>
      <c r="AO24" s="351">
        <f t="shared" si="0"/>
        <v>7.8431372549019607E-2</v>
      </c>
    </row>
    <row r="25" spans="1:41">
      <c r="A25" s="165">
        <f>'Conveyor Downtime (new)'!A25</f>
        <v>46041</v>
      </c>
      <c r="B25" s="346">
        <f>5</f>
        <v>5</v>
      </c>
      <c r="C25" s="346"/>
      <c r="D25" s="346"/>
      <c r="E25" s="346"/>
      <c r="F25" s="346"/>
      <c r="G25" s="346"/>
      <c r="H25" s="346"/>
      <c r="I25" s="346"/>
      <c r="J25" s="346"/>
      <c r="K25" s="346"/>
      <c r="L25" s="346"/>
      <c r="M25" s="346"/>
      <c r="N25" s="346"/>
      <c r="O25" s="346"/>
      <c r="P25" s="346"/>
      <c r="Q25" s="346"/>
      <c r="R25" s="346"/>
      <c r="S25" s="346"/>
      <c r="T25" s="346"/>
      <c r="U25" s="346"/>
      <c r="V25" s="346"/>
      <c r="W25" s="346"/>
      <c r="X25" s="346"/>
      <c r="Y25" s="346"/>
      <c r="Z25" s="346"/>
      <c r="AA25" s="346"/>
      <c r="AB25" s="346"/>
      <c r="AC25" s="346"/>
      <c r="AD25" s="346"/>
      <c r="AE25" s="346"/>
      <c r="AF25" s="346"/>
      <c r="AG25" s="346"/>
      <c r="AH25" s="346"/>
      <c r="AI25" s="346"/>
      <c r="AJ25" s="346"/>
      <c r="AK25" s="346"/>
      <c r="AL25" s="346"/>
      <c r="AM25" s="346"/>
      <c r="AN25">
        <f t="shared" si="1"/>
        <v>5</v>
      </c>
      <c r="AO25" s="351">
        <f t="shared" si="0"/>
        <v>2.4509803921568627E-2</v>
      </c>
    </row>
    <row r="26" spans="1:41">
      <c r="A26" s="165">
        <f>'Conveyor Downtime (new)'!A26</f>
        <v>46041</v>
      </c>
      <c r="B26">
        <f>3</f>
        <v>3</v>
      </c>
      <c r="F26">
        <f>6</f>
        <v>6</v>
      </c>
      <c r="AN26">
        <f t="shared" si="1"/>
        <v>9</v>
      </c>
      <c r="AO26" s="351">
        <f t="shared" si="0"/>
        <v>4.4117647058823532E-2</v>
      </c>
    </row>
    <row r="27" spans="1:41">
      <c r="A27" s="165">
        <f>'Conveyor Downtime (new)'!A27</f>
        <v>46042</v>
      </c>
      <c r="B27" s="346">
        <f>3</f>
        <v>3</v>
      </c>
      <c r="C27" s="346"/>
      <c r="D27" s="346"/>
      <c r="E27" s="346"/>
      <c r="F27" s="346"/>
      <c r="G27" s="346"/>
      <c r="H27" s="346"/>
      <c r="I27" s="346"/>
      <c r="J27" s="346"/>
      <c r="K27" s="346"/>
      <c r="L27" s="346"/>
      <c r="M27" s="346"/>
      <c r="N27" s="346"/>
      <c r="O27" s="346"/>
      <c r="P27" s="346"/>
      <c r="Q27" s="346"/>
      <c r="R27" s="346"/>
      <c r="S27" s="346"/>
      <c r="T27" s="346"/>
      <c r="U27" s="346"/>
      <c r="V27" s="346"/>
      <c r="W27" s="346"/>
      <c r="X27" s="346"/>
      <c r="Y27" s="346"/>
      <c r="Z27" s="346"/>
      <c r="AA27" s="346"/>
      <c r="AB27" s="346"/>
      <c r="AC27" s="346"/>
      <c r="AD27" s="346"/>
      <c r="AE27" s="346"/>
      <c r="AF27" s="346"/>
      <c r="AG27" s="346"/>
      <c r="AH27" s="346"/>
      <c r="AI27" s="346"/>
      <c r="AJ27" s="346"/>
      <c r="AK27" s="346"/>
      <c r="AL27" s="346"/>
      <c r="AM27" s="346"/>
      <c r="AN27">
        <f t="shared" si="1"/>
        <v>3</v>
      </c>
      <c r="AO27" s="351">
        <f t="shared" si="0"/>
        <v>1.4705882352941176E-2</v>
      </c>
    </row>
    <row r="28" spans="1:41">
      <c r="A28" s="165">
        <f>'Conveyor Downtime (new)'!A28</f>
        <v>46042</v>
      </c>
      <c r="C28">
        <f>3+14</f>
        <v>17</v>
      </c>
      <c r="AN28">
        <f t="shared" si="1"/>
        <v>17</v>
      </c>
      <c r="AO28" s="351">
        <f t="shared" si="0"/>
        <v>8.3333333333333329E-2</v>
      </c>
    </row>
    <row r="29" spans="1:41">
      <c r="A29" s="165">
        <f>'Conveyor Downtime (new)'!A29</f>
        <v>46043</v>
      </c>
      <c r="B29" s="346"/>
      <c r="C29" s="346"/>
      <c r="D29" s="346"/>
      <c r="E29" s="346"/>
      <c r="F29" s="346"/>
      <c r="G29" s="346"/>
      <c r="H29" s="346"/>
      <c r="I29" s="346"/>
      <c r="J29" s="346"/>
      <c r="K29" s="346"/>
      <c r="L29" s="346"/>
      <c r="M29" s="346"/>
      <c r="N29" s="346"/>
      <c r="O29" s="346"/>
      <c r="P29" s="346"/>
      <c r="Q29" s="346"/>
      <c r="R29" s="346"/>
      <c r="S29" s="346"/>
      <c r="T29" s="346"/>
      <c r="U29" s="346"/>
      <c r="V29" s="346"/>
      <c r="W29" s="346"/>
      <c r="X29" s="346"/>
      <c r="Y29" s="346"/>
      <c r="Z29" s="346"/>
      <c r="AA29" s="346"/>
      <c r="AB29" s="346"/>
      <c r="AC29" s="346"/>
      <c r="AD29" s="346"/>
      <c r="AE29" s="346"/>
      <c r="AF29" s="346"/>
      <c r="AG29" s="346"/>
      <c r="AH29" s="346"/>
      <c r="AI29" s="346"/>
      <c r="AJ29" s="346"/>
      <c r="AK29" s="346"/>
      <c r="AL29" s="346"/>
      <c r="AM29" s="346"/>
      <c r="AN29">
        <f t="shared" si="1"/>
        <v>0</v>
      </c>
      <c r="AO29" s="351">
        <f t="shared" si="0"/>
        <v>0</v>
      </c>
    </row>
    <row r="30" spans="1:41">
      <c r="A30" s="165">
        <f>'Conveyor Downtime (new)'!A30</f>
        <v>46043</v>
      </c>
      <c r="AN30">
        <f t="shared" si="1"/>
        <v>0</v>
      </c>
      <c r="AO30" s="351">
        <f t="shared" si="0"/>
        <v>0</v>
      </c>
    </row>
    <row r="31" spans="1:41">
      <c r="A31" s="165">
        <f>'Conveyor Downtime (new)'!A31</f>
        <v>46043</v>
      </c>
      <c r="B31" s="346"/>
      <c r="C31" s="346"/>
      <c r="D31" s="346"/>
      <c r="E31" s="346"/>
      <c r="F31" s="346"/>
      <c r="G31" s="346"/>
      <c r="H31" s="346"/>
      <c r="I31" s="346"/>
      <c r="J31" s="346"/>
      <c r="K31" s="346"/>
      <c r="L31" s="346"/>
      <c r="M31" s="346"/>
      <c r="N31" s="346"/>
      <c r="O31" s="346"/>
      <c r="P31" s="346"/>
      <c r="Q31" s="346"/>
      <c r="R31" s="346"/>
      <c r="S31" s="346"/>
      <c r="T31" s="346"/>
      <c r="U31" s="346"/>
      <c r="V31" s="346"/>
      <c r="W31" s="346"/>
      <c r="X31" s="346"/>
      <c r="Y31" s="346"/>
      <c r="Z31" s="346"/>
      <c r="AA31" s="346"/>
      <c r="AB31" s="346"/>
      <c r="AC31" s="346"/>
      <c r="AD31" s="346"/>
      <c r="AE31" s="346"/>
      <c r="AF31" s="346"/>
      <c r="AG31" s="346"/>
      <c r="AH31" s="346"/>
      <c r="AI31" s="346"/>
      <c r="AJ31" s="346"/>
      <c r="AK31" s="346"/>
      <c r="AL31" s="346"/>
      <c r="AM31" s="346"/>
      <c r="AN31">
        <f t="shared" si="1"/>
        <v>0</v>
      </c>
      <c r="AO31" s="351">
        <f t="shared" si="0"/>
        <v>0</v>
      </c>
    </row>
    <row r="32" spans="1:41">
      <c r="A32" s="165">
        <f>'Conveyor Downtime (new)'!A32</f>
        <v>46043</v>
      </c>
      <c r="AN32">
        <f t="shared" si="1"/>
        <v>0</v>
      </c>
      <c r="AO32" s="351">
        <f t="shared" si="0"/>
        <v>0</v>
      </c>
    </row>
    <row r="33" spans="1:41" ht="9.6" customHeight="1">
      <c r="A33" s="165">
        <f>'Conveyor Downtime (new)'!A33</f>
        <v>46044</v>
      </c>
      <c r="B33" s="346"/>
      <c r="C33" s="346"/>
      <c r="D33" s="346"/>
      <c r="E33" s="346"/>
      <c r="F33" s="346"/>
      <c r="G33" s="346"/>
      <c r="H33" s="346"/>
      <c r="I33" s="346"/>
      <c r="J33" s="346"/>
      <c r="K33" s="346"/>
      <c r="L33" s="346"/>
      <c r="M33" s="346"/>
      <c r="N33" s="346"/>
      <c r="O33" s="346"/>
      <c r="P33" s="346"/>
      <c r="Q33" s="346"/>
      <c r="R33" s="346"/>
      <c r="S33" s="346"/>
      <c r="T33" s="346"/>
      <c r="U33" s="346"/>
      <c r="V33" s="346"/>
      <c r="W33" s="346"/>
      <c r="X33" s="346"/>
      <c r="Y33" s="346"/>
      <c r="Z33" s="346"/>
      <c r="AA33" s="346"/>
      <c r="AB33" s="346"/>
      <c r="AC33" s="346"/>
      <c r="AD33" s="346"/>
      <c r="AE33" s="346"/>
      <c r="AF33" s="346"/>
      <c r="AG33" s="346"/>
      <c r="AH33" s="346"/>
      <c r="AI33" s="346"/>
      <c r="AJ33" s="346"/>
      <c r="AK33" s="346"/>
      <c r="AL33" s="346"/>
      <c r="AM33" s="346"/>
      <c r="AN33">
        <f t="shared" si="1"/>
        <v>0</v>
      </c>
      <c r="AO33" s="351">
        <f t="shared" si="0"/>
        <v>0</v>
      </c>
    </row>
    <row r="34" spans="1:41">
      <c r="A34" s="165">
        <f>'Conveyor Downtime (new)'!A34</f>
        <v>46045</v>
      </c>
      <c r="AN34">
        <f t="shared" si="1"/>
        <v>0</v>
      </c>
      <c r="AO34" s="351">
        <f t="shared" si="0"/>
        <v>0</v>
      </c>
    </row>
    <row r="35" spans="1:41">
      <c r="A35" s="165">
        <f>'Conveyor Downtime (new)'!A35</f>
        <v>46045</v>
      </c>
      <c r="B35" s="346"/>
      <c r="C35" s="346"/>
      <c r="D35" s="346"/>
      <c r="E35" s="346"/>
      <c r="F35" s="346"/>
      <c r="G35" s="346"/>
      <c r="H35" s="346"/>
      <c r="I35" s="346"/>
      <c r="J35" s="346"/>
      <c r="K35" s="346"/>
      <c r="L35" s="346"/>
      <c r="M35" s="346"/>
      <c r="N35" s="346"/>
      <c r="O35" s="346"/>
      <c r="P35" s="346"/>
      <c r="Q35" s="346"/>
      <c r="R35" s="346"/>
      <c r="S35" s="346"/>
      <c r="T35" s="346"/>
      <c r="U35" s="346"/>
      <c r="V35" s="346"/>
      <c r="W35" s="346"/>
      <c r="X35" s="346"/>
      <c r="Y35" s="346"/>
      <c r="Z35" s="346"/>
      <c r="AA35" s="346"/>
      <c r="AB35" s="346"/>
      <c r="AC35" s="346"/>
      <c r="AD35" s="346"/>
      <c r="AE35" s="346"/>
      <c r="AF35" s="346"/>
      <c r="AG35" s="346"/>
      <c r="AH35" s="346"/>
      <c r="AI35" s="346"/>
      <c r="AJ35" s="346"/>
      <c r="AK35" s="346"/>
      <c r="AL35" s="346"/>
      <c r="AM35" s="346"/>
      <c r="AN35">
        <f t="shared" si="1"/>
        <v>0</v>
      </c>
      <c r="AO35" s="351">
        <f t="shared" si="0"/>
        <v>0</v>
      </c>
    </row>
    <row r="36" spans="1:41">
      <c r="A36" s="165">
        <f>'Conveyor Downtime (new)'!A36</f>
        <v>46045</v>
      </c>
      <c r="AN36">
        <f t="shared" si="1"/>
        <v>0</v>
      </c>
      <c r="AO36" s="351">
        <f t="shared" si="0"/>
        <v>0</v>
      </c>
    </row>
    <row r="37" spans="1:41">
      <c r="A37" s="165">
        <f>'Conveyor Downtime (new)'!A37</f>
        <v>46045</v>
      </c>
      <c r="B37" s="346"/>
      <c r="C37" s="346"/>
      <c r="D37" s="346"/>
      <c r="E37" s="346"/>
      <c r="F37" s="346"/>
      <c r="G37" s="346"/>
      <c r="H37" s="346"/>
      <c r="I37" s="346"/>
      <c r="J37" s="346"/>
      <c r="K37" s="346"/>
      <c r="L37" s="346"/>
      <c r="M37" s="346"/>
      <c r="N37" s="346"/>
      <c r="O37" s="346"/>
      <c r="P37" s="346"/>
      <c r="Q37" s="346"/>
      <c r="R37" s="346"/>
      <c r="S37" s="346"/>
      <c r="T37" s="346"/>
      <c r="U37" s="346"/>
      <c r="V37" s="346"/>
      <c r="W37" s="346"/>
      <c r="X37" s="346"/>
      <c r="Y37" s="346"/>
      <c r="Z37" s="346"/>
      <c r="AA37" s="346"/>
      <c r="AB37" s="346"/>
      <c r="AC37" s="346"/>
      <c r="AD37" s="346"/>
      <c r="AE37" s="346"/>
      <c r="AF37" s="346"/>
      <c r="AG37" s="346"/>
      <c r="AH37" s="346"/>
      <c r="AI37" s="346"/>
      <c r="AJ37" s="346"/>
      <c r="AK37" s="346"/>
      <c r="AL37" s="346"/>
      <c r="AM37" s="346"/>
      <c r="AN37">
        <f t="shared" si="1"/>
        <v>0</v>
      </c>
      <c r="AO37" s="351">
        <f t="shared" si="0"/>
        <v>0</v>
      </c>
    </row>
    <row r="38" spans="1:41">
      <c r="A38" s="165">
        <f>'Conveyor Downtime (new)'!A38</f>
        <v>46048</v>
      </c>
      <c r="AN38">
        <f t="shared" si="1"/>
        <v>0</v>
      </c>
      <c r="AO38" s="351">
        <f t="shared" si="0"/>
        <v>0</v>
      </c>
    </row>
    <row r="39" spans="1:41">
      <c r="A39" s="165">
        <f>'Conveyor Downtime (new)'!A39</f>
        <v>46048</v>
      </c>
      <c r="B39" s="346"/>
      <c r="C39" s="346"/>
      <c r="D39" s="346"/>
      <c r="E39" s="346"/>
      <c r="F39" s="346"/>
      <c r="G39" s="346"/>
      <c r="H39" s="346"/>
      <c r="I39" s="346"/>
      <c r="J39" s="346"/>
      <c r="K39" s="346"/>
      <c r="L39" s="346"/>
      <c r="M39" s="346"/>
      <c r="N39" s="346"/>
      <c r="O39" s="346"/>
      <c r="P39" s="346"/>
      <c r="Q39" s="346"/>
      <c r="R39" s="346"/>
      <c r="S39" s="346"/>
      <c r="T39" s="346"/>
      <c r="U39" s="346"/>
      <c r="V39" s="346"/>
      <c r="W39" s="346"/>
      <c r="X39" s="346"/>
      <c r="Y39" s="346"/>
      <c r="Z39" s="346"/>
      <c r="AA39" s="346"/>
      <c r="AB39" s="346"/>
      <c r="AC39" s="346"/>
      <c r="AD39" s="346"/>
      <c r="AE39" s="346"/>
      <c r="AF39" s="346"/>
      <c r="AG39" s="346"/>
      <c r="AH39" s="346"/>
      <c r="AI39" s="346"/>
      <c r="AJ39" s="346"/>
      <c r="AK39" s="346"/>
      <c r="AL39" s="346"/>
      <c r="AM39" s="346"/>
      <c r="AN39">
        <f t="shared" si="1"/>
        <v>0</v>
      </c>
      <c r="AO39" s="351">
        <f t="shared" si="0"/>
        <v>0</v>
      </c>
    </row>
    <row r="40" spans="1:41">
      <c r="A40" s="165">
        <f>'Conveyor Downtime (new)'!A40</f>
        <v>46049</v>
      </c>
      <c r="B40">
        <f>4</f>
        <v>4</v>
      </c>
      <c r="R40">
        <f>5</f>
        <v>5</v>
      </c>
      <c r="AL40">
        <f>5</f>
        <v>5</v>
      </c>
      <c r="AN40">
        <f t="shared" si="1"/>
        <v>14</v>
      </c>
      <c r="AO40" s="351">
        <f t="shared" si="0"/>
        <v>6.8627450980392163E-2</v>
      </c>
    </row>
    <row r="41" spans="1:41">
      <c r="A41" s="165">
        <f>'Conveyor Downtime (new)'!A41</f>
        <v>46049</v>
      </c>
      <c r="B41" s="346"/>
      <c r="C41" s="346"/>
      <c r="D41" s="346"/>
      <c r="E41" s="346"/>
      <c r="F41" s="346"/>
      <c r="G41" s="346"/>
      <c r="H41" s="346"/>
      <c r="I41" s="346"/>
      <c r="J41" s="346"/>
      <c r="K41" s="346"/>
      <c r="L41" s="346"/>
      <c r="M41" s="346"/>
      <c r="N41" s="346"/>
      <c r="O41" s="346"/>
      <c r="P41" s="346"/>
      <c r="Q41" s="346"/>
      <c r="R41" s="346"/>
      <c r="S41" s="346"/>
      <c r="T41" s="346"/>
      <c r="U41" s="346"/>
      <c r="V41" s="346"/>
      <c r="W41" s="346"/>
      <c r="X41" s="346"/>
      <c r="Y41" s="346"/>
      <c r="Z41" s="346"/>
      <c r="AA41" s="346"/>
      <c r="AB41" s="346"/>
      <c r="AC41" s="346"/>
      <c r="AD41" s="346"/>
      <c r="AE41" s="346"/>
      <c r="AF41" s="346"/>
      <c r="AG41" s="346"/>
      <c r="AH41" s="346"/>
      <c r="AI41" s="346"/>
      <c r="AJ41" s="346"/>
      <c r="AK41" s="346"/>
      <c r="AL41" s="346"/>
      <c r="AM41" s="346"/>
      <c r="AN41">
        <f t="shared" si="1"/>
        <v>0</v>
      </c>
      <c r="AO41" s="351">
        <f t="shared" si="0"/>
        <v>0</v>
      </c>
    </row>
    <row r="42" spans="1:41">
      <c r="A42" s="165">
        <f>'Conveyor Downtime (new)'!A42</f>
        <v>46050</v>
      </c>
      <c r="AN42">
        <f t="shared" si="1"/>
        <v>0</v>
      </c>
      <c r="AO42" s="351">
        <f t="shared" si="0"/>
        <v>0</v>
      </c>
    </row>
    <row r="43" spans="1:41">
      <c r="A43" s="165">
        <f>'Conveyor Downtime (new)'!A43</f>
        <v>46050</v>
      </c>
      <c r="B43" s="346"/>
      <c r="C43" s="346"/>
      <c r="D43" s="346">
        <f>3</f>
        <v>3</v>
      </c>
      <c r="E43" s="346"/>
      <c r="F43" s="346"/>
      <c r="G43" s="346"/>
      <c r="H43" s="346"/>
      <c r="I43" s="346"/>
      <c r="J43" s="346"/>
      <c r="K43" s="346"/>
      <c r="L43" s="346"/>
      <c r="M43" s="346"/>
      <c r="N43" s="346"/>
      <c r="O43" s="346"/>
      <c r="P43" s="346"/>
      <c r="Q43" s="346"/>
      <c r="R43" s="346"/>
      <c r="S43" s="346"/>
      <c r="T43" s="346"/>
      <c r="U43" s="346"/>
      <c r="V43" s="346"/>
      <c r="W43" s="346"/>
      <c r="X43" s="346"/>
      <c r="Y43" s="346"/>
      <c r="Z43" s="346"/>
      <c r="AA43" s="346"/>
      <c r="AB43" s="346"/>
      <c r="AC43" s="346"/>
      <c r="AD43" s="346"/>
      <c r="AE43" s="346"/>
      <c r="AF43" s="346"/>
      <c r="AG43" s="346"/>
      <c r="AH43" s="346"/>
      <c r="AI43" s="346"/>
      <c r="AJ43" s="346"/>
      <c r="AK43" s="346"/>
      <c r="AL43" s="346"/>
      <c r="AM43" s="346"/>
      <c r="AN43">
        <f t="shared" si="1"/>
        <v>3</v>
      </c>
      <c r="AO43" s="351">
        <f t="shared" si="0"/>
        <v>1.4705882352941176E-2</v>
      </c>
    </row>
    <row r="44" spans="1:41">
      <c r="A44" s="165">
        <f>'Conveyor Downtime (new)'!A44</f>
        <v>46050</v>
      </c>
      <c r="AN44">
        <f t="shared" ref="AN44:AN66" si="2">SUM(B44:AM44)</f>
        <v>0</v>
      </c>
      <c r="AO44" s="351">
        <f t="shared" si="0"/>
        <v>0</v>
      </c>
    </row>
    <row r="45" spans="1:41">
      <c r="A45" s="165">
        <f>'Conveyor Downtime (new)'!A45</f>
        <v>46051</v>
      </c>
      <c r="B45" s="346"/>
      <c r="C45" s="346"/>
      <c r="D45" s="346"/>
      <c r="E45" s="346"/>
      <c r="F45" s="346"/>
      <c r="G45" s="346"/>
      <c r="H45" s="346"/>
      <c r="I45" s="346"/>
      <c r="J45" s="346"/>
      <c r="K45" s="346"/>
      <c r="L45" s="346"/>
      <c r="M45" s="346"/>
      <c r="N45" s="346"/>
      <c r="O45" s="346"/>
      <c r="P45" s="346"/>
      <c r="Q45" s="346"/>
      <c r="R45" s="346"/>
      <c r="S45" s="346"/>
      <c r="T45" s="346"/>
      <c r="U45" s="346"/>
      <c r="V45" s="346"/>
      <c r="W45" s="346"/>
      <c r="X45" s="346"/>
      <c r="Y45" s="346"/>
      <c r="Z45" s="346"/>
      <c r="AA45" s="346"/>
      <c r="AB45" s="346"/>
      <c r="AC45" s="346"/>
      <c r="AD45" s="346"/>
      <c r="AE45" s="346"/>
      <c r="AF45" s="346"/>
      <c r="AG45" s="346"/>
      <c r="AH45" s="346"/>
      <c r="AI45" s="346"/>
      <c r="AJ45" s="346"/>
      <c r="AK45" s="346"/>
      <c r="AL45" s="346"/>
      <c r="AM45" s="346"/>
      <c r="AN45">
        <f t="shared" si="2"/>
        <v>0</v>
      </c>
      <c r="AO45" s="351">
        <f t="shared" si="0"/>
        <v>0</v>
      </c>
    </row>
    <row r="46" spans="1:41">
      <c r="A46" s="165">
        <f>'Conveyor Downtime (new)'!A46</f>
        <v>46051</v>
      </c>
      <c r="AN46">
        <f t="shared" si="2"/>
        <v>0</v>
      </c>
      <c r="AO46" s="351">
        <f t="shared" si="0"/>
        <v>0</v>
      </c>
    </row>
    <row r="47" spans="1:41">
      <c r="A47" s="165">
        <f>'Conveyor Downtime (new)'!A47</f>
        <v>46051</v>
      </c>
      <c r="B47" s="346"/>
      <c r="C47" s="346"/>
      <c r="D47" s="346"/>
      <c r="E47" s="346"/>
      <c r="F47" s="346"/>
      <c r="G47" s="346"/>
      <c r="H47" s="346"/>
      <c r="I47" s="346"/>
      <c r="J47" s="346"/>
      <c r="K47" s="346"/>
      <c r="L47" s="346"/>
      <c r="M47" s="346"/>
      <c r="N47" s="346"/>
      <c r="O47" s="346"/>
      <c r="P47" s="346"/>
      <c r="Q47" s="346"/>
      <c r="R47" s="346"/>
      <c r="S47" s="346"/>
      <c r="T47" s="346"/>
      <c r="U47" s="346"/>
      <c r="V47" s="346"/>
      <c r="W47" s="77"/>
      <c r="X47" s="346"/>
      <c r="Y47" s="346"/>
      <c r="Z47" s="346"/>
      <c r="AA47" s="346"/>
      <c r="AB47" s="346"/>
      <c r="AC47" s="346"/>
      <c r="AD47" s="346"/>
      <c r="AE47" s="346"/>
      <c r="AF47" s="346"/>
      <c r="AG47" s="346"/>
      <c r="AH47" s="346"/>
      <c r="AI47" s="346"/>
      <c r="AJ47" s="346"/>
      <c r="AK47" s="346"/>
      <c r="AL47" s="346"/>
      <c r="AM47" s="346"/>
      <c r="AN47">
        <f t="shared" si="2"/>
        <v>0</v>
      </c>
      <c r="AO47" s="351">
        <f t="shared" si="0"/>
        <v>0</v>
      </c>
    </row>
    <row r="48" spans="1:41">
      <c r="A48" s="165">
        <f>'Conveyor Downtime (new)'!A48</f>
        <v>46051</v>
      </c>
      <c r="C48">
        <f>3</f>
        <v>3</v>
      </c>
      <c r="AN48">
        <f t="shared" si="2"/>
        <v>3</v>
      </c>
      <c r="AO48" s="351">
        <f t="shared" si="0"/>
        <v>1.4705882352941176E-2</v>
      </c>
    </row>
    <row r="49" spans="1:41">
      <c r="A49" s="165">
        <f>'Conveyor Downtime (new)'!A49</f>
        <v>46052</v>
      </c>
      <c r="B49" s="346"/>
      <c r="C49" s="346"/>
      <c r="D49" s="346">
        <v>3</v>
      </c>
      <c r="E49" s="346"/>
      <c r="F49" s="346"/>
      <c r="G49" s="346"/>
      <c r="H49" s="346"/>
      <c r="I49" s="346"/>
      <c r="J49" s="346"/>
      <c r="K49" s="346"/>
      <c r="L49" s="346"/>
      <c r="M49" s="346"/>
      <c r="N49" s="346"/>
      <c r="O49" s="346"/>
      <c r="P49" s="346"/>
      <c r="Q49" s="346"/>
      <c r="R49" s="346"/>
      <c r="S49" s="346"/>
      <c r="T49" s="346"/>
      <c r="U49" s="346"/>
      <c r="V49" s="346"/>
      <c r="W49" s="346"/>
      <c r="X49" s="346"/>
      <c r="Y49" s="346"/>
      <c r="Z49" s="346"/>
      <c r="AA49" s="346"/>
      <c r="AB49" s="346"/>
      <c r="AC49" s="346"/>
      <c r="AD49" s="346"/>
      <c r="AE49" s="346"/>
      <c r="AF49" s="346"/>
      <c r="AG49" s="346"/>
      <c r="AH49" s="346"/>
      <c r="AI49" s="346"/>
      <c r="AJ49" s="346"/>
      <c r="AK49" s="346"/>
      <c r="AL49" s="346"/>
      <c r="AM49" s="346"/>
      <c r="AN49">
        <f t="shared" si="2"/>
        <v>3</v>
      </c>
      <c r="AO49" s="351">
        <f t="shared" si="0"/>
        <v>1.4705882352941176E-2</v>
      </c>
    </row>
    <row r="50" spans="1:41">
      <c r="A50" s="165">
        <f>'Conveyor Downtime (new)'!A50</f>
        <v>46052</v>
      </c>
      <c r="AN50">
        <f t="shared" si="2"/>
        <v>0</v>
      </c>
      <c r="AO50" s="351">
        <f t="shared" si="0"/>
        <v>0</v>
      </c>
    </row>
    <row r="51" spans="1:41">
      <c r="A51" s="165">
        <f>'Conveyor Downtime (new)'!A51</f>
        <v>0</v>
      </c>
      <c r="B51" s="346"/>
      <c r="C51" s="346"/>
      <c r="D51" s="346"/>
      <c r="E51" s="346"/>
      <c r="F51" s="346"/>
      <c r="G51" s="346"/>
      <c r="H51" s="346"/>
      <c r="I51" s="346"/>
      <c r="J51" s="346"/>
      <c r="K51" s="346"/>
      <c r="L51" s="346"/>
      <c r="M51" s="346"/>
      <c r="N51" s="346"/>
      <c r="O51" s="346"/>
      <c r="P51" s="346"/>
      <c r="Q51" s="346"/>
      <c r="R51" s="346"/>
      <c r="S51" s="346"/>
      <c r="T51" s="346"/>
      <c r="U51" s="346"/>
      <c r="V51" s="346"/>
      <c r="W51" s="346"/>
      <c r="X51" s="346"/>
      <c r="Y51" s="346"/>
      <c r="Z51" s="346"/>
      <c r="AA51" s="346"/>
      <c r="AB51" s="346"/>
      <c r="AC51" s="346"/>
      <c r="AD51" s="346"/>
      <c r="AE51" s="346"/>
      <c r="AF51" s="346"/>
      <c r="AG51" s="346"/>
      <c r="AH51" s="346"/>
      <c r="AI51" s="346"/>
      <c r="AJ51" s="346"/>
      <c r="AK51" s="346"/>
      <c r="AL51" s="346"/>
      <c r="AM51" s="346"/>
      <c r="AN51">
        <f t="shared" si="2"/>
        <v>0</v>
      </c>
      <c r="AO51" s="351">
        <f t="shared" ref="AO51:AO66" si="3">AN51/$AN$67</f>
        <v>0</v>
      </c>
    </row>
    <row r="52" spans="1:41">
      <c r="A52" s="165">
        <f>'Conveyor Downtime (new)'!A52</f>
        <v>0</v>
      </c>
      <c r="AN52">
        <f t="shared" si="2"/>
        <v>0</v>
      </c>
      <c r="AO52" s="351">
        <f t="shared" si="3"/>
        <v>0</v>
      </c>
    </row>
    <row r="53" spans="1:41">
      <c r="A53" s="165">
        <f>'Conveyor Downtime (new)'!A53</f>
        <v>0</v>
      </c>
      <c r="B53" s="346"/>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f t="shared" si="2"/>
        <v>0</v>
      </c>
      <c r="AO53" s="351">
        <f t="shared" si="3"/>
        <v>0</v>
      </c>
    </row>
    <row r="54" spans="1:41">
      <c r="A54" s="165">
        <f>'Conveyor Downtime (new)'!A54</f>
        <v>0</v>
      </c>
      <c r="AN54">
        <f t="shared" si="2"/>
        <v>0</v>
      </c>
      <c r="AO54" s="351">
        <f t="shared" si="3"/>
        <v>0</v>
      </c>
    </row>
    <row r="55" spans="1:41">
      <c r="A55" s="165">
        <f>'Conveyor Downtime (new)'!A55</f>
        <v>0</v>
      </c>
      <c r="B55" s="346"/>
      <c r="C55" s="346"/>
      <c r="D55" s="346"/>
      <c r="E55" s="346"/>
      <c r="F55" s="346"/>
      <c r="G55" s="346"/>
      <c r="H55" s="346"/>
      <c r="I55" s="346"/>
      <c r="J55" s="346"/>
      <c r="K55" s="346"/>
      <c r="L55" s="346"/>
      <c r="M55" s="346"/>
      <c r="N55" s="346"/>
      <c r="O55" s="346"/>
      <c r="P55" s="346"/>
      <c r="Q55" s="346"/>
      <c r="R55" s="346"/>
      <c r="S55" s="346"/>
      <c r="T55" s="346"/>
      <c r="U55" s="346"/>
      <c r="V55" s="346"/>
      <c r="W55" s="346"/>
      <c r="X55" s="346"/>
      <c r="Y55" s="346"/>
      <c r="Z55" s="346"/>
      <c r="AA55" s="346"/>
      <c r="AB55" s="346"/>
      <c r="AC55" s="346"/>
      <c r="AD55" s="346"/>
      <c r="AE55" s="346"/>
      <c r="AF55" s="346"/>
      <c r="AG55" s="346"/>
      <c r="AH55" s="346"/>
      <c r="AI55" s="346"/>
      <c r="AJ55" s="346"/>
      <c r="AK55" s="346"/>
      <c r="AL55" s="346"/>
      <c r="AM55" s="346"/>
      <c r="AN55">
        <f t="shared" si="2"/>
        <v>0</v>
      </c>
      <c r="AO55" s="351">
        <f t="shared" si="3"/>
        <v>0</v>
      </c>
    </row>
    <row r="56" spans="1:41">
      <c r="A56" s="165">
        <f>'Conveyor Downtime (new)'!A56</f>
        <v>0</v>
      </c>
      <c r="AN56">
        <f t="shared" si="2"/>
        <v>0</v>
      </c>
      <c r="AO56" s="351">
        <f t="shared" si="3"/>
        <v>0</v>
      </c>
    </row>
    <row r="57" spans="1:41">
      <c r="A57" s="165">
        <f>'Conveyor Downtime (new)'!A57</f>
        <v>0</v>
      </c>
      <c r="B57" s="346"/>
      <c r="C57" s="346"/>
      <c r="D57" s="346"/>
      <c r="E57" s="346"/>
      <c r="F57" s="346"/>
      <c r="G57" s="346"/>
      <c r="H57" s="346"/>
      <c r="I57" s="346"/>
      <c r="J57" s="346"/>
      <c r="K57" s="346"/>
      <c r="L57" s="346"/>
      <c r="M57" s="346"/>
      <c r="N57" s="346"/>
      <c r="O57" s="346"/>
      <c r="P57" s="346"/>
      <c r="Q57" s="346"/>
      <c r="R57" s="346"/>
      <c r="S57" s="346"/>
      <c r="T57" s="346"/>
      <c r="U57" s="346"/>
      <c r="V57" s="346"/>
      <c r="W57" s="346"/>
      <c r="X57" s="346"/>
      <c r="Y57" s="346"/>
      <c r="Z57" s="346"/>
      <c r="AA57" s="346"/>
      <c r="AB57" s="346"/>
      <c r="AC57" s="346"/>
      <c r="AD57" s="346"/>
      <c r="AE57" s="346"/>
      <c r="AF57" s="346"/>
      <c r="AG57" s="346"/>
      <c r="AH57" s="346"/>
      <c r="AI57" s="346"/>
      <c r="AJ57" s="346"/>
      <c r="AK57" s="346"/>
      <c r="AL57" s="346"/>
      <c r="AM57" s="346"/>
      <c r="AN57">
        <f t="shared" si="2"/>
        <v>0</v>
      </c>
      <c r="AO57" s="351">
        <f t="shared" si="3"/>
        <v>0</v>
      </c>
    </row>
    <row r="58" spans="1:41">
      <c r="A58" s="165">
        <f>'Conveyor Downtime (new)'!A58</f>
        <v>0</v>
      </c>
      <c r="AN58">
        <f t="shared" si="2"/>
        <v>0</v>
      </c>
      <c r="AO58" s="351">
        <f t="shared" si="3"/>
        <v>0</v>
      </c>
    </row>
    <row r="59" spans="1:41">
      <c r="A59" s="165"/>
      <c r="B59" s="346"/>
      <c r="C59" s="346"/>
      <c r="D59" s="346"/>
      <c r="E59" s="346"/>
      <c r="F59" s="346"/>
      <c r="G59" s="346"/>
      <c r="H59" s="346"/>
      <c r="I59" s="346"/>
      <c r="J59" s="346"/>
      <c r="K59" s="346"/>
      <c r="L59" s="346"/>
      <c r="M59" s="346"/>
      <c r="N59" s="346"/>
      <c r="O59" s="346"/>
      <c r="P59" s="346"/>
      <c r="Q59" s="346"/>
      <c r="R59" s="346"/>
      <c r="S59" s="346"/>
      <c r="T59" s="346"/>
      <c r="U59" s="346"/>
      <c r="V59" s="346"/>
      <c r="W59" s="346"/>
      <c r="X59" s="346"/>
      <c r="Y59" s="346"/>
      <c r="Z59" s="346"/>
      <c r="AA59" s="346"/>
      <c r="AB59" s="346"/>
      <c r="AC59" s="346"/>
      <c r="AD59" s="346"/>
      <c r="AE59" s="346"/>
      <c r="AF59" s="346"/>
      <c r="AG59" s="346"/>
      <c r="AH59" s="346"/>
      <c r="AI59" s="346"/>
      <c r="AJ59" s="346"/>
      <c r="AK59" s="346"/>
      <c r="AL59" s="346"/>
      <c r="AM59" s="346"/>
      <c r="AN59">
        <f t="shared" si="2"/>
        <v>0</v>
      </c>
      <c r="AO59" s="351">
        <f t="shared" si="3"/>
        <v>0</v>
      </c>
    </row>
    <row r="60" spans="1:41">
      <c r="A60" s="165"/>
      <c r="AN60">
        <f t="shared" si="2"/>
        <v>0</v>
      </c>
      <c r="AO60" s="351">
        <f t="shared" si="3"/>
        <v>0</v>
      </c>
    </row>
    <row r="61" spans="1:41">
      <c r="A61" s="165"/>
      <c r="B61" s="346"/>
      <c r="C61" s="346"/>
      <c r="D61" s="346"/>
      <c r="E61" s="346"/>
      <c r="F61" s="346"/>
      <c r="G61" s="346"/>
      <c r="H61" s="346"/>
      <c r="I61" s="346"/>
      <c r="J61" s="346"/>
      <c r="K61" s="346"/>
      <c r="L61" s="346"/>
      <c r="M61" s="346"/>
      <c r="N61" s="346"/>
      <c r="O61" s="346"/>
      <c r="P61" s="346"/>
      <c r="Q61" s="346"/>
      <c r="R61" s="346"/>
      <c r="S61" s="346"/>
      <c r="T61" s="346"/>
      <c r="U61" s="346"/>
      <c r="V61" s="346"/>
      <c r="W61" s="346"/>
      <c r="X61" s="346"/>
      <c r="Y61" s="346"/>
      <c r="Z61" s="346"/>
      <c r="AA61" s="346"/>
      <c r="AB61" s="346"/>
      <c r="AC61" s="346"/>
      <c r="AD61" s="346"/>
      <c r="AE61" s="346"/>
      <c r="AF61" s="346"/>
      <c r="AG61" s="346"/>
      <c r="AH61" s="346"/>
      <c r="AI61" s="346"/>
      <c r="AJ61" s="346"/>
      <c r="AK61" s="346"/>
      <c r="AL61" s="346"/>
      <c r="AM61" s="346"/>
      <c r="AN61">
        <f t="shared" si="2"/>
        <v>0</v>
      </c>
      <c r="AO61" s="351">
        <f t="shared" si="3"/>
        <v>0</v>
      </c>
    </row>
    <row r="62" spans="1:41">
      <c r="A62" s="165"/>
      <c r="AN62">
        <f t="shared" si="2"/>
        <v>0</v>
      </c>
      <c r="AO62" s="351">
        <f t="shared" si="3"/>
        <v>0</v>
      </c>
    </row>
    <row r="63" spans="1:41">
      <c r="A63" s="165"/>
      <c r="B63" s="346"/>
      <c r="C63" s="346"/>
      <c r="D63" s="346"/>
      <c r="E63" s="346"/>
      <c r="F63" s="346"/>
      <c r="G63" s="346"/>
      <c r="H63" s="346"/>
      <c r="I63" s="346"/>
      <c r="J63" s="346"/>
      <c r="K63" s="346"/>
      <c r="L63" s="346"/>
      <c r="M63" s="346"/>
      <c r="N63" s="346"/>
      <c r="O63" s="346"/>
      <c r="P63" s="346"/>
      <c r="Q63" s="346"/>
      <c r="R63" s="346"/>
      <c r="S63" s="346"/>
      <c r="T63" s="346"/>
      <c r="U63" s="346"/>
      <c r="V63" s="346"/>
      <c r="W63" s="346"/>
      <c r="X63" s="346"/>
      <c r="Y63" s="346"/>
      <c r="Z63" s="346"/>
      <c r="AA63" s="346"/>
      <c r="AB63" s="346"/>
      <c r="AC63" s="346"/>
      <c r="AD63" s="346"/>
      <c r="AE63" s="346"/>
      <c r="AF63" s="346"/>
      <c r="AG63" s="346"/>
      <c r="AH63" s="346"/>
      <c r="AI63" s="346"/>
      <c r="AJ63" s="346"/>
      <c r="AK63" s="346"/>
      <c r="AL63" s="346"/>
      <c r="AM63" s="346"/>
      <c r="AN63">
        <f t="shared" si="2"/>
        <v>0</v>
      </c>
      <c r="AO63" s="351">
        <f t="shared" si="3"/>
        <v>0</v>
      </c>
    </row>
    <row r="64" spans="1:41">
      <c r="A64" s="165"/>
      <c r="AN64">
        <f t="shared" si="2"/>
        <v>0</v>
      </c>
      <c r="AO64" s="351">
        <f t="shared" si="3"/>
        <v>0</v>
      </c>
    </row>
    <row r="65" spans="1:41">
      <c r="A65" s="165"/>
      <c r="B65" s="346"/>
      <c r="C65" s="346"/>
      <c r="D65" s="346"/>
      <c r="E65" s="346"/>
      <c r="F65" s="346"/>
      <c r="G65" s="346"/>
      <c r="H65" s="346"/>
      <c r="I65" s="346"/>
      <c r="J65" s="346"/>
      <c r="K65" s="346"/>
      <c r="L65" s="346"/>
      <c r="M65" s="346"/>
      <c r="N65" s="346"/>
      <c r="O65" s="346"/>
      <c r="P65" s="346"/>
      <c r="Q65" s="346"/>
      <c r="R65" s="346"/>
      <c r="S65" s="346"/>
      <c r="T65" s="346"/>
      <c r="U65" s="346"/>
      <c r="V65" s="346"/>
      <c r="W65" s="346"/>
      <c r="X65" s="346"/>
      <c r="Y65" s="346"/>
      <c r="Z65" s="346"/>
      <c r="AA65" s="346"/>
      <c r="AB65" s="346"/>
      <c r="AC65" s="346"/>
      <c r="AD65" s="346"/>
      <c r="AE65" s="346"/>
      <c r="AF65" s="346"/>
      <c r="AG65" s="346"/>
      <c r="AH65" s="346"/>
      <c r="AI65" s="346"/>
      <c r="AJ65" s="346"/>
      <c r="AK65" s="346"/>
      <c r="AL65" s="346"/>
      <c r="AM65" s="346"/>
      <c r="AN65">
        <f t="shared" si="2"/>
        <v>0</v>
      </c>
      <c r="AO65" s="351">
        <f t="shared" si="3"/>
        <v>0</v>
      </c>
    </row>
    <row r="66" spans="1:41">
      <c r="A66" s="165"/>
      <c r="AN66">
        <f t="shared" si="2"/>
        <v>0</v>
      </c>
      <c r="AO66" s="351">
        <f t="shared" si="3"/>
        <v>0</v>
      </c>
    </row>
    <row r="67" spans="1:41" ht="15">
      <c r="A67" s="347" t="s">
        <v>173</v>
      </c>
      <c r="B67" s="347">
        <f>SUM(B6:B49)</f>
        <v>36</v>
      </c>
      <c r="C67" s="347">
        <f t="shared" ref="C67:AL67" si="4">SUM(C6:C49)</f>
        <v>20</v>
      </c>
      <c r="D67" s="347">
        <f>SUM(D6:D49)</f>
        <v>6</v>
      </c>
      <c r="E67" s="347">
        <f t="shared" si="4"/>
        <v>0</v>
      </c>
      <c r="F67" s="347">
        <f t="shared" si="4"/>
        <v>30</v>
      </c>
      <c r="G67" s="347">
        <f t="shared" si="4"/>
        <v>0</v>
      </c>
      <c r="H67" s="347">
        <f t="shared" si="4"/>
        <v>0</v>
      </c>
      <c r="I67" s="347">
        <f t="shared" si="4"/>
        <v>0</v>
      </c>
      <c r="J67" s="347">
        <f t="shared" si="4"/>
        <v>0</v>
      </c>
      <c r="K67" s="347">
        <f t="shared" si="4"/>
        <v>0</v>
      </c>
      <c r="L67" s="347">
        <f t="shared" si="4"/>
        <v>0</v>
      </c>
      <c r="M67" s="347">
        <f t="shared" si="4"/>
        <v>59</v>
      </c>
      <c r="N67" s="347">
        <f t="shared" si="4"/>
        <v>0</v>
      </c>
      <c r="O67" s="347">
        <f t="shared" si="4"/>
        <v>0</v>
      </c>
      <c r="P67" s="347">
        <f t="shared" si="4"/>
        <v>0</v>
      </c>
      <c r="Q67" s="347">
        <f t="shared" si="4"/>
        <v>0</v>
      </c>
      <c r="R67" s="347">
        <f t="shared" si="4"/>
        <v>5</v>
      </c>
      <c r="S67" s="347">
        <f t="shared" si="4"/>
        <v>0</v>
      </c>
      <c r="T67" s="347">
        <f t="shared" si="4"/>
        <v>0</v>
      </c>
      <c r="U67" s="347">
        <f t="shared" si="4"/>
        <v>0</v>
      </c>
      <c r="V67" s="347">
        <f t="shared" si="4"/>
        <v>0</v>
      </c>
      <c r="W67" s="347">
        <f t="shared" si="4"/>
        <v>0</v>
      </c>
      <c r="X67" s="347">
        <f t="shared" si="4"/>
        <v>0</v>
      </c>
      <c r="Y67" s="347">
        <f>SUM(Y6:Y49)</f>
        <v>0</v>
      </c>
      <c r="Z67" s="347">
        <f t="shared" si="4"/>
        <v>0</v>
      </c>
      <c r="AA67" s="347">
        <f t="shared" si="4"/>
        <v>0</v>
      </c>
      <c r="AB67" s="347">
        <f t="shared" si="4"/>
        <v>0</v>
      </c>
      <c r="AC67" s="347">
        <f t="shared" si="4"/>
        <v>0</v>
      </c>
      <c r="AD67" s="347">
        <f t="shared" si="4"/>
        <v>0</v>
      </c>
      <c r="AE67" s="347">
        <f t="shared" si="4"/>
        <v>0</v>
      </c>
      <c r="AF67" s="347">
        <f t="shared" si="4"/>
        <v>0</v>
      </c>
      <c r="AG67" s="347">
        <f t="shared" si="4"/>
        <v>0</v>
      </c>
      <c r="AH67" s="347">
        <f t="shared" si="4"/>
        <v>0</v>
      </c>
      <c r="AI67" s="347">
        <f t="shared" si="4"/>
        <v>0</v>
      </c>
      <c r="AJ67" s="347">
        <f t="shared" si="4"/>
        <v>0</v>
      </c>
      <c r="AK67" s="347">
        <f t="shared" si="4"/>
        <v>0</v>
      </c>
      <c r="AL67" s="347">
        <f t="shared" si="4"/>
        <v>10</v>
      </c>
      <c r="AM67" s="347">
        <f>SUM(AM6:AM49)</f>
        <v>38</v>
      </c>
      <c r="AN67" s="347">
        <f>SUM(AN6:AN49)</f>
        <v>204</v>
      </c>
    </row>
    <row r="68" spans="1:41" ht="15.75" thickBot="1">
      <c r="A68" s="348" t="s">
        <v>174</v>
      </c>
      <c r="B68" s="348">
        <f>B67/$AN67</f>
        <v>0.17647058823529413</v>
      </c>
      <c r="C68" s="348">
        <f t="shared" ref="C68:AM68" si="5">C67/$AN67</f>
        <v>9.8039215686274508E-2</v>
      </c>
      <c r="D68" s="348">
        <f t="shared" si="5"/>
        <v>2.9411764705882353E-2</v>
      </c>
      <c r="E68" s="348">
        <f t="shared" si="5"/>
        <v>0</v>
      </c>
      <c r="F68" s="348">
        <f t="shared" si="5"/>
        <v>0.14705882352941177</v>
      </c>
      <c r="G68" s="348">
        <f t="shared" si="5"/>
        <v>0</v>
      </c>
      <c r="H68" s="348">
        <f t="shared" si="5"/>
        <v>0</v>
      </c>
      <c r="I68" s="348">
        <f t="shared" si="5"/>
        <v>0</v>
      </c>
      <c r="J68" s="348">
        <f t="shared" si="5"/>
        <v>0</v>
      </c>
      <c r="K68" s="348">
        <f t="shared" si="5"/>
        <v>0</v>
      </c>
      <c r="L68" s="348">
        <f t="shared" si="5"/>
        <v>0</v>
      </c>
      <c r="M68" s="348">
        <f t="shared" si="5"/>
        <v>0.28921568627450983</v>
      </c>
      <c r="N68" s="348">
        <f t="shared" si="5"/>
        <v>0</v>
      </c>
      <c r="O68" s="348">
        <f t="shared" si="5"/>
        <v>0</v>
      </c>
      <c r="P68" s="348">
        <f t="shared" si="5"/>
        <v>0</v>
      </c>
      <c r="Q68" s="348">
        <f t="shared" si="5"/>
        <v>0</v>
      </c>
      <c r="R68" s="348">
        <f t="shared" si="5"/>
        <v>2.4509803921568627E-2</v>
      </c>
      <c r="S68" s="348">
        <f t="shared" si="5"/>
        <v>0</v>
      </c>
      <c r="T68" s="348">
        <f t="shared" si="5"/>
        <v>0</v>
      </c>
      <c r="U68" s="348">
        <f t="shared" si="5"/>
        <v>0</v>
      </c>
      <c r="V68" s="348">
        <f t="shared" si="5"/>
        <v>0</v>
      </c>
      <c r="W68" s="348">
        <f t="shared" si="5"/>
        <v>0</v>
      </c>
      <c r="X68" s="348">
        <f t="shared" si="5"/>
        <v>0</v>
      </c>
      <c r="Y68" s="348">
        <f t="shared" si="5"/>
        <v>0</v>
      </c>
      <c r="Z68" s="348">
        <f t="shared" si="5"/>
        <v>0</v>
      </c>
      <c r="AA68" s="348">
        <f t="shared" si="5"/>
        <v>0</v>
      </c>
      <c r="AB68" s="348">
        <f t="shared" si="5"/>
        <v>0</v>
      </c>
      <c r="AC68" s="348">
        <f t="shared" si="5"/>
        <v>0</v>
      </c>
      <c r="AD68" s="348">
        <f t="shared" si="5"/>
        <v>0</v>
      </c>
      <c r="AE68" s="348">
        <f t="shared" si="5"/>
        <v>0</v>
      </c>
      <c r="AF68" s="348">
        <f t="shared" si="5"/>
        <v>0</v>
      </c>
      <c r="AG68" s="348">
        <f t="shared" si="5"/>
        <v>0</v>
      </c>
      <c r="AH68" s="348">
        <f t="shared" si="5"/>
        <v>0</v>
      </c>
      <c r="AI68" s="348">
        <f t="shared" si="5"/>
        <v>0</v>
      </c>
      <c r="AJ68" s="348">
        <f t="shared" si="5"/>
        <v>0</v>
      </c>
      <c r="AK68" s="348">
        <f t="shared" si="5"/>
        <v>0</v>
      </c>
      <c r="AL68" s="348">
        <f t="shared" si="5"/>
        <v>4.9019607843137254E-2</v>
      </c>
      <c r="AM68" s="348">
        <f t="shared" si="5"/>
        <v>0.18627450980392157</v>
      </c>
    </row>
    <row r="72" spans="1:41">
      <c r="A72" s="165">
        <f>'Conveyor Downtime (new)'!A67</f>
        <v>46055</v>
      </c>
      <c r="AN72">
        <f>SUM(B72:AM72)</f>
        <v>0</v>
      </c>
      <c r="AO72" s="351">
        <f t="shared" ref="AO72:AO91" si="6">AN72/$AN$121</f>
        <v>0</v>
      </c>
    </row>
    <row r="73" spans="1:41">
      <c r="A73" s="165">
        <f>'Conveyor Downtime (new)'!A68</f>
        <v>46055</v>
      </c>
      <c r="B73" s="346"/>
      <c r="C73" s="346"/>
      <c r="D73" s="346"/>
      <c r="E73" s="346"/>
      <c r="F73" s="346"/>
      <c r="G73" s="346"/>
      <c r="H73" s="346"/>
      <c r="I73" s="346"/>
      <c r="J73" s="346"/>
      <c r="K73" s="346"/>
      <c r="L73" s="346"/>
      <c r="M73" s="346"/>
      <c r="N73" s="346"/>
      <c r="O73" s="346"/>
      <c r="P73" s="346"/>
      <c r="Q73" s="346"/>
      <c r="R73" s="346"/>
      <c r="S73" s="346"/>
      <c r="T73" s="346"/>
      <c r="U73" s="346"/>
      <c r="V73" s="346"/>
      <c r="W73" s="346"/>
      <c r="X73" s="346"/>
      <c r="Y73" s="346"/>
      <c r="Z73" s="346"/>
      <c r="AA73" s="346"/>
      <c r="AB73" s="346"/>
      <c r="AC73" s="346"/>
      <c r="AD73" s="346"/>
      <c r="AE73" s="346"/>
      <c r="AF73" s="346"/>
      <c r="AG73" s="346"/>
      <c r="AH73" s="346"/>
      <c r="AI73" s="346"/>
      <c r="AJ73" s="346"/>
      <c r="AK73" s="346"/>
      <c r="AL73" s="346"/>
      <c r="AM73" s="346"/>
      <c r="AN73">
        <f t="shared" ref="AN73:AN120" si="7">SUM(B73:AM73)</f>
        <v>0</v>
      </c>
      <c r="AO73" s="351">
        <f t="shared" si="6"/>
        <v>0</v>
      </c>
    </row>
    <row r="74" spans="1:41">
      <c r="A74" s="165">
        <f>'Conveyor Downtime (new)'!A69</f>
        <v>46056</v>
      </c>
      <c r="D74">
        <f>3</f>
        <v>3</v>
      </c>
      <c r="AN74">
        <f t="shared" si="7"/>
        <v>3</v>
      </c>
      <c r="AO74" s="351">
        <f t="shared" si="6"/>
        <v>1.7441860465116279E-2</v>
      </c>
    </row>
    <row r="75" spans="1:41">
      <c r="A75" s="165">
        <f>'Conveyor Downtime (new)'!A70</f>
        <v>46057</v>
      </c>
      <c r="B75" s="346"/>
      <c r="C75" s="346"/>
      <c r="D75" s="346"/>
      <c r="E75" s="346"/>
      <c r="F75" s="346">
        <f>3+3+3</f>
        <v>9</v>
      </c>
      <c r="G75" s="346"/>
      <c r="H75" s="346"/>
      <c r="I75" s="346"/>
      <c r="J75" s="346"/>
      <c r="K75" s="346"/>
      <c r="L75" s="346"/>
      <c r="M75" s="346"/>
      <c r="N75" s="346"/>
      <c r="O75" s="346"/>
      <c r="P75" s="346"/>
      <c r="Q75" s="346"/>
      <c r="R75" s="346"/>
      <c r="S75" s="346"/>
      <c r="T75" s="346"/>
      <c r="U75" s="346"/>
      <c r="V75" s="346"/>
      <c r="W75" s="346"/>
      <c r="X75" s="346"/>
      <c r="Y75" s="346"/>
      <c r="Z75" s="346"/>
      <c r="AA75" s="346"/>
      <c r="AB75" s="346"/>
      <c r="AC75" s="346"/>
      <c r="AD75" s="346"/>
      <c r="AE75" s="346"/>
      <c r="AF75" s="346"/>
      <c r="AG75" s="346"/>
      <c r="AH75" s="346"/>
      <c r="AI75" s="346"/>
      <c r="AJ75" s="346"/>
      <c r="AK75" s="346"/>
      <c r="AL75" s="346"/>
      <c r="AM75" s="346"/>
      <c r="AN75">
        <f t="shared" si="7"/>
        <v>9</v>
      </c>
      <c r="AO75" s="351">
        <f t="shared" si="6"/>
        <v>5.232558139534884E-2</v>
      </c>
    </row>
    <row r="76" spans="1:41">
      <c r="A76" s="165">
        <f>'Conveyor Downtime (new)'!A71</f>
        <v>46057</v>
      </c>
      <c r="D76">
        <f>3</f>
        <v>3</v>
      </c>
      <c r="AN76">
        <f t="shared" si="7"/>
        <v>3</v>
      </c>
      <c r="AO76" s="351">
        <f t="shared" si="6"/>
        <v>1.7441860465116279E-2</v>
      </c>
    </row>
    <row r="77" spans="1:41">
      <c r="A77" s="165">
        <f>'Conveyor Downtime (new)'!A72</f>
        <v>46058</v>
      </c>
      <c r="B77" s="346"/>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c r="AB77" s="346"/>
      <c r="AC77" s="346"/>
      <c r="AD77" s="346"/>
      <c r="AE77" s="346"/>
      <c r="AF77" s="346"/>
      <c r="AG77" s="346"/>
      <c r="AH77" s="346"/>
      <c r="AI77" s="346"/>
      <c r="AJ77" s="346"/>
      <c r="AK77" s="346"/>
      <c r="AL77" s="346"/>
      <c r="AM77" s="346"/>
      <c r="AN77">
        <f t="shared" si="7"/>
        <v>0</v>
      </c>
      <c r="AO77" s="351">
        <f t="shared" si="6"/>
        <v>0</v>
      </c>
    </row>
    <row r="78" spans="1:41">
      <c r="A78" s="165">
        <f>'Conveyor Downtime (new)'!A73</f>
        <v>46058</v>
      </c>
      <c r="AN78">
        <f t="shared" si="7"/>
        <v>0</v>
      </c>
      <c r="AO78" s="351">
        <f t="shared" si="6"/>
        <v>0</v>
      </c>
    </row>
    <row r="79" spans="1:41">
      <c r="A79" s="165">
        <f>'Conveyor Downtime (new)'!A74</f>
        <v>46058</v>
      </c>
      <c r="B79" s="346"/>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f t="shared" si="7"/>
        <v>0</v>
      </c>
      <c r="AO79" s="351">
        <f t="shared" si="6"/>
        <v>0</v>
      </c>
    </row>
    <row r="80" spans="1:41">
      <c r="A80" s="165">
        <f>'Conveyor Downtime (new)'!A75</f>
        <v>46059</v>
      </c>
      <c r="AN80">
        <f t="shared" si="7"/>
        <v>0</v>
      </c>
      <c r="AO80" s="351">
        <f t="shared" si="6"/>
        <v>0</v>
      </c>
    </row>
    <row r="81" spans="1:41">
      <c r="A81" s="165">
        <f>'Conveyor Downtime (new)'!A76</f>
        <v>46059</v>
      </c>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f t="shared" si="7"/>
        <v>0</v>
      </c>
      <c r="AO81" s="351">
        <f t="shared" si="6"/>
        <v>0</v>
      </c>
    </row>
    <row r="82" spans="1:41">
      <c r="A82" s="165">
        <f>'Conveyor Downtime (new)'!A77</f>
        <v>46062</v>
      </c>
      <c r="AN82">
        <f t="shared" si="7"/>
        <v>0</v>
      </c>
      <c r="AO82" s="351">
        <f t="shared" si="6"/>
        <v>0</v>
      </c>
    </row>
    <row r="83" spans="1:41">
      <c r="A83" s="165">
        <f>'Conveyor Downtime (new)'!A78</f>
        <v>46062</v>
      </c>
      <c r="B83" s="346"/>
      <c r="C83" s="346"/>
      <c r="D83" s="346"/>
      <c r="E83" s="346"/>
      <c r="F83" s="346"/>
      <c r="G83" s="346"/>
      <c r="H83" s="346"/>
      <c r="I83" s="346"/>
      <c r="J83" s="346"/>
      <c r="K83" s="346"/>
      <c r="L83" s="346"/>
      <c r="M83" s="346"/>
      <c r="N83" s="346"/>
      <c r="O83" s="346"/>
      <c r="P83" s="346"/>
      <c r="Q83" s="346"/>
      <c r="R83" s="346"/>
      <c r="S83" s="346"/>
      <c r="T83" s="346"/>
      <c r="U83" s="346"/>
      <c r="V83" s="346"/>
      <c r="W83" s="346"/>
      <c r="X83" s="346"/>
      <c r="Y83" s="346"/>
      <c r="Z83" s="346"/>
      <c r="AA83" s="346"/>
      <c r="AB83" s="346"/>
      <c r="AC83" s="346"/>
      <c r="AD83" s="346"/>
      <c r="AE83" s="346"/>
      <c r="AF83" s="346"/>
      <c r="AG83" s="346"/>
      <c r="AH83" s="346"/>
      <c r="AI83" s="346"/>
      <c r="AJ83" s="346"/>
      <c r="AK83" s="346"/>
      <c r="AL83" s="346"/>
      <c r="AM83" s="346"/>
      <c r="AN83">
        <f t="shared" si="7"/>
        <v>0</v>
      </c>
      <c r="AO83" s="351">
        <f t="shared" si="6"/>
        <v>0</v>
      </c>
    </row>
    <row r="84" spans="1:41">
      <c r="A84" s="165">
        <f>'Conveyor Downtime (new)'!A79</f>
        <v>46062</v>
      </c>
      <c r="B84">
        <f>1</f>
        <v>1</v>
      </c>
      <c r="AN84">
        <f t="shared" si="7"/>
        <v>1</v>
      </c>
      <c r="AO84" s="351">
        <f t="shared" si="6"/>
        <v>5.8139534883720929E-3</v>
      </c>
    </row>
    <row r="85" spans="1:41">
      <c r="A85" s="165">
        <f>'Conveyor Downtime (new)'!A80</f>
        <v>46063</v>
      </c>
      <c r="B85" s="346"/>
      <c r="C85" s="346"/>
      <c r="D85" s="346">
        <f>3</f>
        <v>3</v>
      </c>
      <c r="E85" s="346"/>
      <c r="F85" s="346"/>
      <c r="G85" s="346"/>
      <c r="H85" s="346"/>
      <c r="I85" s="346"/>
      <c r="J85" s="346"/>
      <c r="K85" s="346"/>
      <c r="L85" s="346"/>
      <c r="M85" s="346"/>
      <c r="N85" s="346"/>
      <c r="O85" s="346"/>
      <c r="P85" s="346"/>
      <c r="Q85" s="346"/>
      <c r="R85" s="346"/>
      <c r="S85" s="346"/>
      <c r="T85" s="346"/>
      <c r="U85" s="346"/>
      <c r="V85" s="346"/>
      <c r="W85" s="346"/>
      <c r="X85" s="346"/>
      <c r="Y85" s="346"/>
      <c r="Z85" s="346"/>
      <c r="AA85" s="346"/>
      <c r="AB85" s="346"/>
      <c r="AC85" s="346"/>
      <c r="AD85" s="346"/>
      <c r="AE85" s="346"/>
      <c r="AF85" s="346"/>
      <c r="AG85" s="346"/>
      <c r="AH85" s="346"/>
      <c r="AJ85" s="346"/>
      <c r="AK85" s="346"/>
      <c r="AL85" s="346"/>
      <c r="AM85" s="346"/>
      <c r="AN85">
        <f t="shared" si="7"/>
        <v>3</v>
      </c>
      <c r="AO85" s="351">
        <f t="shared" si="6"/>
        <v>1.7441860465116279E-2</v>
      </c>
    </row>
    <row r="86" spans="1:41">
      <c r="A86" s="165">
        <f>'Conveyor Downtime (new)'!A81</f>
        <v>46063</v>
      </c>
      <c r="AN86">
        <f t="shared" si="7"/>
        <v>0</v>
      </c>
      <c r="AO86" s="351">
        <f t="shared" si="6"/>
        <v>0</v>
      </c>
    </row>
    <row r="87" spans="1:41">
      <c r="A87" s="165">
        <f>'Conveyor Downtime (new)'!A82</f>
        <v>46063</v>
      </c>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f t="shared" si="7"/>
        <v>0</v>
      </c>
      <c r="AO87" s="351">
        <f t="shared" si="6"/>
        <v>0</v>
      </c>
    </row>
    <row r="88" spans="1:41">
      <c r="A88" s="165">
        <f>'Conveyor Downtime (new)'!A83</f>
        <v>46064</v>
      </c>
      <c r="AN88">
        <f t="shared" si="7"/>
        <v>0</v>
      </c>
      <c r="AO88" s="351">
        <f t="shared" si="6"/>
        <v>0</v>
      </c>
    </row>
    <row r="89" spans="1:41">
      <c r="A89" s="165">
        <f>'Conveyor Downtime (new)'!A84</f>
        <v>46064</v>
      </c>
      <c r="B89" s="346">
        <f>5</f>
        <v>5</v>
      </c>
      <c r="C89" s="346"/>
      <c r="D89" s="346"/>
      <c r="E89" s="346"/>
      <c r="F89" s="346"/>
      <c r="G89" s="346"/>
      <c r="H89" s="346"/>
      <c r="I89" s="346"/>
      <c r="J89" s="346"/>
      <c r="K89" s="346"/>
      <c r="L89" s="346"/>
      <c r="M89" s="346"/>
      <c r="N89" s="346"/>
      <c r="O89" s="346"/>
      <c r="P89" s="346"/>
      <c r="Q89" s="346"/>
      <c r="R89" s="346"/>
      <c r="S89" s="346"/>
      <c r="T89" s="346"/>
      <c r="U89" s="346"/>
      <c r="V89" s="346"/>
      <c r="W89" s="346"/>
      <c r="X89" s="346"/>
      <c r="Y89" s="346"/>
      <c r="Z89" s="346"/>
      <c r="AA89" s="346"/>
      <c r="AB89" s="346"/>
      <c r="AC89" s="346"/>
      <c r="AD89" s="346"/>
      <c r="AE89" s="346"/>
      <c r="AF89" s="346"/>
      <c r="AG89" s="346"/>
      <c r="AH89" s="346"/>
      <c r="AI89" s="346"/>
      <c r="AJ89" s="77"/>
      <c r="AK89" s="77"/>
      <c r="AL89" s="77"/>
      <c r="AM89" s="346"/>
      <c r="AN89">
        <f t="shared" si="7"/>
        <v>5</v>
      </c>
      <c r="AO89" s="351">
        <f t="shared" si="6"/>
        <v>2.9069767441860465E-2</v>
      </c>
    </row>
    <row r="90" spans="1:41">
      <c r="A90" s="165">
        <f>'Conveyor Downtime (new)'!A85</f>
        <v>46065</v>
      </c>
      <c r="B90">
        <f>10+9+5+4+5</f>
        <v>33</v>
      </c>
      <c r="C90">
        <f>7+7</f>
        <v>14</v>
      </c>
      <c r="Z90">
        <f>7+3+3+14+10</f>
        <v>37</v>
      </c>
      <c r="AN90">
        <f t="shared" si="7"/>
        <v>84</v>
      </c>
      <c r="AO90" s="351">
        <f t="shared" si="6"/>
        <v>0.48837209302325579</v>
      </c>
    </row>
    <row r="91" spans="1:41">
      <c r="A91" s="165">
        <f>'Conveyor Downtime (new)'!A86</f>
        <v>46066</v>
      </c>
      <c r="B91" s="346"/>
      <c r="C91" s="346"/>
      <c r="D91" s="346"/>
      <c r="E91" s="346"/>
      <c r="F91" s="346"/>
      <c r="G91" s="346"/>
      <c r="H91" s="346"/>
      <c r="I91" s="346"/>
      <c r="J91" s="346"/>
      <c r="K91" s="346"/>
      <c r="L91" s="346"/>
      <c r="M91" s="346"/>
      <c r="N91" s="346"/>
      <c r="O91" s="346"/>
      <c r="P91" s="346"/>
      <c r="Q91" s="346"/>
      <c r="R91" s="346"/>
      <c r="S91" s="346"/>
      <c r="T91" s="346"/>
      <c r="U91" s="346"/>
      <c r="V91" s="346"/>
      <c r="W91" s="346"/>
      <c r="X91" s="346"/>
      <c r="Y91" s="346"/>
      <c r="Z91" s="346"/>
      <c r="AA91" s="346"/>
      <c r="AB91" s="346"/>
      <c r="AC91" s="346"/>
      <c r="AD91" s="346"/>
      <c r="AE91" s="346"/>
      <c r="AF91" s="346"/>
      <c r="AG91" s="346"/>
      <c r="AH91" s="346"/>
      <c r="AI91" s="346"/>
      <c r="AJ91" s="346"/>
      <c r="AK91" s="346"/>
      <c r="AL91" s="346"/>
      <c r="AM91" s="346"/>
      <c r="AN91">
        <f t="shared" si="7"/>
        <v>0</v>
      </c>
      <c r="AO91" s="351">
        <f t="shared" si="6"/>
        <v>0</v>
      </c>
    </row>
    <row r="92" spans="1:41">
      <c r="A92" s="165">
        <f>'Conveyor Downtime (new)'!A87</f>
        <v>46066</v>
      </c>
      <c r="AN92">
        <f t="shared" si="7"/>
        <v>0</v>
      </c>
      <c r="AO92" s="351">
        <f t="shared" ref="AO92:AO100" si="8">AN92/$AN$121</f>
        <v>0</v>
      </c>
    </row>
    <row r="93" spans="1:41">
      <c r="A93" s="165">
        <f>'Conveyor Downtime (new)'!A88</f>
        <v>46069</v>
      </c>
      <c r="B93" s="346"/>
      <c r="C93" s="346">
        <f>2+4+11</f>
        <v>17</v>
      </c>
      <c r="D93" s="346"/>
      <c r="E93" s="346"/>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6"/>
      <c r="AN93">
        <f t="shared" si="7"/>
        <v>17</v>
      </c>
      <c r="AO93" s="351">
        <f t="shared" si="8"/>
        <v>9.8837209302325577E-2</v>
      </c>
    </row>
    <row r="94" spans="1:41">
      <c r="A94" s="165">
        <f>'Conveyor Downtime (new)'!A89</f>
        <v>46070</v>
      </c>
      <c r="AN94">
        <f t="shared" si="7"/>
        <v>0</v>
      </c>
      <c r="AO94" s="351">
        <f t="shared" si="8"/>
        <v>0</v>
      </c>
    </row>
    <row r="95" spans="1:41">
      <c r="A95" s="165">
        <f>'Conveyor Downtime (new)'!A90</f>
        <v>46071</v>
      </c>
      <c r="B95" s="346"/>
      <c r="C95" s="346"/>
      <c r="D95" s="346"/>
      <c r="E95" s="346"/>
      <c r="F95" s="346"/>
      <c r="G95" s="346"/>
      <c r="H95" s="346"/>
      <c r="I95" s="346"/>
      <c r="J95" s="346"/>
      <c r="K95" s="346"/>
      <c r="L95" s="346"/>
      <c r="M95" s="346"/>
      <c r="N95" s="346"/>
      <c r="O95" s="346"/>
      <c r="P95" s="346"/>
      <c r="Q95" s="346"/>
      <c r="R95" s="346"/>
      <c r="S95" s="346"/>
      <c r="T95" s="346"/>
      <c r="U95" s="346"/>
      <c r="V95" s="346"/>
      <c r="W95" s="346"/>
      <c r="X95" s="346"/>
      <c r="Y95" s="346"/>
      <c r="Z95" s="346"/>
      <c r="AA95" s="346"/>
      <c r="AB95" s="346"/>
      <c r="AC95" s="346"/>
      <c r="AD95" s="346"/>
      <c r="AE95" s="346"/>
      <c r="AF95" s="346"/>
      <c r="AG95" s="346"/>
      <c r="AH95" s="346"/>
      <c r="AI95" s="346"/>
      <c r="AJ95" s="346"/>
      <c r="AK95" s="346"/>
      <c r="AL95" s="346"/>
      <c r="AM95" s="346"/>
      <c r="AN95">
        <f t="shared" si="7"/>
        <v>0</v>
      </c>
      <c r="AO95" s="351">
        <f t="shared" si="8"/>
        <v>0</v>
      </c>
    </row>
    <row r="96" spans="1:41">
      <c r="A96" s="165">
        <f>'Conveyor Downtime (new)'!A91</f>
        <v>46072</v>
      </c>
      <c r="B96">
        <f>4</f>
        <v>4</v>
      </c>
      <c r="AN96">
        <f t="shared" si="7"/>
        <v>4</v>
      </c>
      <c r="AO96" s="351">
        <f t="shared" si="8"/>
        <v>2.3255813953488372E-2</v>
      </c>
    </row>
    <row r="97" spans="1:41">
      <c r="A97" s="165">
        <f>'Conveyor Downtime (new)'!A92</f>
        <v>46072</v>
      </c>
      <c r="B97" s="346">
        <f>4</f>
        <v>4</v>
      </c>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c r="AB97" s="346"/>
      <c r="AC97" s="346"/>
      <c r="AD97" s="346"/>
      <c r="AE97" s="346"/>
      <c r="AF97" s="346"/>
      <c r="AG97" s="346"/>
      <c r="AH97" s="346"/>
      <c r="AI97" s="346"/>
      <c r="AJ97" s="346"/>
      <c r="AK97" s="346"/>
      <c r="AL97" s="346"/>
      <c r="AM97" s="346"/>
      <c r="AN97">
        <f t="shared" si="7"/>
        <v>4</v>
      </c>
      <c r="AO97" s="351">
        <f t="shared" si="8"/>
        <v>2.3255813953488372E-2</v>
      </c>
    </row>
    <row r="98" spans="1:41">
      <c r="A98" s="165">
        <f>'Conveyor Downtime (new)'!A93</f>
        <v>46072</v>
      </c>
      <c r="AN98">
        <f t="shared" si="7"/>
        <v>0</v>
      </c>
      <c r="AO98" s="351">
        <f t="shared" si="8"/>
        <v>0</v>
      </c>
    </row>
    <row r="99" spans="1:41">
      <c r="A99" s="165">
        <f>'Conveyor Downtime (new)'!A94</f>
        <v>46073</v>
      </c>
      <c r="B99" s="346"/>
      <c r="C99" s="346"/>
      <c r="D99" s="346"/>
      <c r="E99" s="346"/>
      <c r="F99" s="346"/>
      <c r="G99" s="346"/>
      <c r="H99" s="346"/>
      <c r="I99" s="346"/>
      <c r="J99" s="346"/>
      <c r="K99" s="346"/>
      <c r="L99" s="346"/>
      <c r="M99" s="346"/>
      <c r="N99" s="346"/>
      <c r="O99" s="346"/>
      <c r="P99" s="346"/>
      <c r="Q99" s="346"/>
      <c r="R99" s="346"/>
      <c r="S99" s="346"/>
      <c r="T99" s="346"/>
      <c r="U99" s="346"/>
      <c r="V99" s="346"/>
      <c r="W99" s="346"/>
      <c r="X99" s="346"/>
      <c r="Y99" s="346"/>
      <c r="Z99" s="346"/>
      <c r="AA99" s="346"/>
      <c r="AB99" s="346"/>
      <c r="AC99" s="346"/>
      <c r="AD99" s="346"/>
      <c r="AE99" s="346"/>
      <c r="AF99" s="346"/>
      <c r="AG99" s="346"/>
      <c r="AH99" s="346"/>
      <c r="AI99" s="346"/>
      <c r="AJ99" s="346"/>
      <c r="AK99" s="346"/>
      <c r="AL99" s="346"/>
      <c r="AM99" s="346"/>
      <c r="AN99">
        <f t="shared" si="7"/>
        <v>0</v>
      </c>
      <c r="AO99" s="351">
        <f t="shared" si="8"/>
        <v>0</v>
      </c>
    </row>
    <row r="100" spans="1:41">
      <c r="A100" s="165">
        <f>'Conveyor Downtime (new)'!A95</f>
        <v>46073</v>
      </c>
      <c r="Q100">
        <f>17</f>
        <v>17</v>
      </c>
      <c r="AN100">
        <f t="shared" si="7"/>
        <v>17</v>
      </c>
      <c r="AO100" s="351">
        <f t="shared" si="8"/>
        <v>9.8837209302325577E-2</v>
      </c>
    </row>
    <row r="101" spans="1:41">
      <c r="A101" s="165">
        <f>'Conveyor Downtime (new)'!A96</f>
        <v>46076</v>
      </c>
      <c r="B101" s="346"/>
      <c r="C101" s="346"/>
      <c r="D101" s="346"/>
      <c r="E101" s="346"/>
      <c r="F101" s="346"/>
      <c r="G101" s="346"/>
      <c r="H101" s="346"/>
      <c r="I101" s="346"/>
      <c r="J101" s="346"/>
      <c r="K101" s="346"/>
      <c r="L101" s="346"/>
      <c r="M101" s="346"/>
      <c r="N101" s="346"/>
      <c r="O101" s="346"/>
      <c r="P101" s="346"/>
      <c r="Q101" s="346"/>
      <c r="R101" s="346"/>
      <c r="S101" s="346"/>
      <c r="T101" s="346"/>
      <c r="U101" s="346"/>
      <c r="V101" s="346"/>
      <c r="W101" s="346"/>
      <c r="X101" s="346"/>
      <c r="Y101" s="346"/>
      <c r="Z101" s="346"/>
      <c r="AA101" s="346"/>
      <c r="AB101" s="346"/>
      <c r="AC101" s="346"/>
      <c r="AD101" s="346"/>
      <c r="AE101" s="346"/>
      <c r="AF101" s="346"/>
      <c r="AG101" s="346"/>
      <c r="AH101" s="346"/>
      <c r="AI101" s="346"/>
      <c r="AJ101" s="346"/>
      <c r="AK101" s="346"/>
      <c r="AL101" s="346"/>
      <c r="AM101" s="346"/>
      <c r="AN101">
        <f t="shared" si="7"/>
        <v>0</v>
      </c>
      <c r="AO101" s="351">
        <f t="shared" ref="AO101:AO120" si="9">AN101/$AN$121</f>
        <v>0</v>
      </c>
    </row>
    <row r="102" spans="1:41">
      <c r="A102" s="165">
        <f>'Conveyor Downtime (new)'!A97</f>
        <v>46077</v>
      </c>
      <c r="AN102">
        <f t="shared" si="7"/>
        <v>0</v>
      </c>
      <c r="AO102" s="351">
        <f t="shared" si="9"/>
        <v>0</v>
      </c>
    </row>
    <row r="103" spans="1:41">
      <c r="A103" s="165">
        <f>'Conveyor Downtime (new)'!A98</f>
        <v>46077</v>
      </c>
      <c r="B103" s="346"/>
      <c r="C103" s="346"/>
      <c r="D103" s="346"/>
      <c r="E103" s="346"/>
      <c r="F103" s="346"/>
      <c r="G103" s="346"/>
      <c r="H103" s="346"/>
      <c r="I103" s="346"/>
      <c r="J103" s="346"/>
      <c r="K103" s="346"/>
      <c r="L103" s="346"/>
      <c r="M103" s="346"/>
      <c r="N103" s="346"/>
      <c r="O103" s="346"/>
      <c r="P103" s="346"/>
      <c r="Q103" s="346"/>
      <c r="R103" s="346"/>
      <c r="S103" s="346"/>
      <c r="T103" s="346"/>
      <c r="U103" s="346"/>
      <c r="V103" s="346"/>
      <c r="W103" s="346"/>
      <c r="X103" s="346"/>
      <c r="Y103" s="346"/>
      <c r="Z103" s="346"/>
      <c r="AA103" s="346"/>
      <c r="AB103" s="346"/>
      <c r="AC103" s="346"/>
      <c r="AD103" s="346"/>
      <c r="AE103" s="346"/>
      <c r="AF103" s="346"/>
      <c r="AG103" s="346"/>
      <c r="AH103" s="346"/>
      <c r="AI103" s="346"/>
      <c r="AJ103" s="346"/>
      <c r="AK103" s="346"/>
      <c r="AL103" s="346"/>
      <c r="AM103" s="346"/>
      <c r="AN103">
        <f t="shared" si="7"/>
        <v>0</v>
      </c>
      <c r="AO103" s="351">
        <f t="shared" si="9"/>
        <v>0</v>
      </c>
    </row>
    <row r="104" spans="1:41">
      <c r="A104" s="165">
        <f>'Conveyor Downtime (new)'!A99</f>
        <v>46078</v>
      </c>
      <c r="C104">
        <f>2</f>
        <v>2</v>
      </c>
      <c r="F104">
        <f>2</f>
        <v>2</v>
      </c>
      <c r="AN104">
        <f t="shared" si="7"/>
        <v>4</v>
      </c>
      <c r="AO104" s="351">
        <f t="shared" si="9"/>
        <v>2.3255813953488372E-2</v>
      </c>
    </row>
    <row r="105" spans="1:41">
      <c r="A105" s="165">
        <f>'Conveyor Downtime (new)'!A100</f>
        <v>46079</v>
      </c>
      <c r="B105" s="346"/>
      <c r="C105" s="346">
        <f>12</f>
        <v>12</v>
      </c>
      <c r="D105" s="346"/>
      <c r="E105" s="346"/>
      <c r="F105" s="346"/>
      <c r="G105" s="346"/>
      <c r="H105" s="346"/>
      <c r="I105" s="346"/>
      <c r="J105" s="346"/>
      <c r="K105" s="346"/>
      <c r="L105" s="346"/>
      <c r="M105" s="346"/>
      <c r="N105" s="346"/>
      <c r="O105" s="346"/>
      <c r="P105" s="346"/>
      <c r="Q105" s="346"/>
      <c r="R105" s="346"/>
      <c r="S105" s="346"/>
      <c r="T105" s="346"/>
      <c r="U105" s="346"/>
      <c r="V105" s="346"/>
      <c r="W105" s="346"/>
      <c r="X105" s="346"/>
      <c r="Y105" s="346"/>
      <c r="Z105" s="346"/>
      <c r="AA105" s="346"/>
      <c r="AB105" s="346"/>
      <c r="AC105" s="346"/>
      <c r="AD105" s="346"/>
      <c r="AE105" s="346"/>
      <c r="AF105" s="346"/>
      <c r="AG105" s="346"/>
      <c r="AH105" s="346"/>
      <c r="AI105" s="346"/>
      <c r="AJ105" s="346"/>
      <c r="AK105" s="346"/>
      <c r="AL105" s="346"/>
      <c r="AM105" s="346"/>
      <c r="AN105">
        <f t="shared" si="7"/>
        <v>12</v>
      </c>
      <c r="AO105" s="351">
        <f t="shared" si="9"/>
        <v>6.9767441860465115E-2</v>
      </c>
    </row>
    <row r="106" spans="1:41">
      <c r="A106" s="165">
        <f>'Conveyor Downtime (new)'!A101</f>
        <v>46079</v>
      </c>
      <c r="AN106">
        <f t="shared" si="7"/>
        <v>0</v>
      </c>
      <c r="AO106" s="351">
        <f t="shared" si="9"/>
        <v>0</v>
      </c>
    </row>
    <row r="107" spans="1:41">
      <c r="A107" s="165">
        <f>'Conveyor Downtime (new)'!A102</f>
        <v>46080</v>
      </c>
      <c r="B107" s="346"/>
      <c r="C107" s="346"/>
      <c r="D107" s="346"/>
      <c r="E107" s="346"/>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c r="AK107" s="346"/>
      <c r="AL107" s="346"/>
      <c r="AM107" s="346"/>
      <c r="AN107">
        <f t="shared" si="7"/>
        <v>0</v>
      </c>
      <c r="AO107" s="351">
        <f t="shared" si="9"/>
        <v>0</v>
      </c>
    </row>
    <row r="108" spans="1:41">
      <c r="A108" s="165">
        <f>'Conveyor Downtime (new)'!A103</f>
        <v>46080</v>
      </c>
      <c r="F108">
        <f>3+3</f>
        <v>6</v>
      </c>
      <c r="AN108">
        <f t="shared" si="7"/>
        <v>6</v>
      </c>
      <c r="AO108" s="351">
        <f t="shared" si="9"/>
        <v>3.4883720930232558E-2</v>
      </c>
    </row>
    <row r="109" spans="1:41">
      <c r="A109" s="165">
        <f>'Conveyor Downtime (new)'!A104</f>
        <v>46080</v>
      </c>
      <c r="B109" s="346"/>
      <c r="C109" s="346"/>
      <c r="D109" s="346"/>
      <c r="E109" s="346"/>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c r="AK109" s="346"/>
      <c r="AL109" s="346"/>
      <c r="AM109" s="346"/>
      <c r="AN109">
        <f t="shared" si="7"/>
        <v>0</v>
      </c>
      <c r="AO109" s="351">
        <f t="shared" si="9"/>
        <v>0</v>
      </c>
    </row>
    <row r="110" spans="1:41">
      <c r="A110" s="165">
        <f>'Conveyor Downtime (new)'!A105</f>
        <v>46081</v>
      </c>
      <c r="AN110">
        <f t="shared" si="7"/>
        <v>0</v>
      </c>
      <c r="AO110" s="351">
        <f t="shared" si="9"/>
        <v>0</v>
      </c>
    </row>
    <row r="111" spans="1:41">
      <c r="A111" s="165">
        <f>'Conveyor Downtime (new)'!A106</f>
        <v>46081</v>
      </c>
      <c r="B111" s="346"/>
      <c r="C111" s="346"/>
      <c r="D111" s="346"/>
      <c r="E111" s="346"/>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c r="AH111" s="346"/>
      <c r="AI111" s="346"/>
      <c r="AJ111" s="346"/>
      <c r="AK111" s="346"/>
      <c r="AL111" s="346"/>
      <c r="AM111" s="346"/>
      <c r="AN111">
        <f t="shared" si="7"/>
        <v>0</v>
      </c>
      <c r="AO111" s="351">
        <f t="shared" si="9"/>
        <v>0</v>
      </c>
    </row>
    <row r="112" spans="1:41">
      <c r="A112" s="165">
        <f>'Conveyor Downtime (new)'!A107</f>
        <v>0</v>
      </c>
      <c r="AN112">
        <f t="shared" si="7"/>
        <v>0</v>
      </c>
      <c r="AO112" s="351">
        <f t="shared" si="9"/>
        <v>0</v>
      </c>
    </row>
    <row r="113" spans="1:41">
      <c r="A113" s="165">
        <f>'Conveyor Downtime (new)'!A108</f>
        <v>0</v>
      </c>
      <c r="B113" s="346"/>
      <c r="C113" s="346"/>
      <c r="D113" s="346"/>
      <c r="E113" s="346"/>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46"/>
      <c r="AE113" s="346"/>
      <c r="AF113" s="346"/>
      <c r="AG113" s="346"/>
      <c r="AH113" s="346"/>
      <c r="AI113" s="346"/>
      <c r="AJ113" s="346"/>
      <c r="AK113" s="346"/>
      <c r="AL113" s="346"/>
      <c r="AM113" s="346"/>
      <c r="AN113">
        <f t="shared" si="7"/>
        <v>0</v>
      </c>
      <c r="AO113" s="351">
        <f t="shared" si="9"/>
        <v>0</v>
      </c>
    </row>
    <row r="114" spans="1:41">
      <c r="A114" s="165">
        <f>'Conveyor Downtime (new)'!A109</f>
        <v>0</v>
      </c>
      <c r="AN114">
        <f t="shared" si="7"/>
        <v>0</v>
      </c>
      <c r="AO114" s="351">
        <f t="shared" si="9"/>
        <v>0</v>
      </c>
    </row>
    <row r="115" spans="1:41">
      <c r="A115" s="165">
        <f>'Conveyor Downtime (new)'!A110</f>
        <v>0</v>
      </c>
      <c r="B115" s="346"/>
      <c r="C115" s="346"/>
      <c r="D115" s="346"/>
      <c r="E115" s="346"/>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46"/>
      <c r="AE115" s="346"/>
      <c r="AF115" s="346"/>
      <c r="AG115" s="346"/>
      <c r="AH115" s="346"/>
      <c r="AI115" s="346"/>
      <c r="AJ115" s="346"/>
      <c r="AK115" s="346"/>
      <c r="AL115" s="346"/>
      <c r="AM115" s="346"/>
      <c r="AN115">
        <f t="shared" si="7"/>
        <v>0</v>
      </c>
      <c r="AO115" s="351">
        <f t="shared" si="9"/>
        <v>0</v>
      </c>
    </row>
    <row r="116" spans="1:41">
      <c r="A116" s="165">
        <f>'Conveyor Downtime (new)'!A111</f>
        <v>0</v>
      </c>
      <c r="AN116">
        <f t="shared" si="7"/>
        <v>0</v>
      </c>
      <c r="AO116" s="351">
        <f t="shared" si="9"/>
        <v>0</v>
      </c>
    </row>
    <row r="117" spans="1:41">
      <c r="A117" s="165">
        <f>'Conveyor Downtime (new)'!A112</f>
        <v>0</v>
      </c>
      <c r="B117" s="346"/>
      <c r="C117" s="346"/>
      <c r="D117" s="346"/>
      <c r="E117" s="346"/>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46"/>
      <c r="AE117" s="346"/>
      <c r="AF117" s="346"/>
      <c r="AG117" s="346"/>
      <c r="AH117" s="346"/>
      <c r="AI117" s="346"/>
      <c r="AJ117" s="346"/>
      <c r="AK117" s="346"/>
      <c r="AL117" s="346"/>
      <c r="AM117" s="346"/>
      <c r="AN117">
        <f t="shared" si="7"/>
        <v>0</v>
      </c>
      <c r="AO117" s="351">
        <f t="shared" si="9"/>
        <v>0</v>
      </c>
    </row>
    <row r="118" spans="1:41">
      <c r="A118" s="165">
        <f>'Conveyor Downtime (new)'!A113</f>
        <v>0</v>
      </c>
      <c r="AN118">
        <f t="shared" si="7"/>
        <v>0</v>
      </c>
      <c r="AO118" s="351">
        <f t="shared" si="9"/>
        <v>0</v>
      </c>
    </row>
    <row r="119" spans="1:41">
      <c r="A119" s="165">
        <f>'Conveyor Downtime (new)'!A114</f>
        <v>0</v>
      </c>
      <c r="B119" s="346"/>
      <c r="C119" s="346"/>
      <c r="D119" s="346"/>
      <c r="E119" s="346"/>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c r="AB119" s="346"/>
      <c r="AC119" s="346"/>
      <c r="AD119" s="346"/>
      <c r="AE119" s="346"/>
      <c r="AF119" s="346"/>
      <c r="AG119" s="346"/>
      <c r="AH119" s="346"/>
      <c r="AI119" s="346"/>
      <c r="AJ119" s="346"/>
      <c r="AK119" s="346"/>
      <c r="AL119" s="346"/>
      <c r="AM119" s="346"/>
      <c r="AN119">
        <f t="shared" si="7"/>
        <v>0</v>
      </c>
      <c r="AO119" s="351">
        <f t="shared" si="9"/>
        <v>0</v>
      </c>
    </row>
    <row r="120" spans="1:41">
      <c r="A120" s="165">
        <f>'Conveyor Downtime (new)'!A115</f>
        <v>0</v>
      </c>
      <c r="AN120">
        <f t="shared" si="7"/>
        <v>0</v>
      </c>
      <c r="AO120" s="351">
        <f t="shared" si="9"/>
        <v>0</v>
      </c>
    </row>
    <row r="121" spans="1:41" ht="15">
      <c r="A121" s="347" t="s">
        <v>173</v>
      </c>
      <c r="B121" s="347">
        <f>SUM(B72:B120)</f>
        <v>47</v>
      </c>
      <c r="C121" s="347">
        <f t="shared" ref="C121:AM121" si="10">SUM(C72:C120)</f>
        <v>45</v>
      </c>
      <c r="D121" s="347">
        <f t="shared" si="10"/>
        <v>9</v>
      </c>
      <c r="E121" s="347">
        <f t="shared" si="10"/>
        <v>0</v>
      </c>
      <c r="F121" s="347">
        <f t="shared" si="10"/>
        <v>17</v>
      </c>
      <c r="G121" s="347">
        <f t="shared" si="10"/>
        <v>0</v>
      </c>
      <c r="H121" s="347">
        <f t="shared" si="10"/>
        <v>0</v>
      </c>
      <c r="I121" s="347">
        <f t="shared" si="10"/>
        <v>0</v>
      </c>
      <c r="J121" s="347">
        <f t="shared" si="10"/>
        <v>0</v>
      </c>
      <c r="K121" s="347">
        <f t="shared" si="10"/>
        <v>0</v>
      </c>
      <c r="L121" s="347">
        <f t="shared" si="10"/>
        <v>0</v>
      </c>
      <c r="M121" s="347">
        <f t="shared" si="10"/>
        <v>0</v>
      </c>
      <c r="N121" s="347">
        <f t="shared" si="10"/>
        <v>0</v>
      </c>
      <c r="O121" s="347">
        <f t="shared" si="10"/>
        <v>0</v>
      </c>
      <c r="P121" s="347">
        <f t="shared" si="10"/>
        <v>0</v>
      </c>
      <c r="Q121" s="347">
        <f t="shared" si="10"/>
        <v>17</v>
      </c>
      <c r="R121" s="347">
        <f t="shared" si="10"/>
        <v>0</v>
      </c>
      <c r="S121" s="347">
        <f t="shared" si="10"/>
        <v>0</v>
      </c>
      <c r="T121" s="347">
        <f t="shared" si="10"/>
        <v>0</v>
      </c>
      <c r="U121" s="347">
        <f t="shared" si="10"/>
        <v>0</v>
      </c>
      <c r="V121" s="347">
        <f t="shared" si="10"/>
        <v>0</v>
      </c>
      <c r="W121" s="347">
        <f t="shared" si="10"/>
        <v>0</v>
      </c>
      <c r="X121" s="347">
        <f t="shared" si="10"/>
        <v>0</v>
      </c>
      <c r="Y121" s="347">
        <f t="shared" si="10"/>
        <v>0</v>
      </c>
      <c r="Z121" s="347">
        <f>SUM(Z72:Z120)</f>
        <v>37</v>
      </c>
      <c r="AA121" s="347">
        <f t="shared" si="10"/>
        <v>0</v>
      </c>
      <c r="AB121" s="347">
        <f t="shared" si="10"/>
        <v>0</v>
      </c>
      <c r="AC121" s="347">
        <f t="shared" si="10"/>
        <v>0</v>
      </c>
      <c r="AD121" s="347">
        <f t="shared" si="10"/>
        <v>0</v>
      </c>
      <c r="AE121" s="347">
        <f t="shared" si="10"/>
        <v>0</v>
      </c>
      <c r="AF121" s="347">
        <f t="shared" si="10"/>
        <v>0</v>
      </c>
      <c r="AG121" s="347">
        <f t="shared" si="10"/>
        <v>0</v>
      </c>
      <c r="AH121" s="347">
        <f t="shared" si="10"/>
        <v>0</v>
      </c>
      <c r="AI121" s="347">
        <f t="shared" si="10"/>
        <v>0</v>
      </c>
      <c r="AJ121" s="347">
        <f t="shared" si="10"/>
        <v>0</v>
      </c>
      <c r="AK121" s="347">
        <f t="shared" si="10"/>
        <v>0</v>
      </c>
      <c r="AL121" s="347">
        <f t="shared" si="10"/>
        <v>0</v>
      </c>
      <c r="AM121" s="347">
        <f t="shared" si="10"/>
        <v>0</v>
      </c>
      <c r="AN121" s="347">
        <f>SUM(AN72:AN120)</f>
        <v>172</v>
      </c>
    </row>
    <row r="122" spans="1:41" ht="15.75" thickBot="1">
      <c r="A122" s="348" t="s">
        <v>174</v>
      </c>
      <c r="B122" s="348">
        <f t="shared" ref="B122:AL122" si="11">B121/$AN121</f>
        <v>0.27325581395348836</v>
      </c>
      <c r="C122" s="348">
        <f t="shared" si="11"/>
        <v>0.26162790697674421</v>
      </c>
      <c r="D122" s="348">
        <f t="shared" si="11"/>
        <v>5.232558139534884E-2</v>
      </c>
      <c r="E122" s="348">
        <f t="shared" si="11"/>
        <v>0</v>
      </c>
      <c r="F122" s="348">
        <f t="shared" si="11"/>
        <v>9.8837209302325577E-2</v>
      </c>
      <c r="G122" s="348">
        <f t="shared" si="11"/>
        <v>0</v>
      </c>
      <c r="H122" s="348">
        <f t="shared" si="11"/>
        <v>0</v>
      </c>
      <c r="I122" s="348">
        <f t="shared" si="11"/>
        <v>0</v>
      </c>
      <c r="J122" s="348">
        <f t="shared" si="11"/>
        <v>0</v>
      </c>
      <c r="K122" s="348">
        <f t="shared" si="11"/>
        <v>0</v>
      </c>
      <c r="L122" s="348">
        <f t="shared" si="11"/>
        <v>0</v>
      </c>
      <c r="M122" s="348">
        <f t="shared" si="11"/>
        <v>0</v>
      </c>
      <c r="N122" s="348">
        <f t="shared" si="11"/>
        <v>0</v>
      </c>
      <c r="O122" s="348">
        <f t="shared" si="11"/>
        <v>0</v>
      </c>
      <c r="P122" s="348">
        <f t="shared" si="11"/>
        <v>0</v>
      </c>
      <c r="Q122" s="348">
        <f t="shared" si="11"/>
        <v>9.8837209302325577E-2</v>
      </c>
      <c r="R122" s="348">
        <f t="shared" si="11"/>
        <v>0</v>
      </c>
      <c r="S122" s="348">
        <f t="shared" si="11"/>
        <v>0</v>
      </c>
      <c r="T122" s="348">
        <f t="shared" si="11"/>
        <v>0</v>
      </c>
      <c r="U122" s="348">
        <f t="shared" si="11"/>
        <v>0</v>
      </c>
      <c r="V122" s="348">
        <f t="shared" si="11"/>
        <v>0</v>
      </c>
      <c r="W122" s="348">
        <f t="shared" si="11"/>
        <v>0</v>
      </c>
      <c r="X122" s="348">
        <f t="shared" si="11"/>
        <v>0</v>
      </c>
      <c r="Y122" s="348">
        <f t="shared" si="11"/>
        <v>0</v>
      </c>
      <c r="Z122" s="348">
        <f t="shared" si="11"/>
        <v>0.21511627906976744</v>
      </c>
      <c r="AA122" s="348">
        <f t="shared" si="11"/>
        <v>0</v>
      </c>
      <c r="AB122" s="348">
        <f t="shared" si="11"/>
        <v>0</v>
      </c>
      <c r="AC122" s="348">
        <f t="shared" si="11"/>
        <v>0</v>
      </c>
      <c r="AD122" s="348">
        <f t="shared" si="11"/>
        <v>0</v>
      </c>
      <c r="AE122" s="348">
        <f t="shared" si="11"/>
        <v>0</v>
      </c>
      <c r="AF122" s="348">
        <f t="shared" si="11"/>
        <v>0</v>
      </c>
      <c r="AG122" s="348">
        <f t="shared" si="11"/>
        <v>0</v>
      </c>
      <c r="AH122" s="348">
        <f t="shared" si="11"/>
        <v>0</v>
      </c>
      <c r="AI122" s="348">
        <f t="shared" si="11"/>
        <v>0</v>
      </c>
      <c r="AJ122" s="348">
        <f t="shared" si="11"/>
        <v>0</v>
      </c>
      <c r="AK122" s="348">
        <f t="shared" si="11"/>
        <v>0</v>
      </c>
      <c r="AL122" s="348">
        <f t="shared" si="11"/>
        <v>0</v>
      </c>
      <c r="AM122" s="348">
        <f>AM121/$AN121</f>
        <v>0</v>
      </c>
    </row>
    <row r="127" spans="1:41">
      <c r="A127" s="165"/>
    </row>
    <row r="128" spans="1:41">
      <c r="A128" s="165">
        <f>'Conveyor Downtime (new)'!A124</f>
        <v>46083</v>
      </c>
      <c r="B128" s="346"/>
      <c r="C128" s="346"/>
      <c r="D128" s="346"/>
      <c r="E128" s="346"/>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c r="AB128" s="346"/>
      <c r="AC128" s="346"/>
      <c r="AD128" s="346"/>
      <c r="AE128" s="346"/>
      <c r="AF128" s="346"/>
      <c r="AG128" s="346"/>
      <c r="AH128" s="346"/>
      <c r="AI128" s="346"/>
      <c r="AJ128" s="346"/>
      <c r="AK128" s="346"/>
      <c r="AL128" s="346"/>
      <c r="AM128" s="346"/>
      <c r="AN128">
        <f t="shared" ref="AN128:AN170" si="12">SUM(B128:AM128)</f>
        <v>0</v>
      </c>
      <c r="AO128" s="351">
        <f t="shared" ref="AO128:AO181" si="13">AN128/$AN$121</f>
        <v>0</v>
      </c>
    </row>
    <row r="129" spans="1:41">
      <c r="A129" s="165">
        <f>'Conveyor Downtime (new)'!A125</f>
        <v>46083</v>
      </c>
      <c r="F129">
        <f>2</f>
        <v>2</v>
      </c>
      <c r="AN129">
        <f t="shared" si="12"/>
        <v>2</v>
      </c>
      <c r="AO129" s="351">
        <f t="shared" si="13"/>
        <v>1.1627906976744186E-2</v>
      </c>
    </row>
    <row r="130" spans="1:41">
      <c r="A130" s="165">
        <f>'Conveyor Downtime (new)'!A126</f>
        <v>46084</v>
      </c>
      <c r="B130" s="346"/>
      <c r="C130" s="346"/>
      <c r="D130" s="346"/>
      <c r="E130" s="346"/>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c r="AB130" s="346"/>
      <c r="AC130" s="346"/>
      <c r="AD130" s="346"/>
      <c r="AE130" s="346"/>
      <c r="AF130" s="346"/>
      <c r="AG130" s="346"/>
      <c r="AH130" s="346"/>
      <c r="AI130" s="346"/>
      <c r="AJ130" s="346"/>
      <c r="AK130" s="346"/>
      <c r="AL130" s="346"/>
      <c r="AM130" s="346"/>
      <c r="AN130">
        <f t="shared" si="12"/>
        <v>0</v>
      </c>
      <c r="AO130" s="351">
        <f t="shared" si="13"/>
        <v>0</v>
      </c>
    </row>
    <row r="131" spans="1:41">
      <c r="A131" s="165">
        <f>'Conveyor Downtime (new)'!A127</f>
        <v>46085</v>
      </c>
      <c r="B131">
        <f>4</f>
        <v>4</v>
      </c>
      <c r="AN131">
        <f t="shared" si="12"/>
        <v>4</v>
      </c>
      <c r="AO131" s="351">
        <f t="shared" si="13"/>
        <v>2.3255813953488372E-2</v>
      </c>
    </row>
    <row r="132" spans="1:41">
      <c r="A132" s="165">
        <f>'Conveyor Downtime (new)'!A128</f>
        <v>46085</v>
      </c>
      <c r="B132" s="346"/>
      <c r="C132" s="346"/>
      <c r="D132" s="346"/>
      <c r="E132" s="346"/>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c r="AB132" s="346"/>
      <c r="AC132" s="346"/>
      <c r="AD132" s="346"/>
      <c r="AE132" s="346"/>
      <c r="AF132" s="346"/>
      <c r="AG132" s="346"/>
      <c r="AH132" s="346"/>
      <c r="AI132" s="346"/>
      <c r="AJ132" s="346"/>
      <c r="AK132" s="346"/>
      <c r="AL132" s="346"/>
      <c r="AM132" s="346"/>
      <c r="AN132">
        <f t="shared" si="12"/>
        <v>0</v>
      </c>
      <c r="AO132" s="351">
        <f t="shared" si="13"/>
        <v>0</v>
      </c>
    </row>
    <row r="133" spans="1:41">
      <c r="A133" s="165">
        <f>'Conveyor Downtime (new)'!A129</f>
        <v>46086</v>
      </c>
      <c r="AN133">
        <f t="shared" si="12"/>
        <v>0</v>
      </c>
      <c r="AO133" s="351">
        <f t="shared" si="13"/>
        <v>0</v>
      </c>
    </row>
    <row r="134" spans="1:41">
      <c r="A134" s="165">
        <f>'Conveyor Downtime (new)'!A130</f>
        <v>46086</v>
      </c>
      <c r="B134" s="346"/>
      <c r="C134" s="346"/>
      <c r="D134" s="346"/>
      <c r="E134" s="346"/>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c r="AB134" s="346"/>
      <c r="AC134" s="346"/>
      <c r="AD134" s="346"/>
      <c r="AE134" s="346"/>
      <c r="AF134" s="346"/>
      <c r="AG134" s="346"/>
      <c r="AH134" s="346"/>
      <c r="AI134" s="346"/>
      <c r="AJ134" s="346"/>
      <c r="AK134" s="346"/>
      <c r="AL134" s="346"/>
      <c r="AM134" s="346"/>
      <c r="AN134">
        <f t="shared" si="12"/>
        <v>0</v>
      </c>
      <c r="AO134" s="351">
        <f t="shared" si="13"/>
        <v>0</v>
      </c>
    </row>
    <row r="135" spans="1:41">
      <c r="A135" s="165">
        <f>'Conveyor Downtime (new)'!A131</f>
        <v>46087</v>
      </c>
      <c r="AN135">
        <f t="shared" si="12"/>
        <v>0</v>
      </c>
      <c r="AO135" s="351">
        <f t="shared" si="13"/>
        <v>0</v>
      </c>
    </row>
    <row r="136" spans="1:41" ht="14.1" customHeight="1">
      <c r="A136" s="165">
        <f>'Conveyor Downtime (new)'!A132</f>
        <v>46087</v>
      </c>
      <c r="B136" s="346"/>
      <c r="C136" s="346"/>
      <c r="D136" s="346"/>
      <c r="E136" s="346"/>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c r="AB136" s="346"/>
      <c r="AC136" s="346"/>
      <c r="AD136" s="346"/>
      <c r="AE136" s="346"/>
      <c r="AF136" s="346"/>
      <c r="AG136" s="346"/>
      <c r="AH136" s="346"/>
      <c r="AI136" s="346"/>
      <c r="AJ136" s="346"/>
      <c r="AK136" s="346"/>
      <c r="AL136" s="346"/>
      <c r="AM136" s="346"/>
      <c r="AN136">
        <f t="shared" si="12"/>
        <v>0</v>
      </c>
      <c r="AO136" s="351">
        <f t="shared" si="13"/>
        <v>0</v>
      </c>
    </row>
    <row r="137" spans="1:41">
      <c r="A137" s="165">
        <f>'Conveyor Downtime (new)'!A133</f>
        <v>46087</v>
      </c>
      <c r="F137">
        <f>1+2+1+2</f>
        <v>6</v>
      </c>
      <c r="Q137">
        <f>15+20</f>
        <v>35</v>
      </c>
      <c r="AN137">
        <f t="shared" si="12"/>
        <v>41</v>
      </c>
      <c r="AO137" s="351">
        <f t="shared" si="13"/>
        <v>0.23837209302325582</v>
      </c>
    </row>
    <row r="138" spans="1:41">
      <c r="A138" s="165">
        <f>'Conveyor Downtime (new)'!A134</f>
        <v>46089</v>
      </c>
      <c r="B138" s="346"/>
      <c r="C138" s="346"/>
      <c r="D138" s="346"/>
      <c r="E138" s="346"/>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c r="AB138" s="346"/>
      <c r="AC138" s="346"/>
      <c r="AD138" s="346"/>
      <c r="AE138" s="346"/>
      <c r="AF138" s="346"/>
      <c r="AG138" s="346"/>
      <c r="AH138" s="346"/>
      <c r="AI138" s="346"/>
      <c r="AJ138" s="346"/>
      <c r="AK138" s="346"/>
      <c r="AL138" s="346"/>
      <c r="AM138" s="346"/>
      <c r="AN138">
        <f t="shared" si="12"/>
        <v>0</v>
      </c>
      <c r="AO138" s="351">
        <f t="shared" si="13"/>
        <v>0</v>
      </c>
    </row>
    <row r="139" spans="1:41">
      <c r="A139" s="165">
        <f>'Conveyor Downtime (new)'!A135</f>
        <v>46090</v>
      </c>
      <c r="B139">
        <f>5+3</f>
        <v>8</v>
      </c>
      <c r="AN139">
        <f t="shared" si="12"/>
        <v>8</v>
      </c>
      <c r="AO139" s="351">
        <f t="shared" si="13"/>
        <v>4.6511627906976744E-2</v>
      </c>
    </row>
    <row r="140" spans="1:41">
      <c r="A140" s="165">
        <f>'Conveyor Downtime (new)'!A136</f>
        <v>46091</v>
      </c>
      <c r="B140" s="346"/>
      <c r="C140" s="346"/>
      <c r="D140" s="346"/>
      <c r="E140" s="346">
        <v>3</v>
      </c>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c r="AB140" s="346"/>
      <c r="AC140" s="346"/>
      <c r="AD140" s="346"/>
      <c r="AE140" s="346"/>
      <c r="AF140" s="346"/>
      <c r="AG140" s="346"/>
      <c r="AH140" s="346"/>
      <c r="AI140" s="346"/>
      <c r="AJ140" s="346"/>
      <c r="AK140" s="346"/>
      <c r="AL140" s="346"/>
      <c r="AM140" s="346"/>
      <c r="AN140">
        <f t="shared" si="12"/>
        <v>3</v>
      </c>
      <c r="AO140" s="351">
        <f t="shared" si="13"/>
        <v>1.7441860465116279E-2</v>
      </c>
    </row>
    <row r="141" spans="1:41">
      <c r="A141" s="165">
        <f>'Conveyor Downtime (new)'!A137</f>
        <v>46091</v>
      </c>
      <c r="F141">
        <f>31</f>
        <v>31</v>
      </c>
      <c r="AN141">
        <f t="shared" si="12"/>
        <v>31</v>
      </c>
      <c r="AO141" s="351">
        <f t="shared" si="13"/>
        <v>0.18023255813953487</v>
      </c>
    </row>
    <row r="142" spans="1:41">
      <c r="A142" s="165">
        <f>'Conveyor Downtime (new)'!A138</f>
        <v>46092</v>
      </c>
      <c r="B142" s="346"/>
      <c r="C142" s="346"/>
      <c r="D142" s="346"/>
      <c r="E142" s="346"/>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f>8</f>
        <v>8</v>
      </c>
      <c r="AB142" s="346"/>
      <c r="AC142" s="346"/>
      <c r="AD142" s="346"/>
      <c r="AE142" s="346"/>
      <c r="AF142" s="346"/>
      <c r="AG142" s="346"/>
      <c r="AH142" s="346"/>
      <c r="AI142" s="346"/>
      <c r="AJ142" s="346"/>
      <c r="AK142" s="346"/>
      <c r="AL142" s="346"/>
      <c r="AM142" s="346"/>
      <c r="AN142">
        <f t="shared" si="12"/>
        <v>8</v>
      </c>
      <c r="AO142" s="351">
        <f t="shared" si="13"/>
        <v>4.6511627906976744E-2</v>
      </c>
    </row>
    <row r="143" spans="1:41">
      <c r="A143" s="165">
        <f>'Conveyor Downtime (new)'!A139</f>
        <v>46092</v>
      </c>
      <c r="AN143">
        <f t="shared" si="12"/>
        <v>0</v>
      </c>
      <c r="AO143" s="351">
        <f t="shared" si="13"/>
        <v>0</v>
      </c>
    </row>
    <row r="144" spans="1:41">
      <c r="A144" s="165">
        <f>'Conveyor Downtime (new)'!A140</f>
        <v>46092</v>
      </c>
      <c r="B144" s="346"/>
      <c r="C144" s="346"/>
      <c r="D144" s="346">
        <f>2+3</f>
        <v>5</v>
      </c>
      <c r="E144" s="346"/>
      <c r="F144" s="346">
        <f>2</f>
        <v>2</v>
      </c>
      <c r="G144" s="346"/>
      <c r="H144" s="346"/>
      <c r="I144" s="346"/>
      <c r="J144" s="346"/>
      <c r="K144" s="346"/>
      <c r="L144" s="346"/>
      <c r="M144" s="346"/>
      <c r="N144" s="346"/>
      <c r="O144" s="346"/>
      <c r="P144" s="346"/>
      <c r="Q144" s="346"/>
      <c r="R144" s="346"/>
      <c r="S144" s="346"/>
      <c r="T144" s="346"/>
      <c r="U144" s="346"/>
      <c r="V144" s="346"/>
      <c r="W144" s="346"/>
      <c r="X144" s="346"/>
      <c r="Y144" s="346"/>
      <c r="Z144" s="346"/>
      <c r="AA144" s="346"/>
      <c r="AB144" s="346"/>
      <c r="AC144" s="346"/>
      <c r="AD144" s="346"/>
      <c r="AE144" s="346"/>
      <c r="AF144" s="346"/>
      <c r="AG144" s="346"/>
      <c r="AH144" s="346"/>
      <c r="AI144" s="346"/>
      <c r="AJ144" s="346"/>
      <c r="AK144" s="346"/>
      <c r="AL144" s="346"/>
      <c r="AM144" s="346"/>
      <c r="AN144">
        <f t="shared" si="12"/>
        <v>7</v>
      </c>
      <c r="AO144" s="351">
        <f t="shared" si="13"/>
        <v>4.0697674418604654E-2</v>
      </c>
    </row>
    <row r="145" spans="1:41">
      <c r="A145" s="165">
        <f>'Conveyor Downtime (new)'!A141</f>
        <v>46093</v>
      </c>
      <c r="B145">
        <f>3</f>
        <v>3</v>
      </c>
      <c r="I145">
        <f>4</f>
        <v>4</v>
      </c>
      <c r="AN145">
        <f t="shared" si="12"/>
        <v>7</v>
      </c>
      <c r="AO145" s="351">
        <f t="shared" si="13"/>
        <v>4.0697674418604654E-2</v>
      </c>
    </row>
    <row r="146" spans="1:41">
      <c r="A146" s="165">
        <f>'Conveyor Downtime (new)'!A142</f>
        <v>46093</v>
      </c>
      <c r="B146" s="346"/>
      <c r="C146" s="346"/>
      <c r="D146" s="346"/>
      <c r="E146" s="346"/>
      <c r="F146" s="346">
        <f>3</f>
        <v>3</v>
      </c>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c r="AK146" s="346"/>
      <c r="AL146" s="346"/>
      <c r="AM146" s="346"/>
      <c r="AN146">
        <f t="shared" si="12"/>
        <v>3</v>
      </c>
      <c r="AO146" s="351">
        <f t="shared" si="13"/>
        <v>1.7441860465116279E-2</v>
      </c>
    </row>
    <row r="147" spans="1:41">
      <c r="A147" s="165">
        <f>'Conveyor Downtime (new)'!A143</f>
        <v>46094</v>
      </c>
      <c r="AN147">
        <f t="shared" si="12"/>
        <v>0</v>
      </c>
      <c r="AO147" s="351">
        <f t="shared" si="13"/>
        <v>0</v>
      </c>
    </row>
    <row r="148" spans="1:41">
      <c r="A148" s="165">
        <f>'Conveyor Downtime (new)'!A144</f>
        <v>46094</v>
      </c>
      <c r="B148" s="346"/>
      <c r="C148" s="346"/>
      <c r="D148" s="346"/>
      <c r="E148" s="346"/>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c r="AB148" s="346"/>
      <c r="AC148" s="346"/>
      <c r="AD148" s="346"/>
      <c r="AE148" s="346"/>
      <c r="AF148" s="346"/>
      <c r="AG148" s="346"/>
      <c r="AH148" s="346"/>
      <c r="AI148" s="346"/>
      <c r="AJ148" s="346"/>
      <c r="AK148" s="346"/>
      <c r="AL148" s="346"/>
      <c r="AM148" s="346"/>
      <c r="AN148">
        <f t="shared" si="12"/>
        <v>0</v>
      </c>
      <c r="AO148" s="351">
        <f t="shared" si="13"/>
        <v>0</v>
      </c>
    </row>
    <row r="149" spans="1:41">
      <c r="A149" s="165">
        <f>'Conveyor Downtime (new)'!A145</f>
        <v>46097</v>
      </c>
      <c r="AN149">
        <f t="shared" si="12"/>
        <v>0</v>
      </c>
      <c r="AO149" s="351">
        <f t="shared" si="13"/>
        <v>0</v>
      </c>
    </row>
    <row r="150" spans="1:41">
      <c r="A150" s="165">
        <f>'Conveyor Downtime (new)'!A146</f>
        <v>46098</v>
      </c>
      <c r="B150" s="346"/>
      <c r="C150" s="346"/>
      <c r="D150" s="346"/>
      <c r="E150" s="346"/>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c r="AB150" s="346"/>
      <c r="AC150" s="346"/>
      <c r="AD150" s="346"/>
      <c r="AE150" s="346"/>
      <c r="AF150" s="346"/>
      <c r="AG150" s="346"/>
      <c r="AH150" s="346"/>
      <c r="AI150" s="346"/>
      <c r="AJ150" s="346"/>
      <c r="AK150" s="346"/>
      <c r="AL150" s="346"/>
      <c r="AM150" s="346"/>
      <c r="AN150">
        <f t="shared" si="12"/>
        <v>0</v>
      </c>
      <c r="AO150" s="351">
        <f t="shared" si="13"/>
        <v>0</v>
      </c>
    </row>
    <row r="151" spans="1:41">
      <c r="A151" s="165">
        <f>'Conveyor Downtime (new)'!A147</f>
        <v>46099</v>
      </c>
      <c r="AN151">
        <f t="shared" si="12"/>
        <v>0</v>
      </c>
      <c r="AO151" s="351">
        <f t="shared" si="13"/>
        <v>0</v>
      </c>
    </row>
    <row r="152" spans="1:41">
      <c r="A152" s="165">
        <f>'Conveyor Downtime (new)'!A148</f>
        <v>46099</v>
      </c>
      <c r="B152" s="346"/>
      <c r="C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6"/>
      <c r="AB152" s="346"/>
      <c r="AC152" s="346"/>
      <c r="AD152" s="346"/>
      <c r="AE152" s="346"/>
      <c r="AF152" s="346"/>
      <c r="AG152" s="346"/>
      <c r="AH152" s="346"/>
      <c r="AI152" s="346"/>
      <c r="AJ152" s="346"/>
      <c r="AK152" s="346"/>
      <c r="AL152" s="346"/>
      <c r="AM152" s="346"/>
      <c r="AN152">
        <f t="shared" si="12"/>
        <v>0</v>
      </c>
      <c r="AO152" s="351">
        <f t="shared" si="13"/>
        <v>0</v>
      </c>
    </row>
    <row r="153" spans="1:41">
      <c r="A153" s="165">
        <f>'Conveyor Downtime (new)'!A149</f>
        <v>46100</v>
      </c>
      <c r="C153">
        <f>2+3+3</f>
        <v>8</v>
      </c>
      <c r="D153" s="346">
        <f>3+2</f>
        <v>5</v>
      </c>
      <c r="E153" s="346"/>
      <c r="F153" s="346"/>
      <c r="AL153">
        <f>4</f>
        <v>4</v>
      </c>
      <c r="AN153">
        <f t="shared" si="12"/>
        <v>17</v>
      </c>
      <c r="AO153" s="351">
        <f t="shared" si="13"/>
        <v>9.8837209302325577E-2</v>
      </c>
    </row>
    <row r="154" spans="1:41">
      <c r="A154" s="165">
        <f>'Conveyor Downtime (new)'!A150</f>
        <v>46100</v>
      </c>
      <c r="B154" s="346"/>
      <c r="C154" s="346"/>
      <c r="D154" s="346"/>
      <c r="E154" s="346"/>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c r="AB154" s="346"/>
      <c r="AC154" s="346"/>
      <c r="AD154" s="346"/>
      <c r="AE154" s="346"/>
      <c r="AF154" s="346"/>
      <c r="AG154" s="346"/>
      <c r="AH154" s="346"/>
      <c r="AI154" s="346"/>
      <c r="AJ154" s="346"/>
      <c r="AK154" s="346"/>
      <c r="AL154" s="346"/>
      <c r="AM154" s="346"/>
      <c r="AN154">
        <f t="shared" ref="AN154:AN158" si="14">SUM(B154:AM154)</f>
        <v>0</v>
      </c>
      <c r="AO154" s="351">
        <f t="shared" ref="AO154:AO158" si="15">AN154/$AN$121</f>
        <v>0</v>
      </c>
    </row>
    <row r="155" spans="1:41">
      <c r="A155" s="165">
        <f>'Conveyor Downtime (new)'!A151</f>
        <v>46100</v>
      </c>
      <c r="B155" s="346"/>
      <c r="C155" s="346"/>
      <c r="D155" s="346"/>
      <c r="E155" s="346"/>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s="346"/>
      <c r="AE155" s="346"/>
      <c r="AF155" s="346"/>
      <c r="AG155" s="346"/>
      <c r="AH155" s="346"/>
      <c r="AI155" s="346"/>
      <c r="AJ155" s="346"/>
      <c r="AK155" s="346"/>
      <c r="AL155" s="346"/>
      <c r="AM155" s="346"/>
      <c r="AN155">
        <f t="shared" si="14"/>
        <v>0</v>
      </c>
      <c r="AO155" s="351">
        <f t="shared" si="15"/>
        <v>0</v>
      </c>
    </row>
    <row r="156" spans="1:41">
      <c r="A156" s="165">
        <f>'Conveyor Downtime (new)'!A152</f>
        <v>46101</v>
      </c>
      <c r="C156">
        <f>2+2</f>
        <v>4</v>
      </c>
      <c r="AL156">
        <f>4</f>
        <v>4</v>
      </c>
      <c r="AN156">
        <f t="shared" si="14"/>
        <v>8</v>
      </c>
      <c r="AO156" s="351">
        <f t="shared" si="15"/>
        <v>4.6511627906976744E-2</v>
      </c>
    </row>
    <row r="157" spans="1:41">
      <c r="A157" s="165">
        <f>'Conveyor Downtime (new)'!A153</f>
        <v>46101</v>
      </c>
      <c r="B157" s="346">
        <f>5+3+5</f>
        <v>13</v>
      </c>
      <c r="C157" s="346"/>
      <c r="D157" s="346"/>
      <c r="E157" s="346"/>
      <c r="F157" s="346">
        <f>8</f>
        <v>8</v>
      </c>
      <c r="G157" s="346"/>
      <c r="H157" s="346"/>
      <c r="I157" s="346"/>
      <c r="J157" s="346"/>
      <c r="K157" s="346"/>
      <c r="L157" s="346"/>
      <c r="M157" s="346"/>
      <c r="N157" s="346"/>
      <c r="O157" s="346"/>
      <c r="P157" s="346"/>
      <c r="Q157" s="346"/>
      <c r="R157" s="346"/>
      <c r="S157" s="346"/>
      <c r="T157" s="346"/>
      <c r="U157" s="346"/>
      <c r="V157" s="346"/>
      <c r="W157" s="346"/>
      <c r="X157" s="346"/>
      <c r="Y157" s="346"/>
      <c r="Z157" s="346">
        <f>15+11+7+4</f>
        <v>37</v>
      </c>
      <c r="AA157" s="346"/>
      <c r="AB157" s="346"/>
      <c r="AC157" s="346"/>
      <c r="AD157" s="346"/>
      <c r="AE157" s="346"/>
      <c r="AF157" s="346"/>
      <c r="AG157" s="346"/>
      <c r="AH157" s="346"/>
      <c r="AI157" s="346"/>
      <c r="AJ157" s="346"/>
      <c r="AK157" s="346"/>
      <c r="AL157" s="346"/>
      <c r="AM157" s="346"/>
      <c r="AN157">
        <f t="shared" si="14"/>
        <v>58</v>
      </c>
      <c r="AO157" s="351">
        <f t="shared" si="15"/>
        <v>0.33720930232558138</v>
      </c>
    </row>
    <row r="158" spans="1:41">
      <c r="A158" s="165">
        <f>'Conveyor Downtime (new)'!A154</f>
        <v>46104</v>
      </c>
      <c r="B158">
        <f>3</f>
        <v>3</v>
      </c>
      <c r="Z158">
        <f>5</f>
        <v>5</v>
      </c>
      <c r="AN158">
        <f t="shared" si="14"/>
        <v>8</v>
      </c>
      <c r="AO158" s="351">
        <f t="shared" si="15"/>
        <v>4.6511627906976744E-2</v>
      </c>
    </row>
    <row r="159" spans="1:41">
      <c r="A159" s="165">
        <f>'Conveyor Downtime (new)'!A155</f>
        <v>46104</v>
      </c>
      <c r="C159" s="346"/>
      <c r="D159" s="346">
        <v>4</v>
      </c>
      <c r="E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6"/>
      <c r="AB159" s="346"/>
      <c r="AC159" s="346"/>
      <c r="AD159" s="346"/>
      <c r="AE159" s="346"/>
      <c r="AF159" s="346"/>
      <c r="AG159" s="346"/>
      <c r="AH159" s="346"/>
      <c r="AI159" s="346"/>
      <c r="AJ159" s="346"/>
      <c r="AK159" s="346"/>
      <c r="AL159" s="346"/>
      <c r="AM159" s="346"/>
      <c r="AN159">
        <f t="shared" si="12"/>
        <v>4</v>
      </c>
      <c r="AO159" s="351">
        <f t="shared" si="13"/>
        <v>2.3255813953488372E-2</v>
      </c>
    </row>
    <row r="160" spans="1:41">
      <c r="A160" s="165">
        <f>'Conveyor Downtime (new)'!A156</f>
        <v>46104</v>
      </c>
      <c r="F160">
        <v>9</v>
      </c>
      <c r="AL160">
        <v>3</v>
      </c>
      <c r="AN160">
        <f t="shared" si="12"/>
        <v>12</v>
      </c>
      <c r="AO160" s="351">
        <f t="shared" si="13"/>
        <v>6.9767441860465115E-2</v>
      </c>
    </row>
    <row r="161" spans="1:41">
      <c r="A161" s="165">
        <f>'Conveyor Downtime (new)'!A157</f>
        <v>46105</v>
      </c>
      <c r="B161" s="346"/>
      <c r="C161" s="346">
        <f>3</f>
        <v>3</v>
      </c>
      <c r="D161" s="346"/>
      <c r="E161" s="346"/>
      <c r="F161" s="346">
        <f>30</f>
        <v>30</v>
      </c>
      <c r="G161" s="346"/>
      <c r="H161" s="346"/>
      <c r="I161" s="346"/>
      <c r="J161" s="346"/>
      <c r="K161" s="346"/>
      <c r="L161" s="346"/>
      <c r="M161" s="346"/>
      <c r="N161" s="346"/>
      <c r="O161" s="346"/>
      <c r="P161" s="346"/>
      <c r="Q161" s="346"/>
      <c r="R161" s="346"/>
      <c r="S161" s="346"/>
      <c r="T161" s="346"/>
      <c r="U161" s="346"/>
      <c r="V161" s="346"/>
      <c r="W161" s="346"/>
      <c r="X161" s="346"/>
      <c r="Y161" s="346"/>
      <c r="Z161" s="346"/>
      <c r="AA161" s="346"/>
      <c r="AB161" s="346"/>
      <c r="AC161" s="346"/>
      <c r="AD161" s="346"/>
      <c r="AE161" s="346"/>
      <c r="AF161" s="346"/>
      <c r="AG161" s="346"/>
      <c r="AH161" s="346"/>
      <c r="AI161" s="346"/>
      <c r="AJ161" s="346"/>
      <c r="AK161" s="346"/>
      <c r="AL161" s="346"/>
      <c r="AM161" s="346"/>
      <c r="AN161">
        <f t="shared" si="12"/>
        <v>33</v>
      </c>
      <c r="AO161" s="351">
        <f t="shared" si="13"/>
        <v>0.19186046511627908</v>
      </c>
    </row>
    <row r="162" spans="1:41">
      <c r="A162" s="165">
        <f>'Conveyor Downtime (new)'!A158</f>
        <v>46105</v>
      </c>
      <c r="C162">
        <f>2</f>
        <v>2</v>
      </c>
      <c r="F162">
        <f>3</f>
        <v>3</v>
      </c>
      <c r="AN162">
        <f t="shared" si="12"/>
        <v>5</v>
      </c>
      <c r="AO162" s="351">
        <f t="shared" si="13"/>
        <v>2.9069767441860465E-2</v>
      </c>
    </row>
    <row r="163" spans="1:41">
      <c r="A163" s="165">
        <f>'Conveyor Downtime (new)'!A159</f>
        <v>46106</v>
      </c>
      <c r="B163" s="346"/>
      <c r="C163" s="346"/>
      <c r="D163" s="346"/>
      <c r="E163" s="346"/>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6"/>
      <c r="AB163" s="346"/>
      <c r="AC163" s="346"/>
      <c r="AD163" s="346"/>
      <c r="AE163" s="346"/>
      <c r="AF163" s="346"/>
      <c r="AG163" s="346"/>
      <c r="AH163" s="346"/>
      <c r="AI163" s="346"/>
      <c r="AJ163" s="346"/>
      <c r="AK163" s="346"/>
      <c r="AL163" s="346"/>
      <c r="AM163" s="346"/>
      <c r="AN163">
        <f t="shared" si="12"/>
        <v>0</v>
      </c>
      <c r="AO163" s="351">
        <f t="shared" si="13"/>
        <v>0</v>
      </c>
    </row>
    <row r="164" spans="1:41">
      <c r="A164" s="165">
        <f>'Conveyor Downtime (new)'!A160</f>
        <v>46106</v>
      </c>
      <c r="AN164">
        <f t="shared" si="12"/>
        <v>0</v>
      </c>
      <c r="AO164" s="351">
        <f t="shared" si="13"/>
        <v>0</v>
      </c>
    </row>
    <row r="165" spans="1:41">
      <c r="A165" s="165">
        <f>'Conveyor Downtime (new)'!A161</f>
        <v>46106</v>
      </c>
      <c r="B165" s="346"/>
      <c r="C165" s="346"/>
      <c r="D165" s="346"/>
      <c r="E165" s="346"/>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c r="AB165" s="346"/>
      <c r="AC165" s="346"/>
      <c r="AD165" s="346"/>
      <c r="AE165" s="346"/>
      <c r="AF165" s="346"/>
      <c r="AG165" s="346"/>
      <c r="AH165" s="346"/>
      <c r="AI165" s="346"/>
      <c r="AJ165" s="346"/>
      <c r="AK165" s="346"/>
      <c r="AL165" s="346"/>
      <c r="AM165" s="346"/>
      <c r="AN165">
        <f t="shared" si="12"/>
        <v>0</v>
      </c>
      <c r="AO165" s="351">
        <f t="shared" si="13"/>
        <v>0</v>
      </c>
    </row>
    <row r="166" spans="1:41">
      <c r="A166" s="165">
        <f>'Conveyor Downtime (new)'!A162</f>
        <v>46106</v>
      </c>
      <c r="AB166" s="77"/>
      <c r="AL166">
        <v>4</v>
      </c>
      <c r="AN166">
        <f t="shared" si="12"/>
        <v>4</v>
      </c>
      <c r="AO166" s="351">
        <f t="shared" si="13"/>
        <v>2.3255813953488372E-2</v>
      </c>
    </row>
    <row r="167" spans="1:41">
      <c r="A167" s="165">
        <f>'Conveyor Downtime (new)'!A163</f>
        <v>46107</v>
      </c>
      <c r="B167" s="346"/>
      <c r="C167" s="346"/>
      <c r="D167" s="346"/>
      <c r="E167" s="346"/>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6"/>
      <c r="AB167" s="346"/>
      <c r="AC167" s="346"/>
      <c r="AD167" s="346"/>
      <c r="AE167" s="346"/>
      <c r="AF167" s="346"/>
      <c r="AG167" s="346"/>
      <c r="AH167" s="346"/>
      <c r="AI167" s="346"/>
      <c r="AJ167" s="346"/>
      <c r="AK167" s="346"/>
      <c r="AL167" s="346"/>
      <c r="AM167" s="346"/>
      <c r="AN167">
        <f t="shared" si="12"/>
        <v>0</v>
      </c>
      <c r="AO167" s="351">
        <f t="shared" si="13"/>
        <v>0</v>
      </c>
    </row>
    <row r="168" spans="1:41">
      <c r="A168" s="165">
        <f>'Conveyor Downtime (new)'!A164</f>
        <v>46107</v>
      </c>
      <c r="D168">
        <f>8+4</f>
        <v>12</v>
      </c>
      <c r="AN168">
        <f t="shared" si="12"/>
        <v>12</v>
      </c>
      <c r="AO168" s="351">
        <f t="shared" si="13"/>
        <v>6.9767441860465115E-2</v>
      </c>
    </row>
    <row r="169" spans="1:41">
      <c r="A169" s="165">
        <f>'Conveyor Downtime (new)'!A165</f>
        <v>46107</v>
      </c>
      <c r="B169" s="346"/>
      <c r="C169" s="346"/>
      <c r="D169" s="346"/>
      <c r="E169" s="346"/>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c r="AB169" s="346"/>
      <c r="AC169" s="346"/>
      <c r="AD169" s="346"/>
      <c r="AE169" s="346"/>
      <c r="AF169" s="346"/>
      <c r="AG169" s="346"/>
      <c r="AH169" s="346"/>
      <c r="AI169" s="346"/>
      <c r="AJ169" s="346"/>
      <c r="AK169" s="346"/>
      <c r="AL169" s="346"/>
      <c r="AM169" s="346"/>
      <c r="AN169">
        <f t="shared" si="12"/>
        <v>0</v>
      </c>
      <c r="AO169" s="351">
        <f t="shared" si="13"/>
        <v>0</v>
      </c>
    </row>
    <row r="170" spans="1:41">
      <c r="A170" s="165">
        <f>'Conveyor Downtime (new)'!A166</f>
        <v>46107</v>
      </c>
      <c r="Z170">
        <f>2</f>
        <v>2</v>
      </c>
      <c r="AN170">
        <f t="shared" si="12"/>
        <v>2</v>
      </c>
      <c r="AO170" s="351">
        <f t="shared" si="13"/>
        <v>1.1627906976744186E-2</v>
      </c>
    </row>
    <row r="171" spans="1:41">
      <c r="A171" s="165">
        <f>'Conveyor Downtime (new)'!A167</f>
        <v>46108</v>
      </c>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s="346"/>
      <c r="AE171" s="346"/>
      <c r="AF171" s="346"/>
      <c r="AG171" s="346"/>
      <c r="AH171" s="346"/>
      <c r="AI171" s="346"/>
      <c r="AJ171" s="346"/>
      <c r="AK171" s="346"/>
      <c r="AL171" s="346"/>
      <c r="AM171" s="346"/>
      <c r="AN171">
        <f t="shared" ref="AN171:AN181" si="16">SUM(B171:AM171)</f>
        <v>0</v>
      </c>
      <c r="AO171" s="351">
        <f t="shared" si="13"/>
        <v>0</v>
      </c>
    </row>
    <row r="172" spans="1:41">
      <c r="A172" s="165">
        <f>'Conveyor Downtime (new)'!A168</f>
        <v>46108</v>
      </c>
      <c r="B172">
        <f>4+3</f>
        <v>7</v>
      </c>
      <c r="F172">
        <v>3</v>
      </c>
      <c r="AN172">
        <f t="shared" si="16"/>
        <v>10</v>
      </c>
      <c r="AO172" s="351">
        <f t="shared" si="13"/>
        <v>5.8139534883720929E-2</v>
      </c>
    </row>
    <row r="173" spans="1:41">
      <c r="A173" s="165">
        <f>'Conveyor Downtime (new)'!A169</f>
        <v>46111</v>
      </c>
      <c r="B173" s="346"/>
      <c r="C173" s="346"/>
      <c r="D173" s="346"/>
      <c r="E173" s="346"/>
      <c r="F173" s="346"/>
      <c r="G173" s="346"/>
      <c r="H173" s="346"/>
      <c r="I173" s="346"/>
      <c r="J173" s="346"/>
      <c r="K173" s="346"/>
      <c r="L173" s="346"/>
      <c r="M173" s="346"/>
      <c r="N173" s="346"/>
      <c r="O173" s="346"/>
      <c r="P173" s="346"/>
      <c r="Q173" s="346"/>
      <c r="R173" s="346"/>
      <c r="S173" s="346"/>
      <c r="T173" s="346"/>
      <c r="U173" s="346"/>
      <c r="V173" s="346"/>
      <c r="W173" s="346"/>
      <c r="X173" s="346"/>
      <c r="Y173" s="346"/>
      <c r="Z173" s="346">
        <f>3</f>
        <v>3</v>
      </c>
      <c r="AA173" s="346"/>
      <c r="AB173" s="346"/>
      <c r="AC173" s="346"/>
      <c r="AD173" s="346"/>
      <c r="AE173" s="346"/>
      <c r="AF173" s="346"/>
      <c r="AG173" s="346"/>
      <c r="AH173" s="346"/>
      <c r="AI173" s="346"/>
      <c r="AJ173" s="346"/>
      <c r="AK173" s="346"/>
      <c r="AL173" s="346"/>
      <c r="AM173" s="346"/>
      <c r="AN173">
        <f t="shared" si="16"/>
        <v>3</v>
      </c>
      <c r="AO173" s="351">
        <f t="shared" si="13"/>
        <v>1.7441860465116279E-2</v>
      </c>
    </row>
    <row r="174" spans="1:41">
      <c r="A174" s="165">
        <f>'Conveyor Downtime (new)'!A170</f>
        <v>46112</v>
      </c>
      <c r="AN174">
        <f t="shared" si="16"/>
        <v>0</v>
      </c>
      <c r="AO174" s="351">
        <f t="shared" si="13"/>
        <v>0</v>
      </c>
    </row>
    <row r="175" spans="1:41">
      <c r="A175" s="165">
        <f>'Conveyor Downtime (new)'!A171</f>
        <v>46112</v>
      </c>
      <c r="B175" s="346"/>
      <c r="C175" s="346"/>
      <c r="D175" s="346"/>
      <c r="E175" s="346"/>
      <c r="F175" s="346"/>
      <c r="G175" s="346"/>
      <c r="H175" s="346"/>
      <c r="I175" s="346"/>
      <c r="J175" s="346"/>
      <c r="K175" s="346"/>
      <c r="L175" s="346"/>
      <c r="M175" s="346"/>
      <c r="N175" s="346"/>
      <c r="O175" s="346"/>
      <c r="P175" s="346"/>
      <c r="Q175" s="346"/>
      <c r="R175" s="346"/>
      <c r="S175" s="346"/>
      <c r="T175" s="346"/>
      <c r="U175" s="346"/>
      <c r="V175" s="346"/>
      <c r="W175" s="346"/>
      <c r="X175" s="346"/>
      <c r="Y175" s="346"/>
      <c r="Z175" s="346"/>
      <c r="AA175" s="346"/>
      <c r="AB175" s="346"/>
      <c r="AC175" s="346"/>
      <c r="AD175" s="346"/>
      <c r="AE175" s="77"/>
      <c r="AF175" s="346"/>
      <c r="AG175" s="346"/>
      <c r="AH175" s="346"/>
      <c r="AI175" s="346"/>
      <c r="AJ175" s="346"/>
      <c r="AK175" s="346"/>
      <c r="AL175" s="346">
        <v>3</v>
      </c>
      <c r="AM175" s="346"/>
      <c r="AN175">
        <f t="shared" si="16"/>
        <v>3</v>
      </c>
      <c r="AO175" s="351">
        <f t="shared" si="13"/>
        <v>1.7441860465116279E-2</v>
      </c>
    </row>
    <row r="176" spans="1:41">
      <c r="A176" s="165">
        <f>'Conveyor Downtime (new)'!A172</f>
        <v>46112</v>
      </c>
      <c r="AN176">
        <f t="shared" si="16"/>
        <v>0</v>
      </c>
      <c r="AO176" s="351">
        <f t="shared" si="13"/>
        <v>0</v>
      </c>
    </row>
    <row r="177" spans="1:41">
      <c r="A177" s="165">
        <f>'Conveyor Downtime (new)'!A173</f>
        <v>46112</v>
      </c>
      <c r="B177" s="346"/>
      <c r="C177" s="346"/>
      <c r="D177" s="346"/>
      <c r="E177" s="346"/>
      <c r="F177" s="346"/>
      <c r="G177" s="346"/>
      <c r="H177" s="346"/>
      <c r="I177" s="346"/>
      <c r="J177" s="346"/>
      <c r="K177" s="346"/>
      <c r="L177" s="346"/>
      <c r="M177" s="346"/>
      <c r="N177" s="346"/>
      <c r="O177" s="346"/>
      <c r="P177" s="346"/>
      <c r="Q177" s="346"/>
      <c r="R177" s="346"/>
      <c r="S177" s="346"/>
      <c r="T177" s="346"/>
      <c r="U177" s="346"/>
      <c r="V177" s="346"/>
      <c r="W177" s="346"/>
      <c r="X177" s="346"/>
      <c r="Y177" s="346"/>
      <c r="Z177" s="346">
        <f>3</f>
        <v>3</v>
      </c>
      <c r="AA177" s="346"/>
      <c r="AB177" s="346"/>
      <c r="AC177" s="346"/>
      <c r="AD177" s="346"/>
      <c r="AE177" s="346"/>
      <c r="AF177" s="346"/>
      <c r="AG177" s="346"/>
      <c r="AH177" s="346"/>
      <c r="AI177" s="346"/>
      <c r="AJ177" s="346"/>
      <c r="AK177" s="346"/>
      <c r="AL177" s="346"/>
      <c r="AM177" s="346"/>
      <c r="AN177">
        <f t="shared" si="16"/>
        <v>3</v>
      </c>
      <c r="AO177" s="351">
        <f t="shared" si="13"/>
        <v>1.7441860465116279E-2</v>
      </c>
    </row>
    <row r="178" spans="1:41">
      <c r="A178" s="165">
        <f>'Conveyor Downtime (new)'!A174</f>
        <v>0</v>
      </c>
      <c r="AN178">
        <f t="shared" si="16"/>
        <v>0</v>
      </c>
      <c r="AO178" s="351">
        <f t="shared" si="13"/>
        <v>0</v>
      </c>
    </row>
    <row r="179" spans="1:41">
      <c r="A179" s="165">
        <f>'Conveyor Downtime (new)'!A175</f>
        <v>0</v>
      </c>
      <c r="B179" s="346"/>
      <c r="C179" s="346"/>
      <c r="D179" s="346"/>
      <c r="E179" s="346"/>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s="346"/>
      <c r="AE179" s="346"/>
      <c r="AF179" s="346"/>
      <c r="AG179" s="346"/>
      <c r="AH179" s="346"/>
      <c r="AI179" s="346"/>
      <c r="AJ179" s="346"/>
      <c r="AK179" s="346"/>
      <c r="AL179" s="346"/>
      <c r="AM179" s="346"/>
      <c r="AN179">
        <f t="shared" si="16"/>
        <v>0</v>
      </c>
      <c r="AO179" s="351">
        <f t="shared" si="13"/>
        <v>0</v>
      </c>
    </row>
    <row r="180" spans="1:41">
      <c r="A180" s="165"/>
      <c r="AN180">
        <f t="shared" si="16"/>
        <v>0</v>
      </c>
      <c r="AO180" s="351">
        <f t="shared" si="13"/>
        <v>0</v>
      </c>
    </row>
    <row r="181" spans="1:41">
      <c r="A181" s="165"/>
      <c r="B181" s="346"/>
      <c r="C181" s="346"/>
      <c r="D181" s="346"/>
      <c r="E181" s="346"/>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s="346"/>
      <c r="AE181" s="346"/>
      <c r="AF181" s="346"/>
      <c r="AG181" s="346"/>
      <c r="AH181" s="346"/>
      <c r="AI181" s="346"/>
      <c r="AJ181" s="346"/>
      <c r="AK181" s="346"/>
      <c r="AL181" s="346"/>
      <c r="AM181" s="346"/>
      <c r="AN181">
        <f t="shared" si="16"/>
        <v>0</v>
      </c>
      <c r="AO181" s="351">
        <f t="shared" si="13"/>
        <v>0</v>
      </c>
    </row>
    <row r="182" spans="1:41" ht="15">
      <c r="A182" s="347" t="s">
        <v>173</v>
      </c>
      <c r="B182" s="347">
        <f>SUM(B127:B181)</f>
        <v>38</v>
      </c>
      <c r="C182" s="347">
        <f t="shared" ref="C182:AL182" si="17">SUM(C127:C181)</f>
        <v>17</v>
      </c>
      <c r="D182" s="347">
        <f t="shared" si="17"/>
        <v>26</v>
      </c>
      <c r="E182" s="347">
        <f t="shared" si="17"/>
        <v>3</v>
      </c>
      <c r="F182" s="347">
        <f t="shared" si="17"/>
        <v>97</v>
      </c>
      <c r="G182" s="347">
        <f t="shared" si="17"/>
        <v>0</v>
      </c>
      <c r="H182" s="347">
        <f t="shared" si="17"/>
        <v>0</v>
      </c>
      <c r="I182" s="347">
        <f t="shared" si="17"/>
        <v>4</v>
      </c>
      <c r="J182" s="347">
        <f t="shared" si="17"/>
        <v>0</v>
      </c>
      <c r="K182" s="347">
        <f t="shared" si="17"/>
        <v>0</v>
      </c>
      <c r="L182" s="347">
        <f t="shared" si="17"/>
        <v>0</v>
      </c>
      <c r="M182" s="347">
        <f t="shared" si="17"/>
        <v>0</v>
      </c>
      <c r="N182" s="347">
        <f t="shared" si="17"/>
        <v>0</v>
      </c>
      <c r="O182" s="347">
        <f t="shared" si="17"/>
        <v>0</v>
      </c>
      <c r="P182" s="347">
        <f t="shared" si="17"/>
        <v>0</v>
      </c>
      <c r="Q182" s="347">
        <f t="shared" si="17"/>
        <v>35</v>
      </c>
      <c r="R182" s="347">
        <f t="shared" si="17"/>
        <v>0</v>
      </c>
      <c r="S182" s="347">
        <f t="shared" si="17"/>
        <v>0</v>
      </c>
      <c r="T182" s="347">
        <f t="shared" si="17"/>
        <v>0</v>
      </c>
      <c r="U182" s="347">
        <f t="shared" si="17"/>
        <v>0</v>
      </c>
      <c r="V182" s="347">
        <f t="shared" si="17"/>
        <v>0</v>
      </c>
      <c r="W182" s="347">
        <f t="shared" si="17"/>
        <v>0</v>
      </c>
      <c r="X182" s="347">
        <f t="shared" si="17"/>
        <v>0</v>
      </c>
      <c r="Y182" s="347">
        <f t="shared" si="17"/>
        <v>0</v>
      </c>
      <c r="Z182" s="347">
        <f>SUM(Z127:Z181)</f>
        <v>50</v>
      </c>
      <c r="AA182" s="347">
        <f>SUM(AA127:AA181)</f>
        <v>8</v>
      </c>
      <c r="AB182" s="347">
        <f t="shared" si="17"/>
        <v>0</v>
      </c>
      <c r="AC182" s="347">
        <f t="shared" si="17"/>
        <v>0</v>
      </c>
      <c r="AD182" s="347">
        <f t="shared" si="17"/>
        <v>0</v>
      </c>
      <c r="AE182" s="347">
        <f t="shared" si="17"/>
        <v>0</v>
      </c>
      <c r="AF182" s="347">
        <f t="shared" si="17"/>
        <v>0</v>
      </c>
      <c r="AG182" s="347">
        <f t="shared" si="17"/>
        <v>0</v>
      </c>
      <c r="AH182" s="347">
        <f t="shared" si="17"/>
        <v>0</v>
      </c>
      <c r="AI182" s="347">
        <f t="shared" si="17"/>
        <v>0</v>
      </c>
      <c r="AJ182" s="347">
        <f t="shared" si="17"/>
        <v>0</v>
      </c>
      <c r="AK182" s="347">
        <f t="shared" si="17"/>
        <v>0</v>
      </c>
      <c r="AL182" s="347">
        <f t="shared" si="17"/>
        <v>18</v>
      </c>
      <c r="AM182" s="347">
        <f>SUM(AM127:AM181)</f>
        <v>0</v>
      </c>
      <c r="AN182" s="347">
        <f>SUM(AN127:AN181)</f>
        <v>296</v>
      </c>
    </row>
    <row r="183" spans="1:41" ht="15.75" thickBot="1">
      <c r="A183" s="348" t="s">
        <v>174</v>
      </c>
      <c r="B183" s="348">
        <f t="shared" ref="B183:AL183" si="18">B182/$AN182</f>
        <v>0.12837837837837837</v>
      </c>
      <c r="C183" s="348">
        <f t="shared" si="18"/>
        <v>5.7432432432432436E-2</v>
      </c>
      <c r="D183" s="348">
        <f t="shared" si="18"/>
        <v>8.7837837837837843E-2</v>
      </c>
      <c r="E183" s="348">
        <f t="shared" si="18"/>
        <v>1.0135135135135136E-2</v>
      </c>
      <c r="F183" s="348">
        <f t="shared" si="18"/>
        <v>0.32770270270270269</v>
      </c>
      <c r="G183" s="348">
        <f t="shared" si="18"/>
        <v>0</v>
      </c>
      <c r="H183" s="348">
        <f t="shared" si="18"/>
        <v>0</v>
      </c>
      <c r="I183" s="348">
        <f t="shared" si="18"/>
        <v>1.3513513513513514E-2</v>
      </c>
      <c r="J183" s="348">
        <f t="shared" si="18"/>
        <v>0</v>
      </c>
      <c r="K183" s="348">
        <f t="shared" si="18"/>
        <v>0</v>
      </c>
      <c r="L183" s="348">
        <f t="shared" si="18"/>
        <v>0</v>
      </c>
      <c r="M183" s="348">
        <f t="shared" si="18"/>
        <v>0</v>
      </c>
      <c r="N183" s="348">
        <f t="shared" si="18"/>
        <v>0</v>
      </c>
      <c r="O183" s="348">
        <f t="shared" si="18"/>
        <v>0</v>
      </c>
      <c r="P183" s="348">
        <f t="shared" si="18"/>
        <v>0</v>
      </c>
      <c r="Q183" s="348">
        <f t="shared" si="18"/>
        <v>0.11824324324324324</v>
      </c>
      <c r="R183" s="348">
        <f t="shared" si="18"/>
        <v>0</v>
      </c>
      <c r="S183" s="348">
        <f t="shared" si="18"/>
        <v>0</v>
      </c>
      <c r="T183" s="348">
        <f t="shared" si="18"/>
        <v>0</v>
      </c>
      <c r="U183" s="348">
        <f t="shared" si="18"/>
        <v>0</v>
      </c>
      <c r="V183" s="348">
        <f t="shared" si="18"/>
        <v>0</v>
      </c>
      <c r="W183" s="348">
        <f t="shared" si="18"/>
        <v>0</v>
      </c>
      <c r="X183" s="348">
        <f t="shared" si="18"/>
        <v>0</v>
      </c>
      <c r="Y183" s="348">
        <f t="shared" si="18"/>
        <v>0</v>
      </c>
      <c r="Z183" s="348">
        <f t="shared" si="18"/>
        <v>0.16891891891891891</v>
      </c>
      <c r="AA183" s="348">
        <f t="shared" si="18"/>
        <v>2.7027027027027029E-2</v>
      </c>
      <c r="AB183" s="348">
        <f t="shared" si="18"/>
        <v>0</v>
      </c>
      <c r="AC183" s="348">
        <f t="shared" si="18"/>
        <v>0</v>
      </c>
      <c r="AD183" s="348">
        <f t="shared" si="18"/>
        <v>0</v>
      </c>
      <c r="AE183" s="348">
        <f t="shared" si="18"/>
        <v>0</v>
      </c>
      <c r="AF183" s="348">
        <f t="shared" si="18"/>
        <v>0</v>
      </c>
      <c r="AG183" s="348">
        <f t="shared" si="18"/>
        <v>0</v>
      </c>
      <c r="AH183" s="348">
        <f t="shared" si="18"/>
        <v>0</v>
      </c>
      <c r="AI183" s="348">
        <f t="shared" si="18"/>
        <v>0</v>
      </c>
      <c r="AJ183" s="348">
        <f t="shared" si="18"/>
        <v>0</v>
      </c>
      <c r="AK183" s="348">
        <f t="shared" si="18"/>
        <v>0</v>
      </c>
      <c r="AL183" s="348">
        <f t="shared" si="18"/>
        <v>6.0810810810810814E-2</v>
      </c>
      <c r="AM183" s="348">
        <f>AM182/$AN182</f>
        <v>0</v>
      </c>
    </row>
    <row r="186" spans="1:41">
      <c r="A186" s="165">
        <f>'Conveyor Downtime (new)'!A187</f>
        <v>46113</v>
      </c>
      <c r="AN186">
        <f t="shared" ref="AN186:AN217" si="19">SUM(B186:AM186)</f>
        <v>0</v>
      </c>
      <c r="AO186" s="351">
        <f t="shared" ref="AO186:AO216" si="20">AN186/$AN$241</f>
        <v>0</v>
      </c>
    </row>
    <row r="187" spans="1:41">
      <c r="A187" s="165">
        <f>'Conveyor Downtime (new)'!A188</f>
        <v>46113</v>
      </c>
      <c r="B187" s="346"/>
      <c r="C187" s="346"/>
      <c r="D187" s="346"/>
      <c r="E187" s="346"/>
      <c r="F187" s="346"/>
      <c r="G187" s="346"/>
      <c r="H187" s="346"/>
      <c r="I187" s="346"/>
      <c r="J187" s="346"/>
      <c r="K187" s="346"/>
      <c r="L187" s="346"/>
      <c r="M187" s="346"/>
      <c r="N187" s="346"/>
      <c r="O187" s="346"/>
      <c r="P187" s="346"/>
      <c r="Q187" s="346"/>
      <c r="R187" s="346"/>
      <c r="S187" s="346"/>
      <c r="T187" s="346"/>
      <c r="U187" s="346"/>
      <c r="V187" s="346"/>
      <c r="W187" s="346"/>
      <c r="X187" s="346"/>
      <c r="Y187" s="346"/>
      <c r="Z187" s="346"/>
      <c r="AA187" s="346"/>
      <c r="AB187" s="346"/>
      <c r="AC187" s="346"/>
      <c r="AD187" s="346"/>
      <c r="AE187" s="346"/>
      <c r="AF187" s="346"/>
      <c r="AG187" s="346"/>
      <c r="AH187" s="346"/>
      <c r="AI187" s="346"/>
      <c r="AJ187" s="346"/>
      <c r="AK187" s="346"/>
      <c r="AL187" s="346"/>
      <c r="AM187" s="346"/>
      <c r="AN187">
        <f t="shared" si="19"/>
        <v>0</v>
      </c>
      <c r="AO187" s="351">
        <f t="shared" si="20"/>
        <v>0</v>
      </c>
    </row>
    <row r="188" spans="1:41">
      <c r="A188" s="165">
        <f>'Conveyor Downtime (new)'!A189</f>
        <v>46113</v>
      </c>
      <c r="AN188">
        <f t="shared" si="19"/>
        <v>0</v>
      </c>
      <c r="AO188" s="351">
        <f t="shared" si="20"/>
        <v>0</v>
      </c>
    </row>
    <row r="189" spans="1:41">
      <c r="A189" s="165">
        <f>'Conveyor Downtime (new)'!A190</f>
        <v>46114</v>
      </c>
      <c r="B189" s="346"/>
      <c r="C189" s="346"/>
      <c r="D189" s="346"/>
      <c r="E189" s="346"/>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s="346"/>
      <c r="AL189" s="346"/>
      <c r="AM189" s="346"/>
      <c r="AN189">
        <f t="shared" si="19"/>
        <v>0</v>
      </c>
      <c r="AO189" s="351">
        <f t="shared" si="20"/>
        <v>0</v>
      </c>
    </row>
    <row r="190" spans="1:41">
      <c r="A190" s="165">
        <f>'Conveyor Downtime (new)'!A191</f>
        <v>46114</v>
      </c>
      <c r="AN190">
        <f t="shared" si="19"/>
        <v>0</v>
      </c>
      <c r="AO190" s="351">
        <f t="shared" si="20"/>
        <v>0</v>
      </c>
    </row>
    <row r="191" spans="1:41">
      <c r="A191" s="165">
        <f>'Conveyor Downtime (new)'!A192</f>
        <v>46119</v>
      </c>
      <c r="B191" s="346"/>
      <c r="C191" s="346"/>
      <c r="D191" s="346"/>
      <c r="E191" s="346"/>
      <c r="F191" s="346"/>
      <c r="G191" s="346"/>
      <c r="H191" s="346"/>
      <c r="I191" s="346"/>
      <c r="J191" s="346"/>
      <c r="K191" s="346"/>
      <c r="L191" s="346"/>
      <c r="M191" s="346"/>
      <c r="N191" s="346"/>
      <c r="O191" s="346"/>
      <c r="P191" s="346"/>
      <c r="Q191" s="346"/>
      <c r="R191" s="346"/>
      <c r="S191" s="346"/>
      <c r="T191" s="346"/>
      <c r="U191" s="346"/>
      <c r="V191" s="346"/>
      <c r="W191" s="346"/>
      <c r="X191" s="346"/>
      <c r="Y191" s="346"/>
      <c r="Z191" s="346"/>
      <c r="AA191" s="346"/>
      <c r="AB191" s="346"/>
      <c r="AC191" s="346"/>
      <c r="AD191" s="346"/>
      <c r="AE191" s="346"/>
      <c r="AF191" s="346"/>
      <c r="AG191" s="346"/>
      <c r="AH191" s="346"/>
      <c r="AI191" s="346"/>
      <c r="AJ191" s="346"/>
      <c r="AK191" s="346"/>
      <c r="AL191" s="346"/>
      <c r="AM191" s="346"/>
      <c r="AN191">
        <f t="shared" si="19"/>
        <v>0</v>
      </c>
      <c r="AO191" s="351">
        <f t="shared" si="20"/>
        <v>0</v>
      </c>
    </row>
    <row r="192" spans="1:41">
      <c r="A192" s="165">
        <f>'Conveyor Downtime (new)'!A193</f>
        <v>46119</v>
      </c>
      <c r="AN192">
        <f t="shared" si="19"/>
        <v>0</v>
      </c>
      <c r="AO192" s="351">
        <f t="shared" si="20"/>
        <v>0</v>
      </c>
    </row>
    <row r="193" spans="1:41">
      <c r="A193" s="165">
        <f>'Conveyor Downtime (new)'!A194</f>
        <v>46120</v>
      </c>
      <c r="B193" s="346"/>
      <c r="C193" s="346"/>
      <c r="D193" s="346"/>
      <c r="E193" s="346"/>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346"/>
      <c r="AK193" s="346"/>
      <c r="AL193" s="346">
        <v>4</v>
      </c>
      <c r="AM193" s="346"/>
      <c r="AN193">
        <f t="shared" si="19"/>
        <v>4</v>
      </c>
      <c r="AO193" s="351">
        <f t="shared" si="20"/>
        <v>7.3937153419593345E-3</v>
      </c>
    </row>
    <row r="194" spans="1:41">
      <c r="A194" s="165">
        <f>'Conveyor Downtime (new)'!A195</f>
        <v>46120</v>
      </c>
      <c r="AN194">
        <f t="shared" si="19"/>
        <v>0</v>
      </c>
      <c r="AO194" s="351">
        <f t="shared" si="20"/>
        <v>0</v>
      </c>
    </row>
    <row r="195" spans="1:41">
      <c r="A195" s="165">
        <f>'Conveyor Downtime (new)'!A196</f>
        <v>46121</v>
      </c>
      <c r="B195" s="346">
        <f>2+4</f>
        <v>6</v>
      </c>
      <c r="C195" s="346"/>
      <c r="D195" s="346"/>
      <c r="E195" s="346"/>
      <c r="F195" s="346"/>
      <c r="G195" s="346"/>
      <c r="H195" s="346"/>
      <c r="I195" s="346"/>
      <c r="J195" s="346"/>
      <c r="K195" s="346"/>
      <c r="L195" s="346"/>
      <c r="M195" s="346"/>
      <c r="N195" s="346"/>
      <c r="O195" s="346"/>
      <c r="P195" s="346"/>
      <c r="Q195" s="346"/>
      <c r="R195" s="346"/>
      <c r="S195" s="346"/>
      <c r="T195" s="346"/>
      <c r="U195" s="346"/>
      <c r="V195" s="346"/>
      <c r="W195" s="346"/>
      <c r="X195" s="346"/>
      <c r="Y195" s="346"/>
      <c r="Z195" s="77"/>
      <c r="AA195" s="346"/>
      <c r="AB195" s="346"/>
      <c r="AC195" s="346"/>
      <c r="AD195" s="346"/>
      <c r="AE195" s="346"/>
      <c r="AF195" s="346"/>
      <c r="AG195" s="346"/>
      <c r="AH195" s="346"/>
      <c r="AI195" s="346"/>
      <c r="AJ195" s="346"/>
      <c r="AK195" s="346"/>
      <c r="AL195" s="346"/>
      <c r="AM195" s="346"/>
      <c r="AN195">
        <f t="shared" si="19"/>
        <v>6</v>
      </c>
      <c r="AO195" s="351">
        <f t="shared" si="20"/>
        <v>1.1090573012939002E-2</v>
      </c>
    </row>
    <row r="196" spans="1:41">
      <c r="A196" s="165">
        <f>'Conveyor Downtime (new)'!A197</f>
        <v>46122</v>
      </c>
      <c r="D196">
        <f>3</f>
        <v>3</v>
      </c>
      <c r="AH196">
        <f>2</f>
        <v>2</v>
      </c>
      <c r="AN196">
        <f t="shared" si="19"/>
        <v>5</v>
      </c>
      <c r="AO196" s="351">
        <f t="shared" si="20"/>
        <v>9.242144177449169E-3</v>
      </c>
    </row>
    <row r="197" spans="1:41">
      <c r="A197" s="165">
        <f>'Conveyor Downtime (new)'!A198</f>
        <v>46125</v>
      </c>
      <c r="B197" s="346"/>
      <c r="C197" s="346"/>
      <c r="D197" s="346"/>
      <c r="E197" s="346"/>
      <c r="F197" s="346"/>
      <c r="G197" s="346"/>
      <c r="H197" s="346"/>
      <c r="I197" s="346"/>
      <c r="J197" s="346"/>
      <c r="K197" s="346"/>
      <c r="L197" s="346"/>
      <c r="M197" s="346"/>
      <c r="N197" s="346"/>
      <c r="O197" s="346"/>
      <c r="P197" s="346"/>
      <c r="Q197" s="346"/>
      <c r="R197" s="346"/>
      <c r="S197" s="346"/>
      <c r="T197" s="346"/>
      <c r="U197" s="346"/>
      <c r="V197" s="346"/>
      <c r="W197" s="346"/>
      <c r="X197" s="346"/>
      <c r="Y197" s="346"/>
      <c r="Z197" s="346"/>
      <c r="AA197" s="346"/>
      <c r="AB197" s="346"/>
      <c r="AC197" s="346"/>
      <c r="AD197" s="346"/>
      <c r="AE197" s="346"/>
      <c r="AF197" s="346"/>
      <c r="AG197" s="346"/>
      <c r="AH197" s="346"/>
      <c r="AI197" s="346"/>
      <c r="AJ197" s="346"/>
      <c r="AK197" s="346"/>
      <c r="AL197" s="346"/>
      <c r="AM197" s="346"/>
      <c r="AN197">
        <f t="shared" si="19"/>
        <v>0</v>
      </c>
      <c r="AO197" s="351">
        <f t="shared" si="20"/>
        <v>0</v>
      </c>
    </row>
    <row r="198" spans="1:41">
      <c r="A198" s="165">
        <f>'Conveyor Downtime (new)'!A199</f>
        <v>46125</v>
      </c>
      <c r="B198">
        <f>3</f>
        <v>3</v>
      </c>
      <c r="C198">
        <f>5</f>
        <v>5</v>
      </c>
      <c r="AN198">
        <f t="shared" si="19"/>
        <v>8</v>
      </c>
      <c r="AO198" s="351">
        <f t="shared" si="20"/>
        <v>1.4787430683918669E-2</v>
      </c>
    </row>
    <row r="199" spans="1:41">
      <c r="A199" s="165">
        <f>'Conveyor Downtime (new)'!A200</f>
        <v>46126</v>
      </c>
      <c r="B199" s="346"/>
      <c r="C199" s="346"/>
      <c r="D199" s="346"/>
      <c r="E199" s="346"/>
      <c r="F199" s="346"/>
      <c r="G199" s="346"/>
      <c r="H199" s="346"/>
      <c r="I199" s="346"/>
      <c r="J199" s="346"/>
      <c r="K199" s="346"/>
      <c r="L199" s="346"/>
      <c r="M199" s="346"/>
      <c r="N199" s="346"/>
      <c r="O199" s="346"/>
      <c r="P199" s="346"/>
      <c r="Q199" s="346"/>
      <c r="R199" s="346"/>
      <c r="S199" s="346"/>
      <c r="T199" s="346"/>
      <c r="U199" s="346"/>
      <c r="V199" s="346"/>
      <c r="W199" s="346"/>
      <c r="X199" s="346"/>
      <c r="Y199" s="346"/>
      <c r="Z199" s="346"/>
      <c r="AA199" s="346"/>
      <c r="AB199" s="346"/>
      <c r="AC199" s="346"/>
      <c r="AD199" s="346"/>
      <c r="AE199" s="346"/>
      <c r="AF199" s="346"/>
      <c r="AG199" s="346"/>
      <c r="AH199" s="346"/>
      <c r="AI199" s="346"/>
      <c r="AJ199" s="346"/>
      <c r="AK199" s="346"/>
      <c r="AL199" s="346"/>
      <c r="AM199" s="346"/>
      <c r="AN199">
        <f t="shared" si="19"/>
        <v>0</v>
      </c>
      <c r="AO199" s="351">
        <f t="shared" si="20"/>
        <v>0</v>
      </c>
    </row>
    <row r="200" spans="1:41">
      <c r="A200" s="165">
        <f>'Conveyor Downtime (new)'!A201</f>
        <v>46126</v>
      </c>
      <c r="AN200">
        <f t="shared" si="19"/>
        <v>0</v>
      </c>
      <c r="AO200" s="351">
        <f t="shared" si="20"/>
        <v>0</v>
      </c>
    </row>
    <row r="201" spans="1:41">
      <c r="A201" s="165">
        <f>'Conveyor Downtime (new)'!A202</f>
        <v>46126</v>
      </c>
      <c r="B201" s="346"/>
      <c r="C201" s="346"/>
      <c r="D201" s="346"/>
      <c r="E201" s="346"/>
      <c r="F201" s="346"/>
      <c r="G201" s="346"/>
      <c r="H201" s="346"/>
      <c r="I201" s="346"/>
      <c r="J201" s="346"/>
      <c r="K201" s="346"/>
      <c r="L201" s="346"/>
      <c r="M201" s="346"/>
      <c r="N201" s="346"/>
      <c r="O201" s="346"/>
      <c r="P201" s="346"/>
      <c r="Q201" s="346">
        <f>38+22+36+30</f>
        <v>126</v>
      </c>
      <c r="R201" s="346">
        <v>13</v>
      </c>
      <c r="S201" s="346"/>
      <c r="T201" s="346"/>
      <c r="U201" s="346"/>
      <c r="V201" s="346"/>
      <c r="W201" s="346"/>
      <c r="X201" s="346"/>
      <c r="Y201" s="346"/>
      <c r="Z201" s="346"/>
      <c r="AA201" s="346"/>
      <c r="AB201" s="346"/>
      <c r="AC201" s="346"/>
      <c r="AD201" s="346"/>
      <c r="AE201" s="346"/>
      <c r="AF201" s="346"/>
      <c r="AG201" s="346"/>
      <c r="AH201" s="346"/>
      <c r="AI201" s="346"/>
      <c r="AJ201" s="346"/>
      <c r="AK201" s="346"/>
      <c r="AL201" s="346"/>
      <c r="AM201" s="346"/>
      <c r="AN201">
        <f t="shared" si="19"/>
        <v>139</v>
      </c>
      <c r="AO201" s="351">
        <f t="shared" si="20"/>
        <v>0.25693160813308685</v>
      </c>
    </row>
    <row r="202" spans="1:41">
      <c r="A202" s="165">
        <f>'Conveyor Downtime (new)'!A203</f>
        <v>46126</v>
      </c>
      <c r="AN202">
        <f t="shared" si="19"/>
        <v>0</v>
      </c>
      <c r="AO202" s="351">
        <f t="shared" si="20"/>
        <v>0</v>
      </c>
    </row>
    <row r="203" spans="1:41">
      <c r="A203" s="165">
        <f>'Conveyor Downtime (new)'!A204</f>
        <v>46127</v>
      </c>
      <c r="B203" s="346"/>
      <c r="C203" s="346"/>
      <c r="D203" s="346"/>
      <c r="E203" s="346"/>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s="346"/>
      <c r="AL203" s="346"/>
      <c r="AM203" s="346"/>
      <c r="AN203">
        <f t="shared" si="19"/>
        <v>0</v>
      </c>
      <c r="AO203" s="351">
        <f t="shared" si="20"/>
        <v>0</v>
      </c>
    </row>
    <row r="204" spans="1:41">
      <c r="A204" s="165">
        <f>'Conveyor Downtime (new)'!A205</f>
        <v>46127</v>
      </c>
      <c r="AN204">
        <f t="shared" si="19"/>
        <v>0</v>
      </c>
      <c r="AO204" s="351">
        <f t="shared" si="20"/>
        <v>0</v>
      </c>
    </row>
    <row r="205" spans="1:41">
      <c r="A205" s="165">
        <f>'Conveyor Downtime (new)'!A206</f>
        <v>46127</v>
      </c>
      <c r="B205" s="346"/>
      <c r="C205" s="346"/>
      <c r="D205" s="346"/>
      <c r="E205" s="346"/>
      <c r="F205" s="346"/>
      <c r="G205" s="346"/>
      <c r="H205" s="346"/>
      <c r="I205" s="346"/>
      <c r="J205" s="346"/>
      <c r="K205" s="346"/>
      <c r="L205" s="346"/>
      <c r="M205" s="346"/>
      <c r="N205" s="346"/>
      <c r="O205" s="346"/>
      <c r="P205" s="346"/>
      <c r="Q205" s="346"/>
      <c r="R205" s="346"/>
      <c r="S205" s="346"/>
      <c r="T205" s="346"/>
      <c r="U205" s="346"/>
      <c r="V205" s="346"/>
      <c r="W205" s="346"/>
      <c r="X205" s="346"/>
      <c r="Y205" s="346"/>
      <c r="Z205" s="346"/>
      <c r="AA205" s="346"/>
      <c r="AB205" s="346"/>
      <c r="AC205" s="346"/>
      <c r="AD205" s="346"/>
      <c r="AE205" s="346"/>
      <c r="AF205" s="346"/>
      <c r="AG205" s="346"/>
      <c r="AH205" s="346"/>
      <c r="AI205" s="346"/>
      <c r="AJ205" s="346"/>
      <c r="AK205" s="346"/>
      <c r="AL205" s="346"/>
      <c r="AM205" s="346"/>
      <c r="AN205">
        <f t="shared" si="19"/>
        <v>0</v>
      </c>
      <c r="AO205" s="351">
        <f t="shared" si="20"/>
        <v>0</v>
      </c>
    </row>
    <row r="206" spans="1:41">
      <c r="A206" s="165">
        <f>'Conveyor Downtime (new)'!A207</f>
        <v>46128</v>
      </c>
      <c r="B206">
        <f>4+4</f>
        <v>8</v>
      </c>
      <c r="AN206">
        <f t="shared" si="19"/>
        <v>8</v>
      </c>
      <c r="AO206" s="351">
        <f t="shared" si="20"/>
        <v>1.4787430683918669E-2</v>
      </c>
    </row>
    <row r="207" spans="1:41">
      <c r="A207" s="165">
        <f>'Conveyor Downtime (new)'!A208</f>
        <v>46128</v>
      </c>
      <c r="B207" s="346"/>
      <c r="C207" s="346"/>
      <c r="D207" s="346"/>
      <c r="E207" s="346"/>
      <c r="F207" s="346"/>
      <c r="G207" s="346"/>
      <c r="H207" s="346"/>
      <c r="I207" s="346"/>
      <c r="J207" s="346"/>
      <c r="K207" s="346"/>
      <c r="L207" s="346"/>
      <c r="M207" s="346"/>
      <c r="N207" s="346"/>
      <c r="O207" s="346"/>
      <c r="P207" s="346"/>
      <c r="Q207" s="346"/>
      <c r="R207" s="346"/>
      <c r="S207" s="346"/>
      <c r="T207" s="346"/>
      <c r="U207" s="346"/>
      <c r="V207" s="346"/>
      <c r="W207" s="346"/>
      <c r="X207" s="346"/>
      <c r="Y207" s="346"/>
      <c r="Z207" s="346"/>
      <c r="AA207" s="346"/>
      <c r="AB207" s="346"/>
      <c r="AC207" s="346"/>
      <c r="AD207" s="346"/>
      <c r="AE207" s="346"/>
      <c r="AF207" s="346"/>
      <c r="AG207" s="346"/>
      <c r="AH207" s="346"/>
      <c r="AI207" s="346"/>
      <c r="AJ207" s="346"/>
      <c r="AK207" s="346"/>
      <c r="AL207" s="346">
        <v>3</v>
      </c>
      <c r="AM207" s="346"/>
      <c r="AN207">
        <f t="shared" si="19"/>
        <v>3</v>
      </c>
      <c r="AO207" s="351">
        <f t="shared" si="20"/>
        <v>5.5452865064695009E-3</v>
      </c>
    </row>
    <row r="208" spans="1:41">
      <c r="A208" s="165">
        <f>'Conveyor Downtime (new)'!A209</f>
        <v>46129</v>
      </c>
      <c r="AN208">
        <f t="shared" si="19"/>
        <v>0</v>
      </c>
      <c r="AO208" s="351">
        <f t="shared" si="20"/>
        <v>0</v>
      </c>
    </row>
    <row r="209" spans="1:41">
      <c r="A209" s="165">
        <f>'Conveyor Downtime (new)'!A210</f>
        <v>46129</v>
      </c>
      <c r="B209" s="346"/>
      <c r="C209" s="346"/>
      <c r="D209" s="346"/>
      <c r="E209" s="346"/>
      <c r="F209" s="346"/>
      <c r="G209" s="346"/>
      <c r="H209" s="346"/>
      <c r="I209" s="346"/>
      <c r="J209" s="346"/>
      <c r="K209" s="346"/>
      <c r="L209" s="346"/>
      <c r="M209" s="346"/>
      <c r="N209" s="346"/>
      <c r="O209" s="346"/>
      <c r="P209" s="346"/>
      <c r="Q209" s="346"/>
      <c r="R209" s="346"/>
      <c r="S209" s="346"/>
      <c r="T209" s="346"/>
      <c r="U209" s="346"/>
      <c r="V209" s="346"/>
      <c r="W209" s="346"/>
      <c r="X209" s="346"/>
      <c r="Y209" s="346"/>
      <c r="Z209" s="346"/>
      <c r="AA209" s="346">
        <f>15+19</f>
        <v>34</v>
      </c>
      <c r="AB209" s="346"/>
      <c r="AC209" s="346"/>
      <c r="AD209" s="346"/>
      <c r="AE209" s="346"/>
      <c r="AF209" s="346"/>
      <c r="AG209" s="346"/>
      <c r="AH209" s="346"/>
      <c r="AI209" s="346"/>
      <c r="AJ209" s="346"/>
      <c r="AK209" s="346"/>
      <c r="AL209" s="346"/>
      <c r="AM209" s="346"/>
      <c r="AN209">
        <f t="shared" si="19"/>
        <v>34</v>
      </c>
      <c r="AO209" s="351">
        <f t="shared" si="20"/>
        <v>6.2846580406654348E-2</v>
      </c>
    </row>
    <row r="210" spans="1:41">
      <c r="A210" s="165">
        <f>'Conveyor Downtime (new)'!A211</f>
        <v>46132</v>
      </c>
      <c r="AN210">
        <f t="shared" si="19"/>
        <v>0</v>
      </c>
      <c r="AO210" s="351">
        <f t="shared" si="20"/>
        <v>0</v>
      </c>
    </row>
    <row r="211" spans="1:41">
      <c r="A211" s="165">
        <f>'Conveyor Downtime (new)'!A212</f>
        <v>46132</v>
      </c>
      <c r="B211" s="346"/>
      <c r="C211" s="346"/>
      <c r="D211" s="346"/>
      <c r="E211" s="346"/>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346"/>
      <c r="AL211" s="346"/>
      <c r="AM211" s="346"/>
      <c r="AN211">
        <f t="shared" si="19"/>
        <v>0</v>
      </c>
      <c r="AO211" s="351">
        <f t="shared" si="20"/>
        <v>0</v>
      </c>
    </row>
    <row r="212" spans="1:41">
      <c r="A212" s="165">
        <f>'Conveyor Downtime (new)'!A213</f>
        <v>46132</v>
      </c>
      <c r="B212" s="346"/>
      <c r="C212" s="346"/>
      <c r="D212" s="346"/>
      <c r="E212" s="346"/>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s="346"/>
      <c r="AE212" s="346">
        <f>36</f>
        <v>36</v>
      </c>
      <c r="AF212" s="346"/>
      <c r="AG212" s="346"/>
      <c r="AH212" s="346"/>
      <c r="AI212" s="346"/>
      <c r="AJ212" s="346"/>
      <c r="AK212" s="346"/>
      <c r="AL212" s="346"/>
      <c r="AM212" s="346"/>
      <c r="AN212">
        <f t="shared" si="19"/>
        <v>36</v>
      </c>
      <c r="AO212" s="351">
        <f t="shared" si="20"/>
        <v>6.6543438077634007E-2</v>
      </c>
    </row>
    <row r="213" spans="1:41">
      <c r="A213" s="165">
        <f>'Conveyor Downtime (new)'!A214</f>
        <v>46133</v>
      </c>
      <c r="B213">
        <f>9</f>
        <v>9</v>
      </c>
      <c r="H213">
        <v>13</v>
      </c>
      <c r="AE213">
        <f>35+55</f>
        <v>90</v>
      </c>
      <c r="AL213">
        <v>12</v>
      </c>
      <c r="AN213">
        <f t="shared" si="19"/>
        <v>124</v>
      </c>
      <c r="AO213" s="351">
        <f t="shared" si="20"/>
        <v>0.22920517560073936</v>
      </c>
    </row>
    <row r="214" spans="1:41">
      <c r="A214" s="165">
        <f>'Conveyor Downtime (new)'!A215</f>
        <v>46133</v>
      </c>
      <c r="B214" s="346">
        <f>8+14+9+19+4+3+7</f>
        <v>64</v>
      </c>
      <c r="C214" s="346"/>
      <c r="D214" s="346"/>
      <c r="E214" s="346"/>
      <c r="F214" s="346"/>
      <c r="G214" s="346"/>
      <c r="H214" s="346"/>
      <c r="I214" s="346"/>
      <c r="J214" s="346"/>
      <c r="K214" s="346"/>
      <c r="L214" s="346"/>
      <c r="M214" s="346"/>
      <c r="N214" s="346"/>
      <c r="O214" s="346"/>
      <c r="P214" s="346"/>
      <c r="Q214" s="346"/>
      <c r="R214" s="346"/>
      <c r="S214" s="346"/>
      <c r="T214" s="346"/>
      <c r="U214" s="346"/>
      <c r="V214" s="346"/>
      <c r="W214" s="346"/>
      <c r="X214" s="346"/>
      <c r="Y214" s="346"/>
      <c r="Z214" s="346">
        <f>2+4</f>
        <v>6</v>
      </c>
      <c r="AA214" s="346"/>
      <c r="AB214" s="346"/>
      <c r="AC214" s="346"/>
      <c r="AD214" s="346"/>
      <c r="AE214" s="346"/>
      <c r="AF214" s="346"/>
      <c r="AG214" s="346"/>
      <c r="AH214" s="346"/>
      <c r="AI214" s="346"/>
      <c r="AJ214" s="346"/>
      <c r="AK214" s="346"/>
      <c r="AL214" s="346"/>
      <c r="AM214" s="346"/>
      <c r="AN214">
        <f t="shared" si="19"/>
        <v>70</v>
      </c>
      <c r="AO214" s="351">
        <f t="shared" si="20"/>
        <v>0.12939001848428835</v>
      </c>
    </row>
    <row r="215" spans="1:41">
      <c r="A215" s="165">
        <f>'Conveyor Downtime (new)'!A216</f>
        <v>46134</v>
      </c>
      <c r="D215">
        <v>4</v>
      </c>
      <c r="AN215">
        <f t="shared" si="19"/>
        <v>4</v>
      </c>
      <c r="AO215" s="351">
        <f t="shared" si="20"/>
        <v>7.3937153419593345E-3</v>
      </c>
    </row>
    <row r="216" spans="1:41">
      <c r="A216" s="165">
        <f>'Conveyor Downtime (new)'!A217</f>
        <v>46134</v>
      </c>
      <c r="B216" s="346">
        <f>5</f>
        <v>5</v>
      </c>
      <c r="C216" s="346"/>
      <c r="D216" s="346">
        <f>1</f>
        <v>1</v>
      </c>
      <c r="E216" s="346"/>
      <c r="F216" s="346"/>
      <c r="G216" s="346"/>
      <c r="H216" s="346"/>
      <c r="I216" s="346"/>
      <c r="J216" s="346"/>
      <c r="K216" s="346"/>
      <c r="L216" s="346"/>
      <c r="M216" s="346"/>
      <c r="N216" s="346"/>
      <c r="O216" s="346"/>
      <c r="P216" s="346"/>
      <c r="Q216" s="346"/>
      <c r="R216" s="346"/>
      <c r="S216" s="346"/>
      <c r="T216" s="346"/>
      <c r="U216" s="346"/>
      <c r="V216" s="346"/>
      <c r="W216" s="346"/>
      <c r="X216" s="346"/>
      <c r="Y216" s="346"/>
      <c r="Z216" s="346"/>
      <c r="AA216" s="346"/>
      <c r="AB216" s="346"/>
      <c r="AC216" s="346"/>
      <c r="AD216" s="346"/>
      <c r="AE216" s="346"/>
      <c r="AF216" s="346"/>
      <c r="AG216" s="346"/>
      <c r="AH216" s="346"/>
      <c r="AI216" s="346"/>
      <c r="AJ216" s="346"/>
      <c r="AK216" s="346"/>
      <c r="AL216" s="346"/>
      <c r="AM216" s="346"/>
      <c r="AN216">
        <f t="shared" si="19"/>
        <v>6</v>
      </c>
      <c r="AO216" s="351">
        <f t="shared" si="20"/>
        <v>1.1090573012939002E-2</v>
      </c>
    </row>
    <row r="217" spans="1:41">
      <c r="A217" s="165">
        <f>'Conveyor Downtime (new)'!A218</f>
        <v>46135</v>
      </c>
      <c r="AL217">
        <f>12</f>
        <v>12</v>
      </c>
      <c r="AN217">
        <f t="shared" si="19"/>
        <v>12</v>
      </c>
      <c r="AO217" s="351">
        <f t="shared" ref="AO217:AO227" si="21">AN217/$AN$241</f>
        <v>2.2181146025878003E-2</v>
      </c>
    </row>
    <row r="218" spans="1:41">
      <c r="A218" s="165">
        <f>'Conveyor Downtime (new)'!A219</f>
        <v>46135</v>
      </c>
      <c r="B218" s="346"/>
      <c r="C218" s="346"/>
      <c r="D218" s="346"/>
      <c r="E218" s="346"/>
      <c r="F218" s="346">
        <f>5</f>
        <v>5</v>
      </c>
      <c r="G218" s="346"/>
      <c r="H218" s="346"/>
      <c r="I218" s="346"/>
      <c r="J218" s="346"/>
      <c r="K218" s="346"/>
      <c r="L218" s="346"/>
      <c r="M218" s="346"/>
      <c r="N218" s="346"/>
      <c r="O218" s="346"/>
      <c r="P218" s="346"/>
      <c r="Q218" s="346"/>
      <c r="R218" s="346"/>
      <c r="S218" s="346"/>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f t="shared" ref="AN218:AN227" si="22">SUM(B218:AM218)</f>
        <v>5</v>
      </c>
      <c r="AO218" s="351">
        <f t="shared" si="21"/>
        <v>9.242144177449169E-3</v>
      </c>
    </row>
    <row r="219" spans="1:41">
      <c r="A219" s="165">
        <f>'Conveyor Downtime (new)'!A220</f>
        <v>46136</v>
      </c>
      <c r="F219">
        <v>3</v>
      </c>
      <c r="AN219">
        <f t="shared" si="22"/>
        <v>3</v>
      </c>
      <c r="AO219" s="351">
        <f t="shared" si="21"/>
        <v>5.5452865064695009E-3</v>
      </c>
    </row>
    <row r="220" spans="1:41">
      <c r="A220" s="165">
        <f>'Conveyor Downtime (new)'!A221</f>
        <v>46136</v>
      </c>
      <c r="B220" s="346"/>
      <c r="C220" s="346"/>
      <c r="D220" s="346"/>
      <c r="E220" s="346"/>
      <c r="F220" s="346">
        <v>3</v>
      </c>
      <c r="G220" s="346"/>
      <c r="H220" s="346"/>
      <c r="I220" s="346"/>
      <c r="J220" s="346"/>
      <c r="K220" s="346"/>
      <c r="L220" s="346"/>
      <c r="M220" s="346"/>
      <c r="N220" s="346"/>
      <c r="O220" s="346"/>
      <c r="P220" s="346"/>
      <c r="Q220" s="346"/>
      <c r="R220" s="346"/>
      <c r="S220" s="346"/>
      <c r="T220" s="346"/>
      <c r="U220" s="346"/>
      <c r="V220" s="346"/>
      <c r="W220" s="346"/>
      <c r="X220" s="346"/>
      <c r="Y220" s="346"/>
      <c r="Z220" s="346"/>
      <c r="AA220" s="346"/>
      <c r="AB220" s="346"/>
      <c r="AC220" s="346"/>
      <c r="AD220" s="346"/>
      <c r="AE220" s="346"/>
      <c r="AF220" s="346"/>
      <c r="AG220" s="346"/>
      <c r="AH220" s="346"/>
      <c r="AI220" s="346"/>
      <c r="AJ220" s="346"/>
      <c r="AK220" s="346"/>
      <c r="AL220" s="346">
        <v>12</v>
      </c>
      <c r="AM220" s="346"/>
      <c r="AN220">
        <f t="shared" si="22"/>
        <v>15</v>
      </c>
      <c r="AO220" s="351">
        <f t="shared" si="21"/>
        <v>2.7726432532347505E-2</v>
      </c>
    </row>
    <row r="221" spans="1:41">
      <c r="A221" s="165">
        <f>'Conveyor Downtime (new)'!A222</f>
        <v>46139</v>
      </c>
      <c r="AL221">
        <v>10</v>
      </c>
      <c r="AN221">
        <f t="shared" si="22"/>
        <v>10</v>
      </c>
      <c r="AO221" s="351">
        <f t="shared" si="21"/>
        <v>1.8484288354898338E-2</v>
      </c>
    </row>
    <row r="222" spans="1:41">
      <c r="A222" s="165">
        <f>'Conveyor Downtime (new)'!A223</f>
        <v>46140</v>
      </c>
      <c r="B222" s="346"/>
      <c r="C222" s="346"/>
      <c r="D222" s="346">
        <f>4</f>
        <v>4</v>
      </c>
      <c r="E222" s="346"/>
      <c r="F222" s="346"/>
      <c r="G222" s="346"/>
      <c r="H222" s="346"/>
      <c r="I222" s="346"/>
      <c r="J222" s="346"/>
      <c r="K222" s="346"/>
      <c r="L222" s="346"/>
      <c r="M222" s="346"/>
      <c r="N222" s="346"/>
      <c r="O222" s="346"/>
      <c r="P222" s="346"/>
      <c r="Q222" s="346"/>
      <c r="R222" s="346"/>
      <c r="S222" s="346"/>
      <c r="T222" s="346"/>
      <c r="U222" s="346"/>
      <c r="V222" s="346"/>
      <c r="W222" s="346"/>
      <c r="X222" s="346"/>
      <c r="Y222" s="346"/>
      <c r="Z222" s="346"/>
      <c r="AA222" s="346"/>
      <c r="AB222" s="346"/>
      <c r="AC222" s="346"/>
      <c r="AD222" s="346"/>
      <c r="AE222" s="346"/>
      <c r="AF222" s="346"/>
      <c r="AG222" s="346"/>
      <c r="AH222" s="346"/>
      <c r="AI222" s="346"/>
      <c r="AJ222" s="346"/>
      <c r="AK222" s="346"/>
      <c r="AL222" s="346">
        <f>8</f>
        <v>8</v>
      </c>
      <c r="AM222" s="346">
        <f>3</f>
        <v>3</v>
      </c>
      <c r="AN222">
        <f t="shared" si="22"/>
        <v>15</v>
      </c>
      <c r="AO222" s="351">
        <f t="shared" si="21"/>
        <v>2.7726432532347505E-2</v>
      </c>
    </row>
    <row r="223" spans="1:41">
      <c r="A223" s="165">
        <f>'Conveyor Downtime (new)'!A224</f>
        <v>46141</v>
      </c>
      <c r="B223">
        <f>2</f>
        <v>2</v>
      </c>
      <c r="D223">
        <f>2+2+3</f>
        <v>7</v>
      </c>
      <c r="AL223">
        <v>6</v>
      </c>
      <c r="AN223">
        <f t="shared" si="22"/>
        <v>15</v>
      </c>
      <c r="AO223" s="351">
        <f t="shared" si="21"/>
        <v>2.7726432532347505E-2</v>
      </c>
    </row>
    <row r="224" spans="1:41">
      <c r="A224" s="165">
        <f>'Conveyor Downtime (new)'!A225</f>
        <v>46141</v>
      </c>
      <c r="B224" s="346"/>
      <c r="C224" s="346">
        <f>2+2</f>
        <v>4</v>
      </c>
      <c r="D224" s="346"/>
      <c r="E224" s="346"/>
      <c r="F224" s="346"/>
      <c r="G224" s="346"/>
      <c r="H224" s="346"/>
      <c r="I224" s="346"/>
      <c r="J224" s="346"/>
      <c r="K224" s="346"/>
      <c r="L224" s="346"/>
      <c r="M224" s="346"/>
      <c r="N224" s="346"/>
      <c r="O224" s="346"/>
      <c r="P224" s="346"/>
      <c r="Q224" s="346"/>
      <c r="R224" s="346"/>
      <c r="S224" s="346"/>
      <c r="T224" s="346"/>
      <c r="U224" s="346"/>
      <c r="V224" s="346"/>
      <c r="W224" s="346"/>
      <c r="X224" s="346"/>
      <c r="Y224" s="346"/>
      <c r="Z224" s="346">
        <f>2</f>
        <v>2</v>
      </c>
      <c r="AA224" s="346"/>
      <c r="AB224" s="346"/>
      <c r="AC224" s="346"/>
      <c r="AD224" s="346"/>
      <c r="AE224" s="346"/>
      <c r="AF224" s="346"/>
      <c r="AG224" s="346"/>
      <c r="AH224" s="346"/>
      <c r="AI224" s="346"/>
      <c r="AJ224" s="346"/>
      <c r="AK224" s="346"/>
      <c r="AL224" s="346"/>
      <c r="AM224" s="346"/>
      <c r="AN224">
        <f t="shared" si="22"/>
        <v>6</v>
      </c>
      <c r="AO224" s="351">
        <f t="shared" si="21"/>
        <v>1.1090573012939002E-2</v>
      </c>
    </row>
    <row r="225" spans="1:41">
      <c r="A225" s="165">
        <f>'Conveyor Downtime (new)'!A226</f>
        <v>46142</v>
      </c>
      <c r="C225">
        <f>2+4+2+2+3</f>
        <v>13</v>
      </c>
      <c r="AN225">
        <f t="shared" si="22"/>
        <v>13</v>
      </c>
      <c r="AO225" s="351">
        <f t="shared" si="21"/>
        <v>2.4029574861367836E-2</v>
      </c>
    </row>
    <row r="226" spans="1:41">
      <c r="A226" s="165">
        <f>'Conveyor Downtime (new)'!A227</f>
        <v>46142</v>
      </c>
      <c r="B226" s="346"/>
      <c r="C226" s="346"/>
      <c r="D226" s="346"/>
      <c r="E226" s="346"/>
      <c r="F226" s="346"/>
      <c r="G226" s="346"/>
      <c r="H226" s="346"/>
      <c r="I226" s="346"/>
      <c r="J226" s="346"/>
      <c r="K226" s="346"/>
      <c r="L226" s="346"/>
      <c r="M226" s="346"/>
      <c r="N226" s="346"/>
      <c r="O226" s="346"/>
      <c r="P226" s="346"/>
      <c r="Q226" s="346"/>
      <c r="R226" s="346"/>
      <c r="S226" s="346"/>
      <c r="T226" s="346"/>
      <c r="U226" s="346"/>
      <c r="V226" s="346"/>
      <c r="W226" s="346"/>
      <c r="X226" s="346"/>
      <c r="Y226" s="346"/>
      <c r="Z226" s="346"/>
      <c r="AA226" s="346"/>
      <c r="AB226" s="346"/>
      <c r="AC226" s="346"/>
      <c r="AD226" s="346"/>
      <c r="AE226" s="346"/>
      <c r="AF226" s="346"/>
      <c r="AG226" s="346"/>
      <c r="AH226" s="346"/>
      <c r="AI226" s="346"/>
      <c r="AJ226" s="346"/>
      <c r="AK226" s="346"/>
      <c r="AL226" s="346"/>
      <c r="AM226" s="346"/>
      <c r="AN226">
        <f t="shared" si="22"/>
        <v>0</v>
      </c>
      <c r="AO226" s="351">
        <f t="shared" si="21"/>
        <v>0</v>
      </c>
    </row>
    <row r="227" spans="1:41">
      <c r="A227" s="165">
        <f>'Conveyor Downtime (new)'!A228</f>
        <v>0</v>
      </c>
      <c r="AN227">
        <f t="shared" si="22"/>
        <v>0</v>
      </c>
      <c r="AO227" s="351">
        <f t="shared" si="21"/>
        <v>0</v>
      </c>
    </row>
    <row r="228" spans="1:41">
      <c r="A228" s="165"/>
      <c r="B228" s="346"/>
      <c r="C228" s="346"/>
      <c r="D228" s="346"/>
      <c r="E228" s="346"/>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346"/>
      <c r="AL228" s="346"/>
      <c r="AM228" s="346"/>
    </row>
    <row r="229" spans="1:41">
      <c r="A229" s="165"/>
    </row>
    <row r="230" spans="1:41">
      <c r="A230" s="165"/>
      <c r="B230" s="346"/>
      <c r="C230" s="346"/>
      <c r="D230" s="346"/>
      <c r="E230" s="346"/>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346"/>
      <c r="AL230" s="346"/>
      <c r="AM230" s="346"/>
    </row>
    <row r="231" spans="1:41">
      <c r="A231" s="165"/>
    </row>
    <row r="232" spans="1:41">
      <c r="A232" s="165"/>
      <c r="B232" s="346"/>
      <c r="C232" s="346"/>
      <c r="D232" s="346"/>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346"/>
      <c r="AL232" s="346"/>
      <c r="AM232" s="346"/>
    </row>
    <row r="233" spans="1:41">
      <c r="A233" s="165"/>
    </row>
    <row r="234" spans="1:41">
      <c r="A234" s="165"/>
      <c r="B234" s="346"/>
      <c r="C234" s="346"/>
      <c r="D234" s="346"/>
      <c r="E234" s="346"/>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346"/>
      <c r="AL234" s="346"/>
      <c r="AM234" s="346"/>
    </row>
    <row r="235" spans="1:41">
      <c r="A235" s="165"/>
    </row>
    <row r="236" spans="1:41">
      <c r="A236" s="165"/>
      <c r="B236" s="346"/>
      <c r="C236" s="346"/>
      <c r="D236" s="346"/>
      <c r="E236" s="346"/>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346"/>
      <c r="AL236" s="346"/>
      <c r="AM236" s="346"/>
    </row>
    <row r="237" spans="1:41">
      <c r="A237" s="165"/>
    </row>
    <row r="238" spans="1:41">
      <c r="A238" s="165"/>
      <c r="B238" s="346"/>
      <c r="C238" s="346"/>
      <c r="D238" s="346"/>
      <c r="E238" s="346"/>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s="346"/>
      <c r="AL238" s="346"/>
      <c r="AM238" s="346"/>
    </row>
    <row r="239" spans="1:41">
      <c r="A239" s="165"/>
    </row>
    <row r="240" spans="1:41">
      <c r="A240" s="165"/>
      <c r="B240" s="346"/>
      <c r="C240" s="346"/>
      <c r="D240" s="346"/>
      <c r="E240" s="346"/>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s="346"/>
      <c r="AL240" s="346"/>
      <c r="AM240" s="346"/>
    </row>
    <row r="241" spans="1:41" ht="15">
      <c r="A241" s="165"/>
      <c r="B241" s="347">
        <f>SUM(B186:B240)</f>
        <v>97</v>
      </c>
      <c r="C241" s="347">
        <f t="shared" ref="C241:AM241" si="23">SUM(C186:C240)</f>
        <v>22</v>
      </c>
      <c r="D241" s="347">
        <f t="shared" si="23"/>
        <v>19</v>
      </c>
      <c r="E241" s="347">
        <f t="shared" si="23"/>
        <v>0</v>
      </c>
      <c r="F241" s="347">
        <f t="shared" si="23"/>
        <v>11</v>
      </c>
      <c r="G241" s="347">
        <f t="shared" si="23"/>
        <v>0</v>
      </c>
      <c r="H241" s="347">
        <f t="shared" si="23"/>
        <v>13</v>
      </c>
      <c r="I241" s="347">
        <f t="shared" si="23"/>
        <v>0</v>
      </c>
      <c r="J241" s="347">
        <f t="shared" si="23"/>
        <v>0</v>
      </c>
      <c r="K241" s="347">
        <f t="shared" si="23"/>
        <v>0</v>
      </c>
      <c r="L241" s="347">
        <f t="shared" si="23"/>
        <v>0</v>
      </c>
      <c r="M241" s="347">
        <f t="shared" si="23"/>
        <v>0</v>
      </c>
      <c r="N241" s="347">
        <f t="shared" si="23"/>
        <v>0</v>
      </c>
      <c r="O241" s="347">
        <f t="shared" si="23"/>
        <v>0</v>
      </c>
      <c r="P241" s="347">
        <f t="shared" si="23"/>
        <v>0</v>
      </c>
      <c r="Q241" s="347">
        <f t="shared" si="23"/>
        <v>126</v>
      </c>
      <c r="R241" s="347">
        <f t="shared" si="23"/>
        <v>13</v>
      </c>
      <c r="S241" s="347">
        <f t="shared" si="23"/>
        <v>0</v>
      </c>
      <c r="T241" s="347">
        <f t="shared" si="23"/>
        <v>0</v>
      </c>
      <c r="U241" s="347">
        <f t="shared" si="23"/>
        <v>0</v>
      </c>
      <c r="V241" s="347">
        <f t="shared" si="23"/>
        <v>0</v>
      </c>
      <c r="W241" s="347">
        <f t="shared" si="23"/>
        <v>0</v>
      </c>
      <c r="X241" s="347">
        <f t="shared" si="23"/>
        <v>0</v>
      </c>
      <c r="Y241" s="347">
        <f t="shared" si="23"/>
        <v>0</v>
      </c>
      <c r="Z241" s="347">
        <f>SUM(Z186:Z240)</f>
        <v>8</v>
      </c>
      <c r="AA241" s="347">
        <f t="shared" si="23"/>
        <v>34</v>
      </c>
      <c r="AB241" s="347">
        <f>SUM(AB186:AB240)</f>
        <v>0</v>
      </c>
      <c r="AC241" s="347">
        <f t="shared" si="23"/>
        <v>0</v>
      </c>
      <c r="AD241" s="347">
        <f t="shared" si="23"/>
        <v>0</v>
      </c>
      <c r="AE241" s="347">
        <f t="shared" si="23"/>
        <v>126</v>
      </c>
      <c r="AF241" s="347">
        <f t="shared" si="23"/>
        <v>0</v>
      </c>
      <c r="AG241" s="347">
        <f t="shared" si="23"/>
        <v>0</v>
      </c>
      <c r="AH241" s="347">
        <f t="shared" si="23"/>
        <v>2</v>
      </c>
      <c r="AI241" s="347">
        <f t="shared" si="23"/>
        <v>0</v>
      </c>
      <c r="AJ241" s="347">
        <f t="shared" si="23"/>
        <v>0</v>
      </c>
      <c r="AK241" s="347">
        <f t="shared" si="23"/>
        <v>0</v>
      </c>
      <c r="AL241" s="347">
        <f t="shared" si="23"/>
        <v>67</v>
      </c>
      <c r="AM241" s="347">
        <f t="shared" si="23"/>
        <v>3</v>
      </c>
      <c r="AN241" s="347">
        <f>SUM(AN186:AN240)</f>
        <v>541</v>
      </c>
    </row>
    <row r="242" spans="1:41" ht="15.75" thickBot="1">
      <c r="A242" s="165" t="str">
        <f>'Conveyor Downtime (new)'!A243</f>
        <v>Total MTD</v>
      </c>
      <c r="B242" s="348">
        <f t="shared" ref="B242:H242" si="24">B241/$AN241</f>
        <v>0.17929759704251386</v>
      </c>
      <c r="C242" s="348">
        <f t="shared" si="24"/>
        <v>4.0665434380776341E-2</v>
      </c>
      <c r="D242" s="348">
        <f t="shared" si="24"/>
        <v>3.512014787430684E-2</v>
      </c>
      <c r="E242" s="348">
        <f t="shared" si="24"/>
        <v>0</v>
      </c>
      <c r="F242" s="348">
        <f t="shared" si="24"/>
        <v>2.0332717190388171E-2</v>
      </c>
      <c r="G242" s="348">
        <f t="shared" si="24"/>
        <v>0</v>
      </c>
      <c r="H242" s="348">
        <f t="shared" si="24"/>
        <v>2.4029574861367836E-2</v>
      </c>
      <c r="I242" s="348"/>
      <c r="J242" s="348">
        <f t="shared" ref="J242:AF242" si="25">J241/$AN241</f>
        <v>0</v>
      </c>
      <c r="K242" s="348">
        <f t="shared" si="25"/>
        <v>0</v>
      </c>
      <c r="L242" s="348">
        <f t="shared" si="25"/>
        <v>0</v>
      </c>
      <c r="M242" s="348">
        <f t="shared" si="25"/>
        <v>0</v>
      </c>
      <c r="N242" s="348">
        <f t="shared" si="25"/>
        <v>0</v>
      </c>
      <c r="O242" s="348">
        <f t="shared" si="25"/>
        <v>0</v>
      </c>
      <c r="P242" s="348">
        <f t="shared" si="25"/>
        <v>0</v>
      </c>
      <c r="Q242" s="348">
        <f t="shared" si="25"/>
        <v>0.23290203327171904</v>
      </c>
      <c r="R242" s="348">
        <f t="shared" si="25"/>
        <v>2.4029574861367836E-2</v>
      </c>
      <c r="S242" s="348">
        <f t="shared" si="25"/>
        <v>0</v>
      </c>
      <c r="T242" s="348">
        <f t="shared" si="25"/>
        <v>0</v>
      </c>
      <c r="U242" s="348">
        <f t="shared" si="25"/>
        <v>0</v>
      </c>
      <c r="V242" s="348">
        <f t="shared" si="25"/>
        <v>0</v>
      </c>
      <c r="W242" s="348">
        <f t="shared" si="25"/>
        <v>0</v>
      </c>
      <c r="X242" s="348">
        <f t="shared" si="25"/>
        <v>0</v>
      </c>
      <c r="Y242" s="348">
        <f t="shared" si="25"/>
        <v>0</v>
      </c>
      <c r="Z242" s="348">
        <f t="shared" si="25"/>
        <v>1.4787430683918669E-2</v>
      </c>
      <c r="AA242" s="348">
        <f t="shared" si="25"/>
        <v>6.2846580406654348E-2</v>
      </c>
      <c r="AB242" s="348">
        <f t="shared" si="25"/>
        <v>0</v>
      </c>
      <c r="AC242" s="348">
        <f t="shared" si="25"/>
        <v>0</v>
      </c>
      <c r="AD242" s="348">
        <f t="shared" si="25"/>
        <v>0</v>
      </c>
      <c r="AE242" s="348">
        <f t="shared" si="25"/>
        <v>0.23290203327171904</v>
      </c>
      <c r="AF242" s="348">
        <f t="shared" si="25"/>
        <v>0</v>
      </c>
      <c r="AG242" s="348">
        <f t="shared" ref="AG242:AM242" si="26">AG241/$AN241</f>
        <v>0</v>
      </c>
      <c r="AH242" s="348">
        <f t="shared" si="26"/>
        <v>3.6968576709796672E-3</v>
      </c>
      <c r="AI242" s="348">
        <f t="shared" si="26"/>
        <v>0</v>
      </c>
      <c r="AJ242" s="348">
        <f t="shared" si="26"/>
        <v>0</v>
      </c>
      <c r="AK242" s="348">
        <f t="shared" si="26"/>
        <v>0</v>
      </c>
      <c r="AL242" s="348">
        <f t="shared" si="26"/>
        <v>0.12384473197781885</v>
      </c>
      <c r="AM242" s="348">
        <f t="shared" si="26"/>
        <v>5.5452865064695009E-3</v>
      </c>
    </row>
    <row r="245" spans="1:41">
      <c r="A245" s="165">
        <f>'Conveyor Downtime (new)'!A248</f>
        <v>46146</v>
      </c>
      <c r="Z245">
        <f>4</f>
        <v>4</v>
      </c>
      <c r="AN245">
        <f>SUM(B245:AM245)</f>
        <v>4</v>
      </c>
      <c r="AO245" s="351">
        <f>AN245/AN301</f>
        <v>1.3559322033898305E-2</v>
      </c>
    </row>
    <row r="246" spans="1:41">
      <c r="A246" s="165">
        <f>'Conveyor Downtime (new)'!A249</f>
        <v>46146</v>
      </c>
      <c r="B246" s="346"/>
      <c r="C246" s="346"/>
      <c r="D246" s="346"/>
      <c r="E246" s="346"/>
      <c r="F246" s="346"/>
      <c r="G246" s="346"/>
      <c r="H246" s="346"/>
      <c r="I246" s="346"/>
      <c r="J246" s="346"/>
      <c r="K246" s="346"/>
      <c r="L246" s="346"/>
      <c r="M246" s="346"/>
      <c r="N246" s="346"/>
      <c r="O246" s="346"/>
      <c r="P246" s="346"/>
      <c r="Q246" s="346"/>
      <c r="R246" s="346"/>
      <c r="S246" s="346"/>
      <c r="T246" s="346"/>
      <c r="U246" s="346"/>
      <c r="V246" s="346"/>
      <c r="W246" s="346"/>
      <c r="X246" s="346"/>
      <c r="Y246" s="346"/>
      <c r="Z246" s="346">
        <f>4+3+3</f>
        <v>10</v>
      </c>
      <c r="AA246" s="346"/>
      <c r="AB246" s="346"/>
      <c r="AC246" s="346"/>
      <c r="AD246" s="346"/>
      <c r="AE246" s="346"/>
      <c r="AF246" s="346"/>
      <c r="AG246" s="346"/>
      <c r="AH246" s="346"/>
      <c r="AI246" s="346"/>
      <c r="AJ246" s="346"/>
      <c r="AK246" s="346"/>
      <c r="AL246" s="346"/>
      <c r="AM246" s="346"/>
      <c r="AN246">
        <f t="shared" ref="AN246:AN286" si="27">SUM(B246:AM246)</f>
        <v>10</v>
      </c>
      <c r="AO246" s="351" t="e">
        <f t="shared" ref="AO246:AO249" si="28">AN246/AN302</f>
        <v>#DIV/0!</v>
      </c>
    </row>
    <row r="247" spans="1:41">
      <c r="A247" s="165">
        <f>'Conveyor Downtime (new)'!A250</f>
        <v>46147</v>
      </c>
      <c r="AN247">
        <f t="shared" si="27"/>
        <v>0</v>
      </c>
      <c r="AO247" s="351" t="e">
        <f t="shared" si="28"/>
        <v>#DIV/0!</v>
      </c>
    </row>
    <row r="248" spans="1:41">
      <c r="A248" s="165">
        <f>'Conveyor Downtime (new)'!A251</f>
        <v>46147</v>
      </c>
      <c r="B248" s="346"/>
      <c r="C248" s="346"/>
      <c r="D248" s="346"/>
      <c r="E248" s="346"/>
      <c r="F248" s="346"/>
      <c r="G248" s="346"/>
      <c r="H248" s="346"/>
      <c r="I248" s="346"/>
      <c r="J248" s="346"/>
      <c r="K248" s="346"/>
      <c r="L248" s="346"/>
      <c r="M248" s="346"/>
      <c r="N248" s="346"/>
      <c r="O248" s="346"/>
      <c r="P248" s="346"/>
      <c r="Q248" s="346"/>
      <c r="R248" s="346"/>
      <c r="S248" s="346"/>
      <c r="T248" s="346"/>
      <c r="U248" s="346"/>
      <c r="V248" s="346"/>
      <c r="W248" s="346"/>
      <c r="X248" s="346"/>
      <c r="Y248" s="346"/>
      <c r="Z248" s="346"/>
      <c r="AA248" s="346"/>
      <c r="AB248" s="346"/>
      <c r="AC248" s="346"/>
      <c r="AD248" s="346"/>
      <c r="AE248" s="346"/>
      <c r="AF248" s="346"/>
      <c r="AG248" s="346"/>
      <c r="AH248" s="346"/>
      <c r="AI248" s="346"/>
      <c r="AJ248" s="346"/>
      <c r="AK248" s="346"/>
      <c r="AL248" s="346"/>
      <c r="AM248" s="346"/>
      <c r="AN248">
        <f t="shared" si="27"/>
        <v>0</v>
      </c>
      <c r="AO248" s="351" t="e">
        <f t="shared" si="28"/>
        <v>#DIV/0!</v>
      </c>
    </row>
    <row r="249" spans="1:41">
      <c r="A249" s="165">
        <f>'Conveyor Downtime (new)'!A252</f>
        <v>46148</v>
      </c>
      <c r="C249">
        <f>2+1</f>
        <v>3</v>
      </c>
      <c r="Z249">
        <f>5+14+4</f>
        <v>23</v>
      </c>
      <c r="AN249">
        <f t="shared" si="27"/>
        <v>26</v>
      </c>
      <c r="AO249" s="351" t="e">
        <f t="shared" si="28"/>
        <v>#DIV/0!</v>
      </c>
    </row>
    <row r="250" spans="1:41">
      <c r="A250" s="165">
        <f>'Conveyor Downtime (new)'!A253</f>
        <v>46149</v>
      </c>
      <c r="B250" s="346"/>
      <c r="C250" s="346"/>
      <c r="D250" s="346"/>
      <c r="E250" s="346"/>
      <c r="F250" s="346"/>
      <c r="G250" s="346"/>
      <c r="H250" s="346"/>
      <c r="I250" s="346"/>
      <c r="J250" s="346"/>
      <c r="K250" s="346"/>
      <c r="L250" s="346"/>
      <c r="M250" s="346"/>
      <c r="N250" s="346"/>
      <c r="O250" s="346"/>
      <c r="P250" s="346"/>
      <c r="Q250" s="346"/>
      <c r="R250" s="346"/>
      <c r="S250" s="346"/>
      <c r="T250" s="346"/>
      <c r="U250" s="346"/>
      <c r="V250" s="346"/>
      <c r="W250" s="346"/>
      <c r="X250" s="346"/>
      <c r="Y250" s="346"/>
      <c r="Z250" s="346"/>
      <c r="AA250" s="346"/>
      <c r="AB250" s="346"/>
      <c r="AC250" s="346"/>
      <c r="AD250" s="346"/>
      <c r="AE250" s="346"/>
      <c r="AF250" s="346"/>
      <c r="AG250" s="346"/>
      <c r="AH250" s="346"/>
      <c r="AI250" s="346"/>
      <c r="AJ250" s="346"/>
      <c r="AK250" s="346"/>
      <c r="AL250" s="346"/>
      <c r="AM250" s="346"/>
      <c r="AN250">
        <f t="shared" si="27"/>
        <v>0</v>
      </c>
      <c r="AO250" s="351" t="e">
        <f t="shared" ref="AO250:AO264" si="29">AN250/AN306</f>
        <v>#DIV/0!</v>
      </c>
    </row>
    <row r="251" spans="1:41">
      <c r="A251" s="165">
        <f>'Conveyor Downtime (new)'!A254</f>
        <v>46149</v>
      </c>
      <c r="AN251">
        <f t="shared" si="27"/>
        <v>0</v>
      </c>
      <c r="AO251" s="351">
        <f t="shared" si="29"/>
        <v>0</v>
      </c>
    </row>
    <row r="252" spans="1:41">
      <c r="A252" s="165">
        <f>'Conveyor Downtime (new)'!A255</f>
        <v>46149</v>
      </c>
      <c r="B252" s="346">
        <v>6</v>
      </c>
      <c r="C252" s="346"/>
      <c r="D252" s="346"/>
      <c r="E252" s="346"/>
      <c r="F252" s="346">
        <f>5</f>
        <v>5</v>
      </c>
      <c r="G252" s="346"/>
      <c r="H252" s="346"/>
      <c r="I252" s="346"/>
      <c r="J252" s="346"/>
      <c r="K252" s="346"/>
      <c r="L252" s="346"/>
      <c r="M252" s="346"/>
      <c r="N252" s="346"/>
      <c r="O252" s="346"/>
      <c r="P252" s="346"/>
      <c r="Q252" s="346"/>
      <c r="R252" s="346"/>
      <c r="S252" s="346"/>
      <c r="T252" s="346"/>
      <c r="U252" s="346"/>
      <c r="V252" s="346"/>
      <c r="W252" s="346"/>
      <c r="X252" s="346"/>
      <c r="Y252" s="346"/>
      <c r="Z252" s="346"/>
      <c r="AA252" s="346"/>
      <c r="AB252" s="346"/>
      <c r="AC252" s="346"/>
      <c r="AD252" s="346"/>
      <c r="AE252" s="346"/>
      <c r="AF252" s="346"/>
      <c r="AG252" s="346"/>
      <c r="AH252" s="346"/>
      <c r="AI252" s="346"/>
      <c r="AJ252" s="346"/>
      <c r="AK252" s="346"/>
      <c r="AL252" s="346"/>
      <c r="AM252" s="346"/>
      <c r="AN252">
        <f t="shared" si="27"/>
        <v>11</v>
      </c>
      <c r="AO252" s="351" t="e">
        <f t="shared" si="29"/>
        <v>#DIV/0!</v>
      </c>
    </row>
    <row r="253" spans="1:41">
      <c r="A253" s="165">
        <f>'Conveyor Downtime (new)'!A256</f>
        <v>46150</v>
      </c>
      <c r="AN253">
        <f t="shared" si="27"/>
        <v>0</v>
      </c>
      <c r="AO253" s="351" t="e">
        <f t="shared" si="29"/>
        <v>#DIV/0!</v>
      </c>
    </row>
    <row r="254" spans="1:41">
      <c r="A254" s="165">
        <f>'Conveyor Downtime (new)'!A257</f>
        <v>46150</v>
      </c>
      <c r="B254" s="346"/>
      <c r="C254" s="346"/>
      <c r="D254" s="346"/>
      <c r="E254" s="346"/>
      <c r="F254" s="346"/>
      <c r="G254" s="346"/>
      <c r="H254" s="346"/>
      <c r="I254" s="346"/>
      <c r="J254" s="346"/>
      <c r="K254" s="346"/>
      <c r="L254" s="346"/>
      <c r="M254" s="346"/>
      <c r="N254" s="346"/>
      <c r="O254" s="346"/>
      <c r="P254" s="346"/>
      <c r="Q254" s="346"/>
      <c r="R254" s="346"/>
      <c r="S254" s="346"/>
      <c r="T254" s="346"/>
      <c r="U254" s="346"/>
      <c r="V254" s="346"/>
      <c r="W254" s="346"/>
      <c r="X254" s="346"/>
      <c r="Y254" s="346"/>
      <c r="Z254" s="346"/>
      <c r="AA254" s="346"/>
      <c r="AB254" s="346"/>
      <c r="AC254" s="346"/>
      <c r="AD254" s="346"/>
      <c r="AE254" s="346"/>
      <c r="AF254" s="346"/>
      <c r="AG254" s="346"/>
      <c r="AH254" s="346"/>
      <c r="AI254" s="346"/>
      <c r="AJ254" s="346"/>
      <c r="AK254" s="346"/>
      <c r="AL254" s="346"/>
      <c r="AM254" s="346"/>
      <c r="AN254">
        <f t="shared" si="27"/>
        <v>0</v>
      </c>
      <c r="AO254" s="351">
        <f t="shared" si="29"/>
        <v>0</v>
      </c>
    </row>
    <row r="255" spans="1:41">
      <c r="A255" s="165">
        <f>'Conveyor Downtime (new)'!A258</f>
        <v>46151</v>
      </c>
      <c r="AN255">
        <f t="shared" si="27"/>
        <v>0</v>
      </c>
      <c r="AO255" s="351" t="e">
        <f t="shared" si="29"/>
        <v>#DIV/0!</v>
      </c>
    </row>
    <row r="256" spans="1:41">
      <c r="A256" s="165">
        <f>'Conveyor Downtime (new)'!A259</f>
        <v>46153</v>
      </c>
      <c r="B256" s="346"/>
      <c r="C256" s="346">
        <f>6</f>
        <v>6</v>
      </c>
      <c r="D256" s="346">
        <f>3</f>
        <v>3</v>
      </c>
      <c r="E256" s="346"/>
      <c r="F256" s="346"/>
      <c r="G256" s="346"/>
      <c r="H256" s="346"/>
      <c r="I256" s="346"/>
      <c r="J256" s="346"/>
      <c r="K256" s="346"/>
      <c r="L256" s="346"/>
      <c r="M256" s="346"/>
      <c r="N256" s="346"/>
      <c r="O256" s="346"/>
      <c r="P256" s="346"/>
      <c r="Q256" s="346"/>
      <c r="R256" s="346"/>
      <c r="S256" s="346"/>
      <c r="T256" s="346"/>
      <c r="U256" s="346"/>
      <c r="V256" s="346"/>
      <c r="W256" s="346"/>
      <c r="X256" s="346"/>
      <c r="Y256" s="346"/>
      <c r="Z256" s="346">
        <f>15+7+3</f>
        <v>25</v>
      </c>
      <c r="AA256" s="346"/>
      <c r="AB256" s="346"/>
      <c r="AC256" s="346"/>
      <c r="AD256" s="346"/>
      <c r="AE256" s="346"/>
      <c r="AF256" s="346"/>
      <c r="AG256" s="346"/>
      <c r="AH256" s="346"/>
      <c r="AI256" s="346"/>
      <c r="AJ256" s="346"/>
      <c r="AK256" s="346"/>
      <c r="AL256" s="346"/>
      <c r="AM256" s="346"/>
      <c r="AN256">
        <f t="shared" si="27"/>
        <v>34</v>
      </c>
      <c r="AO256" s="351" t="e">
        <f t="shared" si="29"/>
        <v>#DIV/0!</v>
      </c>
    </row>
    <row r="257" spans="1:41">
      <c r="A257" s="165">
        <f>'Conveyor Downtime (new)'!A260</f>
        <v>46154</v>
      </c>
      <c r="AN257">
        <f t="shared" si="27"/>
        <v>0</v>
      </c>
      <c r="AO257" s="360" t="e">
        <f t="shared" si="29"/>
        <v>#DIV/0!</v>
      </c>
    </row>
    <row r="258" spans="1:41">
      <c r="A258" s="165">
        <f>'Conveyor Downtime (new)'!A261</f>
        <v>46154</v>
      </c>
      <c r="B258" s="346"/>
      <c r="C258" s="346">
        <f>4</f>
        <v>4</v>
      </c>
      <c r="D258" s="346"/>
      <c r="E258" s="346"/>
      <c r="F258" s="346">
        <f>22+56</f>
        <v>78</v>
      </c>
      <c r="G258" s="346"/>
      <c r="H258" s="346"/>
      <c r="I258" s="346"/>
      <c r="J258" s="346"/>
      <c r="K258" s="346"/>
      <c r="L258" s="346"/>
      <c r="M258" s="346"/>
      <c r="N258" s="346"/>
      <c r="O258" s="346"/>
      <c r="P258" s="346"/>
      <c r="Q258" s="346"/>
      <c r="R258" s="346"/>
      <c r="S258" s="346"/>
      <c r="T258" s="346"/>
      <c r="U258" s="346"/>
      <c r="V258" s="346"/>
      <c r="W258" s="346"/>
      <c r="X258" s="346"/>
      <c r="Y258" s="346"/>
      <c r="Z258" s="346">
        <f>2</f>
        <v>2</v>
      </c>
      <c r="AA258" s="346"/>
      <c r="AB258" s="346"/>
      <c r="AC258" s="346"/>
      <c r="AD258" s="346"/>
      <c r="AE258" s="346"/>
      <c r="AF258" s="346"/>
      <c r="AG258" s="346"/>
      <c r="AH258" s="346"/>
      <c r="AI258" s="346"/>
      <c r="AJ258" s="346"/>
      <c r="AK258" s="346"/>
      <c r="AL258" s="346"/>
      <c r="AM258" s="346"/>
      <c r="AN258">
        <f t="shared" si="27"/>
        <v>84</v>
      </c>
      <c r="AO258" s="351">
        <f t="shared" si="29"/>
        <v>10.5</v>
      </c>
    </row>
    <row r="259" spans="1:41">
      <c r="A259" s="165">
        <f>'Conveyor Downtime (new)'!A262</f>
        <v>46155</v>
      </c>
      <c r="AN259">
        <f t="shared" si="27"/>
        <v>0</v>
      </c>
      <c r="AO259" s="351">
        <f t="shared" si="29"/>
        <v>0</v>
      </c>
    </row>
    <row r="260" spans="1:41">
      <c r="A260" s="165">
        <f>'Conveyor Downtime (new)'!A263</f>
        <v>46155</v>
      </c>
      <c r="B260" s="346"/>
      <c r="C260" s="346"/>
      <c r="D260" s="346"/>
      <c r="E260" s="346"/>
      <c r="F260" s="346"/>
      <c r="G260" s="346"/>
      <c r="H260" s="346"/>
      <c r="I260" s="346"/>
      <c r="J260" s="346"/>
      <c r="K260" s="346"/>
      <c r="L260" s="346"/>
      <c r="M260" s="346"/>
      <c r="N260" s="346"/>
      <c r="O260" s="346"/>
      <c r="P260" s="346"/>
      <c r="Q260" s="346"/>
      <c r="R260" s="346"/>
      <c r="S260" s="346"/>
      <c r="T260" s="346"/>
      <c r="U260" s="346"/>
      <c r="V260" s="346"/>
      <c r="W260" s="346"/>
      <c r="X260" s="346"/>
      <c r="Y260" s="346"/>
      <c r="Z260" s="346">
        <v>2</v>
      </c>
      <c r="AA260" s="346"/>
      <c r="AB260" s="346"/>
      <c r="AC260" s="346"/>
      <c r="AD260" s="346"/>
      <c r="AE260" s="346">
        <v>3</v>
      </c>
      <c r="AF260" s="346"/>
      <c r="AG260" s="346"/>
      <c r="AH260" s="346"/>
      <c r="AI260" s="346"/>
      <c r="AJ260" s="346"/>
      <c r="AK260" s="346"/>
      <c r="AL260" s="346"/>
      <c r="AM260" s="346"/>
      <c r="AN260">
        <f t="shared" si="27"/>
        <v>5</v>
      </c>
      <c r="AO260" s="351" t="e">
        <f t="shared" si="29"/>
        <v>#DIV/0!</v>
      </c>
    </row>
    <row r="261" spans="1:41">
      <c r="A261" s="165">
        <f>'Conveyor Downtime (new)'!A264</f>
        <v>46156</v>
      </c>
      <c r="AN261">
        <f t="shared" si="27"/>
        <v>0</v>
      </c>
      <c r="AO261" s="351">
        <f t="shared" si="29"/>
        <v>0</v>
      </c>
    </row>
    <row r="262" spans="1:41">
      <c r="A262" s="165">
        <f>'Conveyor Downtime (new)'!A265</f>
        <v>46156</v>
      </c>
      <c r="B262" s="346">
        <v>2</v>
      </c>
      <c r="C262" s="346"/>
      <c r="D262" s="346"/>
      <c r="E262" s="346"/>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346"/>
      <c r="AL262" s="346"/>
      <c r="AM262" s="346"/>
      <c r="AN262">
        <f t="shared" si="27"/>
        <v>2</v>
      </c>
      <c r="AO262" s="351">
        <f t="shared" si="29"/>
        <v>0.5</v>
      </c>
    </row>
    <row r="263" spans="1:41">
      <c r="A263" s="165">
        <f>'Conveyor Downtime (new)'!A266</f>
        <v>46156</v>
      </c>
      <c r="Z263">
        <f>4</f>
        <v>4</v>
      </c>
      <c r="AN263">
        <f t="shared" si="27"/>
        <v>4</v>
      </c>
      <c r="AO263" s="351" t="e">
        <f t="shared" si="29"/>
        <v>#DIV/0!</v>
      </c>
    </row>
    <row r="264" spans="1:41">
      <c r="A264" s="165">
        <f>'Conveyor Downtime (new)'!A267</f>
        <v>46156</v>
      </c>
      <c r="B264" s="346"/>
      <c r="C264" s="346"/>
      <c r="D264" s="346"/>
      <c r="E264" s="346"/>
      <c r="F264" s="346">
        <f>2</f>
        <v>2</v>
      </c>
      <c r="G264" s="346"/>
      <c r="H264" s="346"/>
      <c r="I264" s="346"/>
      <c r="J264" s="346"/>
      <c r="K264" s="346"/>
      <c r="L264" s="346"/>
      <c r="M264" s="346"/>
      <c r="N264" s="346"/>
      <c r="O264" s="346"/>
      <c r="P264" s="346"/>
      <c r="Q264" s="346"/>
      <c r="R264" s="346"/>
      <c r="S264" s="346"/>
      <c r="T264" s="346"/>
      <c r="U264" s="346"/>
      <c r="V264" s="346"/>
      <c r="W264" s="346"/>
      <c r="X264" s="346"/>
      <c r="Y264" s="346"/>
      <c r="Z264" s="346"/>
      <c r="AA264" s="346"/>
      <c r="AB264" s="346"/>
      <c r="AC264" s="346"/>
      <c r="AD264" s="346"/>
      <c r="AE264" s="346"/>
      <c r="AF264" s="346"/>
      <c r="AG264" s="346"/>
      <c r="AH264" s="346"/>
      <c r="AI264" s="346"/>
      <c r="AJ264" s="346"/>
      <c r="AK264" s="346"/>
      <c r="AL264" s="346"/>
      <c r="AM264" s="346"/>
      <c r="AN264">
        <f t="shared" si="27"/>
        <v>2</v>
      </c>
      <c r="AO264" s="351" t="e">
        <f t="shared" si="29"/>
        <v>#DIV/0!</v>
      </c>
    </row>
    <row r="265" spans="1:41">
      <c r="A265" s="165">
        <f>'Conveyor Downtime (new)'!A268</f>
        <v>46157</v>
      </c>
      <c r="D265">
        <f>3</f>
        <v>3</v>
      </c>
      <c r="AN265">
        <f t="shared" si="27"/>
        <v>3</v>
      </c>
      <c r="AO265" s="351" t="e">
        <f t="shared" ref="AO265:AO286" si="30">AN265/AN322</f>
        <v>#DIV/0!</v>
      </c>
    </row>
    <row r="266" spans="1:41">
      <c r="A266" s="165">
        <f>'Conveyor Downtime (new)'!A269</f>
        <v>46157</v>
      </c>
      <c r="B266" s="346"/>
      <c r="C266" s="346"/>
      <c r="D266" s="346">
        <f>2</f>
        <v>2</v>
      </c>
      <c r="E266" s="346"/>
      <c r="F266" s="346"/>
      <c r="G266" s="346"/>
      <c r="H266" s="346"/>
      <c r="I266" s="346"/>
      <c r="J266" s="346"/>
      <c r="K266" s="346"/>
      <c r="L266" s="346"/>
      <c r="M266" s="346"/>
      <c r="N266" s="346"/>
      <c r="O266" s="346"/>
      <c r="P266" s="346"/>
      <c r="Q266" s="346"/>
      <c r="R266" s="346"/>
      <c r="S266" s="346"/>
      <c r="T266" s="346"/>
      <c r="U266" s="346"/>
      <c r="V266" s="346"/>
      <c r="W266" s="346"/>
      <c r="X266" s="346"/>
      <c r="Y266" s="346"/>
      <c r="Z266" s="346"/>
      <c r="AA266" s="346"/>
      <c r="AB266" s="346"/>
      <c r="AC266" s="346"/>
      <c r="AD266" s="346"/>
      <c r="AE266" s="346"/>
      <c r="AF266" s="346"/>
      <c r="AG266" s="346"/>
      <c r="AH266" s="346"/>
      <c r="AI266" s="346"/>
      <c r="AJ266" s="346"/>
      <c r="AK266" s="346"/>
      <c r="AL266" s="346"/>
      <c r="AM266" s="346"/>
      <c r="AN266">
        <f t="shared" si="27"/>
        <v>2</v>
      </c>
      <c r="AO266" s="351">
        <f t="shared" si="30"/>
        <v>0.11764705882352941</v>
      </c>
    </row>
    <row r="267" spans="1:41">
      <c r="A267" s="165">
        <f>'Conveyor Downtime (new)'!A270</f>
        <v>46158</v>
      </c>
      <c r="Z267">
        <f>3</f>
        <v>3</v>
      </c>
      <c r="AN267">
        <f t="shared" si="27"/>
        <v>3</v>
      </c>
      <c r="AO267" s="351" t="e">
        <f t="shared" si="30"/>
        <v>#DIV/0!</v>
      </c>
    </row>
    <row r="268" spans="1:41">
      <c r="A268" s="165">
        <f>'Conveyor Downtime (new)'!A271</f>
        <v>46160</v>
      </c>
      <c r="B268" s="346">
        <f>5</f>
        <v>5</v>
      </c>
      <c r="C268" s="346"/>
      <c r="D268" s="346"/>
      <c r="E268" s="346"/>
      <c r="F268" s="346">
        <f>3</f>
        <v>3</v>
      </c>
      <c r="G268" s="346"/>
      <c r="H268" s="346"/>
      <c r="I268" s="346"/>
      <c r="J268" s="346"/>
      <c r="K268" s="346"/>
      <c r="L268" s="346"/>
      <c r="M268" s="346"/>
      <c r="N268" s="346"/>
      <c r="O268" s="346"/>
      <c r="P268" s="346"/>
      <c r="Q268" s="346"/>
      <c r="R268" s="346"/>
      <c r="S268" s="346"/>
      <c r="T268" s="346"/>
      <c r="U268" s="346"/>
      <c r="V268" s="346"/>
      <c r="W268" s="346"/>
      <c r="X268" s="346"/>
      <c r="Y268" s="346"/>
      <c r="Z268" s="346"/>
      <c r="AA268" s="346"/>
      <c r="AB268" s="346"/>
      <c r="AC268" s="346"/>
      <c r="AD268" s="346"/>
      <c r="AE268" s="346"/>
      <c r="AF268" s="346"/>
      <c r="AG268" s="346"/>
      <c r="AH268" s="346"/>
      <c r="AI268" s="346"/>
      <c r="AJ268" s="346"/>
      <c r="AK268" s="346"/>
      <c r="AL268" s="346"/>
      <c r="AM268" s="346"/>
      <c r="AN268">
        <f t="shared" si="27"/>
        <v>8</v>
      </c>
      <c r="AO268" s="351" t="e">
        <f t="shared" si="30"/>
        <v>#DIV/0!</v>
      </c>
    </row>
    <row r="269" spans="1:41">
      <c r="A269" s="165">
        <f>'Conveyor Downtime (new)'!A272</f>
        <v>46160</v>
      </c>
      <c r="Z269">
        <f>9</f>
        <v>9</v>
      </c>
      <c r="AN269">
        <f t="shared" si="27"/>
        <v>9</v>
      </c>
      <c r="AO269" s="351" t="e">
        <f t="shared" si="30"/>
        <v>#DIV/0!</v>
      </c>
    </row>
    <row r="270" spans="1:41">
      <c r="A270" s="165">
        <f>'Conveyor Downtime (new)'!A273</f>
        <v>46161</v>
      </c>
      <c r="B270" s="346"/>
      <c r="C270" s="346">
        <f>2+3</f>
        <v>5</v>
      </c>
      <c r="D270" s="346">
        <f>1</f>
        <v>1</v>
      </c>
      <c r="E270" s="346"/>
      <c r="F270" s="346"/>
      <c r="G270" s="346"/>
      <c r="H270" s="346"/>
      <c r="I270" s="346"/>
      <c r="J270" s="346"/>
      <c r="K270" s="346"/>
      <c r="L270" s="346"/>
      <c r="M270" s="346"/>
      <c r="N270" s="346"/>
      <c r="O270" s="346"/>
      <c r="P270" s="346"/>
      <c r="Q270" s="346"/>
      <c r="R270" s="346"/>
      <c r="S270" s="346"/>
      <c r="T270" s="346"/>
      <c r="U270" s="346"/>
      <c r="V270" s="346"/>
      <c r="W270" s="346"/>
      <c r="X270" s="346"/>
      <c r="Y270" s="346"/>
      <c r="Z270" s="346"/>
      <c r="AA270" s="346"/>
      <c r="AB270" s="346"/>
      <c r="AC270" s="346"/>
      <c r="AD270" s="346"/>
      <c r="AE270" s="346"/>
      <c r="AF270" s="346"/>
      <c r="AG270" s="346"/>
      <c r="AH270" s="346"/>
      <c r="AI270" s="346"/>
      <c r="AJ270" s="346"/>
      <c r="AK270" s="346"/>
      <c r="AL270" s="346"/>
      <c r="AM270" s="346"/>
      <c r="AN270">
        <f t="shared" si="27"/>
        <v>6</v>
      </c>
      <c r="AO270" s="351" t="e">
        <f t="shared" si="30"/>
        <v>#DIV/0!</v>
      </c>
    </row>
    <row r="271" spans="1:41">
      <c r="A271" s="165">
        <f>'Conveyor Downtime (new)'!A274</f>
        <v>46161</v>
      </c>
      <c r="C271">
        <v>3</v>
      </c>
      <c r="AN271">
        <f t="shared" si="27"/>
        <v>3</v>
      </c>
      <c r="AO271" s="351" t="e">
        <f t="shared" si="30"/>
        <v>#DIV/0!</v>
      </c>
    </row>
    <row r="272" spans="1:41">
      <c r="A272" s="165">
        <f>'Conveyor Downtime (new)'!A275</f>
        <v>46161</v>
      </c>
      <c r="B272" s="346"/>
      <c r="C272" s="346"/>
      <c r="D272" s="346"/>
      <c r="E272" s="346"/>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c r="AD272" s="346"/>
      <c r="AE272" s="346"/>
      <c r="AF272" s="346"/>
      <c r="AG272" s="346"/>
      <c r="AH272" s="346"/>
      <c r="AI272" s="346"/>
      <c r="AJ272" s="346"/>
      <c r="AK272" s="346"/>
      <c r="AL272" s="346"/>
      <c r="AM272" s="346"/>
      <c r="AN272">
        <f t="shared" si="27"/>
        <v>0</v>
      </c>
      <c r="AO272" s="351" t="e">
        <f t="shared" si="30"/>
        <v>#DIV/0!</v>
      </c>
    </row>
    <row r="273" spans="1:41">
      <c r="A273" s="165">
        <f>'Conveyor Downtime (new)'!A276</f>
        <v>46162</v>
      </c>
      <c r="D273">
        <f>3+2</f>
        <v>5</v>
      </c>
      <c r="F273">
        <f>2</f>
        <v>2</v>
      </c>
      <c r="AE273">
        <f>33</f>
        <v>33</v>
      </c>
      <c r="AN273">
        <f t="shared" si="27"/>
        <v>40</v>
      </c>
      <c r="AO273" s="351" t="e">
        <f t="shared" si="30"/>
        <v>#DIV/0!</v>
      </c>
    </row>
    <row r="274" spans="1:41">
      <c r="A274" s="165">
        <f>'Conveyor Downtime (new)'!A277</f>
        <v>46162</v>
      </c>
      <c r="B274" s="346">
        <f>4</f>
        <v>4</v>
      </c>
      <c r="C274" s="346"/>
      <c r="D274" s="346"/>
      <c r="E274" s="346"/>
      <c r="F274" s="346"/>
      <c r="G274" s="346"/>
      <c r="H274" s="346"/>
      <c r="I274" s="346"/>
      <c r="J274" s="346"/>
      <c r="K274" s="346"/>
      <c r="L274" s="346"/>
      <c r="M274" s="346"/>
      <c r="N274" s="346"/>
      <c r="O274" s="346"/>
      <c r="P274" s="346"/>
      <c r="Q274" s="346"/>
      <c r="R274" s="346"/>
      <c r="S274" s="346"/>
      <c r="T274" s="346"/>
      <c r="U274" s="346"/>
      <c r="V274" s="346"/>
      <c r="W274" s="346"/>
      <c r="X274" s="346"/>
      <c r="Y274" s="346"/>
      <c r="Z274" s="346">
        <f>4+3+4</f>
        <v>11</v>
      </c>
      <c r="AA274" s="346"/>
      <c r="AB274" s="346"/>
      <c r="AC274" s="346"/>
      <c r="AD274" s="346"/>
      <c r="AE274" s="346"/>
      <c r="AF274" s="346"/>
      <c r="AG274" s="346"/>
      <c r="AH274" s="346"/>
      <c r="AI274" s="346"/>
      <c r="AJ274" s="346"/>
      <c r="AK274" s="346"/>
      <c r="AL274" s="346"/>
      <c r="AM274" s="346">
        <f>4</f>
        <v>4</v>
      </c>
      <c r="AN274">
        <f t="shared" si="27"/>
        <v>19</v>
      </c>
      <c r="AO274" s="351" t="e">
        <f t="shared" si="30"/>
        <v>#DIV/0!</v>
      </c>
    </row>
    <row r="275" spans="1:41">
      <c r="A275" s="165">
        <f>'Conveyor Downtime (new)'!A278</f>
        <v>46163</v>
      </c>
      <c r="AN275">
        <f t="shared" si="27"/>
        <v>0</v>
      </c>
      <c r="AO275" s="351" t="e">
        <f t="shared" si="30"/>
        <v>#DIV/0!</v>
      </c>
    </row>
    <row r="276" spans="1:41">
      <c r="A276" s="165">
        <f>'Conveyor Downtime (new)'!A279</f>
        <v>46163</v>
      </c>
      <c r="B276" s="346"/>
      <c r="C276" s="346"/>
      <c r="D276" s="346"/>
      <c r="E276" s="346"/>
      <c r="F276" s="346">
        <f>5+3</f>
        <v>8</v>
      </c>
      <c r="G276" s="346"/>
      <c r="H276" s="346"/>
      <c r="I276" s="346"/>
      <c r="J276" s="346"/>
      <c r="K276" s="346"/>
      <c r="L276" s="346"/>
      <c r="M276" s="346"/>
      <c r="N276" s="346"/>
      <c r="O276" s="346"/>
      <c r="P276" s="346"/>
      <c r="Q276" s="346"/>
      <c r="R276" s="346"/>
      <c r="S276" s="346"/>
      <c r="T276" s="346"/>
      <c r="U276" s="346"/>
      <c r="V276" s="346"/>
      <c r="W276" s="346"/>
      <c r="X276" s="346"/>
      <c r="Y276" s="346"/>
      <c r="Z276" s="346"/>
      <c r="AA276" s="346"/>
      <c r="AB276" s="346"/>
      <c r="AC276" s="346"/>
      <c r="AD276" s="346"/>
      <c r="AE276" s="346"/>
      <c r="AF276" s="346"/>
      <c r="AG276" s="346"/>
      <c r="AH276" s="346"/>
      <c r="AI276" s="346"/>
      <c r="AJ276" s="346"/>
      <c r="AK276" s="346"/>
      <c r="AL276" s="346"/>
      <c r="AM276" s="346"/>
      <c r="AN276">
        <f t="shared" si="27"/>
        <v>8</v>
      </c>
      <c r="AO276" s="351" t="e">
        <f t="shared" si="30"/>
        <v>#DIV/0!</v>
      </c>
    </row>
    <row r="277" spans="1:41">
      <c r="A277" s="165">
        <f>'Conveyor Downtime (new)'!A280</f>
        <v>46163</v>
      </c>
      <c r="AN277">
        <f t="shared" si="27"/>
        <v>0</v>
      </c>
      <c r="AO277" s="351" t="e">
        <f t="shared" si="30"/>
        <v>#DIV/0!</v>
      </c>
    </row>
    <row r="278" spans="1:41" ht="13.5" customHeight="1">
      <c r="A278" s="165">
        <f>'Conveyor Downtime (new)'!A281</f>
        <v>46164</v>
      </c>
      <c r="B278" s="346"/>
      <c r="C278" s="346"/>
      <c r="D278" s="346"/>
      <c r="E278" s="346"/>
      <c r="F278" s="346">
        <f>5</f>
        <v>5</v>
      </c>
      <c r="G278" s="346"/>
      <c r="H278" s="346"/>
      <c r="I278" s="346"/>
      <c r="J278" s="346"/>
      <c r="K278" s="346"/>
      <c r="L278" s="346"/>
      <c r="M278" s="346"/>
      <c r="N278" s="346"/>
      <c r="O278" s="346"/>
      <c r="P278" s="346"/>
      <c r="Q278" s="346"/>
      <c r="R278" s="346"/>
      <c r="S278" s="346"/>
      <c r="T278" s="346"/>
      <c r="U278" s="346"/>
      <c r="V278" s="346"/>
      <c r="W278" s="346"/>
      <c r="X278" s="346"/>
      <c r="Y278" s="346"/>
      <c r="Z278" s="346"/>
      <c r="AA278" s="346"/>
      <c r="AB278" s="346"/>
      <c r="AC278" s="346"/>
      <c r="AD278" s="346"/>
      <c r="AE278" s="346"/>
      <c r="AF278" s="346"/>
      <c r="AG278" s="346"/>
      <c r="AH278" s="346"/>
      <c r="AI278" s="346"/>
      <c r="AJ278" s="346"/>
      <c r="AK278" s="346"/>
      <c r="AL278" s="346"/>
      <c r="AM278" s="346"/>
      <c r="AN278">
        <f t="shared" si="27"/>
        <v>5</v>
      </c>
      <c r="AO278" s="351" t="e">
        <f t="shared" si="30"/>
        <v>#DIV/0!</v>
      </c>
    </row>
    <row r="279" spans="1:41">
      <c r="A279" s="165">
        <f>'Conveyor Downtime (new)'!A282</f>
        <v>46164</v>
      </c>
      <c r="AM279">
        <f>2</f>
        <v>2</v>
      </c>
      <c r="AN279">
        <f t="shared" si="27"/>
        <v>2</v>
      </c>
      <c r="AO279" s="351" t="e">
        <f t="shared" si="30"/>
        <v>#DIV/0!</v>
      </c>
    </row>
    <row r="280" spans="1:41">
      <c r="A280" s="165">
        <f>'Conveyor Downtime (new)'!A283</f>
        <v>46164</v>
      </c>
      <c r="B280" s="346"/>
      <c r="C280" s="346"/>
      <c r="D280" s="346"/>
      <c r="E280" s="346"/>
      <c r="F280" s="346"/>
      <c r="G280" s="346"/>
      <c r="H280" s="346"/>
      <c r="I280" s="346"/>
      <c r="J280" s="346"/>
      <c r="K280" s="346"/>
      <c r="L280" s="346"/>
      <c r="M280" s="346"/>
      <c r="N280" s="346"/>
      <c r="O280" s="346"/>
      <c r="P280" s="346"/>
      <c r="Q280" s="346"/>
      <c r="R280" s="346"/>
      <c r="S280" s="346"/>
      <c r="T280" s="346"/>
      <c r="U280" s="346"/>
      <c r="V280" s="346"/>
      <c r="W280" s="346"/>
      <c r="X280" s="346"/>
      <c r="Y280" s="346"/>
      <c r="Z280" s="346"/>
      <c r="AA280" s="346"/>
      <c r="AB280" s="346"/>
      <c r="AC280" s="346"/>
      <c r="AD280" s="346"/>
      <c r="AE280" s="346"/>
      <c r="AF280" s="346"/>
      <c r="AG280" s="346"/>
      <c r="AH280" s="346"/>
      <c r="AI280" s="346"/>
      <c r="AJ280" s="346"/>
      <c r="AK280" s="346"/>
      <c r="AL280" s="346"/>
      <c r="AM280" s="346"/>
      <c r="AN280">
        <f t="shared" si="27"/>
        <v>0</v>
      </c>
      <c r="AO280" s="351" t="e">
        <f t="shared" si="30"/>
        <v>#DIV/0!</v>
      </c>
    </row>
    <row r="281" spans="1:41">
      <c r="A281" s="165">
        <f>'Conveyor Downtime (new)'!A284</f>
        <v>46168</v>
      </c>
      <c r="AN281">
        <f t="shared" si="27"/>
        <v>0</v>
      </c>
      <c r="AO281" s="351" t="e">
        <f t="shared" si="30"/>
        <v>#DIV/0!</v>
      </c>
    </row>
    <row r="282" spans="1:41">
      <c r="A282" s="165">
        <f>'Conveyor Downtime (new)'!A285</f>
        <v>46169</v>
      </c>
      <c r="B282" s="346">
        <f>5</f>
        <v>5</v>
      </c>
      <c r="C282" s="346"/>
      <c r="D282" s="346"/>
      <c r="E282" s="346"/>
      <c r="F282" s="346"/>
      <c r="G282" s="346"/>
      <c r="H282" s="346"/>
      <c r="I282" s="92"/>
      <c r="J282" s="346"/>
      <c r="K282" s="346"/>
      <c r="L282" s="346"/>
      <c r="M282" s="346"/>
      <c r="N282" s="346"/>
      <c r="O282" s="346"/>
      <c r="P282" s="346"/>
      <c r="Q282" s="346"/>
      <c r="R282" s="346"/>
      <c r="S282" s="346"/>
      <c r="T282" s="346"/>
      <c r="U282" s="346"/>
      <c r="V282" s="346"/>
      <c r="W282" s="346"/>
      <c r="X282" s="346"/>
      <c r="Y282" s="346"/>
      <c r="Z282" s="346"/>
      <c r="AA282" s="346"/>
      <c r="AB282" s="346"/>
      <c r="AC282" s="346"/>
      <c r="AD282" s="346"/>
      <c r="AE282" s="346"/>
      <c r="AF282" s="346"/>
      <c r="AG282" s="346"/>
      <c r="AH282" s="346"/>
      <c r="AI282" s="346"/>
      <c r="AJ282" s="346"/>
      <c r="AK282" s="346"/>
      <c r="AL282" s="346"/>
      <c r="AM282" s="346"/>
      <c r="AN282">
        <f t="shared" si="27"/>
        <v>5</v>
      </c>
      <c r="AO282" s="351" t="e">
        <f t="shared" si="30"/>
        <v>#DIV/0!</v>
      </c>
    </row>
    <row r="283" spans="1:41">
      <c r="A283" s="165">
        <f>'Conveyor Downtime (new)'!A286</f>
        <v>46169</v>
      </c>
      <c r="I283" s="87"/>
      <c r="AN283">
        <f t="shared" si="27"/>
        <v>0</v>
      </c>
      <c r="AO283" s="351" t="e">
        <f t="shared" si="30"/>
        <v>#DIV/0!</v>
      </c>
    </row>
    <row r="284" spans="1:41">
      <c r="A284" s="165">
        <f>'Conveyor Downtime (new)'!A287</f>
        <v>46170</v>
      </c>
      <c r="B284" s="346"/>
      <c r="C284" s="346"/>
      <c r="D284" s="346"/>
      <c r="E284" s="346"/>
      <c r="F284" s="346"/>
      <c r="G284" s="346"/>
      <c r="H284" s="346"/>
      <c r="I284" s="384"/>
      <c r="J284" s="346"/>
      <c r="K284" s="346"/>
      <c r="L284" s="346"/>
      <c r="M284" s="346"/>
      <c r="N284" s="346"/>
      <c r="O284" s="346"/>
      <c r="P284" s="346"/>
      <c r="Q284" s="346"/>
      <c r="R284" s="346"/>
      <c r="S284" s="346"/>
      <c r="T284" s="346"/>
      <c r="U284" s="346"/>
      <c r="V284" s="346"/>
      <c r="W284" s="346"/>
      <c r="X284" s="346"/>
      <c r="Y284" s="346"/>
      <c r="Z284" s="346"/>
      <c r="AA284" s="346"/>
      <c r="AB284" s="346"/>
      <c r="AC284" s="346"/>
      <c r="AD284" s="346"/>
      <c r="AE284" s="346"/>
      <c r="AF284" s="346"/>
      <c r="AG284" s="346"/>
      <c r="AH284" s="346"/>
      <c r="AI284" s="346"/>
      <c r="AJ284" s="346"/>
      <c r="AK284" s="346"/>
      <c r="AL284" s="346"/>
      <c r="AM284" s="346"/>
      <c r="AN284">
        <f t="shared" si="27"/>
        <v>0</v>
      </c>
      <c r="AO284" s="351" t="e">
        <f t="shared" si="30"/>
        <v>#DIV/0!</v>
      </c>
    </row>
    <row r="285" spans="1:41">
      <c r="A285" s="165">
        <f>'Conveyor Downtime (new)'!A288</f>
        <v>0</v>
      </c>
      <c r="AN285">
        <f t="shared" si="27"/>
        <v>0</v>
      </c>
      <c r="AO285" s="351" t="e">
        <f t="shared" si="30"/>
        <v>#DIV/0!</v>
      </c>
    </row>
    <row r="286" spans="1:41">
      <c r="A286" s="165">
        <f>'Conveyor Downtime (new)'!A289</f>
        <v>0</v>
      </c>
      <c r="B286" s="346"/>
      <c r="C286" s="346"/>
      <c r="D286" s="346"/>
      <c r="E286" s="346"/>
      <c r="F286" s="346"/>
      <c r="G286" s="346"/>
      <c r="H286" s="346"/>
      <c r="I286" s="346"/>
      <c r="J286" s="346"/>
      <c r="K286" s="346"/>
      <c r="L286" s="346"/>
      <c r="M286" s="346"/>
      <c r="N286" s="346"/>
      <c r="O286" s="346"/>
      <c r="P286" s="346"/>
      <c r="Q286" s="346"/>
      <c r="R286" s="346"/>
      <c r="S286" s="346"/>
      <c r="T286" s="346"/>
      <c r="U286" s="346"/>
      <c r="V286" s="346"/>
      <c r="W286" s="346"/>
      <c r="X286" s="346"/>
      <c r="Y286" s="346"/>
      <c r="Z286" s="346"/>
      <c r="AA286" s="346"/>
      <c r="AB286" s="346"/>
      <c r="AC286" s="346"/>
      <c r="AD286" s="346"/>
      <c r="AE286" s="346"/>
      <c r="AF286" s="346"/>
      <c r="AG286" s="346"/>
      <c r="AH286" s="346"/>
      <c r="AI286" s="346"/>
      <c r="AJ286" s="346"/>
      <c r="AK286" s="346"/>
      <c r="AL286" s="346"/>
      <c r="AM286" s="346"/>
      <c r="AN286">
        <f t="shared" si="27"/>
        <v>0</v>
      </c>
      <c r="AO286" s="351" t="e">
        <f t="shared" si="30"/>
        <v>#DIV/0!</v>
      </c>
    </row>
    <row r="287" spans="1:41">
      <c r="A287" s="165"/>
    </row>
    <row r="288" spans="1:41">
      <c r="A288" s="165"/>
      <c r="B288" s="346"/>
      <c r="C288" s="346"/>
      <c r="D288" s="346"/>
      <c r="E288" s="346"/>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346"/>
      <c r="AL288" s="346"/>
      <c r="AM288" s="346"/>
    </row>
    <row r="289" spans="1:40" hidden="1">
      <c r="A289" s="165"/>
    </row>
    <row r="290" spans="1:40" hidden="1">
      <c r="A290" s="165"/>
      <c r="B290" s="346"/>
      <c r="C290" s="346"/>
      <c r="D290" s="346"/>
      <c r="E290" s="346"/>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346"/>
      <c r="AL290" s="346"/>
      <c r="AM290" s="346"/>
    </row>
    <row r="291" spans="1:40" hidden="1">
      <c r="A291" s="165"/>
    </row>
    <row r="292" spans="1:40" hidden="1">
      <c r="A292" s="165"/>
      <c r="B292" s="346"/>
      <c r="C292" s="346"/>
      <c r="D292" s="346"/>
      <c r="E292" s="346"/>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346"/>
      <c r="AL292" s="346"/>
      <c r="AM292" s="346"/>
    </row>
    <row r="293" spans="1:40" hidden="1">
      <c r="A293" s="165"/>
      <c r="B293" s="346"/>
      <c r="C293" s="346"/>
      <c r="D293" s="346"/>
      <c r="E293" s="346"/>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s="346"/>
      <c r="AE293" s="346"/>
      <c r="AF293" s="346"/>
      <c r="AG293" s="346"/>
      <c r="AH293" s="346"/>
      <c r="AI293" s="346"/>
      <c r="AJ293" s="346"/>
      <c r="AK293" s="346"/>
      <c r="AL293" s="346"/>
      <c r="AM293" s="346"/>
    </row>
    <row r="294" spans="1:40" hidden="1">
      <c r="A294" s="165"/>
      <c r="B294" s="346"/>
      <c r="C294" s="346"/>
      <c r="D294" s="346"/>
      <c r="E294" s="346"/>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346"/>
      <c r="AL294" s="346"/>
      <c r="AM294" s="346"/>
    </row>
    <row r="295" spans="1:40" hidden="1">
      <c r="A295" s="165"/>
      <c r="B295" s="346"/>
      <c r="C295" s="346"/>
      <c r="D295" s="346"/>
      <c r="E295" s="346"/>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s="346"/>
      <c r="AE295" s="346"/>
      <c r="AF295" s="346"/>
      <c r="AG295" s="346"/>
      <c r="AH295" s="346"/>
      <c r="AI295" s="346"/>
      <c r="AJ295" s="346"/>
      <c r="AK295" s="346"/>
      <c r="AL295" s="346"/>
      <c r="AM295" s="346"/>
    </row>
    <row r="296" spans="1:40" hidden="1">
      <c r="A296" s="165"/>
      <c r="B296" s="346"/>
      <c r="C296" s="346"/>
      <c r="D296" s="346"/>
      <c r="E296" s="346"/>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346"/>
      <c r="AL296" s="346"/>
      <c r="AM296" s="346"/>
    </row>
    <row r="297" spans="1:40" hidden="1">
      <c r="A297" s="165"/>
    </row>
    <row r="298" spans="1:40" hidden="1">
      <c r="A298" s="165"/>
      <c r="B298" s="346"/>
      <c r="C298" s="346"/>
      <c r="D298" s="346"/>
      <c r="E298" s="346"/>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346"/>
      <c r="AL298" s="346"/>
      <c r="AM298" s="346"/>
    </row>
    <row r="299" spans="1:40" hidden="1">
      <c r="A299" s="165"/>
    </row>
    <row r="300" spans="1:40" hidden="1">
      <c r="A300" s="165"/>
      <c r="B300" s="346"/>
      <c r="C300" s="346"/>
      <c r="D300" s="346"/>
      <c r="E300" s="346"/>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346"/>
      <c r="AL300" s="346"/>
      <c r="AM300" s="346"/>
    </row>
    <row r="301" spans="1:40" ht="15">
      <c r="A301" s="347" t="s">
        <v>173</v>
      </c>
      <c r="B301" s="347">
        <f>SUM(B245:B300)</f>
        <v>22</v>
      </c>
      <c r="C301" s="347">
        <f t="shared" ref="C301:AL301" si="31">SUM(C245:C300)</f>
        <v>21</v>
      </c>
      <c r="D301" s="347">
        <f t="shared" si="31"/>
        <v>14</v>
      </c>
      <c r="E301" s="347">
        <f t="shared" si="31"/>
        <v>0</v>
      </c>
      <c r="F301" s="347">
        <f t="shared" si="31"/>
        <v>103</v>
      </c>
      <c r="G301" s="347">
        <f t="shared" si="31"/>
        <v>0</v>
      </c>
      <c r="H301" s="347">
        <f t="shared" si="31"/>
        <v>0</v>
      </c>
      <c r="I301" s="347">
        <f t="shared" si="31"/>
        <v>0</v>
      </c>
      <c r="J301" s="347">
        <f t="shared" si="31"/>
        <v>0</v>
      </c>
      <c r="K301" s="347">
        <f t="shared" si="31"/>
        <v>0</v>
      </c>
      <c r="L301" s="347">
        <f t="shared" si="31"/>
        <v>0</v>
      </c>
      <c r="M301" s="347">
        <f t="shared" si="31"/>
        <v>0</v>
      </c>
      <c r="N301" s="347">
        <f t="shared" si="31"/>
        <v>0</v>
      </c>
      <c r="O301" s="347">
        <f t="shared" si="31"/>
        <v>0</v>
      </c>
      <c r="P301" s="347">
        <f t="shared" si="31"/>
        <v>0</v>
      </c>
      <c r="Q301" s="347">
        <f t="shared" si="31"/>
        <v>0</v>
      </c>
      <c r="R301" s="347">
        <f t="shared" si="31"/>
        <v>0</v>
      </c>
      <c r="S301" s="347">
        <f t="shared" si="31"/>
        <v>0</v>
      </c>
      <c r="T301" s="347">
        <f t="shared" si="31"/>
        <v>0</v>
      </c>
      <c r="U301" s="347">
        <f t="shared" si="31"/>
        <v>0</v>
      </c>
      <c r="V301" s="347">
        <f t="shared" si="31"/>
        <v>0</v>
      </c>
      <c r="W301" s="347">
        <f t="shared" si="31"/>
        <v>0</v>
      </c>
      <c r="X301" s="347">
        <f t="shared" si="31"/>
        <v>0</v>
      </c>
      <c r="Y301" s="347">
        <f t="shared" si="31"/>
        <v>0</v>
      </c>
      <c r="Z301" s="347">
        <f>SUM(Z245:Z300)</f>
        <v>93</v>
      </c>
      <c r="AA301" s="347">
        <f t="shared" si="31"/>
        <v>0</v>
      </c>
      <c r="AB301" s="347">
        <f t="shared" si="31"/>
        <v>0</v>
      </c>
      <c r="AC301" s="347">
        <f t="shared" si="31"/>
        <v>0</v>
      </c>
      <c r="AD301" s="347">
        <f t="shared" si="31"/>
        <v>0</v>
      </c>
      <c r="AE301" s="347">
        <f t="shared" si="31"/>
        <v>36</v>
      </c>
      <c r="AF301" s="347">
        <f t="shared" si="31"/>
        <v>0</v>
      </c>
      <c r="AG301" s="347">
        <f t="shared" si="31"/>
        <v>0</v>
      </c>
      <c r="AH301" s="347">
        <f t="shared" si="31"/>
        <v>0</v>
      </c>
      <c r="AI301" s="347">
        <f t="shared" si="31"/>
        <v>0</v>
      </c>
      <c r="AJ301" s="347">
        <f t="shared" si="31"/>
        <v>0</v>
      </c>
      <c r="AK301" s="347">
        <f t="shared" si="31"/>
        <v>0</v>
      </c>
      <c r="AL301" s="347">
        <f t="shared" si="31"/>
        <v>0</v>
      </c>
      <c r="AM301" s="347">
        <f>SUM(AM245:AM300)</f>
        <v>6</v>
      </c>
      <c r="AN301" s="347">
        <f>SUM(AN245:AN300)</f>
        <v>295</v>
      </c>
    </row>
    <row r="302" spans="1:40" ht="15.75" thickBot="1">
      <c r="A302" s="348" t="s">
        <v>174</v>
      </c>
      <c r="B302" s="348">
        <f t="shared" ref="B302:AL302" si="32">B301/$AN301</f>
        <v>7.4576271186440682E-2</v>
      </c>
      <c r="C302" s="348">
        <f t="shared" si="32"/>
        <v>7.1186440677966104E-2</v>
      </c>
      <c r="D302" s="348">
        <f t="shared" si="32"/>
        <v>4.7457627118644069E-2</v>
      </c>
      <c r="E302" s="348">
        <f t="shared" si="32"/>
        <v>0</v>
      </c>
      <c r="F302" s="348">
        <f t="shared" si="32"/>
        <v>0.34915254237288135</v>
      </c>
      <c r="G302" s="348">
        <f t="shared" si="32"/>
        <v>0</v>
      </c>
      <c r="H302" s="348">
        <f t="shared" si="32"/>
        <v>0</v>
      </c>
      <c r="I302" s="348">
        <f t="shared" si="32"/>
        <v>0</v>
      </c>
      <c r="J302" s="348">
        <f t="shared" si="32"/>
        <v>0</v>
      </c>
      <c r="K302" s="348">
        <f t="shared" si="32"/>
        <v>0</v>
      </c>
      <c r="L302" s="348">
        <f t="shared" si="32"/>
        <v>0</v>
      </c>
      <c r="M302" s="348">
        <f t="shared" si="32"/>
        <v>0</v>
      </c>
      <c r="N302" s="348">
        <f t="shared" si="32"/>
        <v>0</v>
      </c>
      <c r="O302" s="348">
        <f t="shared" si="32"/>
        <v>0</v>
      </c>
      <c r="P302" s="348">
        <f t="shared" si="32"/>
        <v>0</v>
      </c>
      <c r="Q302" s="348">
        <f t="shared" si="32"/>
        <v>0</v>
      </c>
      <c r="R302" s="348">
        <f t="shared" si="32"/>
        <v>0</v>
      </c>
      <c r="S302" s="348">
        <f t="shared" si="32"/>
        <v>0</v>
      </c>
      <c r="T302" s="348">
        <f t="shared" si="32"/>
        <v>0</v>
      </c>
      <c r="U302" s="348">
        <f t="shared" si="32"/>
        <v>0</v>
      </c>
      <c r="V302" s="348">
        <f t="shared" si="32"/>
        <v>0</v>
      </c>
      <c r="W302" s="348">
        <f t="shared" si="32"/>
        <v>0</v>
      </c>
      <c r="X302" s="348">
        <f t="shared" si="32"/>
        <v>0</v>
      </c>
      <c r="Y302" s="348">
        <f t="shared" si="32"/>
        <v>0</v>
      </c>
      <c r="Z302" s="348">
        <f t="shared" si="32"/>
        <v>0.31525423728813562</v>
      </c>
      <c r="AA302" s="348">
        <f t="shared" si="32"/>
        <v>0</v>
      </c>
      <c r="AB302" s="348">
        <f t="shared" si="32"/>
        <v>0</v>
      </c>
      <c r="AC302" s="348">
        <f t="shared" si="32"/>
        <v>0</v>
      </c>
      <c r="AD302" s="348">
        <f t="shared" si="32"/>
        <v>0</v>
      </c>
      <c r="AE302" s="348">
        <f t="shared" si="32"/>
        <v>0.12203389830508475</v>
      </c>
      <c r="AF302" s="348">
        <f t="shared" si="32"/>
        <v>0</v>
      </c>
      <c r="AG302" s="348">
        <f t="shared" si="32"/>
        <v>0</v>
      </c>
      <c r="AH302" s="348">
        <f t="shared" si="32"/>
        <v>0</v>
      </c>
      <c r="AI302" s="348">
        <f t="shared" si="32"/>
        <v>0</v>
      </c>
      <c r="AJ302" s="348">
        <f t="shared" si="32"/>
        <v>0</v>
      </c>
      <c r="AK302" s="348">
        <f t="shared" si="32"/>
        <v>0</v>
      </c>
      <c r="AL302" s="348">
        <f t="shared" si="32"/>
        <v>0</v>
      </c>
      <c r="AM302" s="348">
        <f>AM301/$AN301</f>
        <v>2.0338983050847456E-2</v>
      </c>
    </row>
    <row r="306" spans="1:41">
      <c r="A306" s="165">
        <f>'Conveyor Downtime (new)'!A308</f>
        <v>46192</v>
      </c>
      <c r="B306" s="346"/>
      <c r="C306" s="346"/>
      <c r="D306" s="346"/>
      <c r="E306" s="346"/>
      <c r="F306" s="346"/>
      <c r="G306" s="346"/>
      <c r="H306" s="346"/>
      <c r="I306" s="346"/>
      <c r="J306" s="346"/>
      <c r="K306" s="346"/>
      <c r="L306" s="346"/>
      <c r="M306" s="346"/>
      <c r="N306" s="346"/>
      <c r="O306" s="346"/>
      <c r="P306" s="346"/>
      <c r="Q306" s="346"/>
      <c r="R306" s="346"/>
      <c r="S306" s="346"/>
      <c r="T306" s="346"/>
      <c r="U306" s="346"/>
      <c r="V306" s="346"/>
      <c r="W306" s="346"/>
      <c r="X306" s="346"/>
      <c r="Y306" s="346"/>
      <c r="Z306" s="346"/>
      <c r="AA306" s="346"/>
      <c r="AB306" s="346"/>
      <c r="AC306" s="346"/>
      <c r="AD306" s="346"/>
      <c r="AE306" s="346"/>
      <c r="AF306" s="346"/>
      <c r="AG306" s="346"/>
      <c r="AH306" s="346"/>
      <c r="AI306" s="346"/>
      <c r="AJ306" s="346"/>
      <c r="AK306" s="346"/>
      <c r="AL306" s="346"/>
      <c r="AM306" s="346"/>
      <c r="AN306">
        <f t="shared" ref="AN306:AN348" si="33">SUM(B306:AM306)</f>
        <v>0</v>
      </c>
      <c r="AO306" s="351">
        <f t="shared" ref="AO306" si="34">AN306/$AN$360</f>
        <v>0</v>
      </c>
    </row>
    <row r="307" spans="1:41">
      <c r="A307" s="165">
        <f>'Conveyor Downtime (new)'!A309</f>
        <v>46193</v>
      </c>
      <c r="B307">
        <f>7+20</f>
        <v>27</v>
      </c>
      <c r="C307">
        <f>4</f>
        <v>4</v>
      </c>
      <c r="AN307">
        <f t="shared" si="33"/>
        <v>31</v>
      </c>
      <c r="AO307" s="351">
        <f t="shared" ref="AO307:AO338" si="35">AN307/$AN$360</f>
        <v>0.34831460674157305</v>
      </c>
    </row>
    <row r="308" spans="1:41">
      <c r="A308" s="165">
        <f>'Conveyor Downtime (new)'!A310</f>
        <v>46194</v>
      </c>
      <c r="B308" s="346"/>
      <c r="C308" s="346"/>
      <c r="D308" s="346"/>
      <c r="E308" s="346"/>
      <c r="F308" s="346"/>
      <c r="G308" s="346"/>
      <c r="H308" s="346"/>
      <c r="I308" s="346"/>
      <c r="J308" s="346"/>
      <c r="K308" s="346"/>
      <c r="L308" s="346"/>
      <c r="M308" s="346"/>
      <c r="N308" s="346"/>
      <c r="O308" s="346"/>
      <c r="P308" s="346"/>
      <c r="Q308" s="346"/>
      <c r="R308" s="346"/>
      <c r="S308" s="346"/>
      <c r="T308" s="346"/>
      <c r="U308" s="346"/>
      <c r="V308" s="346"/>
      <c r="W308" s="346"/>
      <c r="X308" s="346"/>
      <c r="Y308" s="346"/>
      <c r="Z308" s="346"/>
      <c r="AA308" s="346"/>
      <c r="AB308" s="346"/>
      <c r="AC308" s="346"/>
      <c r="AD308" s="346"/>
      <c r="AE308" s="346"/>
      <c r="AF308" s="346"/>
      <c r="AG308" s="346"/>
      <c r="AH308" s="346"/>
      <c r="AI308" s="346"/>
      <c r="AJ308" s="346"/>
      <c r="AK308" s="346"/>
      <c r="AL308" s="346"/>
      <c r="AM308" s="346"/>
      <c r="AN308">
        <f t="shared" si="33"/>
        <v>0</v>
      </c>
      <c r="AO308" s="351">
        <f t="shared" si="35"/>
        <v>0</v>
      </c>
    </row>
    <row r="309" spans="1:41">
      <c r="A309" s="165">
        <f>'Conveyor Downtime (new)'!A311</f>
        <v>46195</v>
      </c>
      <c r="AN309">
        <f t="shared" si="33"/>
        <v>0</v>
      </c>
      <c r="AO309" s="351">
        <f t="shared" si="35"/>
        <v>0</v>
      </c>
    </row>
    <row r="310" spans="1:41">
      <c r="A310" s="165">
        <f>'Conveyor Downtime (new)'!A312</f>
        <v>46195</v>
      </c>
      <c r="B310" s="346"/>
      <c r="C310" s="346"/>
      <c r="D310" s="346"/>
      <c r="E310" s="346"/>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346"/>
      <c r="AL310" s="346"/>
      <c r="AM310" s="346">
        <f>8</f>
        <v>8</v>
      </c>
      <c r="AN310">
        <f t="shared" si="33"/>
        <v>8</v>
      </c>
      <c r="AO310" s="351">
        <f t="shared" si="35"/>
        <v>8.98876404494382E-2</v>
      </c>
    </row>
    <row r="311" spans="1:41">
      <c r="A311" s="165">
        <f>'Conveyor Downtime (new)'!A313</f>
        <v>46196</v>
      </c>
      <c r="AN311">
        <f t="shared" si="33"/>
        <v>0</v>
      </c>
      <c r="AO311" s="351">
        <f t="shared" si="35"/>
        <v>0</v>
      </c>
    </row>
    <row r="312" spans="1:41">
      <c r="A312" s="165">
        <f>'Conveyor Downtime (new)'!A314</f>
        <v>46196</v>
      </c>
      <c r="B312" s="346"/>
      <c r="C312" s="346"/>
      <c r="D312" s="346"/>
      <c r="E312" s="346"/>
      <c r="F312" s="346"/>
      <c r="G312" s="346"/>
      <c r="H312" s="346"/>
      <c r="I312" s="346"/>
      <c r="J312" s="346"/>
      <c r="K312" s="346"/>
      <c r="L312" s="346"/>
      <c r="M312" s="346"/>
      <c r="N312" s="346"/>
      <c r="O312" s="346"/>
      <c r="P312" s="346"/>
      <c r="Q312" s="346"/>
      <c r="R312" s="346"/>
      <c r="S312" s="346"/>
      <c r="T312" s="346"/>
      <c r="U312" s="346"/>
      <c r="V312" s="346"/>
      <c r="W312" s="346"/>
      <c r="X312" s="346"/>
      <c r="Y312" s="346"/>
      <c r="Z312" s="346"/>
      <c r="AA312" s="346"/>
      <c r="AB312" s="346"/>
      <c r="AC312" s="346"/>
      <c r="AD312" s="346"/>
      <c r="AE312" s="346"/>
      <c r="AF312" s="346"/>
      <c r="AG312" s="346"/>
      <c r="AH312" s="346"/>
      <c r="AI312" s="346"/>
      <c r="AJ312" s="346"/>
      <c r="AK312" s="346"/>
      <c r="AL312" s="346"/>
      <c r="AM312" s="346"/>
      <c r="AN312">
        <f t="shared" si="33"/>
        <v>0</v>
      </c>
      <c r="AO312" s="351">
        <f t="shared" si="35"/>
        <v>0</v>
      </c>
    </row>
    <row r="313" spans="1:41">
      <c r="A313" s="165">
        <f>'Conveyor Downtime (new)'!A315</f>
        <v>46196</v>
      </c>
      <c r="AN313">
        <f t="shared" si="33"/>
        <v>0</v>
      </c>
      <c r="AO313" s="351">
        <f t="shared" si="35"/>
        <v>0</v>
      </c>
    </row>
    <row r="314" spans="1:41">
      <c r="A314" s="165">
        <f>'Conveyor Downtime (new)'!A316</f>
        <v>46197</v>
      </c>
      <c r="B314" s="346"/>
      <c r="C314" s="346"/>
      <c r="D314" s="346"/>
      <c r="E314" s="346"/>
      <c r="F314" s="346"/>
      <c r="G314" s="346"/>
      <c r="H314" s="346"/>
      <c r="I314" s="346"/>
      <c r="J314" s="346"/>
      <c r="K314" s="346"/>
      <c r="L314" s="346"/>
      <c r="M314" s="346"/>
      <c r="N314" s="346"/>
      <c r="O314" s="346"/>
      <c r="P314" s="346"/>
      <c r="Q314" s="346"/>
      <c r="R314" s="346"/>
      <c r="S314" s="346"/>
      <c r="T314" s="346"/>
      <c r="U314" s="346"/>
      <c r="V314" s="346"/>
      <c r="W314" s="346"/>
      <c r="X314" s="346"/>
      <c r="Y314" s="346"/>
      <c r="Z314" s="346"/>
      <c r="AA314" s="346"/>
      <c r="AB314" s="346"/>
      <c r="AC314" s="346"/>
      <c r="AD314" s="346"/>
      <c r="AE314" s="346"/>
      <c r="AF314" s="346"/>
      <c r="AG314" s="346"/>
      <c r="AH314" s="346"/>
      <c r="AI314" s="346"/>
      <c r="AJ314" s="346"/>
      <c r="AK314" s="346"/>
      <c r="AL314" s="346"/>
      <c r="AM314" s="346">
        <f>8</f>
        <v>8</v>
      </c>
      <c r="AN314">
        <f t="shared" si="33"/>
        <v>8</v>
      </c>
      <c r="AO314" s="351">
        <f t="shared" si="35"/>
        <v>8.98876404494382E-2</v>
      </c>
    </row>
    <row r="315" spans="1:41">
      <c r="A315" s="165">
        <f>'Conveyor Downtime (new)'!A317</f>
        <v>46197</v>
      </c>
      <c r="C315">
        <f>3</f>
        <v>3</v>
      </c>
      <c r="AN315">
        <f t="shared" si="33"/>
        <v>3</v>
      </c>
      <c r="AO315" s="351">
        <f t="shared" si="35"/>
        <v>3.3707865168539325E-2</v>
      </c>
    </row>
    <row r="316" spans="1:41">
      <c r="A316" s="165">
        <f>'Conveyor Downtime (new)'!A318</f>
        <v>46198</v>
      </c>
      <c r="B316" s="346"/>
      <c r="C316" s="346"/>
      <c r="D316" s="346"/>
      <c r="E316" s="346"/>
      <c r="F316" s="346"/>
      <c r="G316" s="346"/>
      <c r="H316" s="346"/>
      <c r="I316" s="346"/>
      <c r="J316" s="346"/>
      <c r="K316" s="346"/>
      <c r="L316" s="346"/>
      <c r="M316" s="346"/>
      <c r="N316" s="346"/>
      <c r="O316" s="346"/>
      <c r="P316" s="346"/>
      <c r="Q316" s="346"/>
      <c r="R316" s="346"/>
      <c r="S316" s="346"/>
      <c r="T316" s="346"/>
      <c r="U316" s="346"/>
      <c r="V316" s="346"/>
      <c r="W316" s="346"/>
      <c r="X316" s="346"/>
      <c r="Y316" s="346"/>
      <c r="Z316" s="346"/>
      <c r="AA316" s="346"/>
      <c r="AB316" s="346"/>
      <c r="AC316" s="346"/>
      <c r="AD316" s="346"/>
      <c r="AE316" s="346"/>
      <c r="AF316" s="346"/>
      <c r="AG316" s="346"/>
      <c r="AH316" s="346"/>
      <c r="AI316" s="346"/>
      <c r="AJ316" s="346"/>
      <c r="AK316" s="346"/>
      <c r="AL316" s="346"/>
      <c r="AM316" s="346"/>
      <c r="AN316">
        <f t="shared" si="33"/>
        <v>0</v>
      </c>
      <c r="AO316" s="351">
        <f t="shared" si="35"/>
        <v>0</v>
      </c>
    </row>
    <row r="317" spans="1:41" ht="12" customHeight="1">
      <c r="A317" s="165">
        <f>'Conveyor Downtime (new)'!A319</f>
        <v>46198</v>
      </c>
      <c r="F317">
        <f>5</f>
        <v>5</v>
      </c>
      <c r="Z317">
        <f>13</f>
        <v>13</v>
      </c>
      <c r="AN317">
        <f t="shared" si="33"/>
        <v>18</v>
      </c>
      <c r="AO317" s="351">
        <f t="shared" si="35"/>
        <v>0.20224719101123595</v>
      </c>
    </row>
    <row r="318" spans="1:41">
      <c r="A318" s="165">
        <f>'Conveyor Downtime (new)'!A320</f>
        <v>46198</v>
      </c>
      <c r="B318" s="346"/>
      <c r="C318" s="346">
        <f>4</f>
        <v>4</v>
      </c>
      <c r="D318" s="346"/>
      <c r="E318" s="346"/>
      <c r="F318" s="346"/>
      <c r="G318" s="346"/>
      <c r="H318" s="346"/>
      <c r="I318" s="346"/>
      <c r="J318" s="346"/>
      <c r="K318" s="346"/>
      <c r="L318" s="346"/>
      <c r="M318" s="346"/>
      <c r="N318" s="346"/>
      <c r="O318" s="346"/>
      <c r="P318" s="346"/>
      <c r="Q318" s="346"/>
      <c r="R318" s="346"/>
      <c r="S318" s="346"/>
      <c r="T318" s="346"/>
      <c r="U318" s="346"/>
      <c r="V318" s="346"/>
      <c r="W318" s="346"/>
      <c r="X318" s="346"/>
      <c r="Y318" s="346"/>
      <c r="Z318" s="346"/>
      <c r="AA318" s="346"/>
      <c r="AB318" s="346"/>
      <c r="AC318" s="346"/>
      <c r="AD318" s="346"/>
      <c r="AE318" s="346"/>
      <c r="AF318" s="346"/>
      <c r="AG318" s="346"/>
      <c r="AH318" s="346"/>
      <c r="AI318" s="346"/>
      <c r="AJ318" s="346"/>
      <c r="AK318" s="346"/>
      <c r="AL318" s="346"/>
      <c r="AM318" s="346"/>
      <c r="AN318">
        <f t="shared" si="33"/>
        <v>4</v>
      </c>
      <c r="AO318" s="351">
        <f t="shared" si="35"/>
        <v>4.49438202247191E-2</v>
      </c>
    </row>
    <row r="319" spans="1:41">
      <c r="A319" s="165">
        <f>'Conveyor Downtime (new)'!A321</f>
        <v>46198</v>
      </c>
      <c r="AN319">
        <f t="shared" si="33"/>
        <v>0</v>
      </c>
      <c r="AO319" s="351">
        <f t="shared" si="35"/>
        <v>0</v>
      </c>
    </row>
    <row r="320" spans="1:41">
      <c r="A320" s="165">
        <f>'Conveyor Downtime (new)'!A322</f>
        <v>46199</v>
      </c>
      <c r="B320" s="346"/>
      <c r="C320" s="346"/>
      <c r="D320" s="346"/>
      <c r="E320" s="346"/>
      <c r="F320" s="346"/>
      <c r="G320" s="346"/>
      <c r="H320" s="346"/>
      <c r="I320" s="346"/>
      <c r="J320" s="346"/>
      <c r="K320" s="346"/>
      <c r="L320" s="346"/>
      <c r="M320" s="346"/>
      <c r="N320" s="346"/>
      <c r="O320" s="346"/>
      <c r="P320" s="346"/>
      <c r="Q320" s="346"/>
      <c r="R320" s="346"/>
      <c r="S320" s="346"/>
      <c r="T320" s="346"/>
      <c r="U320" s="346"/>
      <c r="V320" s="346"/>
      <c r="W320" s="346"/>
      <c r="X320" s="346"/>
      <c r="Y320" s="346"/>
      <c r="Z320" s="346"/>
      <c r="AA320" s="346"/>
      <c r="AB320" s="346"/>
      <c r="AC320" s="346"/>
      <c r="AD320" s="346"/>
      <c r="AE320" s="346"/>
      <c r="AF320" s="346"/>
      <c r="AG320" s="346"/>
      <c r="AH320" s="346"/>
      <c r="AI320" s="346"/>
      <c r="AJ320" s="346"/>
      <c r="AK320" s="346"/>
      <c r="AL320" s="346"/>
      <c r="AM320" s="346"/>
      <c r="AN320">
        <f t="shared" si="33"/>
        <v>0</v>
      </c>
      <c r="AO320" s="351">
        <f t="shared" si="35"/>
        <v>0</v>
      </c>
    </row>
    <row r="321" spans="1:41">
      <c r="A321" s="165">
        <f>'Conveyor Downtime (new)'!A323</f>
        <v>46199</v>
      </c>
      <c r="B321" s="346"/>
      <c r="C321" s="346"/>
      <c r="D321" s="346"/>
      <c r="E321" s="346"/>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s="346"/>
      <c r="AE321" s="346"/>
      <c r="AF321" s="346"/>
      <c r="AG321" s="346"/>
      <c r="AH321" s="346"/>
      <c r="AI321" s="346"/>
      <c r="AJ321" s="346"/>
      <c r="AK321" s="346"/>
      <c r="AL321" s="346"/>
      <c r="AM321" s="346"/>
      <c r="AN321">
        <f t="shared" ref="AN321" si="36">SUM(B321:AM321)</f>
        <v>0</v>
      </c>
      <c r="AO321" s="351">
        <f t="shared" si="35"/>
        <v>0</v>
      </c>
    </row>
    <row r="322" spans="1:41">
      <c r="A322" s="165">
        <f>'Conveyor Downtime (new)'!A324</f>
        <v>46200</v>
      </c>
      <c r="B322" s="346"/>
      <c r="C322" s="346"/>
      <c r="D322" s="346"/>
      <c r="E322" s="346"/>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s="346"/>
      <c r="AE322" s="346"/>
      <c r="AF322" s="346"/>
      <c r="AG322" s="346"/>
      <c r="AH322" s="346"/>
      <c r="AI322" s="346"/>
      <c r="AJ322" s="346"/>
      <c r="AK322" s="346"/>
      <c r="AL322" s="346"/>
      <c r="AM322" s="346"/>
      <c r="AN322">
        <f t="shared" si="33"/>
        <v>0</v>
      </c>
      <c r="AO322" s="351">
        <f t="shared" si="35"/>
        <v>0</v>
      </c>
    </row>
    <row r="323" spans="1:41">
      <c r="A323" s="165">
        <f>'Conveyor Downtime (new)'!A325</f>
        <v>46200</v>
      </c>
      <c r="D323">
        <f>3</f>
        <v>3</v>
      </c>
      <c r="F323">
        <f>5+2+7</f>
        <v>14</v>
      </c>
      <c r="AN323">
        <f t="shared" si="33"/>
        <v>17</v>
      </c>
      <c r="AO323" s="351">
        <f t="shared" si="35"/>
        <v>0.19101123595505617</v>
      </c>
    </row>
    <row r="324" spans="1:41">
      <c r="A324" s="165">
        <f>'Conveyor Downtime (new)'!A326</f>
        <v>46202</v>
      </c>
      <c r="AN324">
        <f t="shared" si="33"/>
        <v>0</v>
      </c>
      <c r="AO324" s="351">
        <f t="shared" si="35"/>
        <v>0</v>
      </c>
    </row>
    <row r="325" spans="1:41">
      <c r="A325" s="165">
        <f>'Conveyor Downtime (new)'!A327</f>
        <v>46202</v>
      </c>
      <c r="B325" s="346"/>
      <c r="C325" s="346"/>
      <c r="D325" s="346"/>
      <c r="E325" s="346"/>
      <c r="F325" s="346"/>
      <c r="G325" s="346"/>
      <c r="H325" s="346"/>
      <c r="I325" s="346"/>
      <c r="J325" s="346"/>
      <c r="K325" s="346"/>
      <c r="L325" s="346"/>
      <c r="M325" s="346"/>
      <c r="N325" s="346"/>
      <c r="O325" s="346"/>
      <c r="P325" s="346"/>
      <c r="Q325" s="346"/>
      <c r="R325" s="346"/>
      <c r="S325" s="346"/>
      <c r="T325" s="346"/>
      <c r="U325" s="346"/>
      <c r="V325" s="346"/>
      <c r="W325" s="346"/>
      <c r="X325" s="346"/>
      <c r="Y325" s="346"/>
      <c r="Z325" s="346"/>
      <c r="AA325" s="346"/>
      <c r="AB325" s="346"/>
      <c r="AC325" s="346"/>
      <c r="AD325" s="346"/>
      <c r="AE325" s="346"/>
      <c r="AF325" s="346"/>
      <c r="AG325" s="346"/>
      <c r="AH325" s="346"/>
      <c r="AI325" s="346"/>
      <c r="AJ325" s="346"/>
      <c r="AK325" s="346"/>
      <c r="AL325" s="346"/>
      <c r="AM325" s="346"/>
      <c r="AN325">
        <f t="shared" si="33"/>
        <v>0</v>
      </c>
      <c r="AO325" s="351">
        <f t="shared" si="35"/>
        <v>0</v>
      </c>
    </row>
    <row r="326" spans="1:41">
      <c r="A326" s="165">
        <f>'Conveyor Downtime (new)'!A328</f>
        <v>46202</v>
      </c>
      <c r="B326" s="346"/>
      <c r="C326" s="346"/>
      <c r="D326" s="346"/>
      <c r="E326" s="346"/>
      <c r="F326" s="346"/>
      <c r="G326" s="346"/>
      <c r="H326" s="346"/>
      <c r="I326" s="346"/>
      <c r="J326" s="346"/>
      <c r="K326" s="346"/>
      <c r="L326" s="346"/>
      <c r="M326" s="346"/>
      <c r="N326" s="346"/>
      <c r="O326" s="346"/>
      <c r="P326" s="346"/>
      <c r="Q326" s="346"/>
      <c r="R326" s="346"/>
      <c r="S326" s="346"/>
      <c r="T326" s="346"/>
      <c r="U326" s="346"/>
      <c r="V326" s="346"/>
      <c r="W326" s="346"/>
      <c r="X326" s="346"/>
      <c r="Y326" s="346"/>
      <c r="Z326" s="346"/>
      <c r="AA326" s="346"/>
      <c r="AB326" s="346"/>
      <c r="AC326" s="346"/>
      <c r="AD326" s="346"/>
      <c r="AE326" s="346"/>
      <c r="AF326" s="346"/>
      <c r="AG326" s="346"/>
      <c r="AH326" s="346"/>
      <c r="AI326" s="346"/>
      <c r="AJ326" s="346"/>
      <c r="AK326" s="346"/>
      <c r="AL326" s="346"/>
      <c r="AM326" s="346"/>
      <c r="AN326">
        <f t="shared" si="33"/>
        <v>0</v>
      </c>
      <c r="AO326" s="351">
        <f t="shared" si="35"/>
        <v>0</v>
      </c>
    </row>
    <row r="327" spans="1:41">
      <c r="A327" s="165">
        <f>'Conveyor Downtime (new)'!A329</f>
        <v>46203</v>
      </c>
      <c r="AN327">
        <f t="shared" si="33"/>
        <v>0</v>
      </c>
      <c r="AO327" s="351">
        <f t="shared" si="35"/>
        <v>0</v>
      </c>
    </row>
    <row r="328" spans="1:41">
      <c r="A328" s="165">
        <f>'Conveyor Downtime (new)'!A330</f>
        <v>46203</v>
      </c>
      <c r="B328" s="346"/>
      <c r="C328" s="346"/>
      <c r="D328" s="346"/>
      <c r="E328" s="346"/>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346"/>
      <c r="AL328" s="346"/>
      <c r="AM328" s="346"/>
      <c r="AN328">
        <f t="shared" si="33"/>
        <v>0</v>
      </c>
      <c r="AO328" s="351">
        <f t="shared" si="35"/>
        <v>0</v>
      </c>
    </row>
    <row r="329" spans="1:41">
      <c r="A329" s="165">
        <f>'Conveyor Downtime (new)'!A331</f>
        <v>0</v>
      </c>
      <c r="B329" s="346"/>
      <c r="C329" s="346"/>
      <c r="D329" s="346"/>
      <c r="E329" s="346"/>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s="346"/>
      <c r="AE329" s="346"/>
      <c r="AF329" s="346"/>
      <c r="AG329" s="346"/>
      <c r="AH329" s="346"/>
      <c r="AI329" s="346"/>
      <c r="AJ329" s="346"/>
      <c r="AK329" s="346"/>
      <c r="AL329" s="346"/>
      <c r="AM329" s="346"/>
      <c r="AN329">
        <f t="shared" si="33"/>
        <v>0</v>
      </c>
      <c r="AO329" s="351">
        <f t="shared" si="35"/>
        <v>0</v>
      </c>
    </row>
    <row r="330" spans="1:41">
      <c r="A330" s="165">
        <f>'Conveyor Downtime (new)'!A332</f>
        <v>0</v>
      </c>
      <c r="B330" s="346"/>
      <c r="C330" s="346"/>
      <c r="D330" s="346"/>
      <c r="E330" s="346"/>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s="346"/>
      <c r="AE330" s="346"/>
      <c r="AF330" s="346"/>
      <c r="AG330" s="346"/>
      <c r="AH330" s="346"/>
      <c r="AI330" s="346"/>
      <c r="AJ330" s="346"/>
      <c r="AK330" s="346"/>
      <c r="AL330" s="346"/>
      <c r="AM330" s="346"/>
      <c r="AN330">
        <f t="shared" si="33"/>
        <v>0</v>
      </c>
      <c r="AO330" s="351">
        <f t="shared" si="35"/>
        <v>0</v>
      </c>
    </row>
    <row r="331" spans="1:41">
      <c r="A331" s="165">
        <f>'Conveyor Downtime (new)'!A333</f>
        <v>0</v>
      </c>
      <c r="AN331">
        <f t="shared" si="33"/>
        <v>0</v>
      </c>
      <c r="AO331" s="351">
        <f t="shared" si="35"/>
        <v>0</v>
      </c>
    </row>
    <row r="332" spans="1:41">
      <c r="A332" s="165">
        <f>'Conveyor Downtime (new)'!A334</f>
        <v>0</v>
      </c>
      <c r="B332" s="346"/>
      <c r="C332" s="346"/>
      <c r="D332" s="346"/>
      <c r="E332" s="346"/>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346"/>
      <c r="AL332" s="346"/>
      <c r="AM332" s="346"/>
      <c r="AN332">
        <f t="shared" si="33"/>
        <v>0</v>
      </c>
      <c r="AO332" s="351">
        <f t="shared" si="35"/>
        <v>0</v>
      </c>
    </row>
    <row r="333" spans="1:41">
      <c r="A333" s="165">
        <f>'Conveyor Downtime (new)'!A335</f>
        <v>0</v>
      </c>
      <c r="AN333">
        <f t="shared" si="33"/>
        <v>0</v>
      </c>
      <c r="AO333" s="351">
        <f t="shared" si="35"/>
        <v>0</v>
      </c>
    </row>
    <row r="334" spans="1:41">
      <c r="A334" s="165">
        <f>'Conveyor Downtime (new)'!A336</f>
        <v>0</v>
      </c>
      <c r="AN334">
        <f t="shared" si="33"/>
        <v>0</v>
      </c>
      <c r="AO334" s="351">
        <f t="shared" si="35"/>
        <v>0</v>
      </c>
    </row>
    <row r="335" spans="1:41">
      <c r="A335" s="165">
        <f>'Conveyor Downtime (new)'!A337</f>
        <v>0</v>
      </c>
      <c r="B335" s="346"/>
      <c r="C335" s="346"/>
      <c r="D335" s="346"/>
      <c r="E335" s="346"/>
      <c r="F335" s="346"/>
      <c r="G335" s="346"/>
      <c r="H335" s="346"/>
      <c r="I335" s="346"/>
      <c r="J335" s="346"/>
      <c r="K335" s="346"/>
      <c r="L335" s="346"/>
      <c r="M335" s="346"/>
      <c r="N335" s="346"/>
      <c r="O335" s="346"/>
      <c r="P335" s="346"/>
      <c r="Q335" s="346"/>
      <c r="R335" s="346"/>
      <c r="S335" s="346"/>
      <c r="T335" s="346"/>
      <c r="U335" s="346"/>
      <c r="V335" s="346"/>
      <c r="W335" s="346"/>
      <c r="X335" s="346"/>
      <c r="Y335" s="346"/>
      <c r="Z335" s="346"/>
      <c r="AA335" s="346"/>
      <c r="AB335" s="346"/>
      <c r="AC335" s="346"/>
      <c r="AD335" s="346"/>
      <c r="AE335" s="346"/>
      <c r="AF335" s="346"/>
      <c r="AG335" s="346"/>
      <c r="AH335" s="346"/>
      <c r="AI335" s="346"/>
      <c r="AJ335" s="346"/>
      <c r="AK335" s="346"/>
      <c r="AL335" s="346"/>
      <c r="AM335" s="346"/>
      <c r="AN335">
        <f t="shared" si="33"/>
        <v>0</v>
      </c>
      <c r="AO335" s="351">
        <f t="shared" si="35"/>
        <v>0</v>
      </c>
    </row>
    <row r="336" spans="1:41">
      <c r="A336" s="165">
        <f>'Conveyor Downtime (new)'!A338</f>
        <v>0</v>
      </c>
      <c r="AN336">
        <f t="shared" si="33"/>
        <v>0</v>
      </c>
      <c r="AO336" s="351">
        <f t="shared" si="35"/>
        <v>0</v>
      </c>
    </row>
    <row r="337" spans="1:41">
      <c r="A337" s="165">
        <f>'Conveyor Downtime (new)'!A339</f>
        <v>0</v>
      </c>
      <c r="AN337">
        <f t="shared" si="33"/>
        <v>0</v>
      </c>
      <c r="AO337" s="351">
        <f t="shared" si="35"/>
        <v>0</v>
      </c>
    </row>
    <row r="338" spans="1:41">
      <c r="A338" s="165">
        <f>'Conveyor Downtime (new)'!A340</f>
        <v>0</v>
      </c>
      <c r="AN338">
        <f t="shared" si="33"/>
        <v>0</v>
      </c>
      <c r="AO338" s="351">
        <f t="shared" si="35"/>
        <v>0</v>
      </c>
    </row>
    <row r="339" spans="1:41">
      <c r="A339" s="165">
        <f>'Conveyor Downtime (new)'!A341</f>
        <v>0</v>
      </c>
      <c r="B339" s="346"/>
      <c r="C339" s="346"/>
      <c r="D339" s="346"/>
      <c r="E339" s="346"/>
      <c r="F339" s="346"/>
      <c r="G339" s="346"/>
      <c r="H339" s="346"/>
      <c r="I339" s="346"/>
      <c r="J339" s="346"/>
      <c r="K339" s="346"/>
      <c r="L339" s="346"/>
      <c r="M339" s="346"/>
      <c r="N339" s="346"/>
      <c r="O339" s="346"/>
      <c r="P339" s="346"/>
      <c r="Q339" s="346"/>
      <c r="R339" s="346"/>
      <c r="S339" s="346"/>
      <c r="T339" s="346"/>
      <c r="U339" s="346"/>
      <c r="V339" s="346"/>
      <c r="W339" s="346"/>
      <c r="X339" s="346"/>
      <c r="Y339" s="346"/>
      <c r="Z339" s="346"/>
      <c r="AA339" s="346"/>
      <c r="AB339" s="346"/>
      <c r="AC339" s="346"/>
      <c r="AD339" s="346"/>
      <c r="AE339" s="346"/>
      <c r="AF339" s="346"/>
      <c r="AG339" s="346"/>
      <c r="AH339" s="346"/>
      <c r="AI339" s="346"/>
      <c r="AJ339" s="346"/>
      <c r="AK339" s="346"/>
      <c r="AL339" s="346"/>
      <c r="AM339" s="346"/>
      <c r="AN339">
        <f t="shared" si="33"/>
        <v>0</v>
      </c>
      <c r="AO339" s="351">
        <f t="shared" ref="AO339:AO348" si="37">AN339/$AN$360</f>
        <v>0</v>
      </c>
    </row>
    <row r="340" spans="1:41">
      <c r="A340" s="165">
        <f>'Conveyor Downtime (new)'!A342</f>
        <v>0</v>
      </c>
      <c r="AN340">
        <f t="shared" si="33"/>
        <v>0</v>
      </c>
      <c r="AO340" s="351">
        <f t="shared" si="37"/>
        <v>0</v>
      </c>
    </row>
    <row r="341" spans="1:41">
      <c r="A341" s="165">
        <f>'Conveyor Downtime (new)'!A343</f>
        <v>0</v>
      </c>
      <c r="B341" s="346"/>
      <c r="C341" s="346"/>
      <c r="D341" s="346"/>
      <c r="E341" s="346"/>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346"/>
      <c r="AK341" s="346"/>
      <c r="AL341" s="346"/>
      <c r="AM341" s="346"/>
      <c r="AN341">
        <f t="shared" si="33"/>
        <v>0</v>
      </c>
      <c r="AO341" s="351">
        <f t="shared" si="37"/>
        <v>0</v>
      </c>
    </row>
    <row r="342" spans="1:41">
      <c r="A342" s="165">
        <f>'Conveyor Downtime (new)'!A344</f>
        <v>0</v>
      </c>
      <c r="AN342">
        <f t="shared" si="33"/>
        <v>0</v>
      </c>
      <c r="AO342" s="351">
        <f t="shared" si="37"/>
        <v>0</v>
      </c>
    </row>
    <row r="343" spans="1:41">
      <c r="A343" s="165">
        <f>'Conveyor Downtime (new)'!A345</f>
        <v>0</v>
      </c>
      <c r="B343" s="346"/>
      <c r="C343" s="346"/>
      <c r="D343" s="346"/>
      <c r="E343" s="346"/>
      <c r="F343" s="346"/>
      <c r="G343" s="346"/>
      <c r="H343" s="346"/>
      <c r="I343" s="346"/>
      <c r="J343" s="346"/>
      <c r="K343" s="346"/>
      <c r="L343" s="346"/>
      <c r="M343" s="346"/>
      <c r="N343" s="346"/>
      <c r="O343" s="346"/>
      <c r="P343" s="346"/>
      <c r="Q343" s="346"/>
      <c r="R343" s="346"/>
      <c r="S343" s="346"/>
      <c r="T343" s="346"/>
      <c r="U343" s="346"/>
      <c r="V343" s="346"/>
      <c r="W343" s="346"/>
      <c r="X343" s="346"/>
      <c r="Y343" s="346"/>
      <c r="Z343" s="346"/>
      <c r="AA343" s="346"/>
      <c r="AB343" s="346"/>
      <c r="AC343" s="346"/>
      <c r="AD343" s="346"/>
      <c r="AE343" s="346"/>
      <c r="AF343" s="346"/>
      <c r="AG343" s="346"/>
      <c r="AH343" s="346"/>
      <c r="AI343" s="346"/>
      <c r="AJ343" s="346"/>
      <c r="AK343" s="346"/>
      <c r="AL343" s="346"/>
      <c r="AM343" s="346"/>
      <c r="AN343">
        <f t="shared" si="33"/>
        <v>0</v>
      </c>
      <c r="AO343" s="351">
        <f t="shared" si="37"/>
        <v>0</v>
      </c>
    </row>
    <row r="344" spans="1:41">
      <c r="A344" s="165">
        <f>'Conveyor Downtime (new)'!A346</f>
        <v>0</v>
      </c>
      <c r="AN344">
        <f t="shared" si="33"/>
        <v>0</v>
      </c>
      <c r="AO344" s="351">
        <f t="shared" si="37"/>
        <v>0</v>
      </c>
    </row>
    <row r="345" spans="1:41">
      <c r="A345" s="165">
        <f>'Conveyor Downtime (new)'!A347</f>
        <v>0</v>
      </c>
      <c r="B345" s="346"/>
      <c r="C345" s="346"/>
      <c r="D345" s="346"/>
      <c r="E345" s="346"/>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46"/>
      <c r="AK345" s="346"/>
      <c r="AL345" s="346"/>
      <c r="AM345" s="346"/>
      <c r="AN345">
        <f t="shared" si="33"/>
        <v>0</v>
      </c>
      <c r="AO345" s="351">
        <f t="shared" si="37"/>
        <v>0</v>
      </c>
    </row>
    <row r="346" spans="1:41">
      <c r="A346" s="165">
        <f>'Conveyor Downtime (new)'!A348</f>
        <v>0</v>
      </c>
      <c r="AN346">
        <f t="shared" si="33"/>
        <v>0</v>
      </c>
      <c r="AO346" s="351">
        <f t="shared" si="37"/>
        <v>0</v>
      </c>
    </row>
    <row r="347" spans="1:41">
      <c r="A347" s="165">
        <f>'Conveyor Downtime (new)'!A349</f>
        <v>0</v>
      </c>
      <c r="B347" s="346"/>
      <c r="C347" s="346"/>
      <c r="D347" s="346"/>
      <c r="E347" s="346"/>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46"/>
      <c r="AK347" s="346"/>
      <c r="AL347" s="346"/>
      <c r="AM347" s="346"/>
      <c r="AN347">
        <f t="shared" si="33"/>
        <v>0</v>
      </c>
      <c r="AO347" s="351">
        <f t="shared" si="37"/>
        <v>0</v>
      </c>
    </row>
    <row r="348" spans="1:41">
      <c r="A348" s="165">
        <f>'Conveyor Downtime (new)'!A350</f>
        <v>0</v>
      </c>
      <c r="AN348">
        <f t="shared" si="33"/>
        <v>0</v>
      </c>
      <c r="AO348" s="351">
        <f t="shared" si="37"/>
        <v>0</v>
      </c>
    </row>
    <row r="349" spans="1:41">
      <c r="A349" s="165"/>
      <c r="B349" s="346"/>
      <c r="C349" s="346"/>
      <c r="D349" s="346"/>
      <c r="E349" s="346"/>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46"/>
      <c r="AK349" s="346"/>
      <c r="AL349" s="346"/>
      <c r="AM349" s="346"/>
    </row>
    <row r="350" spans="1:41">
      <c r="A350" s="165"/>
    </row>
    <row r="351" spans="1:41">
      <c r="A351" s="165"/>
      <c r="B351" s="346"/>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346"/>
      <c r="AK351" s="346"/>
      <c r="AL351" s="346"/>
      <c r="AM351" s="346"/>
    </row>
    <row r="352" spans="1:41">
      <c r="A352" s="165"/>
    </row>
    <row r="353" spans="1:41">
      <c r="A353" s="165"/>
      <c r="B353" s="346"/>
      <c r="C353" s="346"/>
      <c r="D353" s="346"/>
      <c r="E353" s="346"/>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346"/>
      <c r="AK353" s="346"/>
      <c r="AL353" s="346"/>
      <c r="AM353" s="346"/>
    </row>
    <row r="354" spans="1:41">
      <c r="A354" s="165"/>
    </row>
    <row r="355" spans="1:41">
      <c r="A355" s="165"/>
      <c r="B355" s="346"/>
      <c r="C355" s="346"/>
      <c r="D355" s="346"/>
      <c r="E355" s="346"/>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346"/>
      <c r="AK355" s="346"/>
      <c r="AL355" s="346"/>
      <c r="AM355" s="346"/>
    </row>
    <row r="356" spans="1:41">
      <c r="A356" s="165"/>
    </row>
    <row r="357" spans="1:41">
      <c r="A357" s="165"/>
      <c r="B357" s="346"/>
      <c r="C357" s="346"/>
      <c r="D357" s="346"/>
      <c r="E357" s="346"/>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346"/>
      <c r="AK357" s="346"/>
      <c r="AL357" s="346"/>
      <c r="AM357" s="346"/>
    </row>
    <row r="358" spans="1:41">
      <c r="A358" s="165"/>
    </row>
    <row r="359" spans="1:41">
      <c r="A359" s="165"/>
      <c r="B359" s="346"/>
      <c r="C359" s="346"/>
      <c r="D359" s="346"/>
      <c r="E359" s="346"/>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346"/>
      <c r="AK359" s="346"/>
      <c r="AL359" s="346"/>
      <c r="AM359" s="346"/>
    </row>
    <row r="360" spans="1:41" ht="15">
      <c r="A360" s="347" t="s">
        <v>173</v>
      </c>
      <c r="B360" s="347">
        <f t="shared" ref="B360:AN360" si="38">SUM(B306:B359)</f>
        <v>27</v>
      </c>
      <c r="C360" s="347">
        <f t="shared" si="38"/>
        <v>11</v>
      </c>
      <c r="D360" s="347">
        <f t="shared" si="38"/>
        <v>3</v>
      </c>
      <c r="E360" s="347">
        <f t="shared" si="38"/>
        <v>0</v>
      </c>
      <c r="F360" s="347">
        <f t="shared" si="38"/>
        <v>19</v>
      </c>
      <c r="G360" s="347">
        <f t="shared" si="38"/>
        <v>0</v>
      </c>
      <c r="H360" s="347">
        <f t="shared" si="38"/>
        <v>0</v>
      </c>
      <c r="I360" s="347">
        <f t="shared" si="38"/>
        <v>0</v>
      </c>
      <c r="J360" s="347">
        <f t="shared" si="38"/>
        <v>0</v>
      </c>
      <c r="K360" s="347">
        <f t="shared" si="38"/>
        <v>0</v>
      </c>
      <c r="L360" s="347">
        <f t="shared" si="38"/>
        <v>0</v>
      </c>
      <c r="M360" s="347">
        <f t="shared" si="38"/>
        <v>0</v>
      </c>
      <c r="N360" s="347">
        <f t="shared" si="38"/>
        <v>0</v>
      </c>
      <c r="O360" s="347">
        <f t="shared" si="38"/>
        <v>0</v>
      </c>
      <c r="P360" s="347">
        <f t="shared" si="38"/>
        <v>0</v>
      </c>
      <c r="Q360" s="347">
        <f t="shared" si="38"/>
        <v>0</v>
      </c>
      <c r="R360" s="347">
        <f t="shared" si="38"/>
        <v>0</v>
      </c>
      <c r="S360" s="347">
        <f t="shared" si="38"/>
        <v>0</v>
      </c>
      <c r="T360" s="347">
        <f t="shared" si="38"/>
        <v>0</v>
      </c>
      <c r="U360" s="347">
        <f t="shared" si="38"/>
        <v>0</v>
      </c>
      <c r="V360" s="347">
        <f t="shared" si="38"/>
        <v>0</v>
      </c>
      <c r="W360" s="347">
        <f t="shared" si="38"/>
        <v>0</v>
      </c>
      <c r="X360" s="347">
        <f t="shared" si="38"/>
        <v>0</v>
      </c>
      <c r="Y360" s="347">
        <f t="shared" si="38"/>
        <v>0</v>
      </c>
      <c r="Z360" s="347">
        <f t="shared" si="38"/>
        <v>13</v>
      </c>
      <c r="AA360" s="347">
        <f t="shared" si="38"/>
        <v>0</v>
      </c>
      <c r="AB360" s="347">
        <f t="shared" si="38"/>
        <v>0</v>
      </c>
      <c r="AC360" s="347">
        <f t="shared" si="38"/>
        <v>0</v>
      </c>
      <c r="AD360" s="347">
        <f t="shared" si="38"/>
        <v>0</v>
      </c>
      <c r="AE360" s="347">
        <f t="shared" si="38"/>
        <v>0</v>
      </c>
      <c r="AF360" s="347">
        <f t="shared" si="38"/>
        <v>0</v>
      </c>
      <c r="AG360" s="347">
        <f t="shared" si="38"/>
        <v>0</v>
      </c>
      <c r="AH360" s="347">
        <f t="shared" si="38"/>
        <v>0</v>
      </c>
      <c r="AI360" s="347">
        <f t="shared" si="38"/>
        <v>0</v>
      </c>
      <c r="AJ360" s="347">
        <f t="shared" si="38"/>
        <v>0</v>
      </c>
      <c r="AK360" s="347">
        <f t="shared" si="38"/>
        <v>0</v>
      </c>
      <c r="AL360" s="347">
        <f t="shared" si="38"/>
        <v>0</v>
      </c>
      <c r="AM360" s="347">
        <f t="shared" si="38"/>
        <v>16</v>
      </c>
      <c r="AN360" s="347">
        <f t="shared" si="38"/>
        <v>89</v>
      </c>
    </row>
    <row r="361" spans="1:41" ht="15.75" thickBot="1">
      <c r="A361" s="348" t="s">
        <v>174</v>
      </c>
      <c r="B361" s="348">
        <f t="shared" ref="B361:AL361" si="39">B360/$AN360</f>
        <v>0.30337078651685395</v>
      </c>
      <c r="C361" s="348">
        <f t="shared" si="39"/>
        <v>0.12359550561797752</v>
      </c>
      <c r="D361" s="348">
        <f t="shared" si="39"/>
        <v>3.3707865168539325E-2</v>
      </c>
      <c r="E361" s="348">
        <f t="shared" si="39"/>
        <v>0</v>
      </c>
      <c r="F361" s="348">
        <f t="shared" si="39"/>
        <v>0.21348314606741572</v>
      </c>
      <c r="G361" s="348">
        <f t="shared" si="39"/>
        <v>0</v>
      </c>
      <c r="H361" s="348">
        <f t="shared" si="39"/>
        <v>0</v>
      </c>
      <c r="I361" s="348">
        <f t="shared" si="39"/>
        <v>0</v>
      </c>
      <c r="J361" s="348">
        <f t="shared" si="39"/>
        <v>0</v>
      </c>
      <c r="K361" s="348">
        <f t="shared" si="39"/>
        <v>0</v>
      </c>
      <c r="L361" s="348">
        <f t="shared" si="39"/>
        <v>0</v>
      </c>
      <c r="M361" s="348">
        <f t="shared" si="39"/>
        <v>0</v>
      </c>
      <c r="N361" s="348">
        <f t="shared" si="39"/>
        <v>0</v>
      </c>
      <c r="O361" s="348">
        <f t="shared" si="39"/>
        <v>0</v>
      </c>
      <c r="P361" s="348">
        <f t="shared" si="39"/>
        <v>0</v>
      </c>
      <c r="Q361" s="348">
        <f t="shared" si="39"/>
        <v>0</v>
      </c>
      <c r="R361" s="348">
        <f t="shared" si="39"/>
        <v>0</v>
      </c>
      <c r="S361" s="348">
        <f t="shared" si="39"/>
        <v>0</v>
      </c>
      <c r="T361" s="348">
        <f t="shared" si="39"/>
        <v>0</v>
      </c>
      <c r="U361" s="348">
        <f t="shared" si="39"/>
        <v>0</v>
      </c>
      <c r="V361" s="348">
        <f t="shared" si="39"/>
        <v>0</v>
      </c>
      <c r="W361" s="348">
        <f t="shared" si="39"/>
        <v>0</v>
      </c>
      <c r="X361" s="348">
        <f t="shared" si="39"/>
        <v>0</v>
      </c>
      <c r="Y361" s="348">
        <f t="shared" si="39"/>
        <v>0</v>
      </c>
      <c r="Z361" s="348">
        <f t="shared" si="39"/>
        <v>0.14606741573033707</v>
      </c>
      <c r="AA361" s="348">
        <f t="shared" si="39"/>
        <v>0</v>
      </c>
      <c r="AB361" s="348">
        <f t="shared" si="39"/>
        <v>0</v>
      </c>
      <c r="AC361" s="348">
        <f t="shared" si="39"/>
        <v>0</v>
      </c>
      <c r="AD361" s="348">
        <f t="shared" si="39"/>
        <v>0</v>
      </c>
      <c r="AE361" s="348">
        <f t="shared" si="39"/>
        <v>0</v>
      </c>
      <c r="AF361" s="348">
        <f t="shared" si="39"/>
        <v>0</v>
      </c>
      <c r="AG361" s="348">
        <f t="shared" si="39"/>
        <v>0</v>
      </c>
      <c r="AH361" s="348">
        <f t="shared" si="39"/>
        <v>0</v>
      </c>
      <c r="AI361" s="348">
        <f t="shared" si="39"/>
        <v>0</v>
      </c>
      <c r="AJ361" s="348">
        <f t="shared" si="39"/>
        <v>0</v>
      </c>
      <c r="AK361" s="348">
        <f t="shared" si="39"/>
        <v>0</v>
      </c>
      <c r="AL361" s="348">
        <f t="shared" si="39"/>
        <v>0</v>
      </c>
      <c r="AM361" s="348">
        <f>AM360/$AN360</f>
        <v>0.1797752808988764</v>
      </c>
    </row>
    <row r="363" spans="1:41">
      <c r="A363" s="165">
        <f>'Conveyor Downtime (new)'!A372</f>
        <v>46204</v>
      </c>
      <c r="B363" s="346"/>
      <c r="C363" s="346">
        <v>1</v>
      </c>
      <c r="D363" s="346"/>
      <c r="E363" s="346"/>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346"/>
      <c r="AK363" s="346"/>
      <c r="AL363" s="346"/>
      <c r="AM363" s="346">
        <v>2</v>
      </c>
      <c r="AN363">
        <f t="shared" ref="AN363:AN406" si="40">SUM(B363:AM363)</f>
        <v>3</v>
      </c>
      <c r="AO363" s="351">
        <f t="shared" ref="AO363:AO406" si="41">AN363/$AN$420</f>
        <v>3.6188178528347406E-3</v>
      </c>
    </row>
    <row r="364" spans="1:41">
      <c r="A364" s="165">
        <f>'Conveyor Downtime (new)'!A373</f>
        <v>46204</v>
      </c>
      <c r="B364">
        <f>20+17</f>
        <v>37</v>
      </c>
      <c r="V364">
        <f>16+13</f>
        <v>29</v>
      </c>
      <c r="AN364">
        <f t="shared" si="40"/>
        <v>66</v>
      </c>
      <c r="AO364" s="351">
        <f t="shared" si="41"/>
        <v>7.9613992762364291E-2</v>
      </c>
    </row>
    <row r="365" spans="1:41">
      <c r="A365" s="165">
        <f>'Conveyor Downtime (new)'!A374</f>
        <v>46205</v>
      </c>
      <c r="B365" s="346">
        <f>5+9+12+17+12</f>
        <v>55</v>
      </c>
      <c r="C365" s="346">
        <f>7</f>
        <v>7</v>
      </c>
      <c r="D365" s="346"/>
      <c r="E365" s="346"/>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346"/>
      <c r="AK365" s="346"/>
      <c r="AL365" s="346"/>
      <c r="AM365" s="346"/>
      <c r="AN365">
        <f t="shared" si="40"/>
        <v>62</v>
      </c>
      <c r="AO365" s="351">
        <f t="shared" si="41"/>
        <v>7.478890229191798E-2</v>
      </c>
    </row>
    <row r="366" spans="1:41">
      <c r="A366" s="165">
        <f>'Conveyor Downtime (new)'!A375</f>
        <v>46205</v>
      </c>
      <c r="AN366">
        <f t="shared" si="40"/>
        <v>0</v>
      </c>
      <c r="AO366" s="351">
        <f t="shared" si="41"/>
        <v>0</v>
      </c>
    </row>
    <row r="367" spans="1:41">
      <c r="A367" s="165">
        <f>'Conveyor Downtime (new)'!A376</f>
        <v>46205</v>
      </c>
      <c r="B367" s="346"/>
      <c r="C367" s="346">
        <f>4</f>
        <v>4</v>
      </c>
      <c r="D367" s="346"/>
      <c r="E367" s="346"/>
      <c r="F367" s="346"/>
      <c r="G367" s="346"/>
      <c r="H367" s="346"/>
      <c r="I367" s="346"/>
      <c r="J367" s="346"/>
      <c r="K367" s="346"/>
      <c r="L367" s="346"/>
      <c r="M367" s="346"/>
      <c r="N367" s="346"/>
      <c r="O367" s="346"/>
      <c r="P367" s="346"/>
      <c r="Q367" s="346"/>
      <c r="R367" s="346"/>
      <c r="S367" s="346"/>
      <c r="T367" s="346"/>
      <c r="U367" s="346"/>
      <c r="V367" s="346"/>
      <c r="W367" s="346"/>
      <c r="X367" s="346"/>
      <c r="Y367" s="346"/>
      <c r="Z367" s="346">
        <f>4+6</f>
        <v>10</v>
      </c>
      <c r="AA367" s="346"/>
      <c r="AB367" s="346"/>
      <c r="AC367" s="346"/>
      <c r="AD367" s="346"/>
      <c r="AE367" s="346"/>
      <c r="AF367" s="346"/>
      <c r="AG367" s="346"/>
      <c r="AH367" s="346"/>
      <c r="AI367" s="346"/>
      <c r="AJ367" s="346"/>
      <c r="AK367" s="346"/>
      <c r="AL367" s="346"/>
      <c r="AM367" s="346"/>
      <c r="AN367">
        <f t="shared" si="40"/>
        <v>14</v>
      </c>
      <c r="AO367" s="351">
        <f t="shared" si="41"/>
        <v>1.6887816646562123E-2</v>
      </c>
    </row>
    <row r="368" spans="1:41">
      <c r="A368" s="165">
        <f>'Conveyor Downtime (new)'!A377</f>
        <v>46206</v>
      </c>
      <c r="AN368">
        <f t="shared" si="40"/>
        <v>0</v>
      </c>
      <c r="AO368" s="351">
        <f t="shared" si="41"/>
        <v>0</v>
      </c>
    </row>
    <row r="369" spans="1:41">
      <c r="A369" s="165">
        <f>'Conveyor Downtime (new)'!A378</f>
        <v>46206</v>
      </c>
      <c r="B369" s="346">
        <f>4+5+3+2</f>
        <v>14</v>
      </c>
      <c r="C369" s="346"/>
      <c r="D369" s="346"/>
      <c r="E369" s="346"/>
      <c r="F369" s="346"/>
      <c r="G369" s="346"/>
      <c r="H369" s="346"/>
      <c r="I369" s="346"/>
      <c r="J369" s="346"/>
      <c r="K369" s="346"/>
      <c r="L369" s="346"/>
      <c r="M369" s="346"/>
      <c r="N369" s="346"/>
      <c r="O369" s="346"/>
      <c r="P369" s="346"/>
      <c r="Q369" s="346"/>
      <c r="R369" s="346"/>
      <c r="S369" s="346"/>
      <c r="T369" s="346"/>
      <c r="U369" s="346"/>
      <c r="V369" s="346"/>
      <c r="W369" s="346"/>
      <c r="X369" s="346"/>
      <c r="Y369" s="346"/>
      <c r="Z369" s="346">
        <v>7</v>
      </c>
      <c r="AA369" s="346">
        <f>4</f>
        <v>4</v>
      </c>
      <c r="AB369" s="346"/>
      <c r="AC369" s="346"/>
      <c r="AD369" s="346"/>
      <c r="AE369" s="346"/>
      <c r="AF369" s="346"/>
      <c r="AG369" s="346"/>
      <c r="AH369" s="346"/>
      <c r="AI369" s="346"/>
      <c r="AJ369" s="346"/>
      <c r="AK369" s="346"/>
      <c r="AL369" s="346"/>
      <c r="AM369" s="346"/>
      <c r="AN369">
        <f t="shared" si="40"/>
        <v>25</v>
      </c>
      <c r="AO369" s="351">
        <f t="shared" si="41"/>
        <v>3.0156815440289506E-2</v>
      </c>
    </row>
    <row r="370" spans="1:41">
      <c r="A370" s="165">
        <f>'Conveyor Downtime (new)'!A379</f>
        <v>46209</v>
      </c>
      <c r="B370">
        <f>22+15+8+12+8+3+8+10+3+8+10+4+16+11+5+12+5</f>
        <v>160</v>
      </c>
      <c r="C370">
        <f>5+5+3</f>
        <v>13</v>
      </c>
      <c r="W370">
        <f>4</f>
        <v>4</v>
      </c>
      <c r="AN370">
        <f t="shared" si="40"/>
        <v>177</v>
      </c>
      <c r="AO370" s="351">
        <f t="shared" si="41"/>
        <v>0.21351025331724971</v>
      </c>
    </row>
    <row r="371" spans="1:41">
      <c r="A371" s="165">
        <f>'Conveyor Downtime (new)'!A380</f>
        <v>46210</v>
      </c>
      <c r="B371" s="346"/>
      <c r="C371" s="346"/>
      <c r="D371" s="346"/>
      <c r="E371" s="346"/>
      <c r="F371" s="346"/>
      <c r="G371" s="346"/>
      <c r="H371" s="346"/>
      <c r="I371" s="346"/>
      <c r="J371" s="346"/>
      <c r="K371" s="346"/>
      <c r="L371" s="346"/>
      <c r="M371" s="346"/>
      <c r="N371" s="346"/>
      <c r="O371" s="346"/>
      <c r="P371" s="346"/>
      <c r="Q371" s="346"/>
      <c r="R371" s="346"/>
      <c r="S371" s="346"/>
      <c r="T371" s="346"/>
      <c r="U371" s="346"/>
      <c r="V371" s="346"/>
      <c r="W371" s="346"/>
      <c r="X371" s="346"/>
      <c r="Y371" s="346"/>
      <c r="Z371" s="346"/>
      <c r="AA371" s="346"/>
      <c r="AB371" s="346"/>
      <c r="AC371" s="346"/>
      <c r="AD371" s="346"/>
      <c r="AE371" s="346"/>
      <c r="AF371" s="346"/>
      <c r="AG371" s="346"/>
      <c r="AH371" s="346"/>
      <c r="AI371" s="346"/>
      <c r="AJ371" s="346"/>
      <c r="AK371" s="346"/>
      <c r="AL371" s="346"/>
      <c r="AM371" s="346"/>
      <c r="AN371">
        <f t="shared" si="40"/>
        <v>0</v>
      </c>
      <c r="AO371" s="351">
        <f t="shared" si="41"/>
        <v>0</v>
      </c>
    </row>
    <row r="372" spans="1:41">
      <c r="A372" s="165">
        <f>'Conveyor Downtime (new)'!A381</f>
        <v>46210</v>
      </c>
      <c r="AN372">
        <f t="shared" si="40"/>
        <v>0</v>
      </c>
      <c r="AO372" s="351">
        <f t="shared" si="41"/>
        <v>0</v>
      </c>
    </row>
    <row r="373" spans="1:41">
      <c r="A373" s="165">
        <f>'Conveyor Downtime (new)'!A382</f>
        <v>46211</v>
      </c>
      <c r="B373" s="346"/>
      <c r="C373" s="346"/>
      <c r="D373" s="346"/>
      <c r="E373" s="346"/>
      <c r="F373" s="346"/>
      <c r="G373" s="346"/>
      <c r="H373" s="346"/>
      <c r="I373" s="346"/>
      <c r="J373" s="346"/>
      <c r="K373" s="346"/>
      <c r="L373" s="346"/>
      <c r="M373" s="346"/>
      <c r="N373" s="346"/>
      <c r="O373" s="346"/>
      <c r="P373" s="346"/>
      <c r="Q373" s="346"/>
      <c r="R373" s="346"/>
      <c r="S373" s="346"/>
      <c r="T373" s="346"/>
      <c r="U373" s="346"/>
      <c r="V373" s="346"/>
      <c r="W373" s="346"/>
      <c r="X373" s="346"/>
      <c r="Y373" s="346"/>
      <c r="Z373" s="346"/>
      <c r="AA373" s="346"/>
      <c r="AB373" s="346"/>
      <c r="AC373" s="346"/>
      <c r="AD373" s="346"/>
      <c r="AE373" s="346"/>
      <c r="AF373" s="346"/>
      <c r="AG373" s="346"/>
      <c r="AH373" s="346"/>
      <c r="AI373" s="346"/>
      <c r="AJ373" s="346"/>
      <c r="AK373" s="346"/>
      <c r="AL373" s="346"/>
      <c r="AM373" s="346"/>
      <c r="AN373">
        <f t="shared" si="40"/>
        <v>0</v>
      </c>
      <c r="AO373" s="351">
        <f t="shared" si="41"/>
        <v>0</v>
      </c>
    </row>
    <row r="374" spans="1:41">
      <c r="A374" s="165">
        <f>'Conveyor Downtime (new)'!A383</f>
        <v>46211</v>
      </c>
      <c r="B374" s="346"/>
      <c r="C374" s="346"/>
      <c r="D374" s="346"/>
      <c r="E374" s="346"/>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346"/>
      <c r="AK374" s="346"/>
      <c r="AL374" s="346"/>
      <c r="AM374" s="346"/>
      <c r="AN374">
        <f t="shared" si="40"/>
        <v>0</v>
      </c>
      <c r="AO374" s="351">
        <f t="shared" si="41"/>
        <v>0</v>
      </c>
    </row>
    <row r="375" spans="1:41">
      <c r="A375" s="165">
        <f>'Conveyor Downtime (new)'!A384</f>
        <v>46211</v>
      </c>
      <c r="AN375">
        <f t="shared" si="40"/>
        <v>0</v>
      </c>
      <c r="AO375" s="351">
        <f t="shared" si="41"/>
        <v>0</v>
      </c>
    </row>
    <row r="376" spans="1:41">
      <c r="A376" s="165">
        <f>'Conveyor Downtime (new)'!A385</f>
        <v>46211</v>
      </c>
      <c r="B376" s="346"/>
      <c r="C376" s="346"/>
      <c r="D376" s="346"/>
      <c r="E376" s="346"/>
      <c r="F376" s="346"/>
      <c r="G376" s="346"/>
      <c r="H376" s="346"/>
      <c r="I376" s="346"/>
      <c r="J376" s="346"/>
      <c r="K376" s="346"/>
      <c r="L376" s="346"/>
      <c r="M376" s="346"/>
      <c r="N376" s="346"/>
      <c r="O376" s="346"/>
      <c r="P376" s="346"/>
      <c r="Q376" s="346"/>
      <c r="R376" s="346"/>
      <c r="S376" s="346"/>
      <c r="T376" s="346"/>
      <c r="U376" s="346"/>
      <c r="V376" s="346"/>
      <c r="W376" s="346"/>
      <c r="X376" s="346"/>
      <c r="Y376" s="346"/>
      <c r="Z376" s="346"/>
      <c r="AA376" s="346"/>
      <c r="AB376" s="346"/>
      <c r="AC376" s="346"/>
      <c r="AD376" s="346"/>
      <c r="AE376" s="346"/>
      <c r="AF376" s="346"/>
      <c r="AG376" s="346"/>
      <c r="AH376" s="346"/>
      <c r="AI376" s="346"/>
      <c r="AJ376" s="346"/>
      <c r="AK376" s="346"/>
      <c r="AL376" s="346"/>
      <c r="AM376" s="346"/>
      <c r="AN376">
        <f t="shared" si="40"/>
        <v>0</v>
      </c>
      <c r="AO376" s="351">
        <f t="shared" si="41"/>
        <v>0</v>
      </c>
    </row>
    <row r="377" spans="1:41">
      <c r="A377" s="165">
        <f>'Conveyor Downtime (new)'!A386</f>
        <v>46211</v>
      </c>
      <c r="C377">
        <v>8</v>
      </c>
      <c r="D377">
        <v>1</v>
      </c>
      <c r="AN377">
        <f t="shared" si="40"/>
        <v>9</v>
      </c>
      <c r="AO377" s="351">
        <f t="shared" si="41"/>
        <v>1.0856453558504222E-2</v>
      </c>
    </row>
    <row r="378" spans="1:41">
      <c r="A378" s="165">
        <f>'Conveyor Downtime (new)'!A387</f>
        <v>46212</v>
      </c>
      <c r="B378" s="346"/>
      <c r="C378" s="346"/>
      <c r="D378" s="346"/>
      <c r="E378" s="346"/>
      <c r="F378" s="346"/>
      <c r="G378" s="346"/>
      <c r="H378" s="346"/>
      <c r="I378" s="346"/>
      <c r="J378" s="346"/>
      <c r="K378" s="346"/>
      <c r="L378" s="346"/>
      <c r="M378" s="346"/>
      <c r="N378" s="346"/>
      <c r="O378" s="346"/>
      <c r="P378" s="346"/>
      <c r="Q378" s="346"/>
      <c r="R378" s="346"/>
      <c r="S378" s="346"/>
      <c r="T378" s="346"/>
      <c r="U378" s="346"/>
      <c r="V378" s="346"/>
      <c r="W378" s="346"/>
      <c r="X378" s="346"/>
      <c r="Y378" s="346"/>
      <c r="Z378" s="346"/>
      <c r="AA378" s="346"/>
      <c r="AB378" s="346"/>
      <c r="AC378" s="346"/>
      <c r="AD378" s="346"/>
      <c r="AE378" s="346"/>
      <c r="AF378" s="346"/>
      <c r="AG378" s="346"/>
      <c r="AH378" s="346"/>
      <c r="AI378" s="346"/>
      <c r="AJ378" s="346"/>
      <c r="AK378" s="346"/>
      <c r="AL378" s="346"/>
      <c r="AM378" s="346"/>
      <c r="AN378">
        <f t="shared" si="40"/>
        <v>0</v>
      </c>
      <c r="AO378" s="351">
        <f t="shared" si="41"/>
        <v>0</v>
      </c>
    </row>
    <row r="379" spans="1:41">
      <c r="A379" s="165">
        <f>'Conveyor Downtime (new)'!A388</f>
        <v>46212</v>
      </c>
      <c r="B379" s="346">
        <v>21</v>
      </c>
      <c r="C379" s="346"/>
      <c r="D379" s="346"/>
      <c r="E379" s="346"/>
      <c r="F379" s="346"/>
      <c r="G379" s="346"/>
      <c r="H379" s="346"/>
      <c r="I379" s="346"/>
      <c r="J379" s="346"/>
      <c r="K379" s="346"/>
      <c r="L379" s="346"/>
      <c r="M379" s="346"/>
      <c r="N379" s="346"/>
      <c r="O379" s="346"/>
      <c r="P379" s="346"/>
      <c r="Q379" s="346"/>
      <c r="R379" s="346"/>
      <c r="S379" s="346"/>
      <c r="T379" s="346"/>
      <c r="U379" s="346"/>
      <c r="V379" s="346"/>
      <c r="W379" s="346">
        <f>3+2</f>
        <v>5</v>
      </c>
      <c r="X379" s="346"/>
      <c r="Y379" s="346"/>
      <c r="Z379" s="346"/>
      <c r="AA379" s="346"/>
      <c r="AB379" s="346"/>
      <c r="AC379" s="346"/>
      <c r="AD379" s="346"/>
      <c r="AE379" s="346"/>
      <c r="AF379" s="346"/>
      <c r="AG379" s="346"/>
      <c r="AH379" s="346"/>
      <c r="AI379" s="346"/>
      <c r="AJ379" s="346"/>
      <c r="AK379" s="346"/>
      <c r="AL379" s="346"/>
      <c r="AM379" s="346"/>
      <c r="AN379">
        <f t="shared" si="40"/>
        <v>26</v>
      </c>
      <c r="AO379" s="351">
        <f t="shared" si="41"/>
        <v>3.1363088057901084E-2</v>
      </c>
    </row>
    <row r="380" spans="1:41">
      <c r="A380" s="165">
        <f>'Conveyor Downtime (new)'!A389</f>
        <v>46212</v>
      </c>
      <c r="W380">
        <f>3</f>
        <v>3</v>
      </c>
      <c r="AN380">
        <f t="shared" si="40"/>
        <v>3</v>
      </c>
      <c r="AO380" s="351">
        <f t="shared" si="41"/>
        <v>3.6188178528347406E-3</v>
      </c>
    </row>
    <row r="381" spans="1:41">
      <c r="A381" s="165">
        <f>'Conveyor Downtime (new)'!A390</f>
        <v>46213</v>
      </c>
      <c r="B381" s="346">
        <f>4+24</f>
        <v>28</v>
      </c>
      <c r="C381" s="346"/>
      <c r="D381" s="346"/>
      <c r="E381" s="346"/>
      <c r="F381" s="346"/>
      <c r="G381" s="346"/>
      <c r="H381" s="346"/>
      <c r="I381" s="346"/>
      <c r="J381" s="346"/>
      <c r="K381" s="346"/>
      <c r="L381" s="346"/>
      <c r="M381" s="346"/>
      <c r="N381" s="346"/>
      <c r="O381" s="346"/>
      <c r="P381" s="346"/>
      <c r="Q381" s="346"/>
      <c r="R381" s="346"/>
      <c r="S381" s="346">
        <f>10+60+20</f>
        <v>90</v>
      </c>
      <c r="T381" s="346"/>
      <c r="U381" s="346"/>
      <c r="V381" s="346"/>
      <c r="W381" s="346">
        <f>4+4</f>
        <v>8</v>
      </c>
      <c r="X381" s="346"/>
      <c r="Y381" s="346"/>
      <c r="Z381" s="346">
        <f>4</f>
        <v>4</v>
      </c>
      <c r="AA381" s="346"/>
      <c r="AB381" s="346"/>
      <c r="AC381" s="346"/>
      <c r="AD381" s="346"/>
      <c r="AE381" s="346"/>
      <c r="AF381" s="346"/>
      <c r="AG381" s="346"/>
      <c r="AH381" s="346"/>
      <c r="AI381" s="346"/>
      <c r="AJ381" s="346"/>
      <c r="AK381" s="346"/>
      <c r="AL381" s="346"/>
      <c r="AM381" s="346"/>
      <c r="AN381">
        <f t="shared" si="40"/>
        <v>130</v>
      </c>
      <c r="AO381" s="351">
        <f t="shared" si="41"/>
        <v>0.15681544028950542</v>
      </c>
    </row>
    <row r="382" spans="1:41">
      <c r="A382" s="165">
        <f>'Conveyor Downtime (new)'!A391</f>
        <v>46213</v>
      </c>
      <c r="C382">
        <f>7</f>
        <v>7</v>
      </c>
      <c r="D382">
        <f>2</f>
        <v>2</v>
      </c>
      <c r="AN382">
        <f t="shared" si="40"/>
        <v>9</v>
      </c>
      <c r="AO382" s="351">
        <f t="shared" si="41"/>
        <v>1.0856453558504222E-2</v>
      </c>
    </row>
    <row r="383" spans="1:41">
      <c r="A383" s="165">
        <f>'Conveyor Downtime (new)'!A392</f>
        <v>46216</v>
      </c>
      <c r="B383" s="346">
        <f>3+4</f>
        <v>7</v>
      </c>
      <c r="C383" s="346"/>
      <c r="D383" s="346"/>
      <c r="E383" s="346"/>
      <c r="F383" s="346"/>
      <c r="G383" s="346"/>
      <c r="H383" s="346"/>
      <c r="I383" s="346"/>
      <c r="J383" s="346"/>
      <c r="K383" s="346"/>
      <c r="L383" s="346"/>
      <c r="M383" s="346"/>
      <c r="N383" s="346"/>
      <c r="O383" s="346"/>
      <c r="P383" s="346"/>
      <c r="Q383" s="346"/>
      <c r="R383" s="346"/>
      <c r="S383" s="346"/>
      <c r="T383" s="346"/>
      <c r="U383" s="346"/>
      <c r="V383" s="346"/>
      <c r="W383" s="346">
        <f>17+5</f>
        <v>22</v>
      </c>
      <c r="X383" s="346"/>
      <c r="Y383" s="346"/>
      <c r="Z383" s="346"/>
      <c r="AA383" s="346"/>
      <c r="AB383" s="346"/>
      <c r="AC383" s="346"/>
      <c r="AD383" s="346"/>
      <c r="AE383" s="346">
        <f>15</f>
        <v>15</v>
      </c>
      <c r="AF383" s="346"/>
      <c r="AG383" s="346"/>
      <c r="AH383" s="346"/>
      <c r="AI383" s="346"/>
      <c r="AJ383" s="346"/>
      <c r="AK383" s="346"/>
      <c r="AL383" s="346"/>
      <c r="AM383" s="346"/>
      <c r="AN383">
        <f t="shared" si="40"/>
        <v>44</v>
      </c>
      <c r="AO383" s="351">
        <f t="shared" si="41"/>
        <v>5.3075995174909532E-2</v>
      </c>
    </row>
    <row r="384" spans="1:41">
      <c r="A384" s="165">
        <f>'Conveyor Downtime (new)'!A393</f>
        <v>46216</v>
      </c>
      <c r="B384" s="346"/>
      <c r="C384" s="346"/>
      <c r="D384" s="346"/>
      <c r="E384" s="346"/>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346"/>
      <c r="AL384" s="346"/>
      <c r="AM384" s="346"/>
      <c r="AN384">
        <f t="shared" si="40"/>
        <v>0</v>
      </c>
      <c r="AO384" s="351">
        <f t="shared" si="41"/>
        <v>0</v>
      </c>
    </row>
    <row r="385" spans="1:41">
      <c r="A385" s="165">
        <f>'Conveyor Downtime (new)'!A394</f>
        <v>46217</v>
      </c>
      <c r="B385">
        <f>3+3</f>
        <v>6</v>
      </c>
      <c r="AN385">
        <f t="shared" si="40"/>
        <v>6</v>
      </c>
      <c r="AO385" s="351">
        <f t="shared" si="41"/>
        <v>7.2376357056694813E-3</v>
      </c>
    </row>
    <row r="386" spans="1:41">
      <c r="A386" s="165">
        <f>'Conveyor Downtime (new)'!A395</f>
        <v>46218</v>
      </c>
      <c r="B386" s="346"/>
      <c r="C386" s="346"/>
      <c r="D386" s="346"/>
      <c r="E386" s="346"/>
      <c r="F386" s="346">
        <f>1+10+3+3+2</f>
        <v>19</v>
      </c>
      <c r="G386" s="346"/>
      <c r="H386" s="346"/>
      <c r="I386" s="346"/>
      <c r="J386" s="346"/>
      <c r="K386" s="346"/>
      <c r="L386" s="346"/>
      <c r="M386" s="346"/>
      <c r="N386" s="346"/>
      <c r="O386" s="346"/>
      <c r="P386" s="346"/>
      <c r="Q386" s="346"/>
      <c r="R386" s="346"/>
      <c r="S386" s="346"/>
      <c r="T386" s="346"/>
      <c r="U386" s="346"/>
      <c r="V386" s="346">
        <f>12+5</f>
        <v>17</v>
      </c>
      <c r="W386" s="346"/>
      <c r="X386" s="346"/>
      <c r="Y386" s="346"/>
      <c r="Z386" s="346"/>
      <c r="AA386" s="346"/>
      <c r="AB386" s="346"/>
      <c r="AC386" s="346"/>
      <c r="AD386" s="346"/>
      <c r="AE386" s="346"/>
      <c r="AF386" s="346"/>
      <c r="AG386" s="346"/>
      <c r="AH386" s="346"/>
      <c r="AI386" s="346"/>
      <c r="AJ386" s="346"/>
      <c r="AK386" s="346"/>
      <c r="AL386" s="346"/>
      <c r="AM386" s="346"/>
      <c r="AN386">
        <f t="shared" si="40"/>
        <v>36</v>
      </c>
      <c r="AO386" s="351">
        <f t="shared" si="41"/>
        <v>4.3425814234016889E-2</v>
      </c>
    </row>
    <row r="387" spans="1:41">
      <c r="A387" s="165">
        <f>'Conveyor Downtime (new)'!A396</f>
        <v>46218</v>
      </c>
      <c r="W387">
        <f>5+60+60</f>
        <v>125</v>
      </c>
      <c r="AN387">
        <f t="shared" si="40"/>
        <v>125</v>
      </c>
      <c r="AO387" s="351">
        <f t="shared" si="41"/>
        <v>0.15078407720144751</v>
      </c>
    </row>
    <row r="388" spans="1:41">
      <c r="A388" s="165">
        <f>'Conveyor Downtime (new)'!A397</f>
        <v>46219</v>
      </c>
      <c r="B388" s="346"/>
      <c r="C388" s="346"/>
      <c r="D388" s="346"/>
      <c r="E388" s="346"/>
      <c r="F388" s="346"/>
      <c r="G388" s="346"/>
      <c r="H388" s="346"/>
      <c r="I388" s="346"/>
      <c r="J388" s="346"/>
      <c r="K388" s="346"/>
      <c r="L388" s="346"/>
      <c r="M388" s="346"/>
      <c r="N388" s="346"/>
      <c r="O388" s="346"/>
      <c r="P388" s="346"/>
      <c r="Q388" s="346"/>
      <c r="R388" s="346"/>
      <c r="S388" s="346"/>
      <c r="T388" s="346"/>
      <c r="U388" s="346"/>
      <c r="V388" s="346"/>
      <c r="W388" s="346"/>
      <c r="X388" s="346"/>
      <c r="Y388" s="346"/>
      <c r="Z388" s="346"/>
      <c r="AA388" s="346"/>
      <c r="AB388" s="346"/>
      <c r="AC388" s="346"/>
      <c r="AD388" s="346"/>
      <c r="AE388" s="346"/>
      <c r="AF388" s="346"/>
      <c r="AG388" s="346"/>
      <c r="AH388" s="346"/>
      <c r="AI388" s="346"/>
      <c r="AJ388" s="346"/>
      <c r="AK388" s="346"/>
      <c r="AL388" s="346"/>
      <c r="AM388" s="346"/>
      <c r="AN388">
        <f t="shared" si="40"/>
        <v>0</v>
      </c>
      <c r="AO388" s="351">
        <f t="shared" si="41"/>
        <v>0</v>
      </c>
    </row>
    <row r="389" spans="1:41">
      <c r="A389" s="165">
        <f>'Conveyor Downtime (new)'!A398</f>
        <v>46219</v>
      </c>
      <c r="B389" s="346"/>
      <c r="C389" s="346"/>
      <c r="D389" s="346"/>
      <c r="E389" s="346"/>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s="346"/>
      <c r="AE389" s="346"/>
      <c r="AF389" s="346"/>
      <c r="AG389" s="346"/>
      <c r="AH389" s="346"/>
      <c r="AI389" s="346"/>
      <c r="AJ389" s="346"/>
      <c r="AK389" s="346"/>
      <c r="AL389" s="346"/>
      <c r="AM389" s="346"/>
      <c r="AN389">
        <f t="shared" si="40"/>
        <v>0</v>
      </c>
      <c r="AO389" s="351">
        <f t="shared" si="41"/>
        <v>0</v>
      </c>
    </row>
    <row r="390" spans="1:41">
      <c r="A390" s="165">
        <f>'Conveyor Downtime (new)'!A399</f>
        <v>46219</v>
      </c>
      <c r="B390">
        <f>8</f>
        <v>8</v>
      </c>
      <c r="AN390">
        <f t="shared" si="40"/>
        <v>8</v>
      </c>
      <c r="AO390" s="351">
        <f t="shared" si="41"/>
        <v>9.6501809408926411E-3</v>
      </c>
    </row>
    <row r="391" spans="1:41">
      <c r="A391" s="165">
        <f>'Conveyor Downtime (new)'!A400</f>
        <v>46219</v>
      </c>
      <c r="B391" s="346"/>
      <c r="C391" s="346"/>
      <c r="D391" s="346"/>
      <c r="E391" s="346"/>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s="346"/>
      <c r="AE391" s="346">
        <f>9</f>
        <v>9</v>
      </c>
      <c r="AF391" s="346"/>
      <c r="AG391" s="346"/>
      <c r="AH391" s="346"/>
      <c r="AI391" s="346"/>
      <c r="AJ391" s="346"/>
      <c r="AK391" s="346"/>
      <c r="AL391" s="346"/>
      <c r="AM391" s="346"/>
      <c r="AN391">
        <f t="shared" si="40"/>
        <v>9</v>
      </c>
      <c r="AO391" s="351">
        <f t="shared" si="41"/>
        <v>1.0856453558504222E-2</v>
      </c>
    </row>
    <row r="392" spans="1:41">
      <c r="A392" s="165">
        <f>'Conveyor Downtime (new)'!A401</f>
        <v>46220</v>
      </c>
      <c r="AN392">
        <f t="shared" si="40"/>
        <v>0</v>
      </c>
      <c r="AO392" s="351">
        <f t="shared" si="41"/>
        <v>0</v>
      </c>
    </row>
    <row r="393" spans="1:41">
      <c r="A393" s="165">
        <f>'Conveyor Downtime (new)'!A402</f>
        <v>46220</v>
      </c>
      <c r="B393" s="346"/>
      <c r="C393" s="346"/>
      <c r="D393" s="346"/>
      <c r="E393" s="346"/>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s="346"/>
      <c r="AE393" s="346"/>
      <c r="AF393" s="346"/>
      <c r="AG393" s="346"/>
      <c r="AH393" s="346"/>
      <c r="AI393" s="346"/>
      <c r="AJ393" s="346"/>
      <c r="AK393" s="346"/>
      <c r="AL393" s="346"/>
      <c r="AM393" s="346"/>
      <c r="AN393">
        <f t="shared" si="40"/>
        <v>0</v>
      </c>
      <c r="AO393" s="351">
        <f t="shared" si="41"/>
        <v>0</v>
      </c>
    </row>
    <row r="394" spans="1:41">
      <c r="A394" s="165">
        <f>'Conveyor Downtime (new)'!A403</f>
        <v>46223</v>
      </c>
      <c r="B394" s="346"/>
      <c r="C394" s="346"/>
      <c r="D394" s="346"/>
      <c r="E394" s="346"/>
      <c r="F394" s="346"/>
      <c r="G394" s="346"/>
      <c r="H394" s="346"/>
      <c r="I394" s="346"/>
      <c r="J394" s="346"/>
      <c r="K394" s="346"/>
      <c r="L394" s="346"/>
      <c r="M394" s="346"/>
      <c r="N394" s="346"/>
      <c r="O394" s="346"/>
      <c r="P394" s="346"/>
      <c r="Q394" s="346"/>
      <c r="R394" s="346"/>
      <c r="S394" s="346"/>
      <c r="T394" s="346"/>
      <c r="U394" s="346"/>
      <c r="V394" s="346"/>
      <c r="W394" s="346"/>
      <c r="X394" s="346"/>
      <c r="Y394" s="346"/>
      <c r="Z394" s="346"/>
      <c r="AA394" s="346"/>
      <c r="AB394" s="346"/>
      <c r="AC394" s="346"/>
      <c r="AD394" s="346"/>
      <c r="AE394" s="346"/>
      <c r="AF394" s="346"/>
      <c r="AG394" s="346"/>
      <c r="AH394" s="346"/>
      <c r="AI394" s="346"/>
      <c r="AJ394" s="346"/>
      <c r="AK394" s="346"/>
      <c r="AL394" s="346"/>
      <c r="AM394" s="346"/>
      <c r="AN394">
        <f t="shared" si="40"/>
        <v>0</v>
      </c>
      <c r="AO394" s="351">
        <f t="shared" si="41"/>
        <v>0</v>
      </c>
    </row>
    <row r="395" spans="1:41">
      <c r="A395" s="165">
        <f>'Conveyor Downtime (new)'!A404</f>
        <v>46223</v>
      </c>
      <c r="AN395">
        <f t="shared" si="40"/>
        <v>0</v>
      </c>
      <c r="AO395" s="351">
        <f t="shared" si="41"/>
        <v>0</v>
      </c>
    </row>
    <row r="396" spans="1:41">
      <c r="A396" s="165">
        <f>'Conveyor Downtime (new)'!A405</f>
        <v>46224</v>
      </c>
      <c r="B396" s="346"/>
      <c r="C396" s="346"/>
      <c r="D396" s="346"/>
      <c r="E396" s="346"/>
      <c r="F396" s="346"/>
      <c r="G396" s="346"/>
      <c r="H396" s="346"/>
      <c r="I396" s="346"/>
      <c r="J396" s="346"/>
      <c r="K396" s="346"/>
      <c r="L396" s="346"/>
      <c r="M396" s="346"/>
      <c r="N396" s="346"/>
      <c r="O396" s="346"/>
      <c r="P396" s="346"/>
      <c r="Q396" s="346"/>
      <c r="R396" s="346"/>
      <c r="S396" s="346"/>
      <c r="T396" s="346"/>
      <c r="U396" s="346"/>
      <c r="V396" s="346"/>
      <c r="W396" s="346"/>
      <c r="X396" s="346"/>
      <c r="Y396" s="346"/>
      <c r="Z396" s="346"/>
      <c r="AA396" s="346"/>
      <c r="AB396" s="346"/>
      <c r="AC396" s="346"/>
      <c r="AD396" s="346"/>
      <c r="AE396" s="346"/>
      <c r="AF396" s="346"/>
      <c r="AG396" s="346"/>
      <c r="AH396" s="346"/>
      <c r="AI396" s="346"/>
      <c r="AJ396" s="346"/>
      <c r="AK396" s="346"/>
      <c r="AL396" s="346"/>
      <c r="AM396" s="346"/>
      <c r="AN396">
        <f t="shared" si="40"/>
        <v>0</v>
      </c>
      <c r="AO396" s="351">
        <f t="shared" si="41"/>
        <v>0</v>
      </c>
    </row>
    <row r="397" spans="1:41">
      <c r="A397" s="165">
        <f>'Conveyor Downtime (new)'!A406</f>
        <v>46224</v>
      </c>
      <c r="D397">
        <v>2</v>
      </c>
      <c r="AN397">
        <f t="shared" si="40"/>
        <v>2</v>
      </c>
      <c r="AO397" s="351">
        <f t="shared" si="41"/>
        <v>2.4125452352231603E-3</v>
      </c>
    </row>
    <row r="398" spans="1:41">
      <c r="A398" s="165">
        <f>'Conveyor Downtime (new)'!A407</f>
        <v>46224</v>
      </c>
      <c r="B398" s="346"/>
      <c r="C398" s="346"/>
      <c r="D398" s="346"/>
      <c r="E398" s="346"/>
      <c r="F398" s="346"/>
      <c r="G398" s="346"/>
      <c r="H398" s="346"/>
      <c r="I398" s="346"/>
      <c r="J398" s="346"/>
      <c r="K398" s="346"/>
      <c r="L398" s="346"/>
      <c r="M398" s="346"/>
      <c r="N398" s="346"/>
      <c r="O398" s="346"/>
      <c r="P398" s="346"/>
      <c r="Q398" s="346"/>
      <c r="R398" s="346"/>
      <c r="S398" s="346"/>
      <c r="T398" s="346"/>
      <c r="U398" s="346"/>
      <c r="V398" s="346"/>
      <c r="W398" s="346"/>
      <c r="X398" s="346"/>
      <c r="Y398" s="346"/>
      <c r="Z398" s="346"/>
      <c r="AA398" s="346"/>
      <c r="AB398" s="346"/>
      <c r="AC398" s="346"/>
      <c r="AD398" s="346"/>
      <c r="AE398" s="346"/>
      <c r="AF398" s="346"/>
      <c r="AG398" s="346"/>
      <c r="AH398" s="346"/>
      <c r="AI398" s="346"/>
      <c r="AJ398" s="346"/>
      <c r="AK398" s="346"/>
      <c r="AL398" s="346"/>
      <c r="AM398" s="346"/>
      <c r="AN398">
        <f t="shared" si="40"/>
        <v>0</v>
      </c>
      <c r="AO398" s="351">
        <f t="shared" si="41"/>
        <v>0</v>
      </c>
    </row>
    <row r="399" spans="1:41">
      <c r="A399" s="165">
        <f>'Conveyor Downtime (new)'!A408</f>
        <v>46225</v>
      </c>
      <c r="B399" s="346"/>
      <c r="C399" s="346"/>
      <c r="D399" s="346"/>
      <c r="E399" s="346"/>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s="346"/>
      <c r="AE399" s="346"/>
      <c r="AF399" s="346"/>
      <c r="AG399" s="346"/>
      <c r="AH399" s="346"/>
      <c r="AI399" s="346"/>
      <c r="AJ399" s="346"/>
      <c r="AK399" s="346"/>
      <c r="AL399" s="346"/>
      <c r="AM399" s="346"/>
      <c r="AN399">
        <f t="shared" si="40"/>
        <v>0</v>
      </c>
      <c r="AO399" s="351">
        <f t="shared" si="41"/>
        <v>0</v>
      </c>
    </row>
    <row r="400" spans="1:41">
      <c r="A400" s="165">
        <f>'Conveyor Downtime (new)'!A409</f>
        <v>46225</v>
      </c>
      <c r="AN400">
        <f t="shared" si="40"/>
        <v>0</v>
      </c>
      <c r="AO400" s="351">
        <f t="shared" si="41"/>
        <v>0</v>
      </c>
    </row>
    <row r="401" spans="1:41">
      <c r="A401" s="165">
        <f>'Conveyor Downtime (new)'!A410</f>
        <v>46226</v>
      </c>
      <c r="B401" s="346"/>
      <c r="C401" s="346"/>
      <c r="D401" s="346"/>
      <c r="E401" s="346"/>
      <c r="F401" s="346"/>
      <c r="G401" s="346"/>
      <c r="H401" s="346"/>
      <c r="I401" s="346"/>
      <c r="J401" s="346"/>
      <c r="K401" s="346"/>
      <c r="L401" s="346"/>
      <c r="M401" s="346"/>
      <c r="N401" s="346"/>
      <c r="O401" s="346"/>
      <c r="P401" s="346"/>
      <c r="Q401" s="346"/>
      <c r="R401" s="346"/>
      <c r="S401" s="346"/>
      <c r="T401" s="346"/>
      <c r="U401" s="346"/>
      <c r="V401" s="346"/>
      <c r="W401" s="346"/>
      <c r="X401" s="346"/>
      <c r="Y401" s="346"/>
      <c r="Z401" s="346">
        <f>28+3</f>
        <v>31</v>
      </c>
      <c r="AA401" s="346"/>
      <c r="AB401" s="346"/>
      <c r="AC401" s="346"/>
      <c r="AD401" s="346"/>
      <c r="AE401" s="346"/>
      <c r="AF401" s="346"/>
      <c r="AG401" s="346"/>
      <c r="AH401" s="346"/>
      <c r="AI401" s="346"/>
      <c r="AJ401" s="346"/>
      <c r="AK401" s="346"/>
      <c r="AL401" s="346"/>
      <c r="AM401" s="346"/>
      <c r="AN401">
        <f t="shared" si="40"/>
        <v>31</v>
      </c>
      <c r="AO401" s="351">
        <f t="shared" si="41"/>
        <v>3.739445114595899E-2</v>
      </c>
    </row>
    <row r="402" spans="1:41">
      <c r="A402" s="165">
        <f>'Conveyor Downtime (new)'!A411</f>
        <v>46226</v>
      </c>
      <c r="AN402">
        <f t="shared" si="40"/>
        <v>0</v>
      </c>
      <c r="AO402" s="351">
        <f t="shared" si="41"/>
        <v>0</v>
      </c>
    </row>
    <row r="403" spans="1:41">
      <c r="A403" s="165">
        <f>'Conveyor Downtime (new)'!A412</f>
        <v>46227</v>
      </c>
      <c r="B403" s="346"/>
      <c r="C403" s="346">
        <v>3</v>
      </c>
      <c r="D403" s="346"/>
      <c r="E403" s="346"/>
      <c r="F403" s="346"/>
      <c r="G403" s="346"/>
      <c r="H403" s="346"/>
      <c r="I403" s="346"/>
      <c r="J403" s="346"/>
      <c r="K403" s="346"/>
      <c r="L403" s="346"/>
      <c r="M403" s="346"/>
      <c r="N403" s="346"/>
      <c r="O403" s="346"/>
      <c r="P403" s="346"/>
      <c r="Q403" s="346"/>
      <c r="R403" s="346"/>
      <c r="S403" s="346"/>
      <c r="T403" s="346"/>
      <c r="U403" s="346"/>
      <c r="V403" s="346"/>
      <c r="W403" s="346"/>
      <c r="X403" s="346"/>
      <c r="Y403" s="346"/>
      <c r="Z403" s="346"/>
      <c r="AA403" s="346"/>
      <c r="AB403" s="346"/>
      <c r="AC403" s="346"/>
      <c r="AD403" s="346"/>
      <c r="AE403" s="346"/>
      <c r="AF403" s="346"/>
      <c r="AG403" s="346"/>
      <c r="AH403" s="346"/>
      <c r="AI403" s="346"/>
      <c r="AJ403" s="346"/>
      <c r="AK403" s="346"/>
      <c r="AL403" s="346"/>
      <c r="AM403" s="346"/>
      <c r="AN403">
        <f t="shared" si="40"/>
        <v>3</v>
      </c>
      <c r="AO403" s="351">
        <f t="shared" si="41"/>
        <v>3.6188178528347406E-3</v>
      </c>
    </row>
    <row r="404" spans="1:41">
      <c r="A404" s="165">
        <f>'Conveyor Downtime (new)'!A413</f>
        <v>46227</v>
      </c>
      <c r="AN404">
        <f t="shared" si="40"/>
        <v>0</v>
      </c>
      <c r="AO404" s="351">
        <f t="shared" si="41"/>
        <v>0</v>
      </c>
    </row>
    <row r="405" spans="1:41">
      <c r="A405" s="165">
        <f>'Conveyor Downtime (new)'!A414</f>
        <v>46230</v>
      </c>
      <c r="B405" s="346"/>
      <c r="C405" s="346"/>
      <c r="D405" s="346"/>
      <c r="E405" s="346"/>
      <c r="F405" s="346"/>
      <c r="G405" s="346"/>
      <c r="H405" s="346"/>
      <c r="I405" s="346"/>
      <c r="J405" s="346"/>
      <c r="K405" s="346"/>
      <c r="L405" s="346"/>
      <c r="M405" s="346"/>
      <c r="N405" s="346"/>
      <c r="O405" s="346"/>
      <c r="P405" s="346"/>
      <c r="Q405" s="346"/>
      <c r="R405" s="346"/>
      <c r="S405" s="346"/>
      <c r="T405" s="346"/>
      <c r="U405" s="346"/>
      <c r="V405" s="346"/>
      <c r="W405" s="346"/>
      <c r="X405" s="346"/>
      <c r="Y405" s="346"/>
      <c r="Z405" s="346"/>
      <c r="AA405" s="346"/>
      <c r="AB405" s="346"/>
      <c r="AC405" s="346"/>
      <c r="AD405" s="346"/>
      <c r="AE405" s="346"/>
      <c r="AF405" s="346"/>
      <c r="AG405" s="346"/>
      <c r="AH405" s="346"/>
      <c r="AI405" s="346"/>
      <c r="AJ405" s="346"/>
      <c r="AK405" s="346"/>
      <c r="AL405" s="346"/>
      <c r="AM405" s="346"/>
      <c r="AN405">
        <f t="shared" si="40"/>
        <v>0</v>
      </c>
      <c r="AO405" s="351">
        <f t="shared" si="41"/>
        <v>0</v>
      </c>
    </row>
    <row r="406" spans="1:41">
      <c r="A406" s="165">
        <f>'Conveyor Downtime (new)'!A415</f>
        <v>46231</v>
      </c>
      <c r="B406" s="346"/>
      <c r="C406" s="346"/>
      <c r="D406" s="346"/>
      <c r="E406" s="346"/>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s="346"/>
      <c r="AE406" s="346"/>
      <c r="AF406" s="346"/>
      <c r="AG406" s="346"/>
      <c r="AH406" s="346"/>
      <c r="AI406" s="346"/>
      <c r="AJ406" s="346"/>
      <c r="AK406" s="346"/>
      <c r="AL406" s="346"/>
      <c r="AM406" s="346"/>
      <c r="AN406">
        <f t="shared" si="40"/>
        <v>0</v>
      </c>
      <c r="AO406" s="351">
        <f t="shared" si="41"/>
        <v>0</v>
      </c>
    </row>
    <row r="407" spans="1:41">
      <c r="A407" s="165">
        <f>'Conveyor Downtime (new)'!A416</f>
        <v>46231</v>
      </c>
      <c r="D407">
        <f>3+3</f>
        <v>6</v>
      </c>
      <c r="AN407">
        <f t="shared" ref="AN407:AN419" si="42">SUM(B407:AM407)</f>
        <v>6</v>
      </c>
      <c r="AO407" s="351">
        <f t="shared" ref="AO407:AO419" si="43">AN407/$AN$420</f>
        <v>7.2376357056694813E-3</v>
      </c>
    </row>
    <row r="408" spans="1:41">
      <c r="A408" s="165">
        <f>'Conveyor Downtime (new)'!A417</f>
        <v>46232</v>
      </c>
      <c r="B408" s="346"/>
      <c r="C408" s="346"/>
      <c r="D408" s="346"/>
      <c r="E408" s="346"/>
      <c r="F408" s="346"/>
      <c r="G408" s="346"/>
      <c r="H408" s="346"/>
      <c r="I408" s="346"/>
      <c r="J408" s="346"/>
      <c r="K408" s="346"/>
      <c r="L408" s="346"/>
      <c r="M408" s="346"/>
      <c r="N408" s="346"/>
      <c r="O408" s="346"/>
      <c r="P408" s="346"/>
      <c r="Q408" s="346"/>
      <c r="R408" s="346"/>
      <c r="S408" s="346"/>
      <c r="T408" s="346"/>
      <c r="U408" s="346"/>
      <c r="V408" s="346">
        <v>5</v>
      </c>
      <c r="W408" s="346"/>
      <c r="X408" s="346"/>
      <c r="Y408" s="346"/>
      <c r="Z408" s="346"/>
      <c r="AA408" s="346"/>
      <c r="AB408" s="346"/>
      <c r="AC408" s="346"/>
      <c r="AD408" s="346"/>
      <c r="AE408" s="346"/>
      <c r="AF408" s="346"/>
      <c r="AG408" s="346"/>
      <c r="AH408" s="346"/>
      <c r="AI408" s="346"/>
      <c r="AJ408" s="346"/>
      <c r="AK408" s="346"/>
      <c r="AL408" s="346"/>
      <c r="AM408" s="346"/>
      <c r="AN408">
        <f t="shared" si="42"/>
        <v>5</v>
      </c>
      <c r="AO408" s="351">
        <f t="shared" si="43"/>
        <v>6.0313630880579009E-3</v>
      </c>
    </row>
    <row r="409" spans="1:41">
      <c r="A409" s="165">
        <f>'Conveyor Downtime (new)'!A418</f>
        <v>46232</v>
      </c>
      <c r="AN409">
        <f t="shared" si="42"/>
        <v>0</v>
      </c>
      <c r="AO409" s="351">
        <f t="shared" si="43"/>
        <v>0</v>
      </c>
    </row>
    <row r="410" spans="1:41">
      <c r="A410" s="165">
        <f>'Conveyor Downtime (new)'!A419</f>
        <v>46232</v>
      </c>
      <c r="B410" s="346"/>
      <c r="C410" s="346"/>
      <c r="D410" s="346">
        <f>5+5</f>
        <v>10</v>
      </c>
      <c r="E410" s="346"/>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s="346"/>
      <c r="AE410" s="346"/>
      <c r="AF410" s="346"/>
      <c r="AG410" s="346"/>
      <c r="AH410" s="346"/>
      <c r="AI410" s="346"/>
      <c r="AJ410" s="346"/>
      <c r="AK410" s="346"/>
      <c r="AL410" s="346"/>
      <c r="AM410" s="346"/>
      <c r="AN410">
        <f t="shared" si="42"/>
        <v>10</v>
      </c>
      <c r="AO410" s="351">
        <f t="shared" si="43"/>
        <v>1.2062726176115802E-2</v>
      </c>
    </row>
    <row r="411" spans="1:41">
      <c r="A411" s="165">
        <f>'Conveyor Downtime (new)'!A420</f>
        <v>46233</v>
      </c>
      <c r="B411" s="346"/>
      <c r="C411" s="346"/>
      <c r="D411" s="346"/>
      <c r="E411" s="346"/>
      <c r="F411" s="346"/>
      <c r="G411" s="346"/>
      <c r="H411" s="346"/>
      <c r="I411" s="346"/>
      <c r="J411" s="346"/>
      <c r="K411" s="346"/>
      <c r="L411" s="346"/>
      <c r="M411" s="346"/>
      <c r="N411" s="346"/>
      <c r="O411" s="346"/>
      <c r="P411" s="346"/>
      <c r="Q411" s="346"/>
      <c r="R411" s="346"/>
      <c r="S411" s="346"/>
      <c r="T411" s="346"/>
      <c r="U411" s="346"/>
      <c r="V411" s="346"/>
      <c r="W411" s="346"/>
      <c r="X411" s="346"/>
      <c r="Y411" s="346"/>
      <c r="Z411" s="346"/>
      <c r="AA411" s="346"/>
      <c r="AB411" s="346"/>
      <c r="AC411" s="346"/>
      <c r="AD411" s="346"/>
      <c r="AE411" s="346"/>
      <c r="AF411" s="346"/>
      <c r="AG411" s="346"/>
      <c r="AH411" s="346"/>
      <c r="AI411" s="346"/>
      <c r="AJ411" s="346"/>
      <c r="AK411" s="346"/>
      <c r="AL411" s="346"/>
      <c r="AM411" s="346"/>
      <c r="AN411">
        <f t="shared" si="42"/>
        <v>0</v>
      </c>
      <c r="AO411" s="351">
        <f t="shared" si="43"/>
        <v>0</v>
      </c>
    </row>
    <row r="412" spans="1:41">
      <c r="A412" s="165">
        <f>'Conveyor Downtime (new)'!A421</f>
        <v>46233</v>
      </c>
      <c r="B412" s="346">
        <f>8+2+4+3+3</f>
        <v>20</v>
      </c>
      <c r="C412" s="346"/>
      <c r="D412" s="346"/>
      <c r="E412" s="346"/>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s="346"/>
      <c r="AE412" s="346"/>
      <c r="AF412" s="346"/>
      <c r="AG412" s="346"/>
      <c r="AH412" s="346"/>
      <c r="AI412" s="346"/>
      <c r="AJ412" s="346"/>
      <c r="AK412" s="346"/>
      <c r="AL412" s="346"/>
      <c r="AM412" s="346"/>
      <c r="AN412">
        <f t="shared" si="42"/>
        <v>20</v>
      </c>
      <c r="AO412" s="351">
        <f t="shared" si="43"/>
        <v>2.4125452352231604E-2</v>
      </c>
    </row>
    <row r="413" spans="1:41">
      <c r="A413" s="165">
        <f>'Conveyor Downtime (new)'!A422</f>
        <v>46233</v>
      </c>
      <c r="B413" s="346"/>
      <c r="C413" s="346"/>
      <c r="D413" s="346"/>
      <c r="E413" s="346"/>
      <c r="F413" s="346"/>
      <c r="G413" s="346"/>
      <c r="H413" s="346"/>
      <c r="I413" s="346"/>
      <c r="J413" s="346"/>
      <c r="K413" s="346"/>
      <c r="L413" s="346"/>
      <c r="M413" s="346"/>
      <c r="N413" s="346"/>
      <c r="O413" s="346"/>
      <c r="P413" s="346"/>
      <c r="Q413" s="346"/>
      <c r="R413" s="346"/>
      <c r="S413" s="346"/>
      <c r="T413" s="346"/>
      <c r="U413" s="346"/>
      <c r="V413" s="346"/>
      <c r="W413" s="346"/>
      <c r="X413" s="346"/>
      <c r="Y413" s="346"/>
      <c r="Z413" s="346"/>
      <c r="AA413" s="346"/>
      <c r="AB413" s="346"/>
      <c r="AC413" s="346"/>
      <c r="AD413" s="346"/>
      <c r="AE413" s="346"/>
      <c r="AF413" s="346"/>
      <c r="AG413" s="346"/>
      <c r="AH413" s="346"/>
      <c r="AI413" s="346"/>
      <c r="AJ413" s="346"/>
      <c r="AK413" s="346"/>
      <c r="AL413" s="346"/>
      <c r="AM413" s="346"/>
      <c r="AN413">
        <f t="shared" si="42"/>
        <v>0</v>
      </c>
      <c r="AO413" s="351">
        <f t="shared" si="43"/>
        <v>0</v>
      </c>
    </row>
    <row r="414" spans="1:41">
      <c r="A414" s="165">
        <f>'Conveyor Downtime (new)'!A423</f>
        <v>46234</v>
      </c>
      <c r="B414" s="346"/>
      <c r="C414" s="346"/>
      <c r="D414" s="346"/>
      <c r="E414" s="346"/>
      <c r="F414" s="346"/>
      <c r="G414" s="346"/>
      <c r="H414" s="346"/>
      <c r="I414" s="346"/>
      <c r="J414" s="346"/>
      <c r="K414" s="346"/>
      <c r="L414" s="346"/>
      <c r="M414" s="346"/>
      <c r="N414" s="346"/>
      <c r="O414" s="346"/>
      <c r="P414" s="346"/>
      <c r="Q414" s="346"/>
      <c r="R414" s="346"/>
      <c r="S414" s="346"/>
      <c r="T414" s="346"/>
      <c r="U414" s="346"/>
      <c r="V414" s="346"/>
      <c r="W414" s="346"/>
      <c r="X414" s="346"/>
      <c r="Y414" s="346"/>
      <c r="Z414" s="346"/>
      <c r="AA414" s="346"/>
      <c r="AB414" s="346"/>
      <c r="AC414" s="346"/>
      <c r="AD414" s="346"/>
      <c r="AE414" s="346"/>
      <c r="AF414" s="346"/>
      <c r="AG414" s="346"/>
      <c r="AH414" s="346"/>
      <c r="AI414" s="346"/>
      <c r="AJ414" s="346"/>
      <c r="AK414" s="346"/>
      <c r="AL414" s="346"/>
      <c r="AM414" s="346"/>
      <c r="AN414">
        <f t="shared" si="42"/>
        <v>0</v>
      </c>
      <c r="AO414" s="351">
        <f t="shared" si="43"/>
        <v>0</v>
      </c>
    </row>
    <row r="415" spans="1:41">
      <c r="A415" s="165"/>
      <c r="B415" s="346"/>
      <c r="C415" s="346"/>
      <c r="D415" s="346"/>
      <c r="E415" s="346"/>
      <c r="F415" s="346"/>
      <c r="G415" s="346"/>
      <c r="H415" s="346"/>
      <c r="I415" s="346"/>
      <c r="J415" s="346"/>
      <c r="K415" s="346"/>
      <c r="L415" s="346"/>
      <c r="M415" s="346"/>
      <c r="N415" s="346"/>
      <c r="O415" s="346"/>
      <c r="P415" s="346"/>
      <c r="Q415" s="346"/>
      <c r="R415" s="346"/>
      <c r="S415" s="346"/>
      <c r="T415" s="346"/>
      <c r="U415" s="346"/>
      <c r="V415" s="346"/>
      <c r="W415" s="346"/>
      <c r="X415" s="346"/>
      <c r="Y415" s="346"/>
      <c r="Z415" s="346"/>
      <c r="AA415" s="346"/>
      <c r="AB415" s="346"/>
      <c r="AC415" s="346"/>
      <c r="AD415" s="346"/>
      <c r="AE415" s="346"/>
      <c r="AF415" s="346"/>
      <c r="AG415" s="346"/>
      <c r="AH415" s="346"/>
      <c r="AI415" s="346"/>
      <c r="AJ415" s="346"/>
      <c r="AK415" s="346"/>
      <c r="AL415" s="346"/>
      <c r="AM415" s="346"/>
      <c r="AN415">
        <f t="shared" si="42"/>
        <v>0</v>
      </c>
      <c r="AO415" s="351">
        <f t="shared" si="43"/>
        <v>0</v>
      </c>
    </row>
    <row r="416" spans="1:41">
      <c r="A416" s="165"/>
      <c r="B416" s="346"/>
      <c r="C416" s="346"/>
      <c r="D416" s="346"/>
      <c r="E416" s="346"/>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s="346"/>
      <c r="AE416" s="346"/>
      <c r="AF416" s="346"/>
      <c r="AG416" s="346"/>
      <c r="AH416" s="346"/>
      <c r="AI416" s="346"/>
      <c r="AJ416" s="346"/>
      <c r="AK416" s="346"/>
      <c r="AL416" s="346"/>
      <c r="AM416" s="346"/>
      <c r="AN416">
        <f t="shared" si="42"/>
        <v>0</v>
      </c>
      <c r="AO416" s="351">
        <f t="shared" si="43"/>
        <v>0</v>
      </c>
    </row>
    <row r="417" spans="1:41">
      <c r="A417" s="165"/>
      <c r="B417" s="346"/>
      <c r="C417" s="346"/>
      <c r="D417" s="346"/>
      <c r="E417" s="346"/>
      <c r="F417" s="346"/>
      <c r="G417" s="346"/>
      <c r="H417" s="346"/>
      <c r="I417" s="346"/>
      <c r="J417" s="346"/>
      <c r="K417" s="346"/>
      <c r="L417" s="346"/>
      <c r="M417" s="346"/>
      <c r="N417" s="346"/>
      <c r="O417" s="346"/>
      <c r="P417" s="346"/>
      <c r="Q417" s="346"/>
      <c r="R417" s="346"/>
      <c r="S417" s="346"/>
      <c r="T417" s="346"/>
      <c r="U417" s="346"/>
      <c r="V417" s="346"/>
      <c r="W417" s="346"/>
      <c r="X417" s="346"/>
      <c r="Y417" s="346"/>
      <c r="Z417" s="346"/>
      <c r="AA417" s="346"/>
      <c r="AB417" s="346"/>
      <c r="AC417" s="346"/>
      <c r="AD417" s="346"/>
      <c r="AE417" s="346"/>
      <c r="AF417" s="346"/>
      <c r="AG417" s="346"/>
      <c r="AH417" s="346"/>
      <c r="AI417" s="346"/>
      <c r="AJ417" s="346"/>
      <c r="AK417" s="346"/>
      <c r="AL417" s="346"/>
      <c r="AM417" s="346"/>
      <c r="AN417">
        <f t="shared" si="42"/>
        <v>0</v>
      </c>
      <c r="AO417" s="351">
        <f t="shared" si="43"/>
        <v>0</v>
      </c>
    </row>
    <row r="418" spans="1:41">
      <c r="A418" s="165"/>
      <c r="AN418">
        <f t="shared" si="42"/>
        <v>0</v>
      </c>
      <c r="AO418" s="351">
        <f t="shared" si="43"/>
        <v>0</v>
      </c>
    </row>
    <row r="419" spans="1:41">
      <c r="A419" s="165"/>
      <c r="B419" s="346"/>
      <c r="C419" s="346"/>
      <c r="D419" s="346"/>
      <c r="E419" s="346"/>
      <c r="F419" s="346"/>
      <c r="G419" s="346"/>
      <c r="H419" s="346"/>
      <c r="I419" s="346"/>
      <c r="J419" s="346"/>
      <c r="K419" s="346"/>
      <c r="L419" s="346"/>
      <c r="M419" s="346"/>
      <c r="N419" s="346"/>
      <c r="O419" s="346"/>
      <c r="P419" s="346"/>
      <c r="Q419" s="346"/>
      <c r="R419" s="346"/>
      <c r="S419" s="346"/>
      <c r="T419" s="346"/>
      <c r="U419" s="346"/>
      <c r="V419" s="346"/>
      <c r="W419" s="346"/>
      <c r="X419" s="346"/>
      <c r="Y419" s="346"/>
      <c r="Z419" s="346"/>
      <c r="AA419" s="346"/>
      <c r="AB419" s="346"/>
      <c r="AC419" s="346"/>
      <c r="AD419" s="346"/>
      <c r="AE419" s="346"/>
      <c r="AF419" s="346"/>
      <c r="AG419" s="346"/>
      <c r="AH419" s="346"/>
      <c r="AI419" s="346"/>
      <c r="AJ419" s="346"/>
      <c r="AK419" s="346"/>
      <c r="AL419" s="346"/>
      <c r="AM419" s="346"/>
      <c r="AN419">
        <f t="shared" si="42"/>
        <v>0</v>
      </c>
      <c r="AO419" s="351">
        <f t="shared" si="43"/>
        <v>0</v>
      </c>
    </row>
    <row r="420" spans="1:41" ht="15">
      <c r="A420" s="347" t="s">
        <v>173</v>
      </c>
      <c r="B420" s="347">
        <f>SUM(B363:B419)</f>
        <v>356</v>
      </c>
      <c r="C420" s="347">
        <f t="shared" ref="C420:AL420" si="44">SUM(C363:C419)</f>
        <v>43</v>
      </c>
      <c r="D420" s="347">
        <f t="shared" si="44"/>
        <v>21</v>
      </c>
      <c r="E420" s="347">
        <f t="shared" si="44"/>
        <v>0</v>
      </c>
      <c r="F420" s="347">
        <f t="shared" si="44"/>
        <v>19</v>
      </c>
      <c r="G420" s="347">
        <f t="shared" si="44"/>
        <v>0</v>
      </c>
      <c r="H420" s="347">
        <f t="shared" si="44"/>
        <v>0</v>
      </c>
      <c r="I420" s="347">
        <f t="shared" si="44"/>
        <v>0</v>
      </c>
      <c r="J420" s="347">
        <f t="shared" si="44"/>
        <v>0</v>
      </c>
      <c r="K420" s="347">
        <f t="shared" si="44"/>
        <v>0</v>
      </c>
      <c r="L420" s="347">
        <f t="shared" si="44"/>
        <v>0</v>
      </c>
      <c r="M420" s="347">
        <f t="shared" si="44"/>
        <v>0</v>
      </c>
      <c r="N420" s="347">
        <f t="shared" si="44"/>
        <v>0</v>
      </c>
      <c r="O420" s="347">
        <f t="shared" si="44"/>
        <v>0</v>
      </c>
      <c r="P420" s="347">
        <f t="shared" si="44"/>
        <v>0</v>
      </c>
      <c r="Q420" s="347">
        <f t="shared" si="44"/>
        <v>0</v>
      </c>
      <c r="R420" s="347">
        <f t="shared" si="44"/>
        <v>0</v>
      </c>
      <c r="S420" s="347">
        <f t="shared" si="44"/>
        <v>90</v>
      </c>
      <c r="T420" s="347">
        <f t="shared" si="44"/>
        <v>0</v>
      </c>
      <c r="U420" s="347">
        <f t="shared" si="44"/>
        <v>0</v>
      </c>
      <c r="V420" s="347">
        <f t="shared" si="44"/>
        <v>51</v>
      </c>
      <c r="W420" s="347">
        <f t="shared" si="44"/>
        <v>167</v>
      </c>
      <c r="X420" s="347">
        <f t="shared" si="44"/>
        <v>0</v>
      </c>
      <c r="Y420" s="347">
        <f t="shared" si="44"/>
        <v>0</v>
      </c>
      <c r="Z420" s="347">
        <f>SUM(Z363:Z419)</f>
        <v>52</v>
      </c>
      <c r="AA420" s="347">
        <f t="shared" si="44"/>
        <v>4</v>
      </c>
      <c r="AB420" s="347">
        <f t="shared" si="44"/>
        <v>0</v>
      </c>
      <c r="AC420" s="347">
        <f t="shared" si="44"/>
        <v>0</v>
      </c>
      <c r="AD420" s="347">
        <f t="shared" si="44"/>
        <v>0</v>
      </c>
      <c r="AE420" s="347">
        <f t="shared" si="44"/>
        <v>24</v>
      </c>
      <c r="AF420" s="347">
        <f t="shared" si="44"/>
        <v>0</v>
      </c>
      <c r="AG420" s="347">
        <f t="shared" si="44"/>
        <v>0</v>
      </c>
      <c r="AH420" s="347">
        <f t="shared" si="44"/>
        <v>0</v>
      </c>
      <c r="AI420" s="347">
        <f t="shared" si="44"/>
        <v>0</v>
      </c>
      <c r="AJ420" s="347">
        <f t="shared" si="44"/>
        <v>0</v>
      </c>
      <c r="AK420" s="347">
        <f t="shared" si="44"/>
        <v>0</v>
      </c>
      <c r="AL420" s="347">
        <f t="shared" si="44"/>
        <v>0</v>
      </c>
      <c r="AM420" s="347">
        <f>SUM(AM363:AM419)</f>
        <v>2</v>
      </c>
      <c r="AN420" s="347">
        <f>SUM(AN363:AN419)</f>
        <v>829</v>
      </c>
    </row>
    <row r="421" spans="1:41" ht="22.5" customHeight="1" thickBot="1">
      <c r="A421" s="348" t="s">
        <v>174</v>
      </c>
      <c r="B421" s="348">
        <f t="shared" ref="B421:AL421" si="45">B420/$AN420</f>
        <v>0.42943305186972258</v>
      </c>
      <c r="C421" s="348">
        <f t="shared" si="45"/>
        <v>5.1869722557297951E-2</v>
      </c>
      <c r="D421" s="348">
        <f t="shared" si="45"/>
        <v>2.5331724969843185E-2</v>
      </c>
      <c r="E421" s="348">
        <f t="shared" si="45"/>
        <v>0</v>
      </c>
      <c r="F421" s="348">
        <f t="shared" si="45"/>
        <v>2.2919179734620022E-2</v>
      </c>
      <c r="G421" s="348">
        <f t="shared" si="45"/>
        <v>0</v>
      </c>
      <c r="H421" s="348">
        <f t="shared" si="45"/>
        <v>0</v>
      </c>
      <c r="I421" s="348">
        <f t="shared" si="45"/>
        <v>0</v>
      </c>
      <c r="J421" s="348">
        <f t="shared" si="45"/>
        <v>0</v>
      </c>
      <c r="K421" s="348">
        <f t="shared" si="45"/>
        <v>0</v>
      </c>
      <c r="L421" s="348">
        <f t="shared" si="45"/>
        <v>0</v>
      </c>
      <c r="M421" s="348">
        <f t="shared" si="45"/>
        <v>0</v>
      </c>
      <c r="N421" s="348">
        <f t="shared" si="45"/>
        <v>0</v>
      </c>
      <c r="O421" s="348">
        <f t="shared" si="45"/>
        <v>0</v>
      </c>
      <c r="P421" s="348">
        <f t="shared" si="45"/>
        <v>0</v>
      </c>
      <c r="Q421" s="348">
        <f t="shared" si="45"/>
        <v>0</v>
      </c>
      <c r="R421" s="348">
        <f t="shared" si="45"/>
        <v>0</v>
      </c>
      <c r="S421" s="348">
        <f t="shared" si="45"/>
        <v>0.10856453558504221</v>
      </c>
      <c r="T421" s="348">
        <f t="shared" si="45"/>
        <v>0</v>
      </c>
      <c r="U421" s="348">
        <f t="shared" si="45"/>
        <v>0</v>
      </c>
      <c r="V421" s="348">
        <f t="shared" si="45"/>
        <v>6.1519903498190594E-2</v>
      </c>
      <c r="W421" s="348">
        <f t="shared" si="45"/>
        <v>0.2014475271411339</v>
      </c>
      <c r="X421" s="348">
        <f t="shared" si="45"/>
        <v>0</v>
      </c>
      <c r="Y421" s="348">
        <f t="shared" si="45"/>
        <v>0</v>
      </c>
      <c r="Z421" s="348">
        <f t="shared" si="45"/>
        <v>6.2726176115802168E-2</v>
      </c>
      <c r="AA421" s="348">
        <f t="shared" si="45"/>
        <v>4.8250904704463205E-3</v>
      </c>
      <c r="AB421" s="348">
        <f t="shared" si="45"/>
        <v>0</v>
      </c>
      <c r="AC421" s="348">
        <f t="shared" si="45"/>
        <v>0</v>
      </c>
      <c r="AD421" s="348">
        <f t="shared" si="45"/>
        <v>0</v>
      </c>
      <c r="AE421" s="348">
        <f t="shared" si="45"/>
        <v>2.8950542822677925E-2</v>
      </c>
      <c r="AF421" s="348">
        <f t="shared" si="45"/>
        <v>0</v>
      </c>
      <c r="AG421" s="348">
        <f t="shared" si="45"/>
        <v>0</v>
      </c>
      <c r="AH421" s="348">
        <f t="shared" si="45"/>
        <v>0</v>
      </c>
      <c r="AI421" s="348">
        <f t="shared" si="45"/>
        <v>0</v>
      </c>
      <c r="AJ421" s="348">
        <f t="shared" si="45"/>
        <v>0</v>
      </c>
      <c r="AK421" s="348">
        <f t="shared" si="45"/>
        <v>0</v>
      </c>
      <c r="AL421" s="348">
        <f t="shared" si="45"/>
        <v>0</v>
      </c>
      <c r="AM421" s="348">
        <f>AM420/$AN420</f>
        <v>2.4125452352231603E-3</v>
      </c>
    </row>
    <row r="424" spans="1:41">
      <c r="A424" s="165">
        <f>'Conveyor Downtime (new)'!A433</f>
        <v>46237</v>
      </c>
      <c r="B424" s="346">
        <f>2+5+3+3+2+7+3+2+11+8+7+2+3+5+21+4+11+3+4+4+6+4+4+10+6+2+3+4+3+13</f>
        <v>165</v>
      </c>
      <c r="C424" s="346"/>
      <c r="D424" s="346">
        <f>15</f>
        <v>15</v>
      </c>
      <c r="E424" s="346"/>
      <c r="F424" s="346">
        <f>2</f>
        <v>2</v>
      </c>
      <c r="G424" s="346"/>
      <c r="H424" s="346"/>
      <c r="I424" s="346"/>
      <c r="J424" s="346"/>
      <c r="K424" s="346"/>
      <c r="L424" s="346"/>
      <c r="M424" s="346"/>
      <c r="N424" s="346"/>
      <c r="O424" s="346"/>
      <c r="P424" s="346"/>
      <c r="Q424" s="346"/>
      <c r="R424" s="346"/>
      <c r="S424" s="346"/>
      <c r="T424" s="346"/>
      <c r="U424" s="346"/>
      <c r="V424" s="346"/>
      <c r="W424" s="346"/>
      <c r="X424" s="346"/>
      <c r="Y424" s="346"/>
      <c r="Z424" s="346">
        <f>26+60+17+12+20+3</f>
        <v>138</v>
      </c>
      <c r="AA424" s="346"/>
      <c r="AB424" s="346"/>
      <c r="AC424" s="346"/>
      <c r="AD424" s="346"/>
      <c r="AE424" s="346"/>
      <c r="AF424" s="346"/>
      <c r="AG424" s="346"/>
      <c r="AH424" s="346"/>
      <c r="AI424" s="346"/>
      <c r="AJ424" s="346"/>
      <c r="AK424" s="346"/>
      <c r="AL424" s="346"/>
      <c r="AM424" s="346"/>
      <c r="AN424">
        <f>SUM(B424:AM424)</f>
        <v>320</v>
      </c>
      <c r="AO424" s="351">
        <f t="shared" ref="AO424:AO460" si="46">AN424/$AN$475</f>
        <v>0.27801911381407474</v>
      </c>
    </row>
    <row r="425" spans="1:41">
      <c r="A425" s="165">
        <f>'Conveyor Downtime (new)'!A434</f>
        <v>46238</v>
      </c>
      <c r="B425">
        <v>3</v>
      </c>
      <c r="F425">
        <f>3+2</f>
        <v>5</v>
      </c>
      <c r="AL425">
        <v>3</v>
      </c>
      <c r="AN425">
        <f t="shared" ref="AN425:AN460" si="47">SUM(B425:AM425)</f>
        <v>11</v>
      </c>
      <c r="AO425" s="351">
        <f t="shared" si="46"/>
        <v>9.5569070373588191E-3</v>
      </c>
    </row>
    <row r="426" spans="1:41">
      <c r="A426" s="165">
        <f>'Conveyor Downtime (new)'!A435</f>
        <v>46239</v>
      </c>
      <c r="B426" s="346"/>
      <c r="C426" s="346"/>
      <c r="D426" s="346"/>
      <c r="E426" s="346"/>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346"/>
      <c r="AK426" s="346"/>
      <c r="AL426" s="346"/>
      <c r="AM426" s="346"/>
      <c r="AN426">
        <f t="shared" si="47"/>
        <v>0</v>
      </c>
      <c r="AO426" s="351">
        <f t="shared" si="46"/>
        <v>0</v>
      </c>
    </row>
    <row r="427" spans="1:41">
      <c r="A427" s="165">
        <f>'Conveyor Downtime (new)'!A436</f>
        <v>46239</v>
      </c>
      <c r="AA427">
        <f>4+2</f>
        <v>6</v>
      </c>
      <c r="AN427">
        <f t="shared" si="47"/>
        <v>6</v>
      </c>
      <c r="AO427" s="351">
        <f t="shared" si="46"/>
        <v>5.2128583840139013E-3</v>
      </c>
    </row>
    <row r="428" spans="1:41">
      <c r="A428" s="165">
        <f>'Conveyor Downtime (new)'!A437</f>
        <v>46239</v>
      </c>
      <c r="B428" s="346"/>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v>29</v>
      </c>
      <c r="AE428" s="346"/>
      <c r="AF428" s="346"/>
      <c r="AG428" s="346"/>
      <c r="AH428" s="346"/>
      <c r="AI428" s="346"/>
      <c r="AJ428" s="346"/>
      <c r="AK428" s="346"/>
      <c r="AL428" s="346"/>
      <c r="AM428" s="346"/>
      <c r="AN428">
        <f t="shared" si="47"/>
        <v>29</v>
      </c>
      <c r="AO428" s="351">
        <f t="shared" si="46"/>
        <v>2.5195482189400521E-2</v>
      </c>
    </row>
    <row r="429" spans="1:41">
      <c r="A429" s="165">
        <f>'Conveyor Downtime (new)'!A438</f>
        <v>46240</v>
      </c>
      <c r="F429">
        <f>5+2</f>
        <v>7</v>
      </c>
      <c r="Z429">
        <f>4</f>
        <v>4</v>
      </c>
      <c r="AN429">
        <f t="shared" si="47"/>
        <v>11</v>
      </c>
      <c r="AO429" s="351">
        <f t="shared" si="46"/>
        <v>9.5569070373588191E-3</v>
      </c>
    </row>
    <row r="430" spans="1:41">
      <c r="A430" s="165">
        <f>'Conveyor Downtime (new)'!A439</f>
        <v>46241</v>
      </c>
      <c r="B430" s="346"/>
      <c r="C430" s="346"/>
      <c r="D430" s="346"/>
      <c r="E430" s="346"/>
      <c r="F430" s="346">
        <f>11</f>
        <v>11</v>
      </c>
      <c r="G430" s="346"/>
      <c r="H430" s="346"/>
      <c r="I430" s="346"/>
      <c r="J430" s="346"/>
      <c r="K430" s="346"/>
      <c r="L430" s="346"/>
      <c r="M430" s="346"/>
      <c r="N430" s="346"/>
      <c r="O430" s="346"/>
      <c r="P430" s="346"/>
      <c r="Q430" s="346"/>
      <c r="R430" s="346"/>
      <c r="S430" s="346"/>
      <c r="T430" s="346"/>
      <c r="U430" s="346"/>
      <c r="V430" s="346"/>
      <c r="W430" s="346"/>
      <c r="X430" s="346"/>
      <c r="Y430" s="346"/>
      <c r="Z430" s="346"/>
      <c r="AA430" s="346"/>
      <c r="AB430" s="346"/>
      <c r="AC430" s="346"/>
      <c r="AD430" s="346"/>
      <c r="AE430" s="346"/>
      <c r="AF430" s="346"/>
      <c r="AG430" s="346"/>
      <c r="AH430" s="346"/>
      <c r="AI430" s="346"/>
      <c r="AJ430" s="346"/>
      <c r="AK430" s="346"/>
      <c r="AL430" s="346"/>
      <c r="AM430" s="346"/>
      <c r="AN430">
        <f t="shared" si="47"/>
        <v>11</v>
      </c>
      <c r="AO430" s="351">
        <f t="shared" si="46"/>
        <v>9.5569070373588191E-3</v>
      </c>
    </row>
    <row r="431" spans="1:41">
      <c r="A431" s="165">
        <f>'Conveyor Downtime (new)'!A440</f>
        <v>46241</v>
      </c>
      <c r="Y431" t="s">
        <v>209</v>
      </c>
      <c r="AN431">
        <f t="shared" si="47"/>
        <v>0</v>
      </c>
      <c r="AO431" s="351">
        <f t="shared" si="46"/>
        <v>0</v>
      </c>
    </row>
    <row r="432" spans="1:41">
      <c r="A432" s="165">
        <f>'Conveyor Downtime (new)'!A441</f>
        <v>46246</v>
      </c>
      <c r="B432" s="346">
        <f>8+5+2</f>
        <v>15</v>
      </c>
      <c r="C432" s="346"/>
      <c r="D432" s="346"/>
      <c r="E432" s="346"/>
      <c r="F432" s="346"/>
      <c r="G432" s="346"/>
      <c r="H432" s="346"/>
      <c r="I432" s="346"/>
      <c r="J432" s="346"/>
      <c r="K432" s="346"/>
      <c r="L432" s="346"/>
      <c r="M432" s="346"/>
      <c r="N432" s="346"/>
      <c r="O432" s="346"/>
      <c r="P432" s="346"/>
      <c r="Q432" s="346"/>
      <c r="R432" s="346"/>
      <c r="S432" s="346"/>
      <c r="T432" s="346"/>
      <c r="U432" s="346"/>
      <c r="V432" s="346"/>
      <c r="W432" s="346"/>
      <c r="X432" s="346"/>
      <c r="Y432" s="346"/>
      <c r="Z432" s="346"/>
      <c r="AA432" s="346"/>
      <c r="AB432" s="346"/>
      <c r="AC432" s="346"/>
      <c r="AD432" s="346"/>
      <c r="AE432" s="346"/>
      <c r="AF432" s="346"/>
      <c r="AG432" s="346"/>
      <c r="AH432" s="346"/>
      <c r="AI432" s="346"/>
      <c r="AJ432" s="346"/>
      <c r="AK432" s="346"/>
      <c r="AL432" s="346"/>
      <c r="AM432" s="346"/>
      <c r="AN432">
        <f t="shared" si="47"/>
        <v>15</v>
      </c>
      <c r="AO432" s="351">
        <f t="shared" si="46"/>
        <v>1.3032145960034752E-2</v>
      </c>
    </row>
    <row r="433" spans="1:41">
      <c r="A433" s="165">
        <f>'Conveyor Downtime (new)'!A442</f>
        <v>46247</v>
      </c>
      <c r="B433">
        <f>5</f>
        <v>5</v>
      </c>
      <c r="AN433">
        <f t="shared" si="47"/>
        <v>5</v>
      </c>
      <c r="AO433" s="351">
        <f t="shared" si="46"/>
        <v>4.3440486533449178E-3</v>
      </c>
    </row>
    <row r="434" spans="1:41">
      <c r="A434" s="165">
        <f>'Conveyor Downtime (new)'!A443</f>
        <v>46247</v>
      </c>
      <c r="B434" s="346">
        <v>3</v>
      </c>
      <c r="C434" s="346"/>
      <c r="D434" s="346"/>
      <c r="E434" s="346"/>
      <c r="F434" s="346"/>
      <c r="G434" s="346"/>
      <c r="H434" s="346"/>
      <c r="I434" s="346"/>
      <c r="J434" s="346"/>
      <c r="K434" s="346"/>
      <c r="L434" s="346"/>
      <c r="M434" s="346"/>
      <c r="N434" s="346"/>
      <c r="O434" s="346"/>
      <c r="P434" s="346"/>
      <c r="Q434" s="346"/>
      <c r="R434" s="346"/>
      <c r="S434" s="346"/>
      <c r="T434" s="346"/>
      <c r="U434" s="346"/>
      <c r="V434" s="346"/>
      <c r="W434" s="346"/>
      <c r="X434" s="346"/>
      <c r="Y434" s="346"/>
      <c r="Z434" s="346"/>
      <c r="AA434" s="346"/>
      <c r="AB434" s="346"/>
      <c r="AC434" s="346"/>
      <c r="AD434" s="346"/>
      <c r="AE434" s="346"/>
      <c r="AF434" s="346"/>
      <c r="AG434" s="346"/>
      <c r="AH434" s="346"/>
      <c r="AI434" s="346"/>
      <c r="AJ434" s="346"/>
      <c r="AK434" s="346"/>
      <c r="AL434" s="346"/>
      <c r="AM434" s="346"/>
      <c r="AN434">
        <f t="shared" si="47"/>
        <v>3</v>
      </c>
      <c r="AO434" s="351">
        <f t="shared" si="46"/>
        <v>2.6064291920069507E-3</v>
      </c>
    </row>
    <row r="435" spans="1:41">
      <c r="A435" s="165">
        <f>'Conveyor Downtime (new)'!A444</f>
        <v>46247</v>
      </c>
      <c r="AN435">
        <f t="shared" si="47"/>
        <v>0</v>
      </c>
      <c r="AO435" s="351">
        <f t="shared" si="46"/>
        <v>0</v>
      </c>
    </row>
    <row r="436" spans="1:41">
      <c r="A436" s="165">
        <f>'Conveyor Downtime (new)'!A445</f>
        <v>46248</v>
      </c>
      <c r="B436" s="346"/>
      <c r="C436" s="346">
        <f>4</f>
        <v>4</v>
      </c>
      <c r="D436" s="346"/>
      <c r="E436" s="346"/>
      <c r="F436" s="346"/>
      <c r="G436" s="346"/>
      <c r="H436" s="346"/>
      <c r="I436" s="346"/>
      <c r="J436" s="346"/>
      <c r="K436" s="346"/>
      <c r="L436" s="346"/>
      <c r="M436" s="346"/>
      <c r="N436" s="346"/>
      <c r="O436" s="346"/>
      <c r="P436" s="346"/>
      <c r="Q436" s="346"/>
      <c r="R436" s="346"/>
      <c r="S436" s="346"/>
      <c r="T436" s="346"/>
      <c r="U436" s="346"/>
      <c r="V436" s="346"/>
      <c r="W436" s="346"/>
      <c r="X436" s="346"/>
      <c r="Y436" s="346"/>
      <c r="Z436" s="346"/>
      <c r="AA436" s="346"/>
      <c r="AB436" s="346"/>
      <c r="AC436" s="346"/>
      <c r="AD436" s="346"/>
      <c r="AE436" s="346"/>
      <c r="AF436" s="346"/>
      <c r="AG436" s="346"/>
      <c r="AH436" s="346"/>
      <c r="AI436" s="346"/>
      <c r="AJ436" s="346"/>
      <c r="AK436" s="346"/>
      <c r="AL436" s="346"/>
      <c r="AM436" s="346"/>
      <c r="AN436">
        <f t="shared" si="47"/>
        <v>4</v>
      </c>
      <c r="AO436" s="351">
        <f t="shared" si="46"/>
        <v>3.4752389226759338E-3</v>
      </c>
    </row>
    <row r="437" spans="1:41">
      <c r="A437" s="165">
        <f>'Conveyor Downtime (new)'!A446</f>
        <v>46248</v>
      </c>
      <c r="AN437">
        <f t="shared" si="47"/>
        <v>0</v>
      </c>
      <c r="AO437" s="351">
        <f t="shared" si="46"/>
        <v>0</v>
      </c>
    </row>
    <row r="438" spans="1:41">
      <c r="A438" s="165">
        <f>'Conveyor Downtime (new)'!A447</f>
        <v>46251</v>
      </c>
      <c r="B438" s="346"/>
      <c r="C438" s="346"/>
      <c r="D438" s="346"/>
      <c r="E438" s="346"/>
      <c r="F438" s="346"/>
      <c r="G438" s="346"/>
      <c r="H438" s="346"/>
      <c r="I438" s="346">
        <f>13+11</f>
        <v>24</v>
      </c>
      <c r="J438" s="346"/>
      <c r="K438" s="346"/>
      <c r="L438" s="346"/>
      <c r="M438" s="346"/>
      <c r="N438" s="346"/>
      <c r="O438" s="346"/>
      <c r="P438" s="346"/>
      <c r="Q438" s="346"/>
      <c r="R438" s="346">
        <f>22</f>
        <v>22</v>
      </c>
      <c r="S438" s="346"/>
      <c r="T438" s="346"/>
      <c r="U438" s="346"/>
      <c r="V438" s="346"/>
      <c r="W438" s="346"/>
      <c r="X438" s="346"/>
      <c r="Y438" s="346"/>
      <c r="Z438" s="346">
        <f>11+7</f>
        <v>18</v>
      </c>
      <c r="AA438" s="346"/>
      <c r="AB438" s="346">
        <f>34</f>
        <v>34</v>
      </c>
      <c r="AC438" s="346"/>
      <c r="AD438" s="346"/>
      <c r="AE438" s="346">
        <f>16</f>
        <v>16</v>
      </c>
      <c r="AF438" s="346"/>
      <c r="AG438" s="346"/>
      <c r="AH438" s="346"/>
      <c r="AI438" s="346"/>
      <c r="AJ438" s="346"/>
      <c r="AK438" s="346"/>
      <c r="AL438" s="346"/>
      <c r="AM438" s="346"/>
      <c r="AN438">
        <f t="shared" si="47"/>
        <v>114</v>
      </c>
      <c r="AO438" s="351">
        <f t="shared" si="46"/>
        <v>9.9044309296264121E-2</v>
      </c>
    </row>
    <row r="439" spans="1:41">
      <c r="A439" s="165">
        <f>'Conveyor Downtime (new)'!A448</f>
        <v>46251</v>
      </c>
      <c r="AN439">
        <f t="shared" si="47"/>
        <v>0</v>
      </c>
      <c r="AO439" s="351">
        <f t="shared" si="46"/>
        <v>0</v>
      </c>
    </row>
    <row r="440" spans="1:41">
      <c r="A440" s="165">
        <f>'Conveyor Downtime (new)'!A449</f>
        <v>46252</v>
      </c>
      <c r="B440" s="346"/>
      <c r="C440" s="346"/>
      <c r="D440" s="346"/>
      <c r="E440" s="346"/>
      <c r="F440" s="346"/>
      <c r="G440" s="346"/>
      <c r="H440" s="346"/>
      <c r="I440" s="346"/>
      <c r="J440" s="346"/>
      <c r="K440" s="346"/>
      <c r="L440" s="346"/>
      <c r="M440" s="346"/>
      <c r="N440" s="346"/>
      <c r="O440" s="346"/>
      <c r="P440" s="346"/>
      <c r="Q440" s="346"/>
      <c r="R440" s="346"/>
      <c r="S440" s="346"/>
      <c r="T440" s="346"/>
      <c r="U440" s="346"/>
      <c r="V440" s="346"/>
      <c r="W440" s="346"/>
      <c r="X440" s="346"/>
      <c r="Y440" s="346"/>
      <c r="Z440" s="346"/>
      <c r="AA440" s="346"/>
      <c r="AB440" s="346"/>
      <c r="AC440" s="346"/>
      <c r="AD440" s="346"/>
      <c r="AE440" s="346"/>
      <c r="AF440" s="346"/>
      <c r="AG440" s="346"/>
      <c r="AH440" s="346"/>
      <c r="AI440" s="346"/>
      <c r="AJ440" s="346"/>
      <c r="AK440" s="346"/>
      <c r="AL440" s="346"/>
      <c r="AM440" s="346"/>
      <c r="AN440">
        <f t="shared" si="47"/>
        <v>0</v>
      </c>
      <c r="AO440" s="351">
        <f t="shared" si="46"/>
        <v>0</v>
      </c>
    </row>
    <row r="441" spans="1:41">
      <c r="A441" s="165">
        <f>'Conveyor Downtime (new)'!A450</f>
        <v>46252</v>
      </c>
      <c r="Z441">
        <f>2</f>
        <v>2</v>
      </c>
      <c r="AN441">
        <f t="shared" si="47"/>
        <v>2</v>
      </c>
      <c r="AO441" s="351">
        <f t="shared" si="46"/>
        <v>1.7376194613379669E-3</v>
      </c>
    </row>
    <row r="442" spans="1:41">
      <c r="A442" s="165">
        <f>'Conveyor Downtime (new)'!A451</f>
        <v>46253</v>
      </c>
      <c r="B442" s="346">
        <f>4</f>
        <v>4</v>
      </c>
      <c r="C442" s="346"/>
      <c r="D442" s="346"/>
      <c r="E442" s="346"/>
      <c r="F442" s="346"/>
      <c r="G442" s="346"/>
      <c r="H442" s="346"/>
      <c r="I442" s="346"/>
      <c r="J442" s="346"/>
      <c r="K442" s="346"/>
      <c r="L442" s="346"/>
      <c r="M442" s="346"/>
      <c r="N442" s="346"/>
      <c r="O442" s="346"/>
      <c r="P442" s="346"/>
      <c r="Q442" s="346"/>
      <c r="R442" s="346"/>
      <c r="S442" s="346">
        <f>12</f>
        <v>12</v>
      </c>
      <c r="T442" s="346"/>
      <c r="U442" s="346"/>
      <c r="V442" s="346"/>
      <c r="W442" s="346"/>
      <c r="X442" s="346"/>
      <c r="Y442" s="346"/>
      <c r="Z442" s="346"/>
      <c r="AA442" s="346"/>
      <c r="AB442" s="346"/>
      <c r="AC442" s="346"/>
      <c r="AD442" s="346"/>
      <c r="AE442" s="346"/>
      <c r="AF442" s="346"/>
      <c r="AG442" s="346"/>
      <c r="AH442" s="346"/>
      <c r="AI442" s="346"/>
      <c r="AJ442" s="346"/>
      <c r="AK442" s="346"/>
      <c r="AL442" s="346"/>
      <c r="AM442" s="346"/>
      <c r="AN442">
        <f t="shared" si="47"/>
        <v>16</v>
      </c>
      <c r="AO442" s="351">
        <f t="shared" si="46"/>
        <v>1.3900955690703735E-2</v>
      </c>
    </row>
    <row r="443" spans="1:41">
      <c r="A443" s="165">
        <f>'Conveyor Downtime (new)'!A452</f>
        <v>46253</v>
      </c>
      <c r="D443">
        <f>4</f>
        <v>4</v>
      </c>
      <c r="AN443">
        <f t="shared" si="47"/>
        <v>4</v>
      </c>
      <c r="AO443" s="351">
        <f t="shared" si="46"/>
        <v>3.4752389226759338E-3</v>
      </c>
    </row>
    <row r="444" spans="1:41">
      <c r="A444" s="165">
        <f>'Conveyor Downtime (new)'!A453</f>
        <v>46254</v>
      </c>
      <c r="B444" s="346"/>
      <c r="C444" s="346"/>
      <c r="D444" s="346"/>
      <c r="E444" s="346"/>
      <c r="F444" s="346"/>
      <c r="G444" s="346"/>
      <c r="H444" s="346"/>
      <c r="I444" s="346"/>
      <c r="J444" s="346"/>
      <c r="K444" s="346"/>
      <c r="L444" s="346"/>
      <c r="M444" s="346"/>
      <c r="N444" s="346"/>
      <c r="O444" s="346"/>
      <c r="P444" s="346"/>
      <c r="Q444" s="346"/>
      <c r="R444" s="346"/>
      <c r="S444" s="346"/>
      <c r="T444" s="346"/>
      <c r="U444" s="346"/>
      <c r="V444" s="346"/>
      <c r="W444" s="346"/>
      <c r="X444" s="346"/>
      <c r="Y444" s="346"/>
      <c r="Z444" s="346"/>
      <c r="AA444" s="346"/>
      <c r="AB444" s="346"/>
      <c r="AC444" s="346"/>
      <c r="AD444" s="346"/>
      <c r="AE444" s="346"/>
      <c r="AF444" s="346"/>
      <c r="AG444" s="346"/>
      <c r="AH444" s="346"/>
      <c r="AI444" s="346"/>
      <c r="AJ444" s="346"/>
      <c r="AK444" s="346"/>
      <c r="AL444" s="346"/>
      <c r="AM444" s="346"/>
      <c r="AN444">
        <f t="shared" si="47"/>
        <v>0</v>
      </c>
      <c r="AO444" s="351">
        <f t="shared" si="46"/>
        <v>0</v>
      </c>
    </row>
    <row r="445" spans="1:41">
      <c r="A445" s="165">
        <f>'Conveyor Downtime (new)'!A454</f>
        <v>46254</v>
      </c>
      <c r="B445">
        <f>3+1+1+1+4+2+1+2+2</f>
        <v>17</v>
      </c>
      <c r="D445">
        <f>3</f>
        <v>3</v>
      </c>
      <c r="AN445">
        <f t="shared" si="47"/>
        <v>20</v>
      </c>
      <c r="AO445" s="351">
        <f t="shared" si="46"/>
        <v>1.7376194613379671E-2</v>
      </c>
    </row>
    <row r="446" spans="1:41">
      <c r="A446" s="165">
        <f>'Conveyor Downtime (new)'!A455</f>
        <v>46258</v>
      </c>
      <c r="B446" s="346"/>
      <c r="C446" s="346"/>
      <c r="D446" s="346"/>
      <c r="E446" s="346"/>
      <c r="F446" s="346"/>
      <c r="G446" s="346"/>
      <c r="H446" s="346"/>
      <c r="I446" s="346"/>
      <c r="J446" s="346"/>
      <c r="K446" s="346"/>
      <c r="L446" s="346"/>
      <c r="M446" s="346"/>
      <c r="N446" s="346"/>
      <c r="O446" s="346"/>
      <c r="P446" s="346"/>
      <c r="Q446" s="346"/>
      <c r="R446" s="346"/>
      <c r="S446" s="346"/>
      <c r="T446" s="346"/>
      <c r="U446" s="346"/>
      <c r="V446" s="346"/>
      <c r="W446" s="346"/>
      <c r="X446" s="346"/>
      <c r="Y446" s="346"/>
      <c r="Z446" s="346"/>
      <c r="AA446" s="346"/>
      <c r="AB446" s="346"/>
      <c r="AC446" s="346"/>
      <c r="AD446" s="346"/>
      <c r="AE446" s="346"/>
      <c r="AF446" s="346"/>
      <c r="AG446" s="346"/>
      <c r="AH446" s="346"/>
      <c r="AI446" s="346"/>
      <c r="AJ446" s="346"/>
      <c r="AK446" s="346"/>
      <c r="AL446" s="346"/>
      <c r="AM446" s="346"/>
      <c r="AN446">
        <f t="shared" si="47"/>
        <v>0</v>
      </c>
      <c r="AO446" s="351">
        <f t="shared" si="46"/>
        <v>0</v>
      </c>
    </row>
    <row r="447" spans="1:41">
      <c r="A447" s="165">
        <f>'Conveyor Downtime (new)'!A456</f>
        <v>46258</v>
      </c>
      <c r="AN447">
        <f t="shared" si="47"/>
        <v>0</v>
      </c>
      <c r="AO447" s="351">
        <f t="shared" si="46"/>
        <v>0</v>
      </c>
    </row>
    <row r="448" spans="1:41">
      <c r="A448" s="165">
        <f>'Conveyor Downtime (new)'!A457</f>
        <v>46259</v>
      </c>
      <c r="B448" s="346">
        <f>3</f>
        <v>3</v>
      </c>
      <c r="C448" s="346">
        <f>2</f>
        <v>2</v>
      </c>
      <c r="D448" s="346"/>
      <c r="E448" s="346"/>
      <c r="F448" s="346">
        <f>4</f>
        <v>4</v>
      </c>
      <c r="G448" s="346"/>
      <c r="H448" s="346"/>
      <c r="I448" s="346"/>
      <c r="J448" s="346"/>
      <c r="K448" s="346"/>
      <c r="L448" s="346"/>
      <c r="M448" s="346"/>
      <c r="N448" s="346"/>
      <c r="O448" s="346"/>
      <c r="P448" s="346"/>
      <c r="Q448" s="346"/>
      <c r="R448" s="346"/>
      <c r="S448" s="346"/>
      <c r="T448" s="346"/>
      <c r="U448" s="346"/>
      <c r="V448" s="346"/>
      <c r="W448" s="346"/>
      <c r="X448" s="346"/>
      <c r="Y448" s="346"/>
      <c r="Z448" s="346"/>
      <c r="AA448" s="346"/>
      <c r="AB448" s="346"/>
      <c r="AC448" s="346"/>
      <c r="AD448" s="346"/>
      <c r="AE448" s="346"/>
      <c r="AF448" s="346"/>
      <c r="AG448" s="346"/>
      <c r="AH448" s="346"/>
      <c r="AI448" s="346"/>
      <c r="AJ448" s="346"/>
      <c r="AK448" s="346"/>
      <c r="AL448" s="346"/>
      <c r="AM448" s="346"/>
      <c r="AN448">
        <f t="shared" si="47"/>
        <v>9</v>
      </c>
      <c r="AO448" s="351">
        <f t="shared" si="46"/>
        <v>7.819287576020852E-3</v>
      </c>
    </row>
    <row r="449" spans="1:41">
      <c r="A449" s="165">
        <f>'Conveyor Downtime (new)'!A458</f>
        <v>46259</v>
      </c>
      <c r="AN449">
        <f t="shared" si="47"/>
        <v>0</v>
      </c>
      <c r="AO449" s="351">
        <f t="shared" si="46"/>
        <v>0</v>
      </c>
    </row>
    <row r="450" spans="1:41">
      <c r="A450" s="165">
        <f>'Conveyor Downtime (new)'!A459</f>
        <v>46260</v>
      </c>
      <c r="B450" s="346">
        <f>5</f>
        <v>5</v>
      </c>
      <c r="C450" s="346"/>
      <c r="D450" s="346"/>
      <c r="E450" s="346"/>
      <c r="F450" s="346"/>
      <c r="G450" s="346"/>
      <c r="H450" s="346"/>
      <c r="I450" s="346"/>
      <c r="J450" s="346"/>
      <c r="K450" s="346"/>
      <c r="L450" s="346"/>
      <c r="M450" s="346"/>
      <c r="N450" s="346"/>
      <c r="O450" s="346"/>
      <c r="P450" s="346"/>
      <c r="Q450" s="346"/>
      <c r="R450" s="346"/>
      <c r="S450" s="346"/>
      <c r="T450" s="346"/>
      <c r="U450" s="346"/>
      <c r="V450" s="346"/>
      <c r="W450" s="346"/>
      <c r="X450" s="346"/>
      <c r="Y450" s="346"/>
      <c r="Z450" s="346"/>
      <c r="AA450" s="346"/>
      <c r="AB450" s="346"/>
      <c r="AC450" s="346"/>
      <c r="AD450" s="346"/>
      <c r="AE450" s="346"/>
      <c r="AF450" s="346"/>
      <c r="AG450" s="346"/>
      <c r="AH450" s="346"/>
      <c r="AI450" s="346"/>
      <c r="AJ450" s="346"/>
      <c r="AK450" s="346"/>
      <c r="AL450" s="346"/>
      <c r="AM450" s="346"/>
      <c r="AN450">
        <f t="shared" si="47"/>
        <v>5</v>
      </c>
      <c r="AO450" s="351">
        <f t="shared" si="46"/>
        <v>4.3440486533449178E-3</v>
      </c>
    </row>
    <row r="451" spans="1:41">
      <c r="A451" s="165">
        <f>'Conveyor Downtime (new)'!A460</f>
        <v>46260</v>
      </c>
      <c r="AN451">
        <f t="shared" si="47"/>
        <v>0</v>
      </c>
      <c r="AO451" s="351">
        <f t="shared" si="46"/>
        <v>0</v>
      </c>
    </row>
    <row r="452" spans="1:41">
      <c r="A452" s="165">
        <f>'Conveyor Downtime (new)'!A461</f>
        <v>46261</v>
      </c>
      <c r="B452" s="346"/>
      <c r="C452" s="346"/>
      <c r="D452" s="346">
        <f>3</f>
        <v>3</v>
      </c>
      <c r="E452" s="346"/>
      <c r="F452" s="346"/>
      <c r="G452" s="346"/>
      <c r="H452" s="346"/>
      <c r="I452" s="346"/>
      <c r="J452" s="346"/>
      <c r="K452" s="346"/>
      <c r="L452" s="346"/>
      <c r="M452" s="346"/>
      <c r="N452" s="346"/>
      <c r="O452" s="346"/>
      <c r="P452" s="346"/>
      <c r="Q452" s="346"/>
      <c r="R452" s="346"/>
      <c r="S452" s="346"/>
      <c r="T452" s="346"/>
      <c r="U452" s="346"/>
      <c r="V452" s="346"/>
      <c r="W452" s="346"/>
      <c r="X452" s="346"/>
      <c r="Y452" s="346"/>
      <c r="Z452" s="346"/>
      <c r="AA452" s="346"/>
      <c r="AB452" s="346"/>
      <c r="AC452" s="346"/>
      <c r="AD452" s="346"/>
      <c r="AE452" s="346"/>
      <c r="AF452" s="346"/>
      <c r="AG452" s="346"/>
      <c r="AH452" s="346"/>
      <c r="AI452" s="346"/>
      <c r="AJ452" s="346"/>
      <c r="AK452" s="346"/>
      <c r="AL452" s="346"/>
      <c r="AM452" s="346"/>
      <c r="AN452">
        <f t="shared" si="47"/>
        <v>3</v>
      </c>
      <c r="AO452" s="351">
        <f t="shared" si="46"/>
        <v>2.6064291920069507E-3</v>
      </c>
    </row>
    <row r="453" spans="1:41">
      <c r="A453" s="165">
        <f>'Conveyor Downtime (new)'!A462</f>
        <v>46261</v>
      </c>
      <c r="AN453">
        <f t="shared" si="47"/>
        <v>0</v>
      </c>
      <c r="AO453" s="351">
        <f t="shared" si="46"/>
        <v>0</v>
      </c>
    </row>
    <row r="454" spans="1:41">
      <c r="A454" s="165">
        <f>'Conveyor Downtime (new)'!A463</f>
        <v>46261</v>
      </c>
      <c r="B454" s="346"/>
      <c r="C454" s="346"/>
      <c r="D454" s="346"/>
      <c r="E454" s="346"/>
      <c r="F454" s="346"/>
      <c r="G454" s="346"/>
      <c r="H454" s="346"/>
      <c r="I454" s="346"/>
      <c r="J454" s="346"/>
      <c r="K454" s="346"/>
      <c r="L454" s="346"/>
      <c r="M454" s="346"/>
      <c r="N454" s="346"/>
      <c r="O454" s="346"/>
      <c r="P454" s="346"/>
      <c r="Q454" s="346"/>
      <c r="R454" s="346"/>
      <c r="S454" s="346"/>
      <c r="T454" s="346"/>
      <c r="U454" s="346"/>
      <c r="V454" s="346"/>
      <c r="W454" s="346"/>
      <c r="X454" s="346"/>
      <c r="Y454" s="346"/>
      <c r="Z454" s="346"/>
      <c r="AA454" s="346"/>
      <c r="AB454" s="346"/>
      <c r="AC454" s="346"/>
      <c r="AD454" s="346"/>
      <c r="AE454" s="346"/>
      <c r="AF454" s="346"/>
      <c r="AG454" s="346"/>
      <c r="AH454" s="346"/>
      <c r="AI454" s="346"/>
      <c r="AJ454" s="346"/>
      <c r="AK454" s="346"/>
      <c r="AL454" s="346"/>
      <c r="AM454" s="346"/>
      <c r="AN454">
        <f t="shared" si="47"/>
        <v>0</v>
      </c>
      <c r="AO454" s="351">
        <f t="shared" si="46"/>
        <v>0</v>
      </c>
    </row>
    <row r="455" spans="1:41">
      <c r="A455" s="165">
        <f>'Conveyor Downtime (new)'!A464</f>
        <v>46262</v>
      </c>
      <c r="AN455">
        <f t="shared" si="47"/>
        <v>0</v>
      </c>
      <c r="AO455" s="351">
        <f t="shared" si="46"/>
        <v>0</v>
      </c>
    </row>
    <row r="456" spans="1:41">
      <c r="A456" s="165">
        <f>'Conveyor Downtime (new)'!A465</f>
        <v>46262</v>
      </c>
      <c r="B456" s="346"/>
      <c r="C456" s="346"/>
      <c r="D456" s="346"/>
      <c r="E456" s="346"/>
      <c r="F456" s="346"/>
      <c r="G456" s="346"/>
      <c r="H456" s="346"/>
      <c r="I456" s="346"/>
      <c r="J456" s="346"/>
      <c r="K456" s="346"/>
      <c r="L456" s="346"/>
      <c r="M456" s="346"/>
      <c r="N456" s="346"/>
      <c r="O456" s="346"/>
      <c r="P456" s="346"/>
      <c r="Q456" s="346"/>
      <c r="R456" s="346"/>
      <c r="S456" s="346"/>
      <c r="T456" s="346"/>
      <c r="U456" s="346"/>
      <c r="V456" s="346"/>
      <c r="W456" s="346"/>
      <c r="X456" s="346"/>
      <c r="Y456" s="346"/>
      <c r="Z456" s="346"/>
      <c r="AA456" s="346"/>
      <c r="AB456" s="346"/>
      <c r="AC456" s="346"/>
      <c r="AD456" s="346"/>
      <c r="AE456" s="346"/>
      <c r="AF456" s="346"/>
      <c r="AG456" s="346"/>
      <c r="AH456" s="346"/>
      <c r="AI456" s="346"/>
      <c r="AJ456" s="346"/>
      <c r="AK456" s="346"/>
      <c r="AL456" s="346"/>
      <c r="AM456" s="346"/>
      <c r="AN456">
        <f t="shared" si="47"/>
        <v>0</v>
      </c>
      <c r="AO456" s="351">
        <f t="shared" si="46"/>
        <v>0</v>
      </c>
    </row>
    <row r="457" spans="1:41">
      <c r="A457" s="165">
        <f>'Conveyor Downtime (new)'!A466</f>
        <v>46262</v>
      </c>
      <c r="Z457">
        <f>3</f>
        <v>3</v>
      </c>
      <c r="AN457">
        <f t="shared" si="47"/>
        <v>3</v>
      </c>
      <c r="AO457" s="351">
        <f t="shared" si="46"/>
        <v>2.6064291920069507E-3</v>
      </c>
    </row>
    <row r="458" spans="1:41">
      <c r="A458" s="165">
        <f>'Conveyor Downtime (new)'!A467</f>
        <v>46262</v>
      </c>
      <c r="B458" s="346"/>
      <c r="C458" s="346">
        <f>4</f>
        <v>4</v>
      </c>
      <c r="D458" s="346"/>
      <c r="E458" s="346"/>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s="346"/>
      <c r="AE458" s="346"/>
      <c r="AF458" s="346"/>
      <c r="AG458" s="346"/>
      <c r="AH458" s="346"/>
      <c r="AI458" s="346"/>
      <c r="AJ458" s="346"/>
      <c r="AK458" s="346"/>
      <c r="AL458" s="346"/>
      <c r="AM458" s="346"/>
      <c r="AN458">
        <f t="shared" si="47"/>
        <v>4</v>
      </c>
      <c r="AO458" s="351">
        <f t="shared" si="46"/>
        <v>3.4752389226759338E-3</v>
      </c>
    </row>
    <row r="459" spans="1:41">
      <c r="A459" s="165">
        <f>'Conveyor Downtime (new)'!A468</f>
        <v>46265</v>
      </c>
      <c r="N459">
        <f>51+60+60+60+60+60+60+60+60+25</f>
        <v>556</v>
      </c>
      <c r="AN459">
        <f t="shared" si="47"/>
        <v>556</v>
      </c>
      <c r="AO459" s="351">
        <f t="shared" si="46"/>
        <v>0.48305821025195483</v>
      </c>
    </row>
    <row r="460" spans="1:41">
      <c r="A460" s="165">
        <f>'Conveyor Downtime (new)'!A469</f>
        <v>0</v>
      </c>
      <c r="B460" s="346"/>
      <c r="C460" s="346"/>
      <c r="D460" s="346"/>
      <c r="E460" s="346"/>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s="346"/>
      <c r="AE460" s="346"/>
      <c r="AF460" s="346"/>
      <c r="AG460" s="346"/>
      <c r="AH460" s="346"/>
      <c r="AI460" s="346"/>
      <c r="AJ460" s="346"/>
      <c r="AK460" s="346"/>
      <c r="AL460" s="346"/>
      <c r="AM460" s="346"/>
      <c r="AN460">
        <f t="shared" si="47"/>
        <v>0</v>
      </c>
      <c r="AO460" s="351">
        <f t="shared" si="46"/>
        <v>0</v>
      </c>
    </row>
    <row r="461" spans="1:41">
      <c r="A461" s="165"/>
    </row>
    <row r="462" spans="1:41">
      <c r="A462" s="165"/>
      <c r="B462" s="346"/>
      <c r="C462" s="346"/>
      <c r="D462" s="346"/>
      <c r="E462" s="346"/>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s="346"/>
      <c r="AE462" s="346"/>
      <c r="AF462" s="346"/>
      <c r="AG462" s="346"/>
      <c r="AH462" s="346"/>
      <c r="AI462" s="346"/>
      <c r="AJ462" s="346"/>
      <c r="AK462" s="346"/>
      <c r="AL462" s="346"/>
      <c r="AM462" s="346"/>
    </row>
    <row r="463" spans="1:41">
      <c r="A463" s="165"/>
    </row>
    <row r="464" spans="1:41">
      <c r="A464" s="165"/>
      <c r="B464" s="346"/>
      <c r="C464" s="346"/>
      <c r="D464" s="346"/>
      <c r="E464" s="346"/>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s="346"/>
      <c r="AE464" s="346"/>
      <c r="AF464" s="346"/>
      <c r="AG464" s="346"/>
      <c r="AH464" s="346"/>
      <c r="AI464" s="346"/>
      <c r="AJ464" s="346"/>
      <c r="AK464" s="346"/>
      <c r="AL464" s="346"/>
      <c r="AM464" s="346"/>
    </row>
    <row r="465" spans="1:41">
      <c r="A465" s="165"/>
    </row>
    <row r="466" spans="1:41">
      <c r="A466" s="165"/>
      <c r="B466" s="346"/>
      <c r="C466" s="346"/>
      <c r="D466" s="346"/>
      <c r="E466" s="346"/>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s="346"/>
      <c r="AE466" s="346"/>
      <c r="AF466" s="346"/>
      <c r="AG466" s="346"/>
      <c r="AH466" s="346"/>
      <c r="AI466" s="346"/>
      <c r="AJ466" s="346"/>
      <c r="AK466" s="346"/>
      <c r="AL466" s="346"/>
      <c r="AM466" s="346"/>
    </row>
    <row r="467" spans="1:41">
      <c r="A467" s="165"/>
      <c r="B467" s="346"/>
      <c r="C467" s="346"/>
      <c r="D467" s="346"/>
      <c r="E467" s="346"/>
      <c r="F467" s="346"/>
      <c r="G467" s="346"/>
      <c r="H467" s="346"/>
      <c r="I467" s="346"/>
      <c r="J467" s="346"/>
      <c r="K467" s="346"/>
      <c r="L467" s="346"/>
      <c r="M467" s="346"/>
      <c r="N467" s="346"/>
      <c r="O467" s="346"/>
      <c r="P467" s="346"/>
      <c r="Q467" s="346"/>
      <c r="R467" s="346"/>
      <c r="S467" s="346"/>
      <c r="T467" s="346"/>
      <c r="U467" s="346"/>
      <c r="V467" s="346"/>
      <c r="W467" s="346"/>
      <c r="X467" s="346"/>
      <c r="Y467" s="346"/>
      <c r="Z467" s="346"/>
      <c r="AA467" s="346"/>
      <c r="AB467" s="346"/>
      <c r="AC467" s="346"/>
      <c r="AD467" s="346"/>
      <c r="AE467" s="346"/>
      <c r="AF467" s="346"/>
      <c r="AG467" s="346"/>
      <c r="AH467" s="346"/>
      <c r="AI467" s="346"/>
      <c r="AJ467" s="346"/>
      <c r="AK467" s="346"/>
      <c r="AL467" s="346"/>
      <c r="AM467" s="346"/>
    </row>
    <row r="468" spans="1:41">
      <c r="A468" s="165"/>
    </row>
    <row r="469" spans="1:41">
      <c r="A469" s="165"/>
      <c r="B469" s="346"/>
      <c r="C469" s="346"/>
      <c r="D469" s="346"/>
      <c r="E469" s="346"/>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346"/>
      <c r="AL469" s="346"/>
      <c r="AM469" s="346"/>
    </row>
    <row r="470" spans="1:41">
      <c r="A470" s="165"/>
    </row>
    <row r="471" spans="1:41">
      <c r="A471" s="165"/>
      <c r="B471" s="346"/>
      <c r="C471" s="346"/>
      <c r="D471" s="346"/>
      <c r="E471" s="346"/>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346"/>
      <c r="AL471" s="346"/>
      <c r="AM471" s="346"/>
    </row>
    <row r="472" spans="1:41">
      <c r="A472" s="165"/>
    </row>
    <row r="473" spans="1:41">
      <c r="A473" s="165"/>
      <c r="B473" s="346"/>
      <c r="C473" s="346"/>
      <c r="D473" s="346"/>
      <c r="E473" s="346"/>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346"/>
      <c r="AL473" s="346"/>
      <c r="AM473" s="346"/>
    </row>
    <row r="474" spans="1:41">
      <c r="A474" s="165"/>
      <c r="B474" s="346"/>
      <c r="C474" s="346"/>
      <c r="D474" s="346"/>
      <c r="E474" s="346"/>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s="346"/>
      <c r="AE474" s="346"/>
      <c r="AF474" s="346"/>
      <c r="AG474" s="346"/>
      <c r="AH474" s="346"/>
      <c r="AI474" s="346"/>
      <c r="AJ474" s="346"/>
      <c r="AK474" s="346"/>
      <c r="AL474" s="346"/>
      <c r="AM474" s="346"/>
    </row>
    <row r="475" spans="1:41" ht="15">
      <c r="A475" s="347" t="s">
        <v>173</v>
      </c>
      <c r="B475" s="347">
        <f>SUM(B424:B474)</f>
        <v>220</v>
      </c>
      <c r="C475" s="347">
        <f t="shared" ref="C475:AM475" si="48">SUM(C424:C474)</f>
        <v>10</v>
      </c>
      <c r="D475" s="347">
        <f t="shared" si="48"/>
        <v>25</v>
      </c>
      <c r="E475" s="347">
        <f t="shared" si="48"/>
        <v>0</v>
      </c>
      <c r="F475" s="347">
        <f t="shared" si="48"/>
        <v>29</v>
      </c>
      <c r="G475" s="347">
        <f t="shared" si="48"/>
        <v>0</v>
      </c>
      <c r="H475" s="347">
        <f t="shared" si="48"/>
        <v>0</v>
      </c>
      <c r="I475" s="347">
        <f t="shared" si="48"/>
        <v>24</v>
      </c>
      <c r="J475" s="347">
        <f t="shared" si="48"/>
        <v>0</v>
      </c>
      <c r="K475" s="347">
        <f t="shared" si="48"/>
        <v>0</v>
      </c>
      <c r="L475" s="347">
        <f t="shared" si="48"/>
        <v>0</v>
      </c>
      <c r="M475" s="347">
        <f t="shared" si="48"/>
        <v>0</v>
      </c>
      <c r="N475" s="347">
        <f t="shared" si="48"/>
        <v>556</v>
      </c>
      <c r="O475" s="347">
        <f t="shared" si="48"/>
        <v>0</v>
      </c>
      <c r="P475" s="347">
        <f t="shared" si="48"/>
        <v>0</v>
      </c>
      <c r="Q475" s="347">
        <f t="shared" si="48"/>
        <v>0</v>
      </c>
      <c r="R475" s="347">
        <f t="shared" si="48"/>
        <v>22</v>
      </c>
      <c r="S475" s="347">
        <f t="shared" si="48"/>
        <v>12</v>
      </c>
      <c r="T475" s="347">
        <f t="shared" si="48"/>
        <v>0</v>
      </c>
      <c r="U475" s="347">
        <f t="shared" si="48"/>
        <v>0</v>
      </c>
      <c r="V475" s="347">
        <f t="shared" si="48"/>
        <v>0</v>
      </c>
      <c r="W475" s="347">
        <f t="shared" si="48"/>
        <v>0</v>
      </c>
      <c r="X475" s="347">
        <f t="shared" si="48"/>
        <v>0</v>
      </c>
      <c r="Y475" s="347">
        <f t="shared" si="48"/>
        <v>0</v>
      </c>
      <c r="Z475" s="347">
        <f>SUM(Z424:Z474)</f>
        <v>165</v>
      </c>
      <c r="AA475" s="347">
        <f t="shared" si="48"/>
        <v>6</v>
      </c>
      <c r="AB475" s="347">
        <f t="shared" si="48"/>
        <v>34</v>
      </c>
      <c r="AC475" s="347">
        <f t="shared" si="48"/>
        <v>0</v>
      </c>
      <c r="AD475" s="347">
        <f t="shared" si="48"/>
        <v>29</v>
      </c>
      <c r="AE475" s="347">
        <f t="shared" si="48"/>
        <v>16</v>
      </c>
      <c r="AF475" s="347">
        <f t="shared" si="48"/>
        <v>0</v>
      </c>
      <c r="AG475" s="347">
        <f t="shared" si="48"/>
        <v>0</v>
      </c>
      <c r="AH475" s="347">
        <f t="shared" si="48"/>
        <v>0</v>
      </c>
      <c r="AI475" s="347">
        <f t="shared" si="48"/>
        <v>0</v>
      </c>
      <c r="AJ475" s="347">
        <f t="shared" si="48"/>
        <v>0</v>
      </c>
      <c r="AK475" s="347">
        <f t="shared" si="48"/>
        <v>0</v>
      </c>
      <c r="AL475" s="347">
        <f t="shared" si="48"/>
        <v>3</v>
      </c>
      <c r="AM475" s="347">
        <f t="shared" si="48"/>
        <v>0</v>
      </c>
      <c r="AN475" s="347">
        <f>SUM(AN424:AN474)</f>
        <v>1151</v>
      </c>
      <c r="AO475" s="351">
        <f>AN475/$AN$475</f>
        <v>1</v>
      </c>
    </row>
    <row r="476" spans="1:41" ht="15.75" thickBot="1">
      <c r="A476" s="348" t="s">
        <v>174</v>
      </c>
      <c r="B476" s="348">
        <f t="shared" ref="B476:AM476" si="49">B475/$AN475</f>
        <v>0.19113814074717636</v>
      </c>
      <c r="C476" s="348">
        <f t="shared" si="49"/>
        <v>8.6880973066898355E-3</v>
      </c>
      <c r="D476" s="348">
        <f t="shared" si="49"/>
        <v>2.1720243266724587E-2</v>
      </c>
      <c r="E476" s="348">
        <f t="shared" si="49"/>
        <v>0</v>
      </c>
      <c r="F476" s="348">
        <f t="shared" si="49"/>
        <v>2.5195482189400521E-2</v>
      </c>
      <c r="G476" s="348">
        <f t="shared" si="49"/>
        <v>0</v>
      </c>
      <c r="H476" s="348">
        <f t="shared" si="49"/>
        <v>0</v>
      </c>
      <c r="I476" s="348">
        <f t="shared" si="49"/>
        <v>2.0851433536055605E-2</v>
      </c>
      <c r="J476" s="348">
        <f t="shared" si="49"/>
        <v>0</v>
      </c>
      <c r="K476" s="348">
        <f t="shared" si="49"/>
        <v>0</v>
      </c>
      <c r="L476" s="348">
        <f t="shared" si="49"/>
        <v>0</v>
      </c>
      <c r="M476" s="348">
        <f t="shared" si="49"/>
        <v>0</v>
      </c>
      <c r="N476" s="348">
        <f t="shared" si="49"/>
        <v>0.48305821025195483</v>
      </c>
      <c r="O476" s="348">
        <f t="shared" si="49"/>
        <v>0</v>
      </c>
      <c r="P476" s="348">
        <f t="shared" si="49"/>
        <v>0</v>
      </c>
      <c r="Q476" s="348">
        <f t="shared" si="49"/>
        <v>0</v>
      </c>
      <c r="R476" s="348">
        <f t="shared" si="49"/>
        <v>1.9113814074717638E-2</v>
      </c>
      <c r="S476" s="348">
        <f t="shared" si="49"/>
        <v>1.0425716768027803E-2</v>
      </c>
      <c r="T476" s="348">
        <f t="shared" si="49"/>
        <v>0</v>
      </c>
      <c r="U476" s="348">
        <f t="shared" si="49"/>
        <v>0</v>
      </c>
      <c r="V476" s="348">
        <f t="shared" si="49"/>
        <v>0</v>
      </c>
      <c r="W476" s="348">
        <f t="shared" si="49"/>
        <v>0</v>
      </c>
      <c r="X476" s="348">
        <f t="shared" si="49"/>
        <v>0</v>
      </c>
      <c r="Y476" s="348">
        <f t="shared" si="49"/>
        <v>0</v>
      </c>
      <c r="Z476" s="348">
        <f t="shared" si="49"/>
        <v>0.14335360556038226</v>
      </c>
      <c r="AA476" s="348">
        <f t="shared" si="49"/>
        <v>5.2128583840139013E-3</v>
      </c>
      <c r="AB476" s="348">
        <f t="shared" si="49"/>
        <v>2.9539530842745437E-2</v>
      </c>
      <c r="AC476" s="348">
        <f t="shared" si="49"/>
        <v>0</v>
      </c>
      <c r="AD476" s="348">
        <f t="shared" si="49"/>
        <v>2.5195482189400521E-2</v>
      </c>
      <c r="AE476" s="348">
        <f t="shared" si="49"/>
        <v>1.3900955690703735E-2</v>
      </c>
      <c r="AF476" s="348">
        <f t="shared" si="49"/>
        <v>0</v>
      </c>
      <c r="AG476" s="348">
        <f t="shared" si="49"/>
        <v>0</v>
      </c>
      <c r="AH476" s="348">
        <f t="shared" si="49"/>
        <v>0</v>
      </c>
      <c r="AI476" s="348">
        <f t="shared" si="49"/>
        <v>0</v>
      </c>
      <c r="AJ476" s="348">
        <f t="shared" si="49"/>
        <v>0</v>
      </c>
      <c r="AK476" s="348">
        <f t="shared" si="49"/>
        <v>0</v>
      </c>
      <c r="AL476" s="348">
        <f t="shared" si="49"/>
        <v>2.6064291920069507E-3</v>
      </c>
      <c r="AM476" s="348">
        <f t="shared" si="49"/>
        <v>0</v>
      </c>
    </row>
    <row r="479" spans="1:41">
      <c r="A479" s="165">
        <f>'Conveyor Downtime (new)'!A494</f>
        <v>46266</v>
      </c>
      <c r="B479">
        <f>5</f>
        <v>5</v>
      </c>
      <c r="AN479">
        <f t="shared" ref="AN479:AN523" si="50">SUM(B479:AM479)</f>
        <v>5</v>
      </c>
      <c r="AO479" s="351">
        <f t="shared" ref="AO479:AO497" si="51">AN479/$AN$524</f>
        <v>2.6041666666666668E-2</v>
      </c>
    </row>
    <row r="480" spans="1:41">
      <c r="A480" s="165">
        <f>'Conveyor Downtime (new)'!A495</f>
        <v>46266</v>
      </c>
      <c r="B480" s="346"/>
      <c r="C480" s="346"/>
      <c r="D480" s="346"/>
      <c r="E480" s="346"/>
      <c r="F480" s="346">
        <f>4</f>
        <v>4</v>
      </c>
      <c r="G480" s="346"/>
      <c r="H480" s="346"/>
      <c r="I480" s="346"/>
      <c r="J480" s="346"/>
      <c r="K480" s="346"/>
      <c r="L480" s="346"/>
      <c r="M480" s="346"/>
      <c r="N480" s="346"/>
      <c r="O480" s="346"/>
      <c r="P480" s="346"/>
      <c r="Q480" s="346"/>
      <c r="R480" s="346"/>
      <c r="S480" s="346"/>
      <c r="T480" s="346"/>
      <c r="U480" s="346"/>
      <c r="V480" s="346"/>
      <c r="W480" s="346"/>
      <c r="X480" s="346"/>
      <c r="Y480" s="346"/>
      <c r="Z480" s="346"/>
      <c r="AA480" s="346"/>
      <c r="AB480" s="346"/>
      <c r="AC480" s="346"/>
      <c r="AD480" s="346"/>
      <c r="AE480" s="346"/>
      <c r="AF480" s="346"/>
      <c r="AG480" s="346"/>
      <c r="AH480" s="346"/>
      <c r="AI480" s="346"/>
      <c r="AJ480" s="346"/>
      <c r="AK480" s="346"/>
      <c r="AL480" s="346"/>
      <c r="AM480" s="346"/>
      <c r="AN480">
        <f t="shared" si="50"/>
        <v>4</v>
      </c>
      <c r="AO480" s="351">
        <f t="shared" si="51"/>
        <v>2.0833333333333332E-2</v>
      </c>
    </row>
    <row r="481" spans="1:41">
      <c r="A481" s="165">
        <f>'Conveyor Downtime (new)'!A496</f>
        <v>46267</v>
      </c>
      <c r="AN481">
        <f t="shared" si="50"/>
        <v>0</v>
      </c>
      <c r="AO481" s="351">
        <f t="shared" si="51"/>
        <v>0</v>
      </c>
    </row>
    <row r="482" spans="1:41">
      <c r="A482" s="165">
        <f>'Conveyor Downtime (new)'!A497</f>
        <v>46267</v>
      </c>
      <c r="B482" s="346"/>
      <c r="C482" s="346"/>
      <c r="D482" s="346"/>
      <c r="E482" s="346"/>
      <c r="F482" s="346"/>
      <c r="G482" s="346"/>
      <c r="H482" s="346"/>
      <c r="I482" s="346"/>
      <c r="J482" s="346"/>
      <c r="K482" s="346"/>
      <c r="L482" s="346"/>
      <c r="M482" s="346"/>
      <c r="N482" s="346"/>
      <c r="O482" s="346"/>
      <c r="P482" s="346"/>
      <c r="Q482" s="346"/>
      <c r="R482" s="346"/>
      <c r="S482" s="346"/>
      <c r="T482" s="346"/>
      <c r="U482" s="346"/>
      <c r="V482" s="346"/>
      <c r="W482" s="346"/>
      <c r="X482" s="346"/>
      <c r="Y482" s="346"/>
      <c r="Z482" s="346"/>
      <c r="AA482" s="346"/>
      <c r="AB482" s="346"/>
      <c r="AC482" s="346"/>
      <c r="AD482" s="346"/>
      <c r="AE482" s="346"/>
      <c r="AF482" s="346"/>
      <c r="AG482" s="346"/>
      <c r="AH482" s="346"/>
      <c r="AI482" s="346"/>
      <c r="AJ482" s="346"/>
      <c r="AK482" s="346"/>
      <c r="AL482" s="346"/>
      <c r="AM482" s="346"/>
      <c r="AN482">
        <f t="shared" si="50"/>
        <v>0</v>
      </c>
      <c r="AO482" s="351">
        <f t="shared" si="51"/>
        <v>0</v>
      </c>
    </row>
    <row r="483" spans="1:41">
      <c r="A483" s="165">
        <f>'Conveyor Downtime (new)'!A498</f>
        <v>46267</v>
      </c>
      <c r="Z483">
        <v>12</v>
      </c>
      <c r="AE483">
        <f>22</f>
        <v>22</v>
      </c>
      <c r="AN483">
        <f t="shared" si="50"/>
        <v>34</v>
      </c>
      <c r="AO483" s="351">
        <f t="shared" si="51"/>
        <v>0.17708333333333334</v>
      </c>
    </row>
    <row r="484" spans="1:41">
      <c r="A484" s="165">
        <f>'Conveyor Downtime (new)'!A499</f>
        <v>46268</v>
      </c>
      <c r="B484" s="346"/>
      <c r="C484" s="346"/>
      <c r="D484" s="346"/>
      <c r="E484" s="346"/>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s="346"/>
      <c r="AE484" s="346"/>
      <c r="AF484" s="346"/>
      <c r="AG484" s="346"/>
      <c r="AH484" s="346"/>
      <c r="AI484" s="346"/>
      <c r="AJ484" s="346"/>
      <c r="AK484" s="346"/>
      <c r="AL484" s="346"/>
      <c r="AM484" s="346"/>
      <c r="AN484">
        <f t="shared" si="50"/>
        <v>0</v>
      </c>
      <c r="AO484" s="351">
        <f t="shared" si="51"/>
        <v>0</v>
      </c>
    </row>
    <row r="485" spans="1:41">
      <c r="A485" s="165">
        <f>'Conveyor Downtime (new)'!A500</f>
        <v>46268</v>
      </c>
      <c r="B485">
        <f>3</f>
        <v>3</v>
      </c>
      <c r="AN485">
        <f t="shared" si="50"/>
        <v>3</v>
      </c>
      <c r="AO485" s="351">
        <f t="shared" si="51"/>
        <v>1.5625E-2</v>
      </c>
    </row>
    <row r="486" spans="1:41">
      <c r="A486" s="165">
        <f>'Conveyor Downtime (new)'!A501</f>
        <v>46268</v>
      </c>
      <c r="B486" s="346"/>
      <c r="C486" s="346"/>
      <c r="D486" s="346"/>
      <c r="E486" s="346"/>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s="346"/>
      <c r="AE486" s="346"/>
      <c r="AF486" s="346"/>
      <c r="AG486" s="346"/>
      <c r="AH486" s="346"/>
      <c r="AI486" s="346"/>
      <c r="AJ486" s="346"/>
      <c r="AK486" s="346"/>
      <c r="AL486" s="346"/>
      <c r="AM486" s="346"/>
      <c r="AN486">
        <f t="shared" si="50"/>
        <v>0</v>
      </c>
      <c r="AO486" s="351">
        <f t="shared" si="51"/>
        <v>0</v>
      </c>
    </row>
    <row r="487" spans="1:41">
      <c r="A487" s="165">
        <f>'Conveyor Downtime (new)'!A502</f>
        <v>46269</v>
      </c>
      <c r="AN487">
        <f t="shared" si="50"/>
        <v>0</v>
      </c>
      <c r="AO487" s="351">
        <f t="shared" si="51"/>
        <v>0</v>
      </c>
    </row>
    <row r="488" spans="1:41">
      <c r="A488" s="165">
        <f>'Conveyor Downtime (new)'!A503</f>
        <v>46273</v>
      </c>
      <c r="B488" s="346"/>
      <c r="C488" s="346">
        <f>3+2</f>
        <v>5</v>
      </c>
      <c r="D488" s="346"/>
      <c r="E488" s="346"/>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s="346"/>
      <c r="AE488" s="346"/>
      <c r="AF488" s="346"/>
      <c r="AG488" s="346"/>
      <c r="AH488" s="346"/>
      <c r="AI488" s="346"/>
      <c r="AJ488" s="346"/>
      <c r="AK488" s="346"/>
      <c r="AL488" s="346"/>
      <c r="AM488" s="346"/>
      <c r="AN488">
        <f t="shared" si="50"/>
        <v>5</v>
      </c>
      <c r="AO488" s="351">
        <f t="shared" si="51"/>
        <v>2.6041666666666668E-2</v>
      </c>
    </row>
    <row r="489" spans="1:41">
      <c r="A489" s="165">
        <f>'Conveyor Downtime (new)'!A504</f>
        <v>46274</v>
      </c>
      <c r="AN489">
        <f t="shared" si="50"/>
        <v>0</v>
      </c>
      <c r="AO489" s="351">
        <f t="shared" si="51"/>
        <v>0</v>
      </c>
    </row>
    <row r="490" spans="1:41">
      <c r="A490" s="165">
        <f>'Conveyor Downtime (new)'!A505</f>
        <v>46275</v>
      </c>
      <c r="B490" s="346"/>
      <c r="C490" s="346"/>
      <c r="D490" s="346"/>
      <c r="E490" s="346"/>
      <c r="F490" s="346"/>
      <c r="G490" s="346"/>
      <c r="H490" s="346"/>
      <c r="I490" s="346"/>
      <c r="J490" s="346"/>
      <c r="K490" s="346"/>
      <c r="L490" s="346"/>
      <c r="M490" s="346"/>
      <c r="N490" s="346"/>
      <c r="O490" s="346"/>
      <c r="P490" s="346"/>
      <c r="Q490" s="346"/>
      <c r="R490" s="346"/>
      <c r="S490" s="346"/>
      <c r="T490" s="346"/>
      <c r="U490" s="346"/>
      <c r="V490" s="346"/>
      <c r="W490" s="346"/>
      <c r="X490" s="346"/>
      <c r="Y490" s="346"/>
      <c r="Z490" s="346"/>
      <c r="AA490" s="346"/>
      <c r="AB490" s="346"/>
      <c r="AC490" s="346"/>
      <c r="AD490" s="346"/>
      <c r="AE490" s="346"/>
      <c r="AF490" s="346"/>
      <c r="AG490" s="346"/>
      <c r="AH490" s="346"/>
      <c r="AI490" s="346"/>
      <c r="AJ490" s="346"/>
      <c r="AK490" s="346"/>
      <c r="AL490" s="346"/>
      <c r="AM490" s="346"/>
      <c r="AN490">
        <f t="shared" si="50"/>
        <v>0</v>
      </c>
      <c r="AO490" s="351">
        <f t="shared" si="51"/>
        <v>0</v>
      </c>
    </row>
    <row r="491" spans="1:41">
      <c r="A491" s="165">
        <f>'Conveyor Downtime (new)'!A506</f>
        <v>46276</v>
      </c>
      <c r="AN491">
        <f t="shared" si="50"/>
        <v>0</v>
      </c>
      <c r="AO491" s="351">
        <f t="shared" si="51"/>
        <v>0</v>
      </c>
    </row>
    <row r="492" spans="1:41">
      <c r="A492" s="165">
        <f>'Conveyor Downtime (new)'!A507</f>
        <v>46276</v>
      </c>
      <c r="B492" s="346"/>
      <c r="C492" s="346">
        <f>3</f>
        <v>3</v>
      </c>
      <c r="D492" s="346"/>
      <c r="E492" s="346"/>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s="346"/>
      <c r="AE492" s="346"/>
      <c r="AF492" s="346"/>
      <c r="AG492" s="346"/>
      <c r="AH492" s="346"/>
      <c r="AI492" s="346"/>
      <c r="AJ492" s="346"/>
      <c r="AK492" s="346"/>
      <c r="AL492" s="346"/>
      <c r="AM492" s="346"/>
      <c r="AN492">
        <f t="shared" si="50"/>
        <v>3</v>
      </c>
      <c r="AO492" s="351">
        <f t="shared" si="51"/>
        <v>1.5625E-2</v>
      </c>
    </row>
    <row r="493" spans="1:41">
      <c r="A493" s="165">
        <f>'Conveyor Downtime (new)'!A508</f>
        <v>46279</v>
      </c>
      <c r="AN493">
        <f t="shared" si="50"/>
        <v>0</v>
      </c>
      <c r="AO493" s="351">
        <f t="shared" si="51"/>
        <v>0</v>
      </c>
    </row>
    <row r="494" spans="1:41">
      <c r="A494" s="165">
        <f>'Conveyor Downtime (new)'!A509</f>
        <v>46279</v>
      </c>
      <c r="B494" s="346"/>
      <c r="C494" s="346"/>
      <c r="D494" s="346"/>
      <c r="E494" s="346"/>
      <c r="F494" s="346"/>
      <c r="G494" s="346"/>
      <c r="H494" s="346"/>
      <c r="I494" s="346"/>
      <c r="J494" s="346"/>
      <c r="K494" s="346"/>
      <c r="L494" s="346"/>
      <c r="M494" s="346"/>
      <c r="N494" s="346"/>
      <c r="O494" s="346"/>
      <c r="P494" s="346"/>
      <c r="Q494" s="346"/>
      <c r="R494" s="346"/>
      <c r="S494" s="346"/>
      <c r="T494" s="346"/>
      <c r="U494" s="346"/>
      <c r="V494" s="346"/>
      <c r="W494" s="346"/>
      <c r="X494" s="346"/>
      <c r="Y494" s="346"/>
      <c r="Z494" s="346"/>
      <c r="AA494" s="346"/>
      <c r="AB494" s="346"/>
      <c r="AC494" s="346"/>
      <c r="AD494" s="346"/>
      <c r="AE494" s="346"/>
      <c r="AF494" s="346"/>
      <c r="AG494" s="346"/>
      <c r="AH494" s="346"/>
      <c r="AI494" s="346"/>
      <c r="AJ494" s="346"/>
      <c r="AK494" s="346"/>
      <c r="AL494" s="346"/>
      <c r="AM494" s="346"/>
      <c r="AN494">
        <f t="shared" si="50"/>
        <v>0</v>
      </c>
      <c r="AO494" s="351">
        <f t="shared" si="51"/>
        <v>0</v>
      </c>
    </row>
    <row r="495" spans="1:41">
      <c r="A495" s="165">
        <f>'Conveyor Downtime (new)'!A510</f>
        <v>46280</v>
      </c>
      <c r="B495" s="346"/>
      <c r="C495" s="346"/>
      <c r="D495" s="346"/>
      <c r="E495" s="346"/>
      <c r="F495" s="346"/>
      <c r="G495" s="346"/>
      <c r="H495" s="346"/>
      <c r="I495" s="346"/>
      <c r="J495" s="346"/>
      <c r="K495" s="346"/>
      <c r="L495" s="346"/>
      <c r="M495" s="346"/>
      <c r="N495" s="346"/>
      <c r="O495" s="346"/>
      <c r="P495" s="346"/>
      <c r="Q495" s="346"/>
      <c r="R495" s="346"/>
      <c r="S495" s="346"/>
      <c r="T495" s="346"/>
      <c r="U495" s="346"/>
      <c r="V495" s="346"/>
      <c r="W495" s="346"/>
      <c r="X495" s="346"/>
      <c r="Y495" s="346"/>
      <c r="Z495" s="346"/>
      <c r="AA495" s="346"/>
      <c r="AB495" s="346"/>
      <c r="AC495" s="346"/>
      <c r="AD495" s="346"/>
      <c r="AE495" s="346"/>
      <c r="AF495" s="346"/>
      <c r="AG495" s="346"/>
      <c r="AH495" s="346"/>
      <c r="AI495" s="346"/>
      <c r="AJ495" s="346"/>
      <c r="AK495" s="346"/>
      <c r="AL495" s="346"/>
      <c r="AM495" s="346"/>
      <c r="AN495">
        <f t="shared" si="50"/>
        <v>0</v>
      </c>
      <c r="AO495" s="351">
        <f t="shared" si="51"/>
        <v>0</v>
      </c>
    </row>
    <row r="496" spans="1:41">
      <c r="A496" s="165">
        <f>'Conveyor Downtime (new)'!A511</f>
        <v>46280</v>
      </c>
      <c r="B496" s="346"/>
      <c r="C496" s="346"/>
      <c r="D496" s="346"/>
      <c r="E496" s="346"/>
      <c r="F496" s="346"/>
      <c r="G496" s="346"/>
      <c r="H496" s="346"/>
      <c r="I496" s="346"/>
      <c r="J496" s="346"/>
      <c r="K496" s="346"/>
      <c r="L496" s="346"/>
      <c r="M496" s="346"/>
      <c r="N496" s="346"/>
      <c r="O496" s="346"/>
      <c r="P496" s="346"/>
      <c r="Q496" s="346"/>
      <c r="R496" s="346">
        <f>6</f>
        <v>6</v>
      </c>
      <c r="S496" s="346"/>
      <c r="T496" s="346"/>
      <c r="U496" s="346"/>
      <c r="V496" s="346"/>
      <c r="W496" s="346"/>
      <c r="X496" s="346"/>
      <c r="Y496" s="346"/>
      <c r="Z496" s="346"/>
      <c r="AA496" s="346"/>
      <c r="AB496" s="346"/>
      <c r="AC496" s="346"/>
      <c r="AD496" s="346"/>
      <c r="AE496" s="346"/>
      <c r="AF496" s="346"/>
      <c r="AG496" s="346"/>
      <c r="AH496" s="346"/>
      <c r="AI496" s="346"/>
      <c r="AJ496" s="346"/>
      <c r="AK496" s="346"/>
      <c r="AL496" s="346"/>
      <c r="AM496" s="346"/>
      <c r="AN496">
        <f t="shared" si="50"/>
        <v>6</v>
      </c>
      <c r="AO496" s="351">
        <f t="shared" si="51"/>
        <v>3.125E-2</v>
      </c>
    </row>
    <row r="497" spans="1:41">
      <c r="A497" s="165">
        <f>'Conveyor Downtime (new)'!A512</f>
        <v>46281</v>
      </c>
      <c r="AH497" s="386"/>
      <c r="AI497" s="386"/>
      <c r="AN497">
        <f t="shared" si="50"/>
        <v>0</v>
      </c>
      <c r="AO497" s="351">
        <f t="shared" si="51"/>
        <v>0</v>
      </c>
    </row>
    <row r="498" spans="1:41">
      <c r="A498" s="165">
        <f>'Conveyor Downtime (new)'!A513</f>
        <v>46281</v>
      </c>
      <c r="B498" s="346"/>
      <c r="C498" s="346"/>
      <c r="D498" s="346"/>
      <c r="E498" s="346"/>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s="346"/>
      <c r="AE498" s="346"/>
      <c r="AF498" s="346"/>
      <c r="AG498" s="346"/>
      <c r="AH498" s="346"/>
      <c r="AI498" s="346"/>
      <c r="AJ498" s="346"/>
      <c r="AK498" s="346"/>
      <c r="AL498" s="346"/>
      <c r="AM498" s="346"/>
      <c r="AN498">
        <f t="shared" si="50"/>
        <v>0</v>
      </c>
      <c r="AO498" s="351">
        <f t="shared" ref="AO498:AO523" si="52">AN498/$AN$524</f>
        <v>0</v>
      </c>
    </row>
    <row r="499" spans="1:41">
      <c r="A499" s="165">
        <f>'Conveyor Downtime (new)'!A514</f>
        <v>46282</v>
      </c>
      <c r="AN499">
        <f t="shared" si="50"/>
        <v>0</v>
      </c>
      <c r="AO499" s="351">
        <f t="shared" si="52"/>
        <v>0</v>
      </c>
    </row>
    <row r="500" spans="1:41">
      <c r="A500" s="165">
        <f>'Conveyor Downtime (new)'!A515</f>
        <v>46282</v>
      </c>
      <c r="B500" s="346"/>
      <c r="C500" s="346"/>
      <c r="D500" s="346"/>
      <c r="E500" s="346"/>
      <c r="F500" s="346"/>
      <c r="G500" s="346"/>
      <c r="H500" s="346"/>
      <c r="I500" s="346"/>
      <c r="J500" s="346"/>
      <c r="K500" s="346"/>
      <c r="L500" s="346"/>
      <c r="M500" s="346"/>
      <c r="N500" s="346"/>
      <c r="O500" s="346"/>
      <c r="P500" s="346"/>
      <c r="Q500" s="346"/>
      <c r="R500" s="346"/>
      <c r="S500" s="346"/>
      <c r="T500" s="346"/>
      <c r="U500" s="346"/>
      <c r="V500" s="346"/>
      <c r="W500" s="346"/>
      <c r="X500" s="346"/>
      <c r="Y500" s="346"/>
      <c r="Z500" s="346">
        <v>12</v>
      </c>
      <c r="AA500" s="346"/>
      <c r="AB500" s="346"/>
      <c r="AC500" s="346"/>
      <c r="AD500" s="346"/>
      <c r="AE500" s="346"/>
      <c r="AF500" s="346"/>
      <c r="AG500" s="346"/>
      <c r="AH500" s="346"/>
      <c r="AI500" s="346"/>
      <c r="AJ500" s="346"/>
      <c r="AK500" s="346"/>
      <c r="AL500" s="346"/>
      <c r="AM500" s="346"/>
      <c r="AN500">
        <f t="shared" si="50"/>
        <v>12</v>
      </c>
      <c r="AO500" s="351">
        <f t="shared" si="52"/>
        <v>6.25E-2</v>
      </c>
    </row>
    <row r="501" spans="1:41">
      <c r="A501" s="165">
        <f>'Conveyor Downtime (new)'!A516</f>
        <v>46282</v>
      </c>
      <c r="Z501">
        <f>7</f>
        <v>7</v>
      </c>
      <c r="AN501">
        <f t="shared" si="50"/>
        <v>7</v>
      </c>
      <c r="AO501" s="351">
        <f t="shared" si="52"/>
        <v>3.6458333333333336E-2</v>
      </c>
    </row>
    <row r="502" spans="1:41">
      <c r="A502" s="165">
        <f>'Conveyor Downtime (new)'!A517</f>
        <v>46283</v>
      </c>
      <c r="B502" s="346"/>
      <c r="C502" s="346"/>
      <c r="D502" s="346"/>
      <c r="E502" s="346"/>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s="346"/>
      <c r="AE502" s="346"/>
      <c r="AF502" s="346"/>
      <c r="AG502" s="346"/>
      <c r="AH502" s="346"/>
      <c r="AI502" s="346"/>
      <c r="AJ502" s="346"/>
      <c r="AK502" s="346"/>
      <c r="AL502" s="346"/>
      <c r="AM502" s="346"/>
      <c r="AN502">
        <f t="shared" si="50"/>
        <v>0</v>
      </c>
      <c r="AO502" s="351">
        <f t="shared" si="52"/>
        <v>0</v>
      </c>
    </row>
    <row r="503" spans="1:41">
      <c r="A503" s="165">
        <f>'Conveyor Downtime (new)'!A518</f>
        <v>46283</v>
      </c>
      <c r="B503">
        <f>8</f>
        <v>8</v>
      </c>
      <c r="AN503">
        <f t="shared" si="50"/>
        <v>8</v>
      </c>
      <c r="AO503" s="351">
        <f t="shared" si="52"/>
        <v>4.1666666666666664E-2</v>
      </c>
    </row>
    <row r="504" spans="1:41">
      <c r="A504" s="165">
        <f>'Conveyor Downtime (new)'!A519</f>
        <v>46283</v>
      </c>
      <c r="B504" s="346"/>
      <c r="C504" s="346"/>
      <c r="D504" s="346"/>
      <c r="E504" s="346"/>
      <c r="F504" s="346">
        <f>3+2</f>
        <v>5</v>
      </c>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s="346"/>
      <c r="AE504" s="346"/>
      <c r="AF504" s="346"/>
      <c r="AG504" s="346"/>
      <c r="AH504" s="346"/>
      <c r="AI504" s="346"/>
      <c r="AJ504" s="346"/>
      <c r="AK504" s="346"/>
      <c r="AL504" s="346"/>
      <c r="AM504" s="346"/>
      <c r="AN504">
        <f t="shared" si="50"/>
        <v>5</v>
      </c>
      <c r="AO504" s="351">
        <f t="shared" si="52"/>
        <v>2.6041666666666668E-2</v>
      </c>
    </row>
    <row r="505" spans="1:41">
      <c r="A505" s="165">
        <f>'Conveyor Downtime (new)'!A520</f>
        <v>46286</v>
      </c>
      <c r="F505">
        <f>4</f>
        <v>4</v>
      </c>
      <c r="AN505">
        <f t="shared" si="50"/>
        <v>4</v>
      </c>
      <c r="AO505" s="351">
        <f t="shared" si="52"/>
        <v>2.0833333333333332E-2</v>
      </c>
    </row>
    <row r="506" spans="1:41">
      <c r="A506" s="165">
        <f>'Conveyor Downtime (new)'!A521</f>
        <v>46286</v>
      </c>
      <c r="AN506">
        <f t="shared" si="50"/>
        <v>0</v>
      </c>
      <c r="AO506" s="351">
        <f t="shared" si="52"/>
        <v>0</v>
      </c>
    </row>
    <row r="507" spans="1:41">
      <c r="A507" s="165">
        <f>'Conveyor Downtime (new)'!A522</f>
        <v>46287</v>
      </c>
      <c r="B507" s="346"/>
      <c r="C507" s="346"/>
      <c r="D507" s="346"/>
      <c r="E507" s="346"/>
      <c r="F507" s="346"/>
      <c r="G507" s="346"/>
      <c r="H507" s="346"/>
      <c r="I507" s="346"/>
      <c r="J507" s="346"/>
      <c r="K507" s="346"/>
      <c r="L507" s="346"/>
      <c r="M507" s="346"/>
      <c r="N507" s="346"/>
      <c r="O507" s="346"/>
      <c r="P507" s="346"/>
      <c r="Q507" s="346"/>
      <c r="R507" s="346"/>
      <c r="S507" s="346"/>
      <c r="T507" s="346"/>
      <c r="U507" s="346"/>
      <c r="V507" s="346"/>
      <c r="W507" s="346"/>
      <c r="X507" s="346"/>
      <c r="Y507" s="346"/>
      <c r="Z507" s="346"/>
      <c r="AA507" s="346"/>
      <c r="AB507" s="346"/>
      <c r="AC507" s="346"/>
      <c r="AD507" s="346"/>
      <c r="AE507" s="346"/>
      <c r="AF507" s="346"/>
      <c r="AG507" s="346"/>
      <c r="AH507" s="346"/>
      <c r="AI507" s="346"/>
      <c r="AJ507" s="346"/>
      <c r="AK507" s="346"/>
      <c r="AL507" s="346"/>
      <c r="AM507" s="346"/>
      <c r="AN507">
        <f t="shared" si="50"/>
        <v>0</v>
      </c>
      <c r="AO507" s="351">
        <f t="shared" si="52"/>
        <v>0</v>
      </c>
    </row>
    <row r="508" spans="1:41">
      <c r="A508" s="165">
        <f>'Conveyor Downtime (new)'!A523</f>
        <v>46288</v>
      </c>
      <c r="AN508">
        <f t="shared" si="50"/>
        <v>0</v>
      </c>
      <c r="AO508" s="351">
        <f t="shared" si="52"/>
        <v>0</v>
      </c>
    </row>
    <row r="509" spans="1:41">
      <c r="A509" s="165">
        <f>'Conveyor Downtime (new)'!A524</f>
        <v>46288</v>
      </c>
      <c r="B509" s="346"/>
      <c r="C509" s="346"/>
      <c r="D509" s="346"/>
      <c r="E509" s="346"/>
      <c r="F509" s="346"/>
      <c r="G509" s="346"/>
      <c r="H509" s="346"/>
      <c r="I509" s="346"/>
      <c r="J509" s="346"/>
      <c r="K509" s="346"/>
      <c r="L509" s="346"/>
      <c r="M509" s="346"/>
      <c r="N509" s="346"/>
      <c r="O509" s="346"/>
      <c r="P509" s="346"/>
      <c r="Q509" s="346"/>
      <c r="R509" s="346"/>
      <c r="S509" s="346"/>
      <c r="T509" s="346"/>
      <c r="U509" s="346"/>
      <c r="V509" s="346"/>
      <c r="W509" s="346"/>
      <c r="X509" s="346"/>
      <c r="Y509" s="346"/>
      <c r="Z509" s="346">
        <f>13</f>
        <v>13</v>
      </c>
      <c r="AA509" s="346"/>
      <c r="AB509" s="346"/>
      <c r="AC509" s="346"/>
      <c r="AD509" s="346"/>
      <c r="AE509" s="346"/>
      <c r="AF509" s="346"/>
      <c r="AG509" s="346"/>
      <c r="AH509" s="346"/>
      <c r="AI509" s="346"/>
      <c r="AJ509" s="346"/>
      <c r="AK509" s="346"/>
      <c r="AL509" s="346"/>
      <c r="AM509" s="346"/>
      <c r="AN509">
        <f t="shared" si="50"/>
        <v>13</v>
      </c>
      <c r="AO509" s="351">
        <f t="shared" si="52"/>
        <v>6.7708333333333329E-2</v>
      </c>
    </row>
    <row r="510" spans="1:41">
      <c r="A510" s="165">
        <f>'Conveyor Downtime (new)'!A525</f>
        <v>46289</v>
      </c>
      <c r="B510">
        <f>3+6</f>
        <v>9</v>
      </c>
      <c r="E510">
        <f>3+2</f>
        <v>5</v>
      </c>
      <c r="AN510">
        <f t="shared" si="50"/>
        <v>14</v>
      </c>
      <c r="AO510" s="351">
        <f t="shared" si="52"/>
        <v>7.2916666666666671E-2</v>
      </c>
    </row>
    <row r="511" spans="1:41">
      <c r="A511" s="165">
        <f>'Conveyor Downtime (new)'!A526</f>
        <v>46290</v>
      </c>
      <c r="B511" s="346"/>
      <c r="C511" s="346"/>
      <c r="D511" s="346"/>
      <c r="E511" s="346"/>
      <c r="F511" s="346"/>
      <c r="G511" s="346"/>
      <c r="H511" s="346"/>
      <c r="I511" s="346"/>
      <c r="J511" s="346"/>
      <c r="K511" s="346"/>
      <c r="L511" s="346"/>
      <c r="M511" s="346">
        <f>18</f>
        <v>18</v>
      </c>
      <c r="N511" s="346"/>
      <c r="O511" s="346"/>
      <c r="P511" s="346"/>
      <c r="Q511" s="346"/>
      <c r="R511" s="346"/>
      <c r="S511" s="346"/>
      <c r="T511" s="346"/>
      <c r="U511" s="346"/>
      <c r="V511" s="346"/>
      <c r="W511" s="346"/>
      <c r="X511" s="346"/>
      <c r="Y511" s="346"/>
      <c r="Z511" s="346"/>
      <c r="AA511" s="346"/>
      <c r="AB511" s="346"/>
      <c r="AC511" s="346"/>
      <c r="AD511" s="346"/>
      <c r="AE511" s="346"/>
      <c r="AF511" s="346"/>
      <c r="AG511" s="346"/>
      <c r="AH511" s="346"/>
      <c r="AI511" s="346"/>
      <c r="AJ511" s="346"/>
      <c r="AK511" s="346"/>
      <c r="AL511" s="346"/>
      <c r="AM511" s="346"/>
      <c r="AN511">
        <f t="shared" si="50"/>
        <v>18</v>
      </c>
      <c r="AO511" s="351">
        <f t="shared" si="52"/>
        <v>9.375E-2</v>
      </c>
    </row>
    <row r="512" spans="1:41">
      <c r="A512" s="165">
        <f>'Conveyor Downtime (new)'!A527</f>
        <v>46290</v>
      </c>
      <c r="AN512">
        <f t="shared" si="50"/>
        <v>0</v>
      </c>
      <c r="AO512" s="351">
        <f t="shared" si="52"/>
        <v>0</v>
      </c>
    </row>
    <row r="513" spans="1:41">
      <c r="A513" s="165">
        <f>'Conveyor Downtime (new)'!A528</f>
        <v>46293</v>
      </c>
      <c r="B513" s="346"/>
      <c r="C513" s="346"/>
      <c r="D513" s="346"/>
      <c r="E513" s="346"/>
      <c r="F513" s="346"/>
      <c r="G513" s="346"/>
      <c r="H513" s="346"/>
      <c r="I513" s="346"/>
      <c r="J513" s="346"/>
      <c r="K513" s="346"/>
      <c r="L513" s="346"/>
      <c r="M513" s="346"/>
      <c r="N513" s="346"/>
      <c r="O513" s="346"/>
      <c r="P513" s="346"/>
      <c r="Q513" s="346"/>
      <c r="R513" s="346"/>
      <c r="S513" s="346"/>
      <c r="T513" s="346"/>
      <c r="U513" s="346"/>
      <c r="V513" s="346"/>
      <c r="W513" s="346"/>
      <c r="X513" s="346"/>
      <c r="Y513" s="346"/>
      <c r="Z513" s="346">
        <f>10+18</f>
        <v>28</v>
      </c>
      <c r="AA513" s="346"/>
      <c r="AB513" s="346"/>
      <c r="AC513" s="346"/>
      <c r="AD513" s="346"/>
      <c r="AE513" s="346"/>
      <c r="AF513" s="346"/>
      <c r="AG513" s="346"/>
      <c r="AH513" s="346"/>
      <c r="AI513" s="346"/>
      <c r="AJ513" s="346"/>
      <c r="AK513" s="346"/>
      <c r="AL513" s="346"/>
      <c r="AM513" s="346">
        <f>4</f>
        <v>4</v>
      </c>
      <c r="AN513">
        <f t="shared" si="50"/>
        <v>32</v>
      </c>
      <c r="AO513" s="351">
        <f t="shared" si="52"/>
        <v>0.16666666666666666</v>
      </c>
    </row>
    <row r="514" spans="1:41">
      <c r="A514" s="165">
        <f>'Conveyor Downtime (new)'!A529</f>
        <v>46294</v>
      </c>
      <c r="AN514">
        <f t="shared" si="50"/>
        <v>0</v>
      </c>
      <c r="AO514" s="351">
        <f t="shared" si="52"/>
        <v>0</v>
      </c>
    </row>
    <row r="515" spans="1:41">
      <c r="A515" s="165">
        <f>'Conveyor Downtime (new)'!A530</f>
        <v>46294</v>
      </c>
      <c r="B515" s="346"/>
      <c r="C515" s="346">
        <f>2</f>
        <v>2</v>
      </c>
      <c r="D515" s="346"/>
      <c r="E515" s="346"/>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346"/>
      <c r="AK515" s="346"/>
      <c r="AL515" s="346"/>
      <c r="AM515" s="346">
        <f>7</f>
        <v>7</v>
      </c>
      <c r="AN515">
        <f t="shared" si="50"/>
        <v>9</v>
      </c>
      <c r="AO515" s="351">
        <f t="shared" si="52"/>
        <v>4.6875E-2</v>
      </c>
    </row>
    <row r="516" spans="1:41">
      <c r="A516" s="165">
        <f>'Conveyor Downtime (new)'!A531</f>
        <v>46295</v>
      </c>
      <c r="C516">
        <v>3</v>
      </c>
      <c r="Z516">
        <f>2+3</f>
        <v>5</v>
      </c>
      <c r="AN516">
        <f t="shared" si="50"/>
        <v>8</v>
      </c>
      <c r="AO516" s="351">
        <f t="shared" si="52"/>
        <v>4.1666666666666664E-2</v>
      </c>
    </row>
    <row r="517" spans="1:41">
      <c r="A517" s="165">
        <f>'Conveyor Downtime (new)'!A532</f>
        <v>46295</v>
      </c>
      <c r="B517" s="346"/>
      <c r="C517" s="346"/>
      <c r="D517" s="346"/>
      <c r="E517" s="346"/>
      <c r="F517" s="346">
        <f>2</f>
        <v>2</v>
      </c>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s="346"/>
      <c r="AE517" s="346"/>
      <c r="AF517" s="346"/>
      <c r="AG517" s="346"/>
      <c r="AH517" s="346"/>
      <c r="AI517" s="346"/>
      <c r="AJ517" s="346"/>
      <c r="AK517" s="346"/>
      <c r="AL517" s="346"/>
      <c r="AM517" s="346"/>
      <c r="AN517">
        <f t="shared" si="50"/>
        <v>2</v>
      </c>
      <c r="AO517" s="351">
        <f t="shared" si="52"/>
        <v>1.0416666666666666E-2</v>
      </c>
    </row>
    <row r="518" spans="1:41">
      <c r="A518" s="165"/>
      <c r="AN518">
        <f t="shared" si="50"/>
        <v>0</v>
      </c>
      <c r="AO518" s="351">
        <f t="shared" si="52"/>
        <v>0</v>
      </c>
    </row>
    <row r="519" spans="1:41">
      <c r="A519" s="165"/>
      <c r="B519" s="346"/>
      <c r="C519" s="346"/>
      <c r="D519" s="346"/>
      <c r="E519" s="346"/>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s="346"/>
      <c r="AL519" s="346"/>
      <c r="AM519" s="346"/>
      <c r="AN519">
        <f t="shared" si="50"/>
        <v>0</v>
      </c>
      <c r="AO519" s="351">
        <f t="shared" si="52"/>
        <v>0</v>
      </c>
    </row>
    <row r="520" spans="1:41">
      <c r="A520" s="165"/>
      <c r="AN520">
        <f t="shared" si="50"/>
        <v>0</v>
      </c>
      <c r="AO520" s="351">
        <f t="shared" si="52"/>
        <v>0</v>
      </c>
    </row>
    <row r="521" spans="1:41">
      <c r="A521" s="165"/>
      <c r="B521" s="346"/>
      <c r="C521" s="346"/>
      <c r="D521" s="346"/>
      <c r="E521" s="346"/>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346"/>
      <c r="AK521" s="346"/>
      <c r="AL521" s="346"/>
      <c r="AM521" s="346"/>
      <c r="AN521">
        <f t="shared" si="50"/>
        <v>0</v>
      </c>
      <c r="AO521" s="351">
        <f t="shared" si="52"/>
        <v>0</v>
      </c>
    </row>
    <row r="522" spans="1:41" ht="13.5" customHeight="1">
      <c r="A522" s="165"/>
      <c r="AN522">
        <f t="shared" si="50"/>
        <v>0</v>
      </c>
      <c r="AO522" s="351">
        <f t="shared" si="52"/>
        <v>0</v>
      </c>
    </row>
    <row r="523" spans="1:41">
      <c r="A523" s="165"/>
      <c r="B523" s="346"/>
      <c r="C523" s="346"/>
      <c r="D523" s="346"/>
      <c r="E523" s="346"/>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s="346"/>
      <c r="AE523" s="346"/>
      <c r="AF523" s="346"/>
      <c r="AG523" s="346"/>
      <c r="AH523" s="346"/>
      <c r="AI523" s="346"/>
      <c r="AJ523" s="346"/>
      <c r="AK523" s="346"/>
      <c r="AL523" s="346"/>
      <c r="AM523" s="346"/>
      <c r="AN523">
        <f t="shared" si="50"/>
        <v>0</v>
      </c>
      <c r="AO523" s="351">
        <f t="shared" si="52"/>
        <v>0</v>
      </c>
    </row>
    <row r="524" spans="1:41" ht="15">
      <c r="A524" s="165"/>
      <c r="B524" s="347">
        <f>SUM(B479:B523)</f>
        <v>25</v>
      </c>
      <c r="C524" s="347">
        <f t="shared" ref="C524:AM524" si="53">SUM(C479:C523)</f>
        <v>13</v>
      </c>
      <c r="D524" s="347">
        <f t="shared" si="53"/>
        <v>0</v>
      </c>
      <c r="E524" s="347">
        <f t="shared" si="53"/>
        <v>5</v>
      </c>
      <c r="F524" s="347">
        <f t="shared" si="53"/>
        <v>15</v>
      </c>
      <c r="G524" s="347">
        <f t="shared" si="53"/>
        <v>0</v>
      </c>
      <c r="H524" s="347">
        <f t="shared" si="53"/>
        <v>0</v>
      </c>
      <c r="I524" s="347">
        <f t="shared" si="53"/>
        <v>0</v>
      </c>
      <c r="J524" s="347">
        <f t="shared" si="53"/>
        <v>0</v>
      </c>
      <c r="K524" s="347">
        <f t="shared" si="53"/>
        <v>0</v>
      </c>
      <c r="L524" s="347">
        <f t="shared" si="53"/>
        <v>0</v>
      </c>
      <c r="M524" s="347">
        <f t="shared" si="53"/>
        <v>18</v>
      </c>
      <c r="N524" s="347">
        <f t="shared" si="53"/>
        <v>0</v>
      </c>
      <c r="O524" s="347">
        <f t="shared" si="53"/>
        <v>0</v>
      </c>
      <c r="P524" s="347">
        <f t="shared" si="53"/>
        <v>0</v>
      </c>
      <c r="Q524" s="347">
        <f t="shared" si="53"/>
        <v>0</v>
      </c>
      <c r="R524" s="347">
        <f t="shared" si="53"/>
        <v>6</v>
      </c>
      <c r="S524" s="347">
        <f t="shared" si="53"/>
        <v>0</v>
      </c>
      <c r="T524" s="347">
        <f t="shared" si="53"/>
        <v>0</v>
      </c>
      <c r="U524" s="347">
        <f t="shared" si="53"/>
        <v>0</v>
      </c>
      <c r="V524" s="347">
        <f t="shared" si="53"/>
        <v>0</v>
      </c>
      <c r="W524" s="347">
        <f t="shared" si="53"/>
        <v>0</v>
      </c>
      <c r="X524" s="347">
        <f t="shared" si="53"/>
        <v>0</v>
      </c>
      <c r="Y524" s="347">
        <f t="shared" si="53"/>
        <v>0</v>
      </c>
      <c r="Z524" s="347">
        <f>SUM(Z479:Z523)</f>
        <v>77</v>
      </c>
      <c r="AA524" s="347">
        <f t="shared" si="53"/>
        <v>0</v>
      </c>
      <c r="AB524" s="347">
        <f t="shared" si="53"/>
        <v>0</v>
      </c>
      <c r="AC524" s="347">
        <f t="shared" si="53"/>
        <v>0</v>
      </c>
      <c r="AD524" s="347">
        <f t="shared" si="53"/>
        <v>0</v>
      </c>
      <c r="AE524" s="347">
        <f t="shared" si="53"/>
        <v>22</v>
      </c>
      <c r="AF524" s="347">
        <f t="shared" si="53"/>
        <v>0</v>
      </c>
      <c r="AG524" s="347">
        <f t="shared" si="53"/>
        <v>0</v>
      </c>
      <c r="AH524" s="347">
        <f t="shared" si="53"/>
        <v>0</v>
      </c>
      <c r="AI524" s="347">
        <f t="shared" si="53"/>
        <v>0</v>
      </c>
      <c r="AJ524" s="347">
        <f t="shared" si="53"/>
        <v>0</v>
      </c>
      <c r="AK524" s="347">
        <f t="shared" si="53"/>
        <v>0</v>
      </c>
      <c r="AL524" s="347">
        <f t="shared" si="53"/>
        <v>0</v>
      </c>
      <c r="AM524" s="347">
        <f t="shared" si="53"/>
        <v>11</v>
      </c>
      <c r="AN524" s="347">
        <f>SUM(AN479:AN523)</f>
        <v>192</v>
      </c>
    </row>
    <row r="525" spans="1:41" ht="15.75" thickBot="1">
      <c r="A525" s="165"/>
      <c r="B525" s="348">
        <f t="shared" ref="B525:AH525" si="54">B524/$AN524</f>
        <v>0.13020833333333334</v>
      </c>
      <c r="C525" s="348">
        <f t="shared" si="54"/>
        <v>6.7708333333333329E-2</v>
      </c>
      <c r="D525" s="348">
        <f t="shared" si="54"/>
        <v>0</v>
      </c>
      <c r="E525" s="348">
        <f t="shared" si="54"/>
        <v>2.6041666666666668E-2</v>
      </c>
      <c r="F525" s="348">
        <f t="shared" si="54"/>
        <v>7.8125E-2</v>
      </c>
      <c r="G525" s="348">
        <f t="shared" si="54"/>
        <v>0</v>
      </c>
      <c r="H525" s="348">
        <f t="shared" si="54"/>
        <v>0</v>
      </c>
      <c r="I525" s="348">
        <f t="shared" si="54"/>
        <v>0</v>
      </c>
      <c r="J525" s="348">
        <f t="shared" si="54"/>
        <v>0</v>
      </c>
      <c r="K525" s="348">
        <f t="shared" si="54"/>
        <v>0</v>
      </c>
      <c r="L525" s="348">
        <f t="shared" si="54"/>
        <v>0</v>
      </c>
      <c r="M525" s="348">
        <f t="shared" si="54"/>
        <v>9.375E-2</v>
      </c>
      <c r="N525" s="348">
        <f t="shared" si="54"/>
        <v>0</v>
      </c>
      <c r="O525" s="348">
        <f t="shared" si="54"/>
        <v>0</v>
      </c>
      <c r="P525" s="348">
        <f t="shared" si="54"/>
        <v>0</v>
      </c>
      <c r="Q525" s="348">
        <f t="shared" si="54"/>
        <v>0</v>
      </c>
      <c r="R525" s="348">
        <f t="shared" si="54"/>
        <v>3.125E-2</v>
      </c>
      <c r="S525" s="348">
        <f t="shared" si="54"/>
        <v>0</v>
      </c>
      <c r="T525" s="348">
        <f t="shared" si="54"/>
        <v>0</v>
      </c>
      <c r="U525" s="348">
        <f t="shared" si="54"/>
        <v>0</v>
      </c>
      <c r="V525" s="348">
        <f t="shared" si="54"/>
        <v>0</v>
      </c>
      <c r="W525" s="348">
        <f t="shared" si="54"/>
        <v>0</v>
      </c>
      <c r="X525" s="348">
        <f t="shared" si="54"/>
        <v>0</v>
      </c>
      <c r="Y525" s="348">
        <f t="shared" si="54"/>
        <v>0</v>
      </c>
      <c r="Z525" s="348">
        <f t="shared" si="54"/>
        <v>0.40104166666666669</v>
      </c>
      <c r="AA525" s="348">
        <f t="shared" si="54"/>
        <v>0</v>
      </c>
      <c r="AB525" s="348">
        <f t="shared" si="54"/>
        <v>0</v>
      </c>
      <c r="AC525" s="348">
        <f t="shared" si="54"/>
        <v>0</v>
      </c>
      <c r="AD525" s="348">
        <f t="shared" si="54"/>
        <v>0</v>
      </c>
      <c r="AE525" s="348">
        <f t="shared" si="54"/>
        <v>0.11458333333333333</v>
      </c>
      <c r="AF525" s="348">
        <f t="shared" si="54"/>
        <v>0</v>
      </c>
      <c r="AG525" s="348">
        <f t="shared" si="54"/>
        <v>0</v>
      </c>
      <c r="AH525" s="348">
        <f t="shared" si="54"/>
        <v>0</v>
      </c>
      <c r="AI525" s="348">
        <f>AI524/$AN524</f>
        <v>0</v>
      </c>
      <c r="AJ525" s="348">
        <f>AJ524/$AN524</f>
        <v>0</v>
      </c>
      <c r="AK525" s="348">
        <f>AK524/$AN524</f>
        <v>0</v>
      </c>
      <c r="AL525" s="348">
        <f>AL524/$AN524</f>
        <v>0</v>
      </c>
      <c r="AM525" s="348">
        <f>AM524/$AN524</f>
        <v>5.7291666666666664E-2</v>
      </c>
    </row>
    <row r="528" spans="1:41">
      <c r="A528" s="165">
        <f>'Conveyor Downtime (new)'!A556</f>
        <v>46296</v>
      </c>
      <c r="AN528">
        <f t="shared" ref="AN528:AN579" si="55">SUM(B528:AM528)</f>
        <v>0</v>
      </c>
      <c r="AO528" s="351" t="e">
        <f t="shared" ref="AO528:AO559" si="56">AN528/$AN$584</f>
        <v>#DIV/0!</v>
      </c>
    </row>
    <row r="529" spans="1:41">
      <c r="A529" s="165">
        <f>'Conveyor Downtime (new)'!A557</f>
        <v>0</v>
      </c>
      <c r="B529" s="346"/>
      <c r="C529" s="346"/>
      <c r="D529" s="346"/>
      <c r="E529" s="346"/>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c r="AG529" s="346"/>
      <c r="AH529" s="346"/>
      <c r="AI529" s="346"/>
      <c r="AJ529" s="346"/>
      <c r="AK529" s="346"/>
      <c r="AL529" s="346"/>
      <c r="AM529" s="346"/>
      <c r="AN529">
        <f t="shared" si="55"/>
        <v>0</v>
      </c>
      <c r="AO529" s="351" t="e">
        <f t="shared" si="56"/>
        <v>#DIV/0!</v>
      </c>
    </row>
    <row r="530" spans="1:41">
      <c r="A530" s="165">
        <f>'Conveyor Downtime (new)'!A558</f>
        <v>0</v>
      </c>
      <c r="AN530">
        <f t="shared" si="55"/>
        <v>0</v>
      </c>
      <c r="AO530" s="351" t="e">
        <f t="shared" si="56"/>
        <v>#DIV/0!</v>
      </c>
    </row>
    <row r="531" spans="1:41">
      <c r="A531" s="165">
        <f>'Conveyor Downtime (new)'!A559</f>
        <v>0</v>
      </c>
      <c r="B531" s="346"/>
      <c r="C531" s="346"/>
      <c r="D531" s="346"/>
      <c r="E531" s="346"/>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s="346"/>
      <c r="AE531" s="346"/>
      <c r="AF531" s="346"/>
      <c r="AG531" s="346"/>
      <c r="AH531" s="346"/>
      <c r="AI531" s="346"/>
      <c r="AJ531" s="346"/>
      <c r="AK531" s="346"/>
      <c r="AL531" s="346"/>
      <c r="AM531" s="346"/>
      <c r="AN531">
        <f t="shared" si="55"/>
        <v>0</v>
      </c>
      <c r="AO531" s="351" t="e">
        <f t="shared" si="56"/>
        <v>#DIV/0!</v>
      </c>
    </row>
    <row r="532" spans="1:41">
      <c r="A532" s="165">
        <f>'Conveyor Downtime (new)'!A560</f>
        <v>0</v>
      </c>
      <c r="AN532">
        <f t="shared" si="55"/>
        <v>0</v>
      </c>
      <c r="AO532" s="351" t="e">
        <f t="shared" si="56"/>
        <v>#DIV/0!</v>
      </c>
    </row>
    <row r="533" spans="1:41">
      <c r="A533" s="165">
        <f>'Conveyor Downtime (new)'!A561</f>
        <v>0</v>
      </c>
      <c r="B533" s="346"/>
      <c r="C533" s="346"/>
      <c r="D533" s="346"/>
      <c r="E533" s="346"/>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346"/>
      <c r="AK533" s="346"/>
      <c r="AL533" s="346"/>
      <c r="AM533" s="346"/>
      <c r="AN533">
        <f t="shared" si="55"/>
        <v>0</v>
      </c>
      <c r="AO533" s="351" t="e">
        <f t="shared" si="56"/>
        <v>#DIV/0!</v>
      </c>
    </row>
    <row r="534" spans="1:41">
      <c r="A534" s="165">
        <f>'Conveyor Downtime (new)'!A562</f>
        <v>0</v>
      </c>
      <c r="AN534">
        <f t="shared" si="55"/>
        <v>0</v>
      </c>
      <c r="AO534" s="351" t="e">
        <f t="shared" si="56"/>
        <v>#DIV/0!</v>
      </c>
    </row>
    <row r="535" spans="1:41">
      <c r="A535" s="165">
        <f>'Conveyor Downtime (new)'!A563</f>
        <v>0</v>
      </c>
      <c r="B535" s="346"/>
      <c r="C535" s="346"/>
      <c r="D535" s="346"/>
      <c r="E535" s="346"/>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346"/>
      <c r="AK535" s="346"/>
      <c r="AL535" s="346"/>
      <c r="AM535" s="346"/>
      <c r="AN535">
        <f t="shared" si="55"/>
        <v>0</v>
      </c>
      <c r="AO535" s="351" t="e">
        <f t="shared" si="56"/>
        <v>#DIV/0!</v>
      </c>
    </row>
    <row r="536" spans="1:41">
      <c r="A536" s="165">
        <f>'Conveyor Downtime (new)'!A564</f>
        <v>0</v>
      </c>
      <c r="AN536">
        <f t="shared" si="55"/>
        <v>0</v>
      </c>
      <c r="AO536" s="351" t="e">
        <f t="shared" si="56"/>
        <v>#DIV/0!</v>
      </c>
    </row>
    <row r="537" spans="1:41">
      <c r="A537" s="165">
        <f>'Conveyor Downtime (new)'!A565</f>
        <v>0</v>
      </c>
      <c r="B537" s="346"/>
      <c r="C537" s="346"/>
      <c r="D537" s="346"/>
      <c r="E537" s="346"/>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346"/>
      <c r="AK537" s="346"/>
      <c r="AL537" s="346"/>
      <c r="AM537" s="346"/>
      <c r="AN537">
        <f t="shared" si="55"/>
        <v>0</v>
      </c>
      <c r="AO537" s="351" t="e">
        <f t="shared" si="56"/>
        <v>#DIV/0!</v>
      </c>
    </row>
    <row r="538" spans="1:41">
      <c r="A538" s="165">
        <f>'Conveyor Downtime (new)'!A566</f>
        <v>0</v>
      </c>
      <c r="AN538">
        <f t="shared" si="55"/>
        <v>0</v>
      </c>
      <c r="AO538" s="351" t="e">
        <f t="shared" si="56"/>
        <v>#DIV/0!</v>
      </c>
    </row>
    <row r="539" spans="1:41">
      <c r="A539" s="165">
        <f>'Conveyor Downtime (new)'!A567</f>
        <v>0</v>
      </c>
      <c r="B539" s="346"/>
      <c r="C539" s="346"/>
      <c r="D539" s="346"/>
      <c r="E539" s="346"/>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346"/>
      <c r="AK539" s="346"/>
      <c r="AL539" s="346"/>
      <c r="AM539" s="346"/>
      <c r="AN539">
        <f t="shared" si="55"/>
        <v>0</v>
      </c>
      <c r="AO539" s="351" t="e">
        <f t="shared" si="56"/>
        <v>#DIV/0!</v>
      </c>
    </row>
    <row r="540" spans="1:41">
      <c r="A540" s="165">
        <f>'Conveyor Downtime (new)'!A568</f>
        <v>0</v>
      </c>
      <c r="AN540">
        <f t="shared" si="55"/>
        <v>0</v>
      </c>
      <c r="AO540" s="351" t="e">
        <f t="shared" si="56"/>
        <v>#DIV/0!</v>
      </c>
    </row>
    <row r="541" spans="1:41">
      <c r="A541" s="165">
        <f>'Conveyor Downtime (new)'!A569</f>
        <v>0</v>
      </c>
      <c r="B541" s="346"/>
      <c r="C541" s="346"/>
      <c r="D541" s="346"/>
      <c r="E541" s="346"/>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346"/>
      <c r="AK541" s="346"/>
      <c r="AL541" s="346"/>
      <c r="AM541" s="346"/>
      <c r="AN541">
        <f t="shared" si="55"/>
        <v>0</v>
      </c>
      <c r="AO541" s="351" t="e">
        <f t="shared" si="56"/>
        <v>#DIV/0!</v>
      </c>
    </row>
    <row r="542" spans="1:41">
      <c r="A542" s="165">
        <f>'Conveyor Downtime (new)'!A570</f>
        <v>0</v>
      </c>
      <c r="AN542">
        <f t="shared" si="55"/>
        <v>0</v>
      </c>
      <c r="AO542" s="351" t="e">
        <f t="shared" si="56"/>
        <v>#DIV/0!</v>
      </c>
    </row>
    <row r="543" spans="1:41">
      <c r="A543" s="165">
        <f>'Conveyor Downtime (new)'!A571</f>
        <v>0</v>
      </c>
      <c r="B543" s="346"/>
      <c r="C543" s="346"/>
      <c r="D543" s="346"/>
      <c r="E543" s="346"/>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346"/>
      <c r="AK543" s="346"/>
      <c r="AL543" s="346"/>
      <c r="AM543" s="346"/>
      <c r="AN543">
        <f t="shared" si="55"/>
        <v>0</v>
      </c>
      <c r="AO543" s="351" t="e">
        <f t="shared" si="56"/>
        <v>#DIV/0!</v>
      </c>
    </row>
    <row r="544" spans="1:41" ht="15.75" customHeight="1">
      <c r="A544" s="165">
        <f>'Conveyor Downtime (new)'!A572</f>
        <v>0</v>
      </c>
      <c r="AN544">
        <f t="shared" si="55"/>
        <v>0</v>
      </c>
      <c r="AO544" s="351" t="e">
        <f t="shared" si="56"/>
        <v>#DIV/0!</v>
      </c>
    </row>
    <row r="545" spans="1:41">
      <c r="A545" s="165">
        <f>'Conveyor Downtime (new)'!A573</f>
        <v>0</v>
      </c>
      <c r="B545" s="346"/>
      <c r="C545" s="346"/>
      <c r="D545" s="346"/>
      <c r="E545" s="346"/>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346"/>
      <c r="AK545" s="346"/>
      <c r="AL545" s="346"/>
      <c r="AM545" s="346"/>
      <c r="AN545">
        <f t="shared" si="55"/>
        <v>0</v>
      </c>
      <c r="AO545" s="351" t="e">
        <f t="shared" si="56"/>
        <v>#DIV/0!</v>
      </c>
    </row>
    <row r="546" spans="1:41">
      <c r="A546" s="165">
        <f>'Conveyor Downtime (new)'!A574</f>
        <v>0</v>
      </c>
      <c r="AN546">
        <f t="shared" si="55"/>
        <v>0</v>
      </c>
      <c r="AO546" s="351" t="e">
        <f t="shared" si="56"/>
        <v>#DIV/0!</v>
      </c>
    </row>
    <row r="547" spans="1:41">
      <c r="A547" s="165">
        <f>'Conveyor Downtime (new)'!A575</f>
        <v>0</v>
      </c>
      <c r="B547" s="346"/>
      <c r="C547" s="346"/>
      <c r="D547" s="346"/>
      <c r="E547" s="346"/>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346"/>
      <c r="AK547" s="346"/>
      <c r="AL547" s="346"/>
      <c r="AM547" s="346"/>
      <c r="AN547">
        <f t="shared" si="55"/>
        <v>0</v>
      </c>
      <c r="AO547" s="351" t="e">
        <f t="shared" si="56"/>
        <v>#DIV/0!</v>
      </c>
    </row>
    <row r="548" spans="1:41">
      <c r="A548" s="165">
        <f>'Conveyor Downtime (new)'!A576</f>
        <v>0</v>
      </c>
      <c r="AN548">
        <f t="shared" si="55"/>
        <v>0</v>
      </c>
      <c r="AO548" s="351" t="e">
        <f t="shared" si="56"/>
        <v>#DIV/0!</v>
      </c>
    </row>
    <row r="549" spans="1:41">
      <c r="A549" s="165">
        <f>'Conveyor Downtime (new)'!A577</f>
        <v>0</v>
      </c>
      <c r="B549" s="346"/>
      <c r="C549" s="346"/>
      <c r="D549" s="346"/>
      <c r="E549" s="346"/>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346"/>
      <c r="AK549" s="346"/>
      <c r="AL549" s="346"/>
      <c r="AM549" s="346"/>
      <c r="AN549">
        <f t="shared" si="55"/>
        <v>0</v>
      </c>
      <c r="AO549" s="351" t="e">
        <f t="shared" si="56"/>
        <v>#DIV/0!</v>
      </c>
    </row>
    <row r="550" spans="1:41">
      <c r="A550" s="165">
        <f>'Conveyor Downtime (new)'!A578</f>
        <v>0</v>
      </c>
      <c r="AN550">
        <f t="shared" si="55"/>
        <v>0</v>
      </c>
      <c r="AO550" s="351" t="e">
        <f t="shared" si="56"/>
        <v>#DIV/0!</v>
      </c>
    </row>
    <row r="551" spans="1:41">
      <c r="A551" s="165">
        <f>'Conveyor Downtime (new)'!A579</f>
        <v>0</v>
      </c>
      <c r="B551" s="346"/>
      <c r="C551" s="346"/>
      <c r="D551" s="346"/>
      <c r="E551" s="346"/>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346"/>
      <c r="AK551" s="346"/>
      <c r="AL551" s="346"/>
      <c r="AM551" s="346"/>
      <c r="AN551">
        <f t="shared" si="55"/>
        <v>0</v>
      </c>
      <c r="AO551" s="351" t="e">
        <f t="shared" si="56"/>
        <v>#DIV/0!</v>
      </c>
    </row>
    <row r="552" spans="1:41">
      <c r="A552" s="165">
        <f>'Conveyor Downtime (new)'!A580</f>
        <v>0</v>
      </c>
      <c r="AN552">
        <f t="shared" si="55"/>
        <v>0</v>
      </c>
      <c r="AO552" s="351" t="e">
        <f t="shared" si="56"/>
        <v>#DIV/0!</v>
      </c>
    </row>
    <row r="553" spans="1:41">
      <c r="A553" s="165">
        <f>'Conveyor Downtime (new)'!A581</f>
        <v>0</v>
      </c>
      <c r="B553" s="346"/>
      <c r="C553" s="346"/>
      <c r="D553" s="346"/>
      <c r="E553" s="346"/>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s="346"/>
      <c r="AE553" s="346"/>
      <c r="AF553" s="346"/>
      <c r="AG553" s="346"/>
      <c r="AH553" s="346"/>
      <c r="AI553" s="346"/>
      <c r="AJ553" s="346"/>
      <c r="AK553" s="346"/>
      <c r="AL553" s="346"/>
      <c r="AM553" s="346"/>
      <c r="AN553">
        <f t="shared" si="55"/>
        <v>0</v>
      </c>
      <c r="AO553" s="351" t="e">
        <f t="shared" si="56"/>
        <v>#DIV/0!</v>
      </c>
    </row>
    <row r="554" spans="1:41">
      <c r="A554" s="165">
        <f>'Conveyor Downtime (new)'!A582</f>
        <v>0</v>
      </c>
      <c r="AN554">
        <f t="shared" si="55"/>
        <v>0</v>
      </c>
      <c r="AO554" s="351" t="e">
        <f t="shared" si="56"/>
        <v>#DIV/0!</v>
      </c>
    </row>
    <row r="555" spans="1:41">
      <c r="A555" s="165">
        <f>'Conveyor Downtime (new)'!A583</f>
        <v>0</v>
      </c>
      <c r="B555" s="346"/>
      <c r="C555" s="346"/>
      <c r="D555" s="346"/>
      <c r="E555" s="346"/>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s="346"/>
      <c r="AE555" s="346"/>
      <c r="AF555" s="346"/>
      <c r="AG555" s="346"/>
      <c r="AH555" s="346"/>
      <c r="AI555" s="346"/>
      <c r="AJ555" s="346"/>
      <c r="AK555" s="346"/>
      <c r="AL555" s="346"/>
      <c r="AM555" s="346"/>
      <c r="AN555">
        <f t="shared" si="55"/>
        <v>0</v>
      </c>
      <c r="AO555" s="351" t="e">
        <f t="shared" si="56"/>
        <v>#DIV/0!</v>
      </c>
    </row>
    <row r="556" spans="1:41">
      <c r="A556" s="165">
        <f>'Conveyor Downtime (new)'!A584</f>
        <v>0</v>
      </c>
      <c r="AN556">
        <f t="shared" si="55"/>
        <v>0</v>
      </c>
      <c r="AO556" s="351" t="e">
        <f t="shared" si="56"/>
        <v>#DIV/0!</v>
      </c>
    </row>
    <row r="557" spans="1:41">
      <c r="A557" s="165">
        <f>'Conveyor Downtime (new)'!A585</f>
        <v>0</v>
      </c>
      <c r="B557" s="346"/>
      <c r="C557" s="346"/>
      <c r="D557" s="346"/>
      <c r="E557" s="346"/>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s="346"/>
      <c r="AE557" s="346"/>
      <c r="AF557" s="346"/>
      <c r="AG557" s="346"/>
      <c r="AH557" s="346"/>
      <c r="AI557" s="346"/>
      <c r="AJ557" s="346"/>
      <c r="AK557" s="346"/>
      <c r="AL557" s="346"/>
      <c r="AM557" s="346"/>
      <c r="AN557">
        <f t="shared" si="55"/>
        <v>0</v>
      </c>
      <c r="AO557" s="351" t="e">
        <f t="shared" si="56"/>
        <v>#DIV/0!</v>
      </c>
    </row>
    <row r="558" spans="1:41">
      <c r="A558" s="165">
        <f>'Conveyor Downtime (new)'!A586</f>
        <v>0</v>
      </c>
      <c r="AN558">
        <f t="shared" si="55"/>
        <v>0</v>
      </c>
      <c r="AO558" s="351" t="e">
        <f t="shared" si="56"/>
        <v>#DIV/0!</v>
      </c>
    </row>
    <row r="559" spans="1:41">
      <c r="A559" s="165">
        <f>'Conveyor Downtime (new)'!A587</f>
        <v>0</v>
      </c>
      <c r="B559" s="346"/>
      <c r="C559" s="346"/>
      <c r="D559" s="346"/>
      <c r="E559" s="346"/>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s="346"/>
      <c r="AE559" s="346"/>
      <c r="AF559" s="346"/>
      <c r="AG559" s="346"/>
      <c r="AH559" s="346"/>
      <c r="AI559" s="346"/>
      <c r="AJ559" s="346"/>
      <c r="AK559" s="346"/>
      <c r="AL559" s="346"/>
      <c r="AM559" s="346"/>
      <c r="AN559">
        <f t="shared" si="55"/>
        <v>0</v>
      </c>
      <c r="AO559" s="351" t="e">
        <f t="shared" si="56"/>
        <v>#DIV/0!</v>
      </c>
    </row>
    <row r="560" spans="1:41">
      <c r="A560" s="165">
        <f>'Conveyor Downtime (new)'!A588</f>
        <v>0</v>
      </c>
      <c r="AN560">
        <f t="shared" si="55"/>
        <v>0</v>
      </c>
      <c r="AO560" s="351" t="e">
        <f t="shared" ref="AO560:AO576" si="57">AN560/$AN$584</f>
        <v>#DIV/0!</v>
      </c>
    </row>
    <row r="561" spans="1:41">
      <c r="A561" s="165">
        <f>'Conveyor Downtime (new)'!A589</f>
        <v>0</v>
      </c>
      <c r="B561" s="346"/>
      <c r="C561" s="346"/>
      <c r="D561" s="346"/>
      <c r="E561" s="346"/>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s="346"/>
      <c r="AE561" s="346"/>
      <c r="AF561" s="346"/>
      <c r="AG561" s="346"/>
      <c r="AH561" s="346"/>
      <c r="AI561" s="346"/>
      <c r="AJ561" s="346"/>
      <c r="AK561" s="346"/>
      <c r="AL561" s="346"/>
      <c r="AM561" s="346"/>
      <c r="AN561">
        <f t="shared" si="55"/>
        <v>0</v>
      </c>
      <c r="AO561" s="351" t="e">
        <f t="shared" si="57"/>
        <v>#DIV/0!</v>
      </c>
    </row>
    <row r="562" spans="1:41">
      <c r="A562" s="165">
        <f>'Conveyor Downtime (new)'!A590</f>
        <v>0</v>
      </c>
      <c r="AN562">
        <f t="shared" si="55"/>
        <v>0</v>
      </c>
      <c r="AO562" s="351" t="e">
        <f t="shared" si="57"/>
        <v>#DIV/0!</v>
      </c>
    </row>
    <row r="563" spans="1:41">
      <c r="A563" s="165">
        <f>'Conveyor Downtime (new)'!A591</f>
        <v>0</v>
      </c>
      <c r="B563" s="346"/>
      <c r="C563" s="346"/>
      <c r="D563" s="346"/>
      <c r="E563" s="346"/>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s="346"/>
      <c r="AE563" s="346"/>
      <c r="AF563" s="346"/>
      <c r="AG563" s="346"/>
      <c r="AH563" s="346"/>
      <c r="AI563" s="346"/>
      <c r="AJ563" s="346"/>
      <c r="AK563" s="346"/>
      <c r="AL563" s="346"/>
      <c r="AM563" s="346"/>
      <c r="AN563">
        <f t="shared" si="55"/>
        <v>0</v>
      </c>
      <c r="AO563" s="351" t="e">
        <f t="shared" si="57"/>
        <v>#DIV/0!</v>
      </c>
    </row>
    <row r="564" spans="1:41">
      <c r="A564" s="165">
        <f>'Conveyor Downtime (new)'!A592</f>
        <v>0</v>
      </c>
      <c r="AN564">
        <f t="shared" si="55"/>
        <v>0</v>
      </c>
      <c r="AO564" s="351" t="e">
        <f t="shared" si="57"/>
        <v>#DIV/0!</v>
      </c>
    </row>
    <row r="565" spans="1:41">
      <c r="A565" s="165">
        <f>'Conveyor Downtime (new)'!A593</f>
        <v>0</v>
      </c>
      <c r="B565" s="346"/>
      <c r="C565" s="346"/>
      <c r="D565" s="346"/>
      <c r="E565" s="346"/>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s="346"/>
      <c r="AE565" s="346"/>
      <c r="AF565" s="346"/>
      <c r="AG565" s="346"/>
      <c r="AH565" s="346"/>
      <c r="AI565" s="346"/>
      <c r="AJ565" s="346"/>
      <c r="AK565" s="346"/>
      <c r="AL565" s="346"/>
      <c r="AM565" s="346"/>
      <c r="AN565">
        <f t="shared" si="55"/>
        <v>0</v>
      </c>
      <c r="AO565" s="351" t="e">
        <f t="shared" si="57"/>
        <v>#DIV/0!</v>
      </c>
    </row>
    <row r="566" spans="1:41">
      <c r="A566" s="165">
        <f>'Conveyor Downtime (new)'!A594</f>
        <v>0</v>
      </c>
      <c r="AN566">
        <f t="shared" si="55"/>
        <v>0</v>
      </c>
      <c r="AO566" s="351" t="e">
        <f t="shared" si="57"/>
        <v>#DIV/0!</v>
      </c>
    </row>
    <row r="567" spans="1:41">
      <c r="A567" s="165">
        <f>'Conveyor Downtime (new)'!A595</f>
        <v>0</v>
      </c>
      <c r="B567" s="346"/>
      <c r="C567" s="346"/>
      <c r="D567" s="346"/>
      <c r="E567" s="346"/>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s="346"/>
      <c r="AE567" s="346"/>
      <c r="AF567" s="346"/>
      <c r="AG567" s="346"/>
      <c r="AH567" s="346"/>
      <c r="AI567" s="346"/>
      <c r="AJ567" s="346"/>
      <c r="AK567" s="346"/>
      <c r="AL567" s="346"/>
      <c r="AM567" s="346"/>
      <c r="AN567">
        <f t="shared" si="55"/>
        <v>0</v>
      </c>
      <c r="AO567" s="351" t="e">
        <f t="shared" si="57"/>
        <v>#DIV/0!</v>
      </c>
    </row>
    <row r="568" spans="1:41">
      <c r="A568" s="165">
        <f>'Conveyor Downtime (new)'!A596</f>
        <v>0</v>
      </c>
      <c r="AN568">
        <f t="shared" si="55"/>
        <v>0</v>
      </c>
      <c r="AO568" s="351" t="e">
        <f t="shared" si="57"/>
        <v>#DIV/0!</v>
      </c>
    </row>
    <row r="569" spans="1:41">
      <c r="A569" s="165">
        <f>'Conveyor Downtime (new)'!A597</f>
        <v>0</v>
      </c>
      <c r="B569" s="346"/>
      <c r="C569" s="346"/>
      <c r="D569" s="346"/>
      <c r="E569" s="346"/>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s="346"/>
      <c r="AE569" s="346"/>
      <c r="AF569" s="346"/>
      <c r="AG569" s="346"/>
      <c r="AH569" s="346"/>
      <c r="AI569" s="346"/>
      <c r="AJ569" s="346"/>
      <c r="AK569" s="346"/>
      <c r="AL569" s="346"/>
      <c r="AM569" s="346"/>
      <c r="AN569">
        <f t="shared" si="55"/>
        <v>0</v>
      </c>
      <c r="AO569" s="351" t="e">
        <f t="shared" si="57"/>
        <v>#DIV/0!</v>
      </c>
    </row>
    <row r="570" spans="1:41">
      <c r="A570" s="165">
        <f>'Conveyor Downtime (new)'!A598</f>
        <v>0</v>
      </c>
      <c r="AN570">
        <f t="shared" si="55"/>
        <v>0</v>
      </c>
      <c r="AO570" s="351" t="e">
        <f t="shared" si="57"/>
        <v>#DIV/0!</v>
      </c>
    </row>
    <row r="571" spans="1:41">
      <c r="A571" s="165">
        <f>'Conveyor Downtime (new)'!A599</f>
        <v>0</v>
      </c>
      <c r="B571" s="346"/>
      <c r="C571" s="346"/>
      <c r="D571" s="346"/>
      <c r="E571" s="346"/>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s="346"/>
      <c r="AE571" s="346"/>
      <c r="AF571" s="346"/>
      <c r="AG571" s="346"/>
      <c r="AH571" s="346"/>
      <c r="AI571" s="346"/>
      <c r="AJ571" s="346"/>
      <c r="AK571" s="346"/>
      <c r="AL571" s="346"/>
      <c r="AM571" s="346"/>
      <c r="AN571">
        <f t="shared" si="55"/>
        <v>0</v>
      </c>
      <c r="AO571" s="351" t="e">
        <f t="shared" si="57"/>
        <v>#DIV/0!</v>
      </c>
    </row>
    <row r="572" spans="1:41">
      <c r="A572" s="165">
        <f>'Conveyor Downtime (new)'!A600</f>
        <v>0</v>
      </c>
      <c r="AN572">
        <f t="shared" si="55"/>
        <v>0</v>
      </c>
      <c r="AO572" s="351" t="e">
        <f t="shared" si="57"/>
        <v>#DIV/0!</v>
      </c>
    </row>
    <row r="573" spans="1:41">
      <c r="A573" s="165">
        <f>'Conveyor Downtime (new)'!A601</f>
        <v>0</v>
      </c>
      <c r="B573" s="346"/>
      <c r="C573" s="346"/>
      <c r="D573" s="346"/>
      <c r="E573" s="346"/>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s="346"/>
      <c r="AE573" s="346"/>
      <c r="AF573" s="346"/>
      <c r="AG573" s="346"/>
      <c r="AH573" s="346"/>
      <c r="AI573" s="346"/>
      <c r="AJ573" s="346"/>
      <c r="AK573" s="346"/>
      <c r="AL573" s="346"/>
      <c r="AM573" s="346"/>
      <c r="AN573">
        <f t="shared" si="55"/>
        <v>0</v>
      </c>
      <c r="AO573" s="351" t="e">
        <f t="shared" si="57"/>
        <v>#DIV/0!</v>
      </c>
    </row>
    <row r="574" spans="1:41">
      <c r="A574" s="165">
        <f>'Conveyor Downtime (new)'!A602</f>
        <v>0</v>
      </c>
      <c r="AN574">
        <f t="shared" si="55"/>
        <v>0</v>
      </c>
      <c r="AO574" s="351" t="e">
        <f t="shared" si="57"/>
        <v>#DIV/0!</v>
      </c>
    </row>
    <row r="575" spans="1:41">
      <c r="A575" s="165">
        <f>'Conveyor Downtime (new)'!A603</f>
        <v>0</v>
      </c>
      <c r="B575" s="346"/>
      <c r="C575" s="346"/>
      <c r="D575" s="346"/>
      <c r="E575" s="346"/>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s="346"/>
      <c r="AE575" s="346"/>
      <c r="AF575" s="346"/>
      <c r="AG575" s="346"/>
      <c r="AH575" s="346"/>
      <c r="AI575" s="346"/>
      <c r="AJ575" s="346"/>
      <c r="AK575" s="346"/>
      <c r="AL575" s="346"/>
      <c r="AM575" s="346"/>
      <c r="AN575">
        <f t="shared" si="55"/>
        <v>0</v>
      </c>
      <c r="AO575" s="351" t="e">
        <f t="shared" si="57"/>
        <v>#DIV/0!</v>
      </c>
    </row>
    <row r="576" spans="1:41">
      <c r="A576" s="165">
        <f>'Conveyor Downtime (new)'!A604</f>
        <v>0</v>
      </c>
      <c r="AN576">
        <f t="shared" si="55"/>
        <v>0</v>
      </c>
      <c r="AO576" s="351" t="e">
        <f t="shared" si="57"/>
        <v>#DIV/0!</v>
      </c>
    </row>
    <row r="577" spans="1:41">
      <c r="A577" s="165">
        <f>'Conveyor Downtime (new)'!A605</f>
        <v>0</v>
      </c>
      <c r="B577" s="346"/>
      <c r="C577" s="346"/>
      <c r="D577" s="346"/>
      <c r="E577" s="346"/>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s="346"/>
      <c r="AE577" s="346"/>
      <c r="AF577" s="346"/>
      <c r="AG577" s="346"/>
      <c r="AH577" s="346"/>
      <c r="AI577" s="346"/>
      <c r="AJ577" s="346"/>
      <c r="AK577" s="346"/>
      <c r="AL577" s="346"/>
      <c r="AM577" s="346"/>
      <c r="AN577">
        <f t="shared" si="55"/>
        <v>0</v>
      </c>
      <c r="AO577" s="351" t="e">
        <f t="shared" ref="AO577:AO584" si="58">AN577/$AN$584</f>
        <v>#DIV/0!</v>
      </c>
    </row>
    <row r="578" spans="1:41">
      <c r="A578" s="165">
        <f>'Conveyor Downtime (new)'!A606</f>
        <v>0</v>
      </c>
      <c r="AN578">
        <f t="shared" si="55"/>
        <v>0</v>
      </c>
      <c r="AO578" s="351" t="e">
        <f t="shared" si="58"/>
        <v>#DIV/0!</v>
      </c>
    </row>
    <row r="579" spans="1:41">
      <c r="A579" s="165">
        <f>'Conveyor Downtime (new)'!A607</f>
        <v>0</v>
      </c>
      <c r="B579" s="346"/>
      <c r="C579" s="346"/>
      <c r="D579" s="77"/>
      <c r="E579" s="346"/>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s="346"/>
      <c r="AE579" s="346"/>
      <c r="AF579" s="346"/>
      <c r="AG579" s="346"/>
      <c r="AH579" s="346"/>
      <c r="AI579" s="346"/>
      <c r="AJ579" s="346"/>
      <c r="AK579" s="346"/>
      <c r="AL579" s="346"/>
      <c r="AM579" s="346"/>
      <c r="AN579">
        <f t="shared" si="55"/>
        <v>0</v>
      </c>
      <c r="AO579" s="351" t="e">
        <f t="shared" si="58"/>
        <v>#DIV/0!</v>
      </c>
    </row>
    <row r="580" spans="1:41">
      <c r="A580" s="165"/>
      <c r="AE580" s="77"/>
    </row>
    <row r="581" spans="1:41">
      <c r="A581" s="165"/>
      <c r="B581" s="346"/>
      <c r="C581" s="346"/>
      <c r="D581" s="346"/>
      <c r="E581" s="346"/>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s="346"/>
      <c r="AE581" s="346"/>
      <c r="AF581" s="346"/>
      <c r="AG581" s="346"/>
      <c r="AH581" s="346"/>
      <c r="AI581" s="346"/>
      <c r="AJ581" s="346"/>
      <c r="AK581" s="346"/>
      <c r="AL581" s="346"/>
      <c r="AM581" s="346"/>
      <c r="AN581">
        <f t="shared" ref="AN581:AN583" si="59">SUM(B581:AM581)</f>
        <v>0</v>
      </c>
      <c r="AO581" s="351" t="e">
        <f t="shared" si="58"/>
        <v>#DIV/0!</v>
      </c>
    </row>
    <row r="582" spans="1:41">
      <c r="A582" s="165"/>
      <c r="AN582">
        <f t="shared" si="59"/>
        <v>0</v>
      </c>
      <c r="AO582" s="351" t="e">
        <f t="shared" si="58"/>
        <v>#DIV/0!</v>
      </c>
    </row>
    <row r="583" spans="1:41">
      <c r="A583" s="165"/>
      <c r="AN583">
        <f t="shared" si="59"/>
        <v>0</v>
      </c>
      <c r="AO583" s="351" t="e">
        <f t="shared" si="58"/>
        <v>#DIV/0!</v>
      </c>
    </row>
    <row r="584" spans="1:41" ht="15">
      <c r="A584" s="347" t="s">
        <v>173</v>
      </c>
      <c r="B584" s="347">
        <f t="shared" ref="B584" si="60">SUM(B528:B583)</f>
        <v>0</v>
      </c>
      <c r="C584" s="347">
        <f t="shared" ref="C584" si="61">SUM(C528:C583)</f>
        <v>0</v>
      </c>
      <c r="D584" s="347">
        <f t="shared" ref="D584" si="62">SUM(D528:D583)</f>
        <v>0</v>
      </c>
      <c r="E584" s="347">
        <f t="shared" ref="E584" si="63">SUM(E528:E583)</f>
        <v>0</v>
      </c>
      <c r="F584" s="347">
        <f t="shared" ref="F584" si="64">SUM(F528:F583)</f>
        <v>0</v>
      </c>
      <c r="G584" s="347">
        <f t="shared" ref="G584" si="65">SUM(G528:G583)</f>
        <v>0</v>
      </c>
      <c r="H584" s="347">
        <f t="shared" ref="H584" si="66">SUM(H528:H583)</f>
        <v>0</v>
      </c>
      <c r="I584" s="347">
        <f t="shared" ref="I584" si="67">SUM(I528:I583)</f>
        <v>0</v>
      </c>
      <c r="J584" s="347">
        <f t="shared" ref="J584" si="68">SUM(J528:J583)</f>
        <v>0</v>
      </c>
      <c r="K584" s="347">
        <f t="shared" ref="K584" si="69">SUM(K528:K583)</f>
        <v>0</v>
      </c>
      <c r="L584" s="347">
        <f t="shared" ref="L584" si="70">SUM(L528:L583)</f>
        <v>0</v>
      </c>
      <c r="M584" s="347">
        <f t="shared" ref="M584" si="71">SUM(M528:M583)</f>
        <v>0</v>
      </c>
      <c r="N584" s="347">
        <f t="shared" ref="N584" si="72">SUM(N528:N583)</f>
        <v>0</v>
      </c>
      <c r="O584" s="347">
        <f t="shared" ref="O584" si="73">SUM(O528:O583)</f>
        <v>0</v>
      </c>
      <c r="P584" s="347">
        <f t="shared" ref="P584" si="74">SUM(P528:P583)</f>
        <v>0</v>
      </c>
      <c r="Q584" s="347">
        <f t="shared" ref="Q584" si="75">SUM(Q528:Q583)</f>
        <v>0</v>
      </c>
      <c r="R584" s="347">
        <f t="shared" ref="R584" si="76">SUM(R528:R583)</f>
        <v>0</v>
      </c>
      <c r="S584" s="347">
        <f t="shared" ref="S584" si="77">SUM(S528:S583)</f>
        <v>0</v>
      </c>
      <c r="T584" s="347">
        <f t="shared" ref="T584" si="78">SUM(T528:T583)</f>
        <v>0</v>
      </c>
      <c r="U584" s="347">
        <f t="shared" ref="U584" si="79">SUM(U528:U583)</f>
        <v>0</v>
      </c>
      <c r="V584" s="347">
        <f t="shared" ref="V584" si="80">SUM(V528:V583)</f>
        <v>0</v>
      </c>
      <c r="W584" s="347">
        <f t="shared" ref="W584" si="81">SUM(W528:W583)</f>
        <v>0</v>
      </c>
      <c r="X584" s="347">
        <f t="shared" ref="X584" si="82">SUM(X528:X583)</f>
        <v>0</v>
      </c>
      <c r="Y584" s="347">
        <f t="shared" ref="Y584" si="83">SUM(Y528:Y583)</f>
        <v>0</v>
      </c>
      <c r="Z584" s="347">
        <f>SUM(Z528:Z583)</f>
        <v>0</v>
      </c>
      <c r="AA584" s="347">
        <f t="shared" ref="AA584" si="84">SUM(AA528:AA583)</f>
        <v>0</v>
      </c>
      <c r="AB584" s="347">
        <f t="shared" ref="AB584" si="85">SUM(AB528:AB583)</f>
        <v>0</v>
      </c>
      <c r="AC584" s="347">
        <f t="shared" ref="AC584" si="86">SUM(AC528:AC583)</f>
        <v>0</v>
      </c>
      <c r="AD584" s="347">
        <f t="shared" ref="AD584" si="87">SUM(AD528:AD583)</f>
        <v>0</v>
      </c>
      <c r="AE584" s="347">
        <f t="shared" ref="AE584" si="88">SUM(AE528:AE583)</f>
        <v>0</v>
      </c>
      <c r="AF584" s="347">
        <f t="shared" ref="AF584" si="89">SUM(AF528:AF583)</f>
        <v>0</v>
      </c>
      <c r="AG584" s="347">
        <f t="shared" ref="AG584" si="90">SUM(AG528:AG583)</f>
        <v>0</v>
      </c>
      <c r="AH584" s="347">
        <f t="shared" ref="AH584" si="91">SUM(AH528:AH583)</f>
        <v>0</v>
      </c>
      <c r="AI584" s="347">
        <f t="shared" ref="AI584" si="92">SUM(AI528:AI583)</f>
        <v>0</v>
      </c>
      <c r="AJ584" s="347">
        <f t="shared" ref="AJ584" si="93">SUM(AJ528:AJ583)</f>
        <v>0</v>
      </c>
      <c r="AK584" s="347">
        <f t="shared" ref="AK584" si="94">SUM(AK528:AK583)</f>
        <v>0</v>
      </c>
      <c r="AL584" s="347">
        <f t="shared" ref="AL584" si="95">SUM(AL528:AL583)</f>
        <v>0</v>
      </c>
      <c r="AM584" s="347">
        <f t="shared" ref="AM584" si="96">SUM(AM528:AM583)</f>
        <v>0</v>
      </c>
      <c r="AN584" s="347">
        <f>SUM(AN528:AN580)</f>
        <v>0</v>
      </c>
      <c r="AO584" s="351" t="e">
        <f t="shared" si="58"/>
        <v>#DIV/0!</v>
      </c>
    </row>
    <row r="585" spans="1:41" ht="15.75" thickBot="1">
      <c r="A585" s="348" t="s">
        <v>174</v>
      </c>
      <c r="B585" s="348" t="e">
        <f t="shared" ref="B585:AM585" si="97">B584/$AN584</f>
        <v>#DIV/0!</v>
      </c>
      <c r="C585" s="348" t="e">
        <f t="shared" si="97"/>
        <v>#DIV/0!</v>
      </c>
      <c r="D585" s="348" t="e">
        <f t="shared" si="97"/>
        <v>#DIV/0!</v>
      </c>
      <c r="E585" s="348" t="e">
        <f t="shared" si="97"/>
        <v>#DIV/0!</v>
      </c>
      <c r="F585" s="348" t="e">
        <f t="shared" si="97"/>
        <v>#DIV/0!</v>
      </c>
      <c r="G585" s="348" t="e">
        <f t="shared" si="97"/>
        <v>#DIV/0!</v>
      </c>
      <c r="H585" s="348" t="e">
        <f t="shared" si="97"/>
        <v>#DIV/0!</v>
      </c>
      <c r="I585" s="348" t="e">
        <f t="shared" si="97"/>
        <v>#DIV/0!</v>
      </c>
      <c r="J585" s="348" t="e">
        <f t="shared" si="97"/>
        <v>#DIV/0!</v>
      </c>
      <c r="K585" s="348" t="e">
        <f t="shared" si="97"/>
        <v>#DIV/0!</v>
      </c>
      <c r="L585" s="348" t="e">
        <f t="shared" si="97"/>
        <v>#DIV/0!</v>
      </c>
      <c r="M585" s="348" t="e">
        <f t="shared" si="97"/>
        <v>#DIV/0!</v>
      </c>
      <c r="N585" s="348" t="e">
        <f t="shared" si="97"/>
        <v>#DIV/0!</v>
      </c>
      <c r="O585" s="348" t="e">
        <f t="shared" si="97"/>
        <v>#DIV/0!</v>
      </c>
      <c r="P585" s="348" t="e">
        <f t="shared" si="97"/>
        <v>#DIV/0!</v>
      </c>
      <c r="Q585" s="348" t="e">
        <f t="shared" si="97"/>
        <v>#DIV/0!</v>
      </c>
      <c r="R585" s="348" t="e">
        <f t="shared" si="97"/>
        <v>#DIV/0!</v>
      </c>
      <c r="S585" s="348" t="e">
        <f t="shared" si="97"/>
        <v>#DIV/0!</v>
      </c>
      <c r="T585" s="348" t="e">
        <f t="shared" si="97"/>
        <v>#DIV/0!</v>
      </c>
      <c r="U585" s="348" t="e">
        <f t="shared" si="97"/>
        <v>#DIV/0!</v>
      </c>
      <c r="V585" s="348" t="e">
        <f t="shared" si="97"/>
        <v>#DIV/0!</v>
      </c>
      <c r="W585" s="348" t="e">
        <f t="shared" si="97"/>
        <v>#DIV/0!</v>
      </c>
      <c r="X585" s="348" t="e">
        <f t="shared" si="97"/>
        <v>#DIV/0!</v>
      </c>
      <c r="Y585" s="348" t="e">
        <f t="shared" si="97"/>
        <v>#DIV/0!</v>
      </c>
      <c r="Z585" s="348" t="e">
        <f t="shared" si="97"/>
        <v>#DIV/0!</v>
      </c>
      <c r="AA585" s="348" t="e">
        <f t="shared" si="97"/>
        <v>#DIV/0!</v>
      </c>
      <c r="AB585" s="348" t="e">
        <f t="shared" si="97"/>
        <v>#DIV/0!</v>
      </c>
      <c r="AC585" s="348" t="e">
        <f t="shared" si="97"/>
        <v>#DIV/0!</v>
      </c>
      <c r="AD585" s="348" t="e">
        <f t="shared" si="97"/>
        <v>#DIV/0!</v>
      </c>
      <c r="AE585" s="348" t="e">
        <f t="shared" si="97"/>
        <v>#DIV/0!</v>
      </c>
      <c r="AF585" s="348" t="e">
        <f t="shared" si="97"/>
        <v>#DIV/0!</v>
      </c>
      <c r="AG585" s="348" t="e">
        <f t="shared" si="97"/>
        <v>#DIV/0!</v>
      </c>
      <c r="AH585" s="348" t="e">
        <f t="shared" si="97"/>
        <v>#DIV/0!</v>
      </c>
      <c r="AI585" s="348" t="e">
        <f t="shared" si="97"/>
        <v>#DIV/0!</v>
      </c>
      <c r="AJ585" s="348" t="e">
        <f t="shared" si="97"/>
        <v>#DIV/0!</v>
      </c>
      <c r="AK585" s="348" t="e">
        <f t="shared" si="97"/>
        <v>#DIV/0!</v>
      </c>
      <c r="AL585" s="348" t="e">
        <f t="shared" si="97"/>
        <v>#DIV/0!</v>
      </c>
      <c r="AM585" s="348" t="e">
        <f t="shared" si="97"/>
        <v>#DIV/0!</v>
      </c>
    </row>
    <row r="588" spans="1:41" ht="12" customHeight="1"/>
    <row r="589" spans="1:41" ht="13.5" customHeight="1">
      <c r="A589" s="165">
        <f>'Conveyor Downtime (new)'!A617</f>
        <v>0</v>
      </c>
      <c r="AN589">
        <f t="shared" ref="AN589:AN630" si="98">SUM(B589:AM589)</f>
        <v>0</v>
      </c>
      <c r="AO589" s="351" t="e">
        <f t="shared" ref="AO589:AO630" si="99">AN589/$AN$635</f>
        <v>#DIV/0!</v>
      </c>
    </row>
    <row r="590" spans="1:41">
      <c r="A590" s="165">
        <f>'Conveyor Downtime (new)'!A618</f>
        <v>0</v>
      </c>
      <c r="B590" s="346"/>
      <c r="C590" s="346"/>
      <c r="D590" s="346"/>
      <c r="E590" s="346"/>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346"/>
      <c r="AL590" s="346"/>
      <c r="AM590" s="346"/>
      <c r="AN590">
        <f t="shared" si="98"/>
        <v>0</v>
      </c>
      <c r="AO590" s="351" t="e">
        <f t="shared" si="99"/>
        <v>#DIV/0!</v>
      </c>
    </row>
    <row r="591" spans="1:41">
      <c r="A591" s="165">
        <f>'Conveyor Downtime (new)'!A619</f>
        <v>0</v>
      </c>
      <c r="AN591">
        <f t="shared" si="98"/>
        <v>0</v>
      </c>
      <c r="AO591" s="351" t="e">
        <f t="shared" si="99"/>
        <v>#DIV/0!</v>
      </c>
    </row>
    <row r="592" spans="1:41">
      <c r="A592" s="165">
        <f>'Conveyor Downtime (new)'!A620</f>
        <v>0</v>
      </c>
      <c r="B592" s="346"/>
      <c r="C592" s="346"/>
      <c r="D592" s="346"/>
      <c r="E592" s="346"/>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346"/>
      <c r="AK592" s="346"/>
      <c r="AL592" s="346"/>
      <c r="AM592" s="346"/>
      <c r="AN592">
        <f t="shared" si="98"/>
        <v>0</v>
      </c>
      <c r="AO592" s="351" t="e">
        <f t="shared" si="99"/>
        <v>#DIV/0!</v>
      </c>
    </row>
    <row r="593" spans="1:41">
      <c r="A593" s="165">
        <f>'Conveyor Downtime (new)'!A621</f>
        <v>0</v>
      </c>
      <c r="AN593">
        <f t="shared" si="98"/>
        <v>0</v>
      </c>
      <c r="AO593" s="351" t="e">
        <f t="shared" si="99"/>
        <v>#DIV/0!</v>
      </c>
    </row>
    <row r="594" spans="1:41">
      <c r="A594" s="165">
        <f>'Conveyor Downtime (new)'!A622</f>
        <v>0</v>
      </c>
      <c r="B594" s="346"/>
      <c r="C594" s="346"/>
      <c r="D594" s="346"/>
      <c r="E594" s="346"/>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346"/>
      <c r="AK594" s="346"/>
      <c r="AL594" s="346"/>
      <c r="AM594" s="346"/>
      <c r="AN594">
        <f t="shared" si="98"/>
        <v>0</v>
      </c>
      <c r="AO594" s="351" t="e">
        <f t="shared" si="99"/>
        <v>#DIV/0!</v>
      </c>
    </row>
    <row r="595" spans="1:41">
      <c r="A595" s="165">
        <f>'Conveyor Downtime (new)'!A623</f>
        <v>0</v>
      </c>
      <c r="AN595">
        <f t="shared" si="98"/>
        <v>0</v>
      </c>
      <c r="AO595" s="351" t="e">
        <f t="shared" si="99"/>
        <v>#DIV/0!</v>
      </c>
    </row>
    <row r="596" spans="1:41">
      <c r="A596" s="165">
        <f>'Conveyor Downtime (new)'!A624</f>
        <v>0</v>
      </c>
      <c r="B596" s="346"/>
      <c r="C596" s="346"/>
      <c r="D596" s="346"/>
      <c r="E596" s="346"/>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346"/>
      <c r="AK596" s="346"/>
      <c r="AL596" s="346"/>
      <c r="AM596" s="346"/>
      <c r="AN596">
        <f t="shared" si="98"/>
        <v>0</v>
      </c>
      <c r="AO596" s="351" t="e">
        <f t="shared" si="99"/>
        <v>#DIV/0!</v>
      </c>
    </row>
    <row r="597" spans="1:41">
      <c r="A597" s="165">
        <f>'Conveyor Downtime (new)'!A625</f>
        <v>0</v>
      </c>
      <c r="AN597">
        <f t="shared" si="98"/>
        <v>0</v>
      </c>
      <c r="AO597" s="351" t="e">
        <f t="shared" si="99"/>
        <v>#DIV/0!</v>
      </c>
    </row>
    <row r="598" spans="1:41">
      <c r="A598" s="165">
        <f>'Conveyor Downtime (new)'!A626</f>
        <v>0</v>
      </c>
      <c r="B598" s="346"/>
      <c r="C598" s="346"/>
      <c r="D598" s="346"/>
      <c r="E598" s="346"/>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346"/>
      <c r="AK598" s="346"/>
      <c r="AL598" s="346"/>
      <c r="AM598" s="346"/>
      <c r="AN598">
        <f t="shared" si="98"/>
        <v>0</v>
      </c>
      <c r="AO598" s="351" t="e">
        <f t="shared" si="99"/>
        <v>#DIV/0!</v>
      </c>
    </row>
    <row r="599" spans="1:41">
      <c r="A599" s="165">
        <f>'Conveyor Downtime (new)'!A627</f>
        <v>0</v>
      </c>
      <c r="AN599">
        <f t="shared" si="98"/>
        <v>0</v>
      </c>
      <c r="AO599" s="351" t="e">
        <f t="shared" si="99"/>
        <v>#DIV/0!</v>
      </c>
    </row>
    <row r="600" spans="1:41">
      <c r="A600" s="165">
        <f>'Conveyor Downtime (new)'!A628</f>
        <v>0</v>
      </c>
      <c r="B600" s="346"/>
      <c r="C600" s="346"/>
      <c r="D600" s="346"/>
      <c r="E600" s="346"/>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346"/>
      <c r="AK600" s="346"/>
      <c r="AL600" s="346"/>
      <c r="AM600" s="346"/>
      <c r="AN600">
        <f t="shared" si="98"/>
        <v>0</v>
      </c>
      <c r="AO600" s="351" t="e">
        <f t="shared" si="99"/>
        <v>#DIV/0!</v>
      </c>
    </row>
    <row r="601" spans="1:41">
      <c r="A601" s="165">
        <f>'Conveyor Downtime (new)'!A629</f>
        <v>0</v>
      </c>
      <c r="AN601">
        <f t="shared" si="98"/>
        <v>0</v>
      </c>
      <c r="AO601" s="351" t="e">
        <f t="shared" si="99"/>
        <v>#DIV/0!</v>
      </c>
    </row>
    <row r="602" spans="1:41">
      <c r="A602" s="165">
        <f>'Conveyor Downtime (new)'!A630</f>
        <v>0</v>
      </c>
      <c r="B602" s="346"/>
      <c r="C602" s="346"/>
      <c r="D602" s="346"/>
      <c r="E602" s="346"/>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346"/>
      <c r="AK602" s="346"/>
      <c r="AL602" s="346"/>
      <c r="AM602" s="346"/>
      <c r="AN602">
        <f t="shared" si="98"/>
        <v>0</v>
      </c>
      <c r="AO602" s="351" t="e">
        <f t="shared" si="99"/>
        <v>#DIV/0!</v>
      </c>
    </row>
    <row r="603" spans="1:41">
      <c r="A603" s="165">
        <f>'Conveyor Downtime (new)'!A631</f>
        <v>0</v>
      </c>
      <c r="AN603">
        <f t="shared" si="98"/>
        <v>0</v>
      </c>
      <c r="AO603" s="351" t="e">
        <f t="shared" si="99"/>
        <v>#DIV/0!</v>
      </c>
    </row>
    <row r="604" spans="1:41">
      <c r="A604" s="165">
        <f>'Conveyor Downtime (new)'!A632</f>
        <v>0</v>
      </c>
      <c r="B604" s="346"/>
      <c r="C604" s="346"/>
      <c r="D604" s="346"/>
      <c r="E604" s="346"/>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346"/>
      <c r="AK604" s="346"/>
      <c r="AL604" s="346"/>
      <c r="AM604" s="346"/>
      <c r="AN604">
        <f t="shared" si="98"/>
        <v>0</v>
      </c>
      <c r="AO604" s="351" t="e">
        <f t="shared" si="99"/>
        <v>#DIV/0!</v>
      </c>
    </row>
    <row r="605" spans="1:41">
      <c r="A605" s="165">
        <f>'Conveyor Downtime (new)'!A633</f>
        <v>0</v>
      </c>
      <c r="AN605">
        <f t="shared" si="98"/>
        <v>0</v>
      </c>
      <c r="AO605" s="351" t="e">
        <f t="shared" si="99"/>
        <v>#DIV/0!</v>
      </c>
    </row>
    <row r="606" spans="1:41">
      <c r="A606" s="165">
        <f>'Conveyor Downtime (new)'!A634</f>
        <v>0</v>
      </c>
      <c r="B606" s="346"/>
      <c r="C606" s="346"/>
      <c r="D606" s="346"/>
      <c r="E606" s="346"/>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346"/>
      <c r="AK606" s="346"/>
      <c r="AL606" s="346"/>
      <c r="AM606" s="346"/>
      <c r="AN606">
        <f t="shared" si="98"/>
        <v>0</v>
      </c>
      <c r="AO606" s="351" t="e">
        <f t="shared" si="99"/>
        <v>#DIV/0!</v>
      </c>
    </row>
    <row r="607" spans="1:41">
      <c r="A607" s="165">
        <f>'Conveyor Downtime (new)'!A635</f>
        <v>0</v>
      </c>
      <c r="AN607">
        <f t="shared" si="98"/>
        <v>0</v>
      </c>
      <c r="AO607" s="351" t="e">
        <f t="shared" si="99"/>
        <v>#DIV/0!</v>
      </c>
    </row>
    <row r="608" spans="1:41">
      <c r="A608" s="165">
        <f>'Conveyor Downtime (new)'!A636</f>
        <v>0</v>
      </c>
      <c r="B608" s="346"/>
      <c r="C608" s="346"/>
      <c r="D608" s="346"/>
      <c r="E608" s="346"/>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346"/>
      <c r="AK608" s="346"/>
      <c r="AL608" s="346"/>
      <c r="AM608" s="346"/>
      <c r="AN608">
        <f t="shared" si="98"/>
        <v>0</v>
      </c>
      <c r="AO608" s="351" t="e">
        <f t="shared" si="99"/>
        <v>#DIV/0!</v>
      </c>
    </row>
    <row r="609" spans="1:41">
      <c r="A609" s="165">
        <f>'Conveyor Downtime (new)'!A637</f>
        <v>0</v>
      </c>
      <c r="AN609">
        <f t="shared" si="98"/>
        <v>0</v>
      </c>
      <c r="AO609" s="351" t="e">
        <f t="shared" si="99"/>
        <v>#DIV/0!</v>
      </c>
    </row>
    <row r="610" spans="1:41">
      <c r="A610" s="165">
        <f>'Conveyor Downtime (new)'!A638</f>
        <v>0</v>
      </c>
      <c r="B610" s="346"/>
      <c r="C610" s="346"/>
      <c r="D610" s="346"/>
      <c r="E610" s="346"/>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346"/>
      <c r="AK610" s="346"/>
      <c r="AL610" s="346"/>
      <c r="AM610" s="346"/>
      <c r="AN610">
        <f t="shared" si="98"/>
        <v>0</v>
      </c>
      <c r="AO610" s="351" t="e">
        <f t="shared" si="99"/>
        <v>#DIV/0!</v>
      </c>
    </row>
    <row r="611" spans="1:41">
      <c r="A611" s="165">
        <f>'Conveyor Downtime (new)'!A639</f>
        <v>0</v>
      </c>
      <c r="AN611">
        <f t="shared" si="98"/>
        <v>0</v>
      </c>
      <c r="AO611" s="351" t="e">
        <f t="shared" si="99"/>
        <v>#DIV/0!</v>
      </c>
    </row>
    <row r="612" spans="1:41">
      <c r="A612" s="165">
        <f>'Conveyor Downtime (new)'!A640</f>
        <v>0</v>
      </c>
      <c r="B612" s="346"/>
      <c r="C612" s="346"/>
      <c r="D612" s="346"/>
      <c r="E612" s="346"/>
      <c r="F612" s="346"/>
      <c r="G612" s="346"/>
      <c r="H612" s="346"/>
      <c r="I612" s="346"/>
      <c r="J612" s="346"/>
      <c r="K612" s="346"/>
      <c r="L612" s="346"/>
      <c r="M612" s="346"/>
      <c r="N612" s="346"/>
      <c r="O612" s="346"/>
      <c r="P612" s="346"/>
      <c r="Q612" s="346"/>
      <c r="R612" s="346"/>
      <c r="S612" s="346"/>
      <c r="T612" s="346"/>
      <c r="U612" s="346"/>
      <c r="V612" s="346"/>
      <c r="W612" s="346"/>
      <c r="X612" s="346"/>
      <c r="Y612" s="346"/>
      <c r="Z612" s="346"/>
      <c r="AA612" s="346"/>
      <c r="AB612" s="346"/>
      <c r="AC612" s="346"/>
      <c r="AD612" s="346"/>
      <c r="AE612" s="346"/>
      <c r="AF612" s="346"/>
      <c r="AG612" s="346"/>
      <c r="AH612" s="346"/>
      <c r="AI612" s="346"/>
      <c r="AJ612" s="346"/>
      <c r="AK612" s="346"/>
      <c r="AL612" s="346"/>
      <c r="AM612" s="346"/>
      <c r="AN612">
        <f t="shared" si="98"/>
        <v>0</v>
      </c>
      <c r="AO612" s="351" t="e">
        <f t="shared" si="99"/>
        <v>#DIV/0!</v>
      </c>
    </row>
    <row r="613" spans="1:41">
      <c r="A613" s="165">
        <f>'Conveyor Downtime (new)'!A641</f>
        <v>0</v>
      </c>
      <c r="AN613">
        <f t="shared" si="98"/>
        <v>0</v>
      </c>
      <c r="AO613" s="351" t="e">
        <f t="shared" si="99"/>
        <v>#DIV/0!</v>
      </c>
    </row>
    <row r="614" spans="1:41">
      <c r="A614" s="165">
        <f>'Conveyor Downtime (new)'!A642</f>
        <v>0</v>
      </c>
      <c r="B614" s="346"/>
      <c r="C614" s="346"/>
      <c r="D614" s="346"/>
      <c r="E614" s="346"/>
      <c r="F614" s="346"/>
      <c r="G614" s="346"/>
      <c r="H614" s="346"/>
      <c r="I614" s="346"/>
      <c r="J614" s="346"/>
      <c r="K614" s="346"/>
      <c r="L614" s="346"/>
      <c r="M614" s="346"/>
      <c r="N614" s="346"/>
      <c r="O614" s="346"/>
      <c r="P614" s="346"/>
      <c r="Q614" s="346"/>
      <c r="R614" s="346"/>
      <c r="S614" s="346"/>
      <c r="T614" s="346"/>
      <c r="U614" s="346"/>
      <c r="V614" s="346"/>
      <c r="W614" s="346"/>
      <c r="X614" s="346"/>
      <c r="Y614" s="346"/>
      <c r="Z614" s="346"/>
      <c r="AA614" s="346"/>
      <c r="AB614" s="346"/>
      <c r="AC614" s="346"/>
      <c r="AD614" s="346"/>
      <c r="AE614" s="346"/>
      <c r="AF614" s="346"/>
      <c r="AG614" s="346"/>
      <c r="AH614" s="346"/>
      <c r="AI614" s="346"/>
      <c r="AJ614" s="346"/>
      <c r="AK614" s="346"/>
      <c r="AL614" s="346"/>
      <c r="AM614" s="346"/>
      <c r="AN614">
        <f t="shared" si="98"/>
        <v>0</v>
      </c>
      <c r="AO614" s="351" t="e">
        <f t="shared" si="99"/>
        <v>#DIV/0!</v>
      </c>
    </row>
    <row r="615" spans="1:41">
      <c r="A615" s="165">
        <f>'Conveyor Downtime (new)'!A643</f>
        <v>0</v>
      </c>
      <c r="AN615">
        <f t="shared" si="98"/>
        <v>0</v>
      </c>
      <c r="AO615" s="351" t="e">
        <f t="shared" si="99"/>
        <v>#DIV/0!</v>
      </c>
    </row>
    <row r="616" spans="1:41">
      <c r="A616" s="165">
        <f>'Conveyor Downtime (new)'!A644</f>
        <v>0</v>
      </c>
      <c r="B616" s="346"/>
      <c r="C616" s="346"/>
      <c r="D616" s="346"/>
      <c r="E616" s="346"/>
      <c r="G616" s="346"/>
      <c r="H616" s="346"/>
      <c r="I616" s="346"/>
      <c r="J616" s="346"/>
      <c r="K616" s="346"/>
      <c r="L616" s="346"/>
      <c r="M616" s="346"/>
      <c r="N616" s="346"/>
      <c r="O616" s="346"/>
      <c r="P616" s="346"/>
      <c r="Q616" s="346"/>
      <c r="R616" s="346"/>
      <c r="S616" s="346"/>
      <c r="T616" s="346"/>
      <c r="U616" s="346"/>
      <c r="V616" s="346"/>
      <c r="W616" s="346"/>
      <c r="X616" s="346"/>
      <c r="Y616" s="346"/>
      <c r="Z616" s="346"/>
      <c r="AA616" s="346"/>
      <c r="AB616" s="346"/>
      <c r="AC616" s="346"/>
      <c r="AD616" s="346"/>
      <c r="AE616" s="346"/>
      <c r="AF616" s="346"/>
      <c r="AG616" s="346"/>
      <c r="AH616" s="346"/>
      <c r="AI616" s="346"/>
      <c r="AJ616" s="346"/>
      <c r="AK616" s="346"/>
      <c r="AL616" s="346"/>
      <c r="AM616" s="346"/>
      <c r="AN616">
        <f t="shared" si="98"/>
        <v>0</v>
      </c>
      <c r="AO616" s="351" t="e">
        <f t="shared" si="99"/>
        <v>#DIV/0!</v>
      </c>
    </row>
    <row r="617" spans="1:41">
      <c r="A617" s="165">
        <f>'Conveyor Downtime (new)'!A645</f>
        <v>0</v>
      </c>
      <c r="AN617">
        <f t="shared" si="98"/>
        <v>0</v>
      </c>
      <c r="AO617" s="351" t="e">
        <f t="shared" si="99"/>
        <v>#DIV/0!</v>
      </c>
    </row>
    <row r="618" spans="1:41">
      <c r="A618" s="165">
        <f>'Conveyor Downtime (new)'!A646</f>
        <v>0</v>
      </c>
      <c r="B618" s="346"/>
      <c r="C618" s="346"/>
      <c r="D618" s="346"/>
      <c r="E618" s="346"/>
      <c r="F618" s="346"/>
      <c r="G618" s="346"/>
      <c r="H618" s="346"/>
      <c r="I618" s="346"/>
      <c r="J618" s="346"/>
      <c r="K618" s="346"/>
      <c r="L618" s="346"/>
      <c r="M618" s="346"/>
      <c r="N618" s="346"/>
      <c r="O618" s="346"/>
      <c r="P618" s="346"/>
      <c r="Q618" s="346"/>
      <c r="R618" s="346"/>
      <c r="S618" s="346"/>
      <c r="T618" s="346"/>
      <c r="U618" s="346"/>
      <c r="V618" s="346"/>
      <c r="W618" s="346"/>
      <c r="X618" s="346"/>
      <c r="Y618" s="346"/>
      <c r="Z618" s="346"/>
      <c r="AA618" s="346"/>
      <c r="AB618" s="346"/>
      <c r="AC618" s="346"/>
      <c r="AD618" s="346"/>
      <c r="AE618" s="346"/>
      <c r="AF618" s="346"/>
      <c r="AG618" s="346"/>
      <c r="AH618" s="346"/>
      <c r="AI618" s="346"/>
      <c r="AJ618" s="346"/>
      <c r="AK618" s="346"/>
      <c r="AL618" s="346"/>
      <c r="AM618" s="346"/>
      <c r="AN618">
        <f t="shared" si="98"/>
        <v>0</v>
      </c>
      <c r="AO618" s="351" t="e">
        <f t="shared" si="99"/>
        <v>#DIV/0!</v>
      </c>
    </row>
    <row r="619" spans="1:41">
      <c r="A619" s="165">
        <f>'Conveyor Downtime (new)'!A647</f>
        <v>0</v>
      </c>
      <c r="AN619">
        <f t="shared" si="98"/>
        <v>0</v>
      </c>
      <c r="AO619" s="351" t="e">
        <f t="shared" si="99"/>
        <v>#DIV/0!</v>
      </c>
    </row>
    <row r="620" spans="1:41">
      <c r="A620" s="165">
        <f>'Conveyor Downtime (new)'!A648</f>
        <v>0</v>
      </c>
      <c r="B620" s="346"/>
      <c r="C620" s="346"/>
      <c r="D620" s="346"/>
      <c r="E620" s="346"/>
      <c r="F620" s="346"/>
      <c r="G620" s="346"/>
      <c r="H620" s="346"/>
      <c r="I620" s="346"/>
      <c r="J620" s="346"/>
      <c r="K620" s="346"/>
      <c r="L620" s="346"/>
      <c r="M620" s="346"/>
      <c r="N620" s="346"/>
      <c r="O620" s="346"/>
      <c r="P620" s="346"/>
      <c r="Q620" s="346"/>
      <c r="R620" s="346"/>
      <c r="S620" s="346"/>
      <c r="T620" s="346"/>
      <c r="U620" s="346"/>
      <c r="V620" s="346"/>
      <c r="W620" s="346"/>
      <c r="X620" s="346"/>
      <c r="Y620" s="346"/>
      <c r="Z620" s="346"/>
      <c r="AA620" s="346"/>
      <c r="AB620" s="346"/>
      <c r="AC620" s="346"/>
      <c r="AD620" s="346"/>
      <c r="AE620" s="346"/>
      <c r="AF620" s="346"/>
      <c r="AG620" s="346"/>
      <c r="AH620" s="346"/>
      <c r="AI620" s="346"/>
      <c r="AJ620" s="346"/>
      <c r="AK620" s="346"/>
      <c r="AL620" s="346"/>
      <c r="AM620" s="346"/>
      <c r="AN620">
        <f t="shared" si="98"/>
        <v>0</v>
      </c>
      <c r="AO620" s="351" t="e">
        <f t="shared" si="99"/>
        <v>#DIV/0!</v>
      </c>
    </row>
    <row r="621" spans="1:41">
      <c r="A621" s="165">
        <f>'Conveyor Downtime (new)'!A649</f>
        <v>0</v>
      </c>
      <c r="AN621">
        <f t="shared" si="98"/>
        <v>0</v>
      </c>
      <c r="AO621" s="351" t="e">
        <f t="shared" si="99"/>
        <v>#DIV/0!</v>
      </c>
    </row>
    <row r="622" spans="1:41">
      <c r="A622" s="165">
        <f>'Conveyor Downtime (new)'!A650</f>
        <v>0</v>
      </c>
      <c r="B622" s="346"/>
      <c r="C622" s="346"/>
      <c r="D622" s="346"/>
      <c r="E622" s="346"/>
      <c r="F622" s="346"/>
      <c r="G622" s="346"/>
      <c r="H622" s="346"/>
      <c r="I622" s="346"/>
      <c r="J622" s="346"/>
      <c r="K622" s="346"/>
      <c r="L622" s="346"/>
      <c r="M622" s="346"/>
      <c r="N622" s="346"/>
      <c r="O622" s="346"/>
      <c r="P622" s="346"/>
      <c r="Q622" s="346"/>
      <c r="R622" s="346"/>
      <c r="S622" s="346"/>
      <c r="T622" s="346"/>
      <c r="U622" s="346"/>
      <c r="V622" s="346"/>
      <c r="W622" s="346"/>
      <c r="X622" s="346"/>
      <c r="Y622" s="346"/>
      <c r="AA622" s="346"/>
      <c r="AB622" s="346"/>
      <c r="AC622" s="346"/>
      <c r="AD622" s="346"/>
      <c r="AE622" s="346"/>
      <c r="AF622" s="346"/>
      <c r="AG622" s="346"/>
      <c r="AH622" s="346"/>
      <c r="AI622" s="346"/>
      <c r="AJ622" s="346"/>
      <c r="AK622" s="346"/>
      <c r="AL622" s="346"/>
      <c r="AM622" s="346"/>
      <c r="AN622">
        <f t="shared" si="98"/>
        <v>0</v>
      </c>
      <c r="AO622" s="351" t="e">
        <f t="shared" si="99"/>
        <v>#DIV/0!</v>
      </c>
    </row>
    <row r="623" spans="1:41">
      <c r="A623" s="165">
        <f>'Conveyor Downtime (new)'!A651</f>
        <v>0</v>
      </c>
      <c r="Z623" s="346"/>
      <c r="AN623">
        <f t="shared" si="98"/>
        <v>0</v>
      </c>
      <c r="AO623" s="351" t="e">
        <f t="shared" si="99"/>
        <v>#DIV/0!</v>
      </c>
    </row>
    <row r="624" spans="1:41">
      <c r="A624" s="165">
        <f>'Conveyor Downtime (new)'!A652</f>
        <v>0</v>
      </c>
      <c r="B624" s="346"/>
      <c r="C624" s="346"/>
      <c r="D624" s="346"/>
      <c r="E624" s="346"/>
      <c r="F624" s="346"/>
      <c r="G624" s="346"/>
      <c r="H624" s="346"/>
      <c r="I624" s="346"/>
      <c r="J624" s="346"/>
      <c r="K624" s="346"/>
      <c r="L624" s="346"/>
      <c r="M624" s="346"/>
      <c r="N624" s="346"/>
      <c r="O624" s="346"/>
      <c r="P624" s="346"/>
      <c r="Q624" s="346"/>
      <c r="R624" s="346"/>
      <c r="S624" s="346"/>
      <c r="T624" s="346"/>
      <c r="U624" s="346"/>
      <c r="V624" s="346"/>
      <c r="W624" s="346"/>
      <c r="X624" s="346"/>
      <c r="Y624" s="346"/>
      <c r="Z624" s="346"/>
      <c r="AA624" s="346"/>
      <c r="AB624" s="346"/>
      <c r="AC624" s="346"/>
      <c r="AD624" s="346"/>
      <c r="AE624" s="346"/>
      <c r="AF624" s="346"/>
      <c r="AG624" s="346"/>
      <c r="AH624" s="346"/>
      <c r="AI624" s="346"/>
      <c r="AJ624" s="346"/>
      <c r="AK624" s="346"/>
      <c r="AL624" s="346"/>
      <c r="AM624" s="346"/>
      <c r="AN624">
        <f t="shared" si="98"/>
        <v>0</v>
      </c>
      <c r="AO624" s="351" t="e">
        <f t="shared" si="99"/>
        <v>#DIV/0!</v>
      </c>
    </row>
    <row r="625" spans="1:41">
      <c r="A625" s="165">
        <f>'Conveyor Downtime (new)'!A653</f>
        <v>0</v>
      </c>
      <c r="AN625">
        <f t="shared" si="98"/>
        <v>0</v>
      </c>
      <c r="AO625" s="351" t="e">
        <f t="shared" si="99"/>
        <v>#DIV/0!</v>
      </c>
    </row>
    <row r="626" spans="1:41">
      <c r="A626" s="165">
        <f>'Conveyor Downtime (new)'!A654</f>
        <v>0</v>
      </c>
      <c r="B626" s="346"/>
      <c r="C626" s="346"/>
      <c r="D626" s="346"/>
      <c r="E626" s="346"/>
      <c r="F626" s="346"/>
      <c r="G626" s="346"/>
      <c r="H626" s="346"/>
      <c r="I626" s="346"/>
      <c r="J626" s="346"/>
      <c r="K626" s="346"/>
      <c r="L626" s="346"/>
      <c r="M626" s="346"/>
      <c r="N626" s="346"/>
      <c r="O626" s="346"/>
      <c r="P626" s="346"/>
      <c r="Q626" s="346"/>
      <c r="R626" s="346"/>
      <c r="S626" s="346"/>
      <c r="T626" s="346"/>
      <c r="U626" s="346"/>
      <c r="V626" s="346"/>
      <c r="W626" s="346"/>
      <c r="X626" s="346"/>
      <c r="Y626" s="346"/>
      <c r="Z626" s="346"/>
      <c r="AA626" s="346"/>
      <c r="AB626" s="346"/>
      <c r="AC626" s="346"/>
      <c r="AD626" s="346"/>
      <c r="AE626" s="346"/>
      <c r="AF626" s="346"/>
      <c r="AG626" s="346"/>
      <c r="AH626" s="346"/>
      <c r="AI626" s="346"/>
      <c r="AJ626" s="346"/>
      <c r="AK626" s="346"/>
      <c r="AL626" s="346"/>
      <c r="AM626" s="346"/>
      <c r="AN626">
        <f t="shared" si="98"/>
        <v>0</v>
      </c>
      <c r="AO626" s="351" t="e">
        <f t="shared" si="99"/>
        <v>#DIV/0!</v>
      </c>
    </row>
    <row r="627" spans="1:41">
      <c r="A627" s="165">
        <f>'Conveyor Downtime (new)'!A655</f>
        <v>0</v>
      </c>
      <c r="AN627">
        <f t="shared" si="98"/>
        <v>0</v>
      </c>
      <c r="AO627" s="351" t="e">
        <f t="shared" si="99"/>
        <v>#DIV/0!</v>
      </c>
    </row>
    <row r="628" spans="1:41">
      <c r="A628" s="165">
        <f>'Conveyor Downtime (new)'!A656</f>
        <v>0</v>
      </c>
      <c r="B628" s="346"/>
      <c r="C628" s="346"/>
      <c r="D628" s="346"/>
      <c r="E628" s="346"/>
      <c r="F628" s="346"/>
      <c r="G628" s="346"/>
      <c r="H628" s="346"/>
      <c r="I628" s="346"/>
      <c r="J628" s="346"/>
      <c r="K628" s="346"/>
      <c r="L628" s="346"/>
      <c r="M628" s="346"/>
      <c r="N628" s="346"/>
      <c r="O628" s="346"/>
      <c r="P628" s="346"/>
      <c r="Q628" s="346"/>
      <c r="R628" s="346"/>
      <c r="S628" s="346"/>
      <c r="T628" s="346"/>
      <c r="U628" s="346"/>
      <c r="V628" s="346"/>
      <c r="W628" s="346"/>
      <c r="X628" s="346"/>
      <c r="Y628" s="346"/>
      <c r="Z628" s="346"/>
      <c r="AA628" s="346"/>
      <c r="AB628" s="346"/>
      <c r="AC628" s="346"/>
      <c r="AD628" s="346"/>
      <c r="AE628" s="346"/>
      <c r="AF628" s="346"/>
      <c r="AG628" s="346"/>
      <c r="AH628" s="346"/>
      <c r="AI628" s="346"/>
      <c r="AJ628" s="346"/>
      <c r="AK628" s="346"/>
      <c r="AL628" s="346"/>
      <c r="AM628" s="346"/>
      <c r="AN628">
        <f t="shared" si="98"/>
        <v>0</v>
      </c>
      <c r="AO628" s="351" t="e">
        <f t="shared" si="99"/>
        <v>#DIV/0!</v>
      </c>
    </row>
    <row r="629" spans="1:41">
      <c r="A629" s="165">
        <f>'Conveyor Downtime (new)'!A657</f>
        <v>0</v>
      </c>
      <c r="AN629">
        <f t="shared" si="98"/>
        <v>0</v>
      </c>
      <c r="AO629" s="351" t="e">
        <f t="shared" si="99"/>
        <v>#DIV/0!</v>
      </c>
    </row>
    <row r="630" spans="1:41">
      <c r="A630" s="165">
        <f>'Conveyor Downtime (new)'!A658</f>
        <v>0</v>
      </c>
      <c r="B630" s="346"/>
      <c r="C630" s="346"/>
      <c r="D630" s="346"/>
      <c r="E630" s="346"/>
      <c r="F630" s="346"/>
      <c r="G630" s="346"/>
      <c r="H630" s="346"/>
      <c r="I630" s="346"/>
      <c r="J630" s="346"/>
      <c r="K630" s="346"/>
      <c r="L630" s="346"/>
      <c r="M630" s="346"/>
      <c r="N630" s="346"/>
      <c r="O630" s="346"/>
      <c r="P630" s="346"/>
      <c r="Q630" s="346"/>
      <c r="R630" s="346"/>
      <c r="S630" s="346"/>
      <c r="T630" s="346"/>
      <c r="U630" s="346"/>
      <c r="V630" s="346"/>
      <c r="W630" s="346"/>
      <c r="X630" s="346"/>
      <c r="Y630" s="346"/>
      <c r="Z630" s="346"/>
      <c r="AA630" s="346"/>
      <c r="AB630" s="346"/>
      <c r="AC630" s="346"/>
      <c r="AD630" s="346"/>
      <c r="AE630" s="346"/>
      <c r="AF630" s="346"/>
      <c r="AG630" s="346"/>
      <c r="AH630" s="346"/>
      <c r="AI630" s="346"/>
      <c r="AJ630" s="346"/>
      <c r="AK630" s="346"/>
      <c r="AL630" s="346"/>
      <c r="AM630" s="346"/>
      <c r="AN630">
        <f t="shared" si="98"/>
        <v>0</v>
      </c>
      <c r="AO630" s="351" t="e">
        <f t="shared" si="99"/>
        <v>#DIV/0!</v>
      </c>
    </row>
    <row r="631" spans="1:41">
      <c r="A631" s="165"/>
    </row>
    <row r="632" spans="1:41">
      <c r="A632" s="165"/>
      <c r="B632" s="346"/>
      <c r="C632" s="346"/>
      <c r="D632" s="346"/>
      <c r="E632" s="346"/>
      <c r="F632" s="346"/>
      <c r="G632" s="346"/>
      <c r="H632" s="346"/>
      <c r="I632" s="346"/>
      <c r="J632" s="346"/>
      <c r="K632" s="346"/>
      <c r="L632" s="346"/>
      <c r="M632" s="346"/>
      <c r="N632" s="346"/>
      <c r="O632" s="346"/>
      <c r="P632" s="346"/>
      <c r="Q632" s="346"/>
      <c r="R632" s="346"/>
      <c r="S632" s="346"/>
      <c r="T632" s="346"/>
      <c r="U632" s="346"/>
      <c r="V632" s="346"/>
      <c r="W632" s="346"/>
      <c r="X632" s="346"/>
      <c r="Y632" s="346"/>
      <c r="Z632" s="346"/>
      <c r="AA632" s="346"/>
      <c r="AB632" s="346"/>
      <c r="AC632" s="346"/>
      <c r="AD632" s="346"/>
      <c r="AE632" s="346"/>
      <c r="AF632" s="346"/>
      <c r="AG632" s="346"/>
      <c r="AH632" s="346"/>
      <c r="AI632" s="346"/>
      <c r="AJ632" s="346"/>
      <c r="AK632" s="346"/>
      <c r="AL632" s="346"/>
      <c r="AM632" s="346"/>
    </row>
    <row r="633" spans="1:41">
      <c r="A633" s="165"/>
    </row>
    <row r="634" spans="1:41">
      <c r="A634" s="165"/>
      <c r="B634" s="346"/>
      <c r="C634" s="346"/>
      <c r="D634" s="346"/>
      <c r="E634" s="346"/>
      <c r="F634" s="346"/>
      <c r="G634" s="346"/>
      <c r="H634" s="346"/>
      <c r="I634" s="346"/>
      <c r="J634" s="346"/>
      <c r="K634" s="346"/>
      <c r="L634" s="346"/>
      <c r="M634" s="346"/>
      <c r="N634" s="346"/>
      <c r="O634" s="346"/>
      <c r="P634" s="346"/>
      <c r="Q634" s="346"/>
      <c r="R634" s="346"/>
      <c r="S634" s="346"/>
      <c r="T634" s="346"/>
      <c r="U634" s="346"/>
      <c r="V634" s="346"/>
      <c r="W634" s="346"/>
      <c r="X634" s="346"/>
      <c r="Y634" s="346"/>
      <c r="Z634" s="346"/>
      <c r="AA634" s="346"/>
      <c r="AB634" s="346"/>
      <c r="AC634" s="346"/>
      <c r="AD634" s="346"/>
      <c r="AE634" s="346"/>
      <c r="AF634" s="346"/>
      <c r="AG634" s="346"/>
      <c r="AH634" s="346"/>
      <c r="AI634" s="346"/>
      <c r="AJ634" s="346"/>
      <c r="AK634" s="346"/>
      <c r="AL634" s="346"/>
      <c r="AM634" s="346"/>
    </row>
    <row r="635" spans="1:41" ht="15">
      <c r="A635" s="165"/>
      <c r="B635" s="347">
        <f>SUM(B589:B634)</f>
        <v>0</v>
      </c>
      <c r="C635" s="347">
        <f t="shared" ref="C635:AM635" si="100">SUM(C589:C634)</f>
        <v>0</v>
      </c>
      <c r="D635" s="347">
        <f t="shared" si="100"/>
        <v>0</v>
      </c>
      <c r="E635" s="347">
        <f t="shared" si="100"/>
        <v>0</v>
      </c>
      <c r="F635" s="347">
        <f t="shared" si="100"/>
        <v>0</v>
      </c>
      <c r="G635" s="347">
        <f t="shared" si="100"/>
        <v>0</v>
      </c>
      <c r="H635" s="347">
        <f t="shared" si="100"/>
        <v>0</v>
      </c>
      <c r="I635" s="347">
        <f t="shared" si="100"/>
        <v>0</v>
      </c>
      <c r="J635" s="347">
        <f t="shared" si="100"/>
        <v>0</v>
      </c>
      <c r="K635" s="347">
        <f t="shared" si="100"/>
        <v>0</v>
      </c>
      <c r="L635" s="347">
        <f t="shared" si="100"/>
        <v>0</v>
      </c>
      <c r="M635" s="347">
        <f t="shared" si="100"/>
        <v>0</v>
      </c>
      <c r="N635" s="347">
        <f t="shared" si="100"/>
        <v>0</v>
      </c>
      <c r="O635" s="347">
        <f t="shared" si="100"/>
        <v>0</v>
      </c>
      <c r="P635" s="347">
        <f t="shared" si="100"/>
        <v>0</v>
      </c>
      <c r="Q635" s="347">
        <f t="shared" si="100"/>
        <v>0</v>
      </c>
      <c r="R635" s="347">
        <f t="shared" si="100"/>
        <v>0</v>
      </c>
      <c r="S635" s="347">
        <f t="shared" si="100"/>
        <v>0</v>
      </c>
      <c r="T635" s="347">
        <f t="shared" si="100"/>
        <v>0</v>
      </c>
      <c r="U635" s="347">
        <f t="shared" si="100"/>
        <v>0</v>
      </c>
      <c r="V635" s="347">
        <f t="shared" si="100"/>
        <v>0</v>
      </c>
      <c r="W635" s="347">
        <f t="shared" si="100"/>
        <v>0</v>
      </c>
      <c r="X635" s="347">
        <f t="shared" si="100"/>
        <v>0</v>
      </c>
      <c r="Y635" s="347">
        <f t="shared" si="100"/>
        <v>0</v>
      </c>
      <c r="Z635" s="347">
        <f>SUM(Z589:Z634)</f>
        <v>0</v>
      </c>
      <c r="AA635" s="347">
        <f t="shared" si="100"/>
        <v>0</v>
      </c>
      <c r="AB635" s="347">
        <f t="shared" si="100"/>
        <v>0</v>
      </c>
      <c r="AC635" s="347">
        <f t="shared" si="100"/>
        <v>0</v>
      </c>
      <c r="AD635" s="347">
        <f t="shared" si="100"/>
        <v>0</v>
      </c>
      <c r="AE635" s="347">
        <f t="shared" si="100"/>
        <v>0</v>
      </c>
      <c r="AF635" s="347">
        <f t="shared" si="100"/>
        <v>0</v>
      </c>
      <c r="AG635" s="347">
        <f t="shared" si="100"/>
        <v>0</v>
      </c>
      <c r="AH635" s="347">
        <f t="shared" si="100"/>
        <v>0</v>
      </c>
      <c r="AI635" s="347">
        <f t="shared" si="100"/>
        <v>0</v>
      </c>
      <c r="AJ635" s="347">
        <f t="shared" si="100"/>
        <v>0</v>
      </c>
      <c r="AK635" s="347">
        <f t="shared" si="100"/>
        <v>0</v>
      </c>
      <c r="AL635" s="347">
        <f t="shared" si="100"/>
        <v>0</v>
      </c>
      <c r="AM635" s="347">
        <f t="shared" si="100"/>
        <v>0</v>
      </c>
      <c r="AN635" s="347">
        <f>SUM(AN589:AN634)</f>
        <v>0</v>
      </c>
    </row>
    <row r="636" spans="1:41" ht="15.75" thickBot="1">
      <c r="A636" s="165"/>
      <c r="B636" s="348" t="e">
        <f t="shared" ref="B636:Q636" si="101">B635/$AN635</f>
        <v>#DIV/0!</v>
      </c>
      <c r="C636" s="348" t="e">
        <f t="shared" si="101"/>
        <v>#DIV/0!</v>
      </c>
      <c r="D636" s="348" t="e">
        <f t="shared" si="101"/>
        <v>#DIV/0!</v>
      </c>
      <c r="E636" s="348" t="e">
        <f t="shared" si="101"/>
        <v>#DIV/0!</v>
      </c>
      <c r="F636" s="348" t="e">
        <f t="shared" si="101"/>
        <v>#DIV/0!</v>
      </c>
      <c r="G636" s="348" t="e">
        <f t="shared" si="101"/>
        <v>#DIV/0!</v>
      </c>
      <c r="H636" s="348" t="e">
        <f t="shared" si="101"/>
        <v>#DIV/0!</v>
      </c>
      <c r="I636" s="348" t="e">
        <f t="shared" si="101"/>
        <v>#DIV/0!</v>
      </c>
      <c r="J636" s="348" t="e">
        <f t="shared" si="101"/>
        <v>#DIV/0!</v>
      </c>
      <c r="K636" s="348" t="e">
        <f t="shared" si="101"/>
        <v>#DIV/0!</v>
      </c>
      <c r="L636" s="348" t="e">
        <f t="shared" si="101"/>
        <v>#DIV/0!</v>
      </c>
      <c r="M636" s="348" t="e">
        <f t="shared" si="101"/>
        <v>#DIV/0!</v>
      </c>
      <c r="N636" s="348" t="e">
        <f t="shared" si="101"/>
        <v>#DIV/0!</v>
      </c>
      <c r="O636" s="348" t="e">
        <f t="shared" si="101"/>
        <v>#DIV/0!</v>
      </c>
      <c r="P636" s="348" t="e">
        <f t="shared" si="101"/>
        <v>#DIV/0!</v>
      </c>
      <c r="Q636" s="348" t="e">
        <f t="shared" si="101"/>
        <v>#DIV/0!</v>
      </c>
      <c r="R636" s="348" t="e">
        <f t="shared" ref="R636:AF636" si="102">R635/$AN635</f>
        <v>#DIV/0!</v>
      </c>
      <c r="S636" s="348" t="e">
        <f t="shared" si="102"/>
        <v>#DIV/0!</v>
      </c>
      <c r="T636" s="348" t="e">
        <f t="shared" si="102"/>
        <v>#DIV/0!</v>
      </c>
      <c r="U636" s="348" t="e">
        <f t="shared" si="102"/>
        <v>#DIV/0!</v>
      </c>
      <c r="V636" s="348" t="e">
        <f t="shared" si="102"/>
        <v>#DIV/0!</v>
      </c>
      <c r="W636" s="348" t="e">
        <f t="shared" si="102"/>
        <v>#DIV/0!</v>
      </c>
      <c r="X636" s="348" t="e">
        <f t="shared" si="102"/>
        <v>#DIV/0!</v>
      </c>
      <c r="Y636" s="348" t="e">
        <f t="shared" si="102"/>
        <v>#DIV/0!</v>
      </c>
      <c r="Z636" s="348" t="e">
        <f t="shared" si="102"/>
        <v>#DIV/0!</v>
      </c>
      <c r="AA636" s="348" t="e">
        <f t="shared" si="102"/>
        <v>#DIV/0!</v>
      </c>
      <c r="AB636" s="348" t="e">
        <f t="shared" si="102"/>
        <v>#DIV/0!</v>
      </c>
      <c r="AC636" s="348" t="e">
        <f t="shared" si="102"/>
        <v>#DIV/0!</v>
      </c>
      <c r="AD636" s="348" t="e">
        <f t="shared" si="102"/>
        <v>#DIV/0!</v>
      </c>
      <c r="AE636" s="348" t="e">
        <f t="shared" si="102"/>
        <v>#DIV/0!</v>
      </c>
      <c r="AF636" s="348" t="e">
        <f t="shared" si="102"/>
        <v>#DIV/0!</v>
      </c>
      <c r="AG636" s="348" t="e">
        <f t="shared" ref="AG636:AM636" si="103">AG635/$AN635</f>
        <v>#DIV/0!</v>
      </c>
      <c r="AH636" s="348" t="e">
        <f t="shared" si="103"/>
        <v>#DIV/0!</v>
      </c>
      <c r="AI636" s="348" t="e">
        <f t="shared" si="103"/>
        <v>#DIV/0!</v>
      </c>
      <c r="AJ636" s="348" t="e">
        <f t="shared" si="103"/>
        <v>#DIV/0!</v>
      </c>
      <c r="AK636" s="348" t="e">
        <f t="shared" si="103"/>
        <v>#DIV/0!</v>
      </c>
      <c r="AL636" s="348" t="e">
        <f t="shared" si="103"/>
        <v>#DIV/0!</v>
      </c>
      <c r="AM636" s="348" t="e">
        <f t="shared" si="103"/>
        <v>#DIV/0!</v>
      </c>
    </row>
    <row r="640" spans="1:41">
      <c r="A640" s="165">
        <f>'Conveyor Downtime (new)'!A678</f>
        <v>0</v>
      </c>
      <c r="B640" s="346"/>
      <c r="C640" s="346"/>
      <c r="D640" s="346"/>
      <c r="E640" s="346"/>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s="346"/>
      <c r="AL640" s="346"/>
      <c r="AM640" s="346"/>
      <c r="AN640">
        <f t="shared" ref="AN640:AN690" si="104">SUM(B640:AM640)</f>
        <v>0</v>
      </c>
      <c r="AO640" s="351" t="e">
        <f t="shared" ref="AO640:AO689" si="105">AN640/AN691</f>
        <v>#DIV/0!</v>
      </c>
    </row>
    <row r="641" spans="1:41">
      <c r="A641" s="165">
        <f>'Conveyor Downtime (new)'!A679</f>
        <v>0</v>
      </c>
      <c r="AN641">
        <f t="shared" si="104"/>
        <v>0</v>
      </c>
      <c r="AO641" s="351" t="e">
        <f t="shared" si="105"/>
        <v>#DIV/0!</v>
      </c>
    </row>
    <row r="642" spans="1:41">
      <c r="A642" s="165">
        <f>'Conveyor Downtime (new)'!A680</f>
        <v>0</v>
      </c>
      <c r="B642" s="346"/>
      <c r="C642" s="346"/>
      <c r="D642" s="346"/>
      <c r="E642" s="346"/>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s="346"/>
      <c r="AG642" s="346"/>
      <c r="AH642" s="346"/>
      <c r="AI642" s="346"/>
      <c r="AJ642" s="346"/>
      <c r="AK642" s="346"/>
      <c r="AL642" s="346"/>
      <c r="AM642" s="346"/>
      <c r="AN642">
        <f t="shared" si="104"/>
        <v>0</v>
      </c>
      <c r="AO642" s="351" t="e">
        <f t="shared" si="105"/>
        <v>#DIV/0!</v>
      </c>
    </row>
    <row r="643" spans="1:41">
      <c r="A643" s="165">
        <f>'Conveyor Downtime (new)'!A681</f>
        <v>0</v>
      </c>
      <c r="AN643">
        <f t="shared" si="104"/>
        <v>0</v>
      </c>
      <c r="AO643" s="351" t="e">
        <f t="shared" si="105"/>
        <v>#DIV/0!</v>
      </c>
    </row>
    <row r="644" spans="1:41">
      <c r="A644" s="165">
        <f>'Conveyor Downtime (new)'!A682</f>
        <v>0</v>
      </c>
      <c r="B644" s="346"/>
      <c r="C644" s="346"/>
      <c r="D644" s="346"/>
      <c r="E644" s="346"/>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346"/>
      <c r="AK644" s="346"/>
      <c r="AL644" s="346"/>
      <c r="AM644" s="346"/>
      <c r="AN644">
        <f t="shared" si="104"/>
        <v>0</v>
      </c>
      <c r="AO644" s="351">
        <f t="shared" si="105"/>
        <v>0</v>
      </c>
    </row>
    <row r="645" spans="1:41">
      <c r="A645" s="165">
        <f>'[1]Conveyor Downtime (new)'!A681</f>
        <v>45995</v>
      </c>
      <c r="AN645">
        <f t="shared" si="104"/>
        <v>0</v>
      </c>
      <c r="AO645" s="351" t="e">
        <f t="shared" si="105"/>
        <v>#DIV/0!</v>
      </c>
    </row>
    <row r="646" spans="1:41">
      <c r="A646" s="165">
        <f>'[1]Conveyor Downtime (new)'!A682</f>
        <v>45995</v>
      </c>
      <c r="B646" s="346"/>
      <c r="C646" s="346"/>
      <c r="D646" s="346"/>
      <c r="E646" s="346"/>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s="346"/>
      <c r="AL646" s="346"/>
      <c r="AM646" s="346"/>
      <c r="AN646">
        <f t="shared" si="104"/>
        <v>0</v>
      </c>
      <c r="AO646" s="351" t="e">
        <f t="shared" si="105"/>
        <v>#DIV/0!</v>
      </c>
    </row>
    <row r="647" spans="1:41">
      <c r="A647" s="165">
        <f>'[1]Conveyor Downtime (new)'!A683</f>
        <v>45995</v>
      </c>
      <c r="AN647">
        <f t="shared" si="104"/>
        <v>0</v>
      </c>
      <c r="AO647" s="351" t="e">
        <f t="shared" si="105"/>
        <v>#DIV/0!</v>
      </c>
    </row>
    <row r="648" spans="1:41">
      <c r="A648" s="165">
        <f>'[1]Conveyor Downtime (new)'!A684</f>
        <v>45996</v>
      </c>
      <c r="B648" s="346"/>
      <c r="C648" s="346"/>
      <c r="D648" s="346"/>
      <c r="E648" s="346"/>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s="346"/>
      <c r="AL648" s="346"/>
      <c r="AM648" s="346"/>
      <c r="AN648">
        <f t="shared" si="104"/>
        <v>0</v>
      </c>
      <c r="AO648" s="351" t="e">
        <f t="shared" si="105"/>
        <v>#DIV/0!</v>
      </c>
    </row>
    <row r="649" spans="1:41">
      <c r="A649" s="165">
        <f>'Conveyor Downtime (new)'!A687</f>
        <v>0</v>
      </c>
      <c r="AN649">
        <f t="shared" si="104"/>
        <v>0</v>
      </c>
      <c r="AO649" s="351" t="e">
        <f t="shared" si="105"/>
        <v>#DIV/0!</v>
      </c>
    </row>
    <row r="650" spans="1:41">
      <c r="A650" s="165">
        <f>'Conveyor Downtime (new)'!A688</f>
        <v>0</v>
      </c>
      <c r="B650" s="346"/>
      <c r="C650" s="346"/>
      <c r="D650" s="346"/>
      <c r="E650" s="346"/>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s="346"/>
      <c r="AL650" s="346"/>
      <c r="AM650" s="346"/>
      <c r="AN650">
        <f t="shared" si="104"/>
        <v>0</v>
      </c>
      <c r="AO650" s="351" t="e">
        <f t="shared" si="105"/>
        <v>#DIV/0!</v>
      </c>
    </row>
    <row r="651" spans="1:41">
      <c r="A651" s="165">
        <f>'Conveyor Downtime (new)'!A689</f>
        <v>0</v>
      </c>
      <c r="AN651">
        <f t="shared" si="104"/>
        <v>0</v>
      </c>
      <c r="AO651" s="351" t="e">
        <f t="shared" si="105"/>
        <v>#DIV/0!</v>
      </c>
    </row>
    <row r="652" spans="1:41">
      <c r="A652" s="165">
        <f>'Conveyor Downtime (new)'!A690</f>
        <v>0</v>
      </c>
      <c r="B652" s="346"/>
      <c r="C652" s="346"/>
      <c r="D652" s="346"/>
      <c r="E652" s="346"/>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s="346"/>
      <c r="AL652" s="346"/>
      <c r="AM652" s="346"/>
      <c r="AN652">
        <f t="shared" si="104"/>
        <v>0</v>
      </c>
      <c r="AO652" s="351" t="e">
        <f t="shared" si="105"/>
        <v>#DIV/0!</v>
      </c>
    </row>
    <row r="653" spans="1:41">
      <c r="A653" s="165">
        <f>'Conveyor Downtime (new)'!A691</f>
        <v>0</v>
      </c>
      <c r="M653" s="363"/>
      <c r="AN653">
        <f t="shared" si="104"/>
        <v>0</v>
      </c>
      <c r="AO653" s="351" t="e">
        <f t="shared" si="105"/>
        <v>#DIV/0!</v>
      </c>
    </row>
    <row r="654" spans="1:41">
      <c r="A654" s="165">
        <f>'Conveyor Downtime (new)'!A692</f>
        <v>0</v>
      </c>
      <c r="B654" s="346"/>
      <c r="C654" s="346"/>
      <c r="D654" s="346"/>
      <c r="E654" s="346"/>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s="346"/>
      <c r="AL654" s="346"/>
      <c r="AM654" s="346"/>
      <c r="AN654">
        <f t="shared" si="104"/>
        <v>0</v>
      </c>
      <c r="AO654" s="351" t="e">
        <f t="shared" si="105"/>
        <v>#DIV/0!</v>
      </c>
    </row>
    <row r="655" spans="1:41">
      <c r="A655" s="165">
        <f>'Conveyor Downtime (new)'!A693</f>
        <v>0</v>
      </c>
      <c r="AN655">
        <f t="shared" si="104"/>
        <v>0</v>
      </c>
      <c r="AO655" s="351" t="e">
        <f t="shared" si="105"/>
        <v>#DIV/0!</v>
      </c>
    </row>
    <row r="656" spans="1:41">
      <c r="A656" s="165">
        <f>'Conveyor Downtime (new)'!A694</f>
        <v>0</v>
      </c>
      <c r="B656" s="346"/>
      <c r="C656" s="346"/>
      <c r="D656" s="346"/>
      <c r="E656" s="346"/>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s="346"/>
      <c r="AL656" s="346"/>
      <c r="AM656" s="346"/>
      <c r="AN656">
        <f t="shared" si="104"/>
        <v>0</v>
      </c>
      <c r="AO656" s="351" t="e">
        <f t="shared" si="105"/>
        <v>#DIV/0!</v>
      </c>
    </row>
    <row r="657" spans="1:41">
      <c r="A657" s="165">
        <f>'Conveyor Downtime (new)'!A695</f>
        <v>0</v>
      </c>
      <c r="AN657">
        <f t="shared" si="104"/>
        <v>0</v>
      </c>
      <c r="AO657" s="351" t="e">
        <f t="shared" si="105"/>
        <v>#DIV/0!</v>
      </c>
    </row>
    <row r="658" spans="1:41">
      <c r="A658" s="165">
        <f>'Conveyor Downtime (new)'!A696</f>
        <v>0</v>
      </c>
      <c r="B658" s="346"/>
      <c r="C658" s="346"/>
      <c r="D658" s="346"/>
      <c r="E658" s="346"/>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s="346"/>
      <c r="AL658" s="346"/>
      <c r="AM658" s="346"/>
      <c r="AN658">
        <f t="shared" si="104"/>
        <v>0</v>
      </c>
      <c r="AO658" s="351" t="e">
        <f t="shared" si="105"/>
        <v>#DIV/0!</v>
      </c>
    </row>
    <row r="659" spans="1:41">
      <c r="A659" s="165">
        <f>'Conveyor Downtime (new)'!A697</f>
        <v>0</v>
      </c>
      <c r="AN659">
        <f t="shared" si="104"/>
        <v>0</v>
      </c>
      <c r="AO659" s="351" t="e">
        <f t="shared" si="105"/>
        <v>#DIV/0!</v>
      </c>
    </row>
    <row r="660" spans="1:41">
      <c r="A660" s="165">
        <f>'Conveyor Downtime (new)'!A698</f>
        <v>0</v>
      </c>
      <c r="B660" s="346"/>
      <c r="C660" s="346"/>
      <c r="D660" s="346"/>
      <c r="E660" s="346"/>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s="346"/>
      <c r="AL660" s="346"/>
      <c r="AM660" s="346"/>
      <c r="AN660">
        <f t="shared" si="104"/>
        <v>0</v>
      </c>
      <c r="AO660" s="351" t="e">
        <f t="shared" si="105"/>
        <v>#DIV/0!</v>
      </c>
    </row>
    <row r="661" spans="1:41">
      <c r="A661" s="165">
        <f>'Conveyor Downtime (new)'!A699</f>
        <v>0</v>
      </c>
      <c r="AN661">
        <f t="shared" si="104"/>
        <v>0</v>
      </c>
      <c r="AO661" s="351" t="e">
        <f t="shared" si="105"/>
        <v>#DIV/0!</v>
      </c>
    </row>
    <row r="662" spans="1:41">
      <c r="A662" s="165">
        <f>'Conveyor Downtime (new)'!A700</f>
        <v>0</v>
      </c>
      <c r="B662" s="346"/>
      <c r="C662" s="346"/>
      <c r="D662" s="346"/>
      <c r="E662" s="346"/>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346"/>
      <c r="AK662" s="346"/>
      <c r="AL662" s="346"/>
      <c r="AM662" s="346"/>
      <c r="AN662">
        <f t="shared" si="104"/>
        <v>0</v>
      </c>
      <c r="AO662" s="351" t="e">
        <f t="shared" si="105"/>
        <v>#DIV/0!</v>
      </c>
    </row>
    <row r="663" spans="1:41">
      <c r="A663" s="165">
        <f>'Conveyor Downtime (new)'!A701</f>
        <v>0</v>
      </c>
      <c r="AN663">
        <f t="shared" si="104"/>
        <v>0</v>
      </c>
      <c r="AO663" s="351" t="e">
        <f t="shared" si="105"/>
        <v>#DIV/0!</v>
      </c>
    </row>
    <row r="664" spans="1:41">
      <c r="A664" s="165">
        <f>'Conveyor Downtime (new)'!A702</f>
        <v>0</v>
      </c>
      <c r="B664" s="346"/>
      <c r="C664" s="346"/>
      <c r="D664" s="346"/>
      <c r="E664" s="346"/>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s="346"/>
      <c r="AL664" s="346"/>
      <c r="AM664" s="346"/>
      <c r="AN664">
        <f t="shared" si="104"/>
        <v>0</v>
      </c>
      <c r="AO664" s="351" t="e">
        <f t="shared" si="105"/>
        <v>#DIV/0!</v>
      </c>
    </row>
    <row r="665" spans="1:41">
      <c r="A665" s="165">
        <f>'Conveyor Downtime (new)'!A703</f>
        <v>0</v>
      </c>
      <c r="AN665">
        <f t="shared" si="104"/>
        <v>0</v>
      </c>
      <c r="AO665" s="351" t="e">
        <f t="shared" si="105"/>
        <v>#DIV/0!</v>
      </c>
    </row>
    <row r="666" spans="1:41">
      <c r="A666" s="165">
        <f>'Conveyor Downtime (new)'!A704</f>
        <v>0</v>
      </c>
      <c r="B666" s="346"/>
      <c r="C666" s="346"/>
      <c r="D666" s="346"/>
      <c r="E666" s="346"/>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346"/>
      <c r="AK666" s="346"/>
      <c r="AL666" s="346"/>
      <c r="AM666" s="346"/>
      <c r="AN666">
        <f t="shared" si="104"/>
        <v>0</v>
      </c>
      <c r="AO666" s="351" t="e">
        <f t="shared" si="105"/>
        <v>#DIV/0!</v>
      </c>
    </row>
    <row r="667" spans="1:41">
      <c r="A667" s="165">
        <f>'Conveyor Downtime (new)'!A705</f>
        <v>0</v>
      </c>
      <c r="AN667">
        <f t="shared" si="104"/>
        <v>0</v>
      </c>
      <c r="AO667" s="351" t="e">
        <f t="shared" si="105"/>
        <v>#DIV/0!</v>
      </c>
    </row>
    <row r="668" spans="1:41">
      <c r="A668" s="165">
        <f>'Conveyor Downtime (new)'!A706</f>
        <v>0</v>
      </c>
      <c r="B668" s="346"/>
      <c r="C668" s="346"/>
      <c r="D668" s="346"/>
      <c r="E668" s="346"/>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346"/>
      <c r="AK668" s="346"/>
      <c r="AL668" s="346"/>
      <c r="AM668" s="346"/>
      <c r="AN668">
        <f t="shared" si="104"/>
        <v>0</v>
      </c>
      <c r="AO668" s="351" t="e">
        <f t="shared" si="105"/>
        <v>#DIV/0!</v>
      </c>
    </row>
    <row r="669" spans="1:41">
      <c r="A669" s="165">
        <f>'Conveyor Downtime (new)'!A707</f>
        <v>0</v>
      </c>
      <c r="AN669">
        <f t="shared" si="104"/>
        <v>0</v>
      </c>
      <c r="AO669" s="351" t="e">
        <f t="shared" si="105"/>
        <v>#DIV/0!</v>
      </c>
    </row>
    <row r="670" spans="1:41">
      <c r="A670" s="165">
        <f>'Conveyor Downtime (new)'!A708</f>
        <v>0</v>
      </c>
      <c r="B670" s="346"/>
      <c r="C670" s="346"/>
      <c r="D670" s="346"/>
      <c r="E670" s="346"/>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s="346"/>
      <c r="AL670" s="346"/>
      <c r="AM670" s="346"/>
      <c r="AN670">
        <f t="shared" si="104"/>
        <v>0</v>
      </c>
      <c r="AO670" s="351" t="e">
        <f t="shared" si="105"/>
        <v>#DIV/0!</v>
      </c>
    </row>
    <row r="671" spans="1:41">
      <c r="A671" s="165">
        <f>'Conveyor Downtime (new)'!A709</f>
        <v>0</v>
      </c>
      <c r="AN671">
        <f t="shared" si="104"/>
        <v>0</v>
      </c>
      <c r="AO671" s="351" t="e">
        <f t="shared" si="105"/>
        <v>#DIV/0!</v>
      </c>
    </row>
    <row r="672" spans="1:41">
      <c r="A672" s="165">
        <f>'Conveyor Downtime (new)'!A710</f>
        <v>0</v>
      </c>
      <c r="B672" s="346"/>
      <c r="C672" s="346"/>
      <c r="D672" s="346"/>
      <c r="E672" s="346"/>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s="346"/>
      <c r="AL672" s="346"/>
      <c r="AM672" s="346"/>
      <c r="AN672">
        <f t="shared" si="104"/>
        <v>0</v>
      </c>
      <c r="AO672" s="351" t="e">
        <f t="shared" si="105"/>
        <v>#DIV/0!</v>
      </c>
    </row>
    <row r="673" spans="1:41">
      <c r="A673" s="165">
        <f>'Conveyor Downtime (new)'!A711</f>
        <v>0</v>
      </c>
      <c r="AN673">
        <f t="shared" si="104"/>
        <v>0</v>
      </c>
      <c r="AO673" s="351" t="e">
        <f t="shared" si="105"/>
        <v>#DIV/0!</v>
      </c>
    </row>
    <row r="674" spans="1:41">
      <c r="A674" s="165">
        <f>'Conveyor Downtime (new)'!A712</f>
        <v>0</v>
      </c>
      <c r="B674" s="346"/>
      <c r="C674" s="346"/>
      <c r="D674" s="346"/>
      <c r="E674" s="346"/>
      <c r="F674" s="346"/>
      <c r="G674" s="346"/>
      <c r="H674" s="346"/>
      <c r="I674" s="346"/>
      <c r="J674" s="346"/>
      <c r="K674" s="346"/>
      <c r="L674" s="346"/>
      <c r="M674" s="346"/>
      <c r="N674" s="346"/>
      <c r="O674" s="346"/>
      <c r="P674" s="346"/>
      <c r="Q674" s="346"/>
      <c r="R674" s="346"/>
      <c r="S674" s="346"/>
      <c r="T674" s="346"/>
      <c r="U674" s="346"/>
      <c r="V674" s="346"/>
      <c r="W674" s="346"/>
      <c r="X674" s="346"/>
      <c r="Y674" s="346"/>
      <c r="Z674" s="346"/>
      <c r="AA674" s="346"/>
      <c r="AB674" s="346"/>
      <c r="AC674" s="346"/>
      <c r="AD674" s="346"/>
      <c r="AE674" s="346"/>
      <c r="AF674" s="346"/>
      <c r="AG674" s="346"/>
      <c r="AH674" s="346"/>
      <c r="AI674" s="346"/>
      <c r="AJ674" s="346"/>
      <c r="AK674" s="346"/>
      <c r="AL674" s="346"/>
      <c r="AM674" s="346"/>
      <c r="AN674">
        <f t="shared" si="104"/>
        <v>0</v>
      </c>
      <c r="AO674" s="351" t="e">
        <f t="shared" si="105"/>
        <v>#DIV/0!</v>
      </c>
    </row>
    <row r="675" spans="1:41">
      <c r="A675" s="165">
        <f>'Conveyor Downtime (new)'!A713</f>
        <v>0</v>
      </c>
      <c r="AN675">
        <f t="shared" si="104"/>
        <v>0</v>
      </c>
      <c r="AO675" s="351" t="e">
        <f t="shared" si="105"/>
        <v>#DIV/0!</v>
      </c>
    </row>
    <row r="676" spans="1:41">
      <c r="A676" s="165">
        <f>'Conveyor Downtime (new)'!A714</f>
        <v>0</v>
      </c>
      <c r="B676" s="346"/>
      <c r="C676" s="346"/>
      <c r="D676" s="346"/>
      <c r="E676" s="346"/>
      <c r="F676" s="346"/>
      <c r="G676" s="346"/>
      <c r="H676" s="346"/>
      <c r="I676" s="346"/>
      <c r="J676" s="346"/>
      <c r="K676" s="346"/>
      <c r="L676" s="346"/>
      <c r="M676" s="346"/>
      <c r="N676" s="346"/>
      <c r="O676" s="346"/>
      <c r="P676" s="346"/>
      <c r="Q676" s="346"/>
      <c r="R676" s="346"/>
      <c r="S676" s="346"/>
      <c r="T676" s="346"/>
      <c r="U676" s="346"/>
      <c r="V676" s="346"/>
      <c r="W676" s="346"/>
      <c r="X676" s="346"/>
      <c r="Y676" s="346"/>
      <c r="Z676" s="346"/>
      <c r="AA676" s="346"/>
      <c r="AB676" s="346"/>
      <c r="AC676" s="346"/>
      <c r="AD676" s="346"/>
      <c r="AE676" s="346"/>
      <c r="AF676" s="346"/>
      <c r="AG676" s="346"/>
      <c r="AH676" s="346"/>
      <c r="AI676" s="346"/>
      <c r="AJ676" s="346"/>
      <c r="AK676" s="346"/>
      <c r="AL676" s="346"/>
      <c r="AM676" s="346"/>
      <c r="AN676">
        <f t="shared" si="104"/>
        <v>0</v>
      </c>
      <c r="AO676" s="351" t="e">
        <f t="shared" si="105"/>
        <v>#DIV/0!</v>
      </c>
    </row>
    <row r="677" spans="1:41">
      <c r="A677" s="165">
        <f>'Conveyor Downtime (new)'!A715</f>
        <v>0</v>
      </c>
      <c r="AN677">
        <f t="shared" si="104"/>
        <v>0</v>
      </c>
      <c r="AO677" s="351" t="e">
        <f t="shared" si="105"/>
        <v>#DIV/0!</v>
      </c>
    </row>
    <row r="678" spans="1:41">
      <c r="A678" s="165">
        <f>'Conveyor Downtime (new)'!A716</f>
        <v>0</v>
      </c>
      <c r="B678" s="346"/>
      <c r="C678" s="346"/>
      <c r="D678" s="346"/>
      <c r="E678" s="346"/>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s="346"/>
      <c r="AL678" s="346"/>
      <c r="AM678" s="346"/>
      <c r="AN678">
        <f t="shared" si="104"/>
        <v>0</v>
      </c>
      <c r="AO678" s="351" t="e">
        <f t="shared" si="105"/>
        <v>#DIV/0!</v>
      </c>
    </row>
    <row r="679" spans="1:41">
      <c r="A679" s="165">
        <f>'Conveyor Downtime (new)'!A717</f>
        <v>0</v>
      </c>
      <c r="AN679">
        <f t="shared" si="104"/>
        <v>0</v>
      </c>
      <c r="AO679" s="351" t="e">
        <f t="shared" si="105"/>
        <v>#DIV/0!</v>
      </c>
    </row>
    <row r="680" spans="1:41">
      <c r="A680" s="165">
        <f>'Conveyor Downtime (new)'!A718</f>
        <v>0</v>
      </c>
      <c r="B680" s="346"/>
      <c r="C680" s="346"/>
      <c r="D680" s="346"/>
      <c r="E680" s="346"/>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346"/>
      <c r="AL680" s="346"/>
      <c r="AM680" s="346"/>
      <c r="AN680">
        <f t="shared" si="104"/>
        <v>0</v>
      </c>
      <c r="AO680" s="351" t="e">
        <f t="shared" si="105"/>
        <v>#DIV/0!</v>
      </c>
    </row>
    <row r="681" spans="1:41">
      <c r="A681" s="165">
        <f>'Conveyor Downtime (new)'!A719</f>
        <v>0</v>
      </c>
      <c r="AN681">
        <f t="shared" si="104"/>
        <v>0</v>
      </c>
      <c r="AO681" s="351" t="e">
        <f t="shared" si="105"/>
        <v>#DIV/0!</v>
      </c>
    </row>
    <row r="682" spans="1:41">
      <c r="A682" s="165">
        <f>'Conveyor Downtime (new)'!A720</f>
        <v>0</v>
      </c>
      <c r="B682" s="346"/>
      <c r="C682" s="346"/>
      <c r="D682" s="346"/>
      <c r="E682" s="346"/>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s="346"/>
      <c r="AL682" s="346"/>
      <c r="AM682" s="346"/>
      <c r="AN682">
        <f t="shared" si="104"/>
        <v>0</v>
      </c>
      <c r="AO682" s="351" t="e">
        <f t="shared" si="105"/>
        <v>#DIV/0!</v>
      </c>
    </row>
    <row r="683" spans="1:41">
      <c r="A683" s="165">
        <f>'Conveyor Downtime (new)'!A721</f>
        <v>0</v>
      </c>
      <c r="AN683">
        <f t="shared" si="104"/>
        <v>0</v>
      </c>
      <c r="AO683" s="351" t="e">
        <f t="shared" si="105"/>
        <v>#DIV/0!</v>
      </c>
    </row>
    <row r="684" spans="1:41">
      <c r="A684" s="165">
        <f>'Conveyor Downtime (new)'!A722</f>
        <v>0</v>
      </c>
      <c r="B684" s="346"/>
      <c r="C684" s="346"/>
      <c r="D684" s="346"/>
      <c r="E684" s="346"/>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s="346"/>
      <c r="AL684" s="346"/>
      <c r="AM684" s="346"/>
      <c r="AN684">
        <f t="shared" si="104"/>
        <v>0</v>
      </c>
      <c r="AO684" s="351" t="e">
        <f t="shared" si="105"/>
        <v>#DIV/0!</v>
      </c>
    </row>
    <row r="685" spans="1:41">
      <c r="A685" s="165">
        <f>'Conveyor Downtime (new)'!A723</f>
        <v>0</v>
      </c>
      <c r="AN685">
        <f t="shared" si="104"/>
        <v>0</v>
      </c>
      <c r="AO685" s="351" t="e">
        <f t="shared" si="105"/>
        <v>#DIV/0!</v>
      </c>
    </row>
    <row r="686" spans="1:41">
      <c r="A686" s="165">
        <f>'Conveyor Downtime (new)'!A724</f>
        <v>0</v>
      </c>
      <c r="B686" s="346"/>
      <c r="C686" s="346"/>
      <c r="D686" s="346"/>
      <c r="E686" s="346"/>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s="346"/>
      <c r="AL686" s="346"/>
      <c r="AM686" s="346"/>
      <c r="AN686">
        <f t="shared" si="104"/>
        <v>0</v>
      </c>
      <c r="AO686" s="351" t="e">
        <f t="shared" si="105"/>
        <v>#DIV/0!</v>
      </c>
    </row>
    <row r="687" spans="1:41">
      <c r="A687" s="165">
        <f>'Conveyor Downtime (new)'!A725</f>
        <v>0</v>
      </c>
      <c r="AN687">
        <f t="shared" si="104"/>
        <v>0</v>
      </c>
      <c r="AO687" s="351" t="e">
        <f t="shared" si="105"/>
        <v>#DIV/0!</v>
      </c>
    </row>
    <row r="688" spans="1:41">
      <c r="A688" s="165">
        <f>'Conveyor Downtime (new)'!A726</f>
        <v>0</v>
      </c>
      <c r="B688" s="346"/>
      <c r="C688" s="346"/>
      <c r="D688" s="346"/>
      <c r="E688" s="346"/>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346"/>
      <c r="AK688" s="346"/>
      <c r="AL688" s="346"/>
      <c r="AM688" s="346"/>
      <c r="AN688">
        <f t="shared" si="104"/>
        <v>0</v>
      </c>
      <c r="AO688" s="351" t="e">
        <f t="shared" si="105"/>
        <v>#DIV/0!</v>
      </c>
    </row>
    <row r="689" spans="1:41">
      <c r="A689" s="165">
        <f>'Conveyor Downtime (new)'!A727</f>
        <v>0</v>
      </c>
      <c r="AN689">
        <f t="shared" si="104"/>
        <v>0</v>
      </c>
      <c r="AO689" s="351" t="e">
        <f t="shared" si="105"/>
        <v>#DIV/0!</v>
      </c>
    </row>
    <row r="690" spans="1:41">
      <c r="A690" s="165"/>
      <c r="B690" s="346"/>
      <c r="C690" s="346"/>
      <c r="D690" s="346"/>
      <c r="E690" s="346"/>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s="346"/>
      <c r="AL690" s="346"/>
      <c r="AM690" s="346"/>
      <c r="AN690">
        <f t="shared" si="104"/>
        <v>0</v>
      </c>
      <c r="AO690" s="351" t="e">
        <f>AN690/AN739</f>
        <v>#DIV/0!</v>
      </c>
    </row>
    <row r="691" spans="1:41" ht="15">
      <c r="A691" s="347" t="s">
        <v>173</v>
      </c>
      <c r="B691" s="347">
        <f>SUM(B640:B690)</f>
        <v>0</v>
      </c>
      <c r="C691" s="347">
        <f>SUM(C640:C690)</f>
        <v>0</v>
      </c>
      <c r="D691" s="347">
        <f t="shared" ref="D691:AL691" si="106">SUM(D640:D690)</f>
        <v>0</v>
      </c>
      <c r="E691" s="347">
        <f t="shared" si="106"/>
        <v>0</v>
      </c>
      <c r="F691" s="347">
        <f t="shared" si="106"/>
        <v>0</v>
      </c>
      <c r="G691" s="347">
        <f t="shared" si="106"/>
        <v>0</v>
      </c>
      <c r="H691" s="347">
        <f t="shared" si="106"/>
        <v>0</v>
      </c>
      <c r="I691" s="347">
        <f t="shared" si="106"/>
        <v>0</v>
      </c>
      <c r="J691" s="347">
        <f t="shared" si="106"/>
        <v>0</v>
      </c>
      <c r="K691" s="347">
        <f t="shared" si="106"/>
        <v>0</v>
      </c>
      <c r="L691" s="347">
        <f t="shared" si="106"/>
        <v>0</v>
      </c>
      <c r="M691" s="347">
        <f t="shared" si="106"/>
        <v>0</v>
      </c>
      <c r="N691" s="347">
        <f t="shared" si="106"/>
        <v>0</v>
      </c>
      <c r="O691" s="347">
        <f t="shared" si="106"/>
        <v>0</v>
      </c>
      <c r="P691" s="347">
        <f t="shared" si="106"/>
        <v>0</v>
      </c>
      <c r="Q691" s="347">
        <f t="shared" si="106"/>
        <v>0</v>
      </c>
      <c r="R691" s="347">
        <f t="shared" si="106"/>
        <v>0</v>
      </c>
      <c r="S691" s="347">
        <f t="shared" si="106"/>
        <v>0</v>
      </c>
      <c r="T691" s="347">
        <f t="shared" si="106"/>
        <v>0</v>
      </c>
      <c r="U691" s="347">
        <f t="shared" si="106"/>
        <v>0</v>
      </c>
      <c r="V691" s="347">
        <f t="shared" si="106"/>
        <v>0</v>
      </c>
      <c r="W691" s="347">
        <f t="shared" si="106"/>
        <v>0</v>
      </c>
      <c r="X691" s="347">
        <f t="shared" si="106"/>
        <v>0</v>
      </c>
      <c r="Y691" s="347">
        <f t="shared" si="106"/>
        <v>0</v>
      </c>
      <c r="Z691" s="347">
        <f>SUM(Z640:Z690)</f>
        <v>0</v>
      </c>
      <c r="AA691" s="347">
        <f t="shared" si="106"/>
        <v>0</v>
      </c>
      <c r="AB691" s="347">
        <f t="shared" si="106"/>
        <v>0</v>
      </c>
      <c r="AC691" s="347">
        <f t="shared" si="106"/>
        <v>0</v>
      </c>
      <c r="AD691" s="347">
        <f t="shared" si="106"/>
        <v>0</v>
      </c>
      <c r="AE691" s="347">
        <f t="shared" si="106"/>
        <v>0</v>
      </c>
      <c r="AF691" s="347">
        <f t="shared" si="106"/>
        <v>0</v>
      </c>
      <c r="AG691" s="347">
        <f t="shared" si="106"/>
        <v>0</v>
      </c>
      <c r="AH691" s="347">
        <f t="shared" si="106"/>
        <v>0</v>
      </c>
      <c r="AI691" s="347">
        <f t="shared" si="106"/>
        <v>0</v>
      </c>
      <c r="AJ691" s="347">
        <f t="shared" si="106"/>
        <v>0</v>
      </c>
      <c r="AK691" s="347">
        <f t="shared" si="106"/>
        <v>0</v>
      </c>
      <c r="AL691" s="347">
        <f t="shared" si="106"/>
        <v>0</v>
      </c>
      <c r="AM691" s="347">
        <f>SUM(AM640:AM690)</f>
        <v>0</v>
      </c>
      <c r="AN691" s="347">
        <f>SUM(AN640:AN690)</f>
        <v>0</v>
      </c>
    </row>
    <row r="692" spans="1:41" ht="15.75" thickBot="1">
      <c r="A692" s="348" t="s">
        <v>174</v>
      </c>
      <c r="B692" s="348" t="e">
        <f>B691/$AN691</f>
        <v>#DIV/0!</v>
      </c>
      <c r="C692" s="348" t="e">
        <f t="shared" ref="C692:AL692" si="107">C691/$AN691</f>
        <v>#DIV/0!</v>
      </c>
      <c r="D692" s="348" t="e">
        <f t="shared" si="107"/>
        <v>#DIV/0!</v>
      </c>
      <c r="E692" s="348" t="e">
        <f t="shared" si="107"/>
        <v>#DIV/0!</v>
      </c>
      <c r="F692" s="348" t="e">
        <f t="shared" si="107"/>
        <v>#DIV/0!</v>
      </c>
      <c r="G692" s="348" t="e">
        <f t="shared" si="107"/>
        <v>#DIV/0!</v>
      </c>
      <c r="H692" s="348" t="e">
        <f t="shared" si="107"/>
        <v>#DIV/0!</v>
      </c>
      <c r="I692" s="348" t="e">
        <f t="shared" si="107"/>
        <v>#DIV/0!</v>
      </c>
      <c r="J692" s="348" t="e">
        <f t="shared" si="107"/>
        <v>#DIV/0!</v>
      </c>
      <c r="K692" s="348" t="e">
        <f t="shared" si="107"/>
        <v>#DIV/0!</v>
      </c>
      <c r="L692" s="348" t="e">
        <f t="shared" si="107"/>
        <v>#DIV/0!</v>
      </c>
      <c r="M692" s="348" t="e">
        <f t="shared" si="107"/>
        <v>#DIV/0!</v>
      </c>
      <c r="N692" s="348" t="e">
        <f t="shared" si="107"/>
        <v>#DIV/0!</v>
      </c>
      <c r="O692" s="348" t="e">
        <f t="shared" si="107"/>
        <v>#DIV/0!</v>
      </c>
      <c r="P692" s="348" t="e">
        <f t="shared" si="107"/>
        <v>#DIV/0!</v>
      </c>
      <c r="Q692" s="348" t="e">
        <f t="shared" si="107"/>
        <v>#DIV/0!</v>
      </c>
      <c r="R692" s="348" t="e">
        <f t="shared" si="107"/>
        <v>#DIV/0!</v>
      </c>
      <c r="S692" s="348" t="e">
        <f t="shared" si="107"/>
        <v>#DIV/0!</v>
      </c>
      <c r="T692" s="348" t="e">
        <f t="shared" si="107"/>
        <v>#DIV/0!</v>
      </c>
      <c r="U692" s="348" t="e">
        <f t="shared" si="107"/>
        <v>#DIV/0!</v>
      </c>
      <c r="V692" s="348" t="e">
        <f t="shared" si="107"/>
        <v>#DIV/0!</v>
      </c>
      <c r="W692" s="348" t="e">
        <f t="shared" si="107"/>
        <v>#DIV/0!</v>
      </c>
      <c r="X692" s="348" t="e">
        <f t="shared" si="107"/>
        <v>#DIV/0!</v>
      </c>
      <c r="Y692" s="348" t="e">
        <f t="shared" si="107"/>
        <v>#DIV/0!</v>
      </c>
      <c r="Z692" s="348" t="e">
        <f t="shared" si="107"/>
        <v>#DIV/0!</v>
      </c>
      <c r="AA692" s="348" t="e">
        <f t="shared" si="107"/>
        <v>#DIV/0!</v>
      </c>
      <c r="AB692" s="348" t="e">
        <f t="shared" si="107"/>
        <v>#DIV/0!</v>
      </c>
      <c r="AC692" s="348" t="e">
        <f t="shared" si="107"/>
        <v>#DIV/0!</v>
      </c>
      <c r="AD692" s="348" t="e">
        <f t="shared" si="107"/>
        <v>#DIV/0!</v>
      </c>
      <c r="AE692" s="348" t="e">
        <f t="shared" si="107"/>
        <v>#DIV/0!</v>
      </c>
      <c r="AF692" s="348" t="e">
        <f t="shared" si="107"/>
        <v>#DIV/0!</v>
      </c>
      <c r="AG692" s="348" t="e">
        <f t="shared" si="107"/>
        <v>#DIV/0!</v>
      </c>
      <c r="AH692" s="348" t="e">
        <f t="shared" si="107"/>
        <v>#DIV/0!</v>
      </c>
      <c r="AI692" s="348" t="e">
        <f t="shared" si="107"/>
        <v>#DIV/0!</v>
      </c>
      <c r="AJ692" s="348" t="e">
        <f t="shared" si="107"/>
        <v>#DIV/0!</v>
      </c>
      <c r="AK692" s="348" t="e">
        <f t="shared" si="107"/>
        <v>#DIV/0!</v>
      </c>
      <c r="AL692" s="348" t="e">
        <f t="shared" si="107"/>
        <v>#DIV/0!</v>
      </c>
      <c r="AM692" s="348" t="e">
        <f>AM691/$AN691</f>
        <v>#DIV/0!</v>
      </c>
    </row>
    <row r="695" spans="1:41" s="184" customFormat="1" ht="15">
      <c r="A695" s="519" t="s">
        <v>173</v>
      </c>
      <c r="B695" s="519">
        <f t="shared" ref="B695:AM695" si="108">SUM(B67,B121,B182,B241,B301,B360,B420,B475,B524,B635,B691,B584)</f>
        <v>868</v>
      </c>
      <c r="C695" s="519">
        <f t="shared" si="108"/>
        <v>202</v>
      </c>
      <c r="D695" s="519">
        <f t="shared" si="108"/>
        <v>123</v>
      </c>
      <c r="E695" s="519">
        <f t="shared" si="108"/>
        <v>8</v>
      </c>
      <c r="F695" s="519">
        <f t="shared" si="108"/>
        <v>340</v>
      </c>
      <c r="G695" s="519">
        <f t="shared" si="108"/>
        <v>0</v>
      </c>
      <c r="H695" s="519">
        <f t="shared" si="108"/>
        <v>13</v>
      </c>
      <c r="I695" s="519">
        <f t="shared" si="108"/>
        <v>28</v>
      </c>
      <c r="J695" s="519">
        <f t="shared" si="108"/>
        <v>0</v>
      </c>
      <c r="K695" s="519">
        <f t="shared" si="108"/>
        <v>0</v>
      </c>
      <c r="L695" s="519">
        <f t="shared" si="108"/>
        <v>0</v>
      </c>
      <c r="M695" s="519">
        <f t="shared" si="108"/>
        <v>77</v>
      </c>
      <c r="N695" s="519">
        <f t="shared" si="108"/>
        <v>556</v>
      </c>
      <c r="O695" s="519">
        <f t="shared" si="108"/>
        <v>0</v>
      </c>
      <c r="P695" s="519">
        <f t="shared" si="108"/>
        <v>0</v>
      </c>
      <c r="Q695" s="519">
        <f t="shared" si="108"/>
        <v>178</v>
      </c>
      <c r="R695" s="519">
        <f t="shared" si="108"/>
        <v>46</v>
      </c>
      <c r="S695" s="519">
        <f t="shared" si="108"/>
        <v>102</v>
      </c>
      <c r="T695" s="519">
        <f t="shared" si="108"/>
        <v>0</v>
      </c>
      <c r="U695" s="519">
        <f t="shared" si="108"/>
        <v>0</v>
      </c>
      <c r="V695" s="519">
        <f t="shared" si="108"/>
        <v>51</v>
      </c>
      <c r="W695" s="519">
        <f t="shared" si="108"/>
        <v>167</v>
      </c>
      <c r="X695" s="519">
        <f t="shared" si="108"/>
        <v>0</v>
      </c>
      <c r="Y695" s="519">
        <f t="shared" si="108"/>
        <v>0</v>
      </c>
      <c r="Z695" s="519">
        <f t="shared" si="108"/>
        <v>495</v>
      </c>
      <c r="AA695" s="519">
        <f t="shared" si="108"/>
        <v>52</v>
      </c>
      <c r="AB695" s="519">
        <f t="shared" si="108"/>
        <v>34</v>
      </c>
      <c r="AC695" s="519">
        <f t="shared" si="108"/>
        <v>0</v>
      </c>
      <c r="AD695" s="519">
        <f t="shared" si="108"/>
        <v>29</v>
      </c>
      <c r="AE695" s="519">
        <f t="shared" si="108"/>
        <v>224</v>
      </c>
      <c r="AF695" s="519">
        <f t="shared" si="108"/>
        <v>0</v>
      </c>
      <c r="AG695" s="519">
        <f t="shared" si="108"/>
        <v>0</v>
      </c>
      <c r="AH695" s="519">
        <f t="shared" si="108"/>
        <v>2</v>
      </c>
      <c r="AI695" s="519">
        <f t="shared" si="108"/>
        <v>0</v>
      </c>
      <c r="AJ695" s="519">
        <f t="shared" si="108"/>
        <v>0</v>
      </c>
      <c r="AK695" s="519">
        <f t="shared" si="108"/>
        <v>0</v>
      </c>
      <c r="AL695" s="519">
        <f t="shared" si="108"/>
        <v>98</v>
      </c>
      <c r="AM695" s="519">
        <f t="shared" si="108"/>
        <v>76</v>
      </c>
      <c r="AN695" s="519">
        <f>SUM(AN67,AN121,AN182,AN241,AN301,AN360,AN420,AN475,AN524,AN584,AN635,AN691)</f>
        <v>3769</v>
      </c>
      <c r="AO695" s="519"/>
    </row>
    <row r="696" spans="1:41" s="184" customFormat="1" ht="15.75" thickBot="1">
      <c r="A696" s="521" t="s">
        <v>43</v>
      </c>
      <c r="B696" s="521">
        <f>B695/$AN695</f>
        <v>0.23029981427434332</v>
      </c>
      <c r="C696" s="521">
        <f t="shared" ref="C696:AM696" si="109">C695/$AN695</f>
        <v>5.3595118068453171E-2</v>
      </c>
      <c r="D696" s="521">
        <f t="shared" si="109"/>
        <v>3.2634651101087819E-2</v>
      </c>
      <c r="E696" s="521">
        <f t="shared" si="109"/>
        <v>2.1225789334040858E-3</v>
      </c>
      <c r="F696" s="521">
        <f t="shared" si="109"/>
        <v>9.0209604669673649E-2</v>
      </c>
      <c r="G696" s="521">
        <f t="shared" si="109"/>
        <v>0</v>
      </c>
      <c r="H696" s="521">
        <f t="shared" si="109"/>
        <v>3.4491907667816399E-3</v>
      </c>
      <c r="I696" s="521">
        <f t="shared" si="109"/>
        <v>7.4290262669143006E-3</v>
      </c>
      <c r="J696" s="521">
        <f t="shared" si="109"/>
        <v>0</v>
      </c>
      <c r="K696" s="521">
        <f t="shared" si="109"/>
        <v>0</v>
      </c>
      <c r="L696" s="521">
        <f t="shared" si="109"/>
        <v>0</v>
      </c>
      <c r="M696" s="521">
        <f t="shared" si="109"/>
        <v>2.0429822234014329E-2</v>
      </c>
      <c r="N696" s="521">
        <f t="shared" si="109"/>
        <v>0.14751923587158397</v>
      </c>
      <c r="O696" s="521">
        <f t="shared" si="109"/>
        <v>0</v>
      </c>
      <c r="P696" s="521">
        <f t="shared" si="109"/>
        <v>0</v>
      </c>
      <c r="Q696" s="521">
        <f t="shared" si="109"/>
        <v>4.7227381268240914E-2</v>
      </c>
      <c r="R696" s="521">
        <f t="shared" si="109"/>
        <v>1.2204828867073494E-2</v>
      </c>
      <c r="S696" s="521">
        <f t="shared" si="109"/>
        <v>2.7062881400902097E-2</v>
      </c>
      <c r="T696" s="521">
        <f>T695/$AN695</f>
        <v>0</v>
      </c>
      <c r="U696" s="521">
        <f t="shared" si="109"/>
        <v>0</v>
      </c>
      <c r="V696" s="521">
        <f t="shared" si="109"/>
        <v>1.3531440700451048E-2</v>
      </c>
      <c r="W696" s="521">
        <f t="shared" si="109"/>
        <v>4.4308835234810294E-2</v>
      </c>
      <c r="X696" s="521">
        <f t="shared" si="109"/>
        <v>0</v>
      </c>
      <c r="Y696" s="521">
        <f t="shared" si="109"/>
        <v>0</v>
      </c>
      <c r="Z696" s="521">
        <f t="shared" si="109"/>
        <v>0.13133457150437783</v>
      </c>
      <c r="AA696" s="521">
        <f t="shared" si="109"/>
        <v>1.379676306712656E-2</v>
      </c>
      <c r="AB696" s="521">
        <f t="shared" si="109"/>
        <v>9.0209604669673656E-3</v>
      </c>
      <c r="AC696" s="521">
        <f t="shared" si="109"/>
        <v>0</v>
      </c>
      <c r="AD696" s="521">
        <f t="shared" si="109"/>
        <v>7.6943486335898119E-3</v>
      </c>
      <c r="AE696" s="521">
        <f t="shared" si="109"/>
        <v>5.9432210135314405E-2</v>
      </c>
      <c r="AF696" s="521">
        <f t="shared" si="109"/>
        <v>0</v>
      </c>
      <c r="AG696" s="521">
        <f t="shared" si="109"/>
        <v>0</v>
      </c>
      <c r="AH696" s="521">
        <f t="shared" si="109"/>
        <v>5.3064473335102144E-4</v>
      </c>
      <c r="AI696" s="521">
        <f t="shared" si="109"/>
        <v>0</v>
      </c>
      <c r="AJ696" s="521">
        <f t="shared" si="109"/>
        <v>0</v>
      </c>
      <c r="AK696" s="521">
        <f t="shared" si="109"/>
        <v>0</v>
      </c>
      <c r="AL696" s="521">
        <f t="shared" si="109"/>
        <v>2.6001591934200052E-2</v>
      </c>
      <c r="AM696" s="521">
        <f t="shared" si="109"/>
        <v>2.0164499867338818E-2</v>
      </c>
      <c r="AO696" s="520"/>
    </row>
  </sheetData>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7">
    <tabColor theme="7"/>
  </sheetPr>
  <dimension ref="A3:AE729"/>
  <sheetViews>
    <sheetView topLeftCell="A2" workbookViewId="0">
      <pane xSplit="1" ySplit="3" topLeftCell="B520" activePane="bottomRight" state="frozen"/>
      <selection pane="topRight"/>
      <selection pane="bottomLeft"/>
      <selection pane="bottomRight" activeCell="M522" sqref="M522"/>
    </sheetView>
  </sheetViews>
  <sheetFormatPr defaultColWidth="9" defaultRowHeight="12.75"/>
  <cols>
    <col min="1" max="3" width="10.42578125" customWidth="1"/>
    <col min="4" max="4" width="12.5703125" customWidth="1"/>
    <col min="5" max="9" width="14.5703125" customWidth="1"/>
    <col min="10" max="24" width="15.42578125" customWidth="1"/>
    <col min="25" max="26" width="13" customWidth="1"/>
    <col min="27" max="28" width="15.42578125" customWidth="1"/>
    <col min="29" max="29" width="10.5703125" customWidth="1"/>
  </cols>
  <sheetData>
    <row r="3" spans="1:31" ht="15">
      <c r="B3" s="644"/>
      <c r="C3" s="644"/>
      <c r="D3" s="644"/>
      <c r="E3" s="644"/>
      <c r="F3" s="644"/>
      <c r="G3" s="644"/>
      <c r="H3" s="644"/>
      <c r="I3" s="644"/>
      <c r="J3" s="644"/>
      <c r="K3" s="644"/>
      <c r="L3" s="644"/>
      <c r="M3" s="644"/>
      <c r="N3" s="644"/>
      <c r="O3" s="644"/>
      <c r="P3" s="644"/>
      <c r="Q3" s="644"/>
      <c r="R3" s="644"/>
      <c r="S3" s="644"/>
      <c r="T3" s="644"/>
      <c r="U3" s="644"/>
      <c r="V3" s="644"/>
      <c r="W3" s="644"/>
      <c r="X3" s="644"/>
      <c r="Y3" s="644"/>
      <c r="Z3" s="644"/>
      <c r="AA3" s="644"/>
      <c r="AB3" s="644"/>
      <c r="AC3" s="644"/>
    </row>
    <row r="4" spans="1:31" s="182" customFormat="1" ht="25.5">
      <c r="A4" s="388" t="s">
        <v>81</v>
      </c>
      <c r="B4" s="381" t="s">
        <v>247</v>
      </c>
      <c r="C4" s="381" t="s">
        <v>248</v>
      </c>
      <c r="D4" s="349" t="s">
        <v>100</v>
      </c>
      <c r="E4" s="349" t="s">
        <v>249</v>
      </c>
      <c r="F4" s="389" t="s">
        <v>250</v>
      </c>
      <c r="G4" s="389" t="s">
        <v>251</v>
      </c>
      <c r="H4" s="390" t="s">
        <v>252</v>
      </c>
      <c r="I4" s="390" t="s">
        <v>253</v>
      </c>
      <c r="J4" s="381" t="s">
        <v>254</v>
      </c>
      <c r="K4" s="381" t="s">
        <v>107</v>
      </c>
      <c r="L4" s="381" t="s">
        <v>255</v>
      </c>
      <c r="M4" s="349" t="s">
        <v>256</v>
      </c>
      <c r="N4" s="349" t="s">
        <v>257</v>
      </c>
      <c r="O4" s="381" t="s">
        <v>258</v>
      </c>
      <c r="P4" s="381" t="s">
        <v>259</v>
      </c>
      <c r="Q4" s="586" t="s">
        <v>260</v>
      </c>
      <c r="R4" s="391" t="s">
        <v>186</v>
      </c>
      <c r="S4" s="391" t="s">
        <v>261</v>
      </c>
      <c r="T4" s="391" t="s">
        <v>226</v>
      </c>
      <c r="U4" s="381" t="s">
        <v>262</v>
      </c>
      <c r="V4" s="381" t="s">
        <v>263</v>
      </c>
      <c r="W4" s="381" t="s">
        <v>264</v>
      </c>
      <c r="X4" s="381" t="s">
        <v>265</v>
      </c>
      <c r="Y4" s="381" t="s">
        <v>266</v>
      </c>
      <c r="Z4" s="381" t="s">
        <v>112</v>
      </c>
      <c r="AA4" s="381" t="s">
        <v>267</v>
      </c>
      <c r="AB4" s="381" t="s">
        <v>268</v>
      </c>
      <c r="AC4" s="381" t="s">
        <v>269</v>
      </c>
    </row>
    <row r="7" spans="1:31">
      <c r="A7" s="165">
        <f>'Conveyor Downtime (new)'!A6</f>
        <v>46024</v>
      </c>
      <c r="AD7">
        <f t="shared" ref="AD7:AD51" si="0">SUM(B7:AC7)</f>
        <v>0</v>
      </c>
      <c r="AE7" s="351">
        <f t="shared" ref="AE7:AE51" si="1">AD7/$AD$65</f>
        <v>0</v>
      </c>
    </row>
    <row r="8" spans="1:31">
      <c r="A8" s="165">
        <f>'Conveyor Downtime (new)'!A7</f>
        <v>46027</v>
      </c>
      <c r="B8" s="346"/>
      <c r="C8" s="346"/>
      <c r="D8" s="346"/>
      <c r="E8" s="346"/>
      <c r="F8" s="346"/>
      <c r="G8" s="346"/>
      <c r="H8" s="346"/>
      <c r="I8" s="346"/>
      <c r="J8" s="346"/>
      <c r="K8" s="346"/>
      <c r="L8" s="346"/>
      <c r="M8" s="346"/>
      <c r="N8" s="346"/>
      <c r="O8" s="346"/>
      <c r="P8" s="346"/>
      <c r="Q8" s="346"/>
      <c r="R8" s="346"/>
      <c r="S8" s="346"/>
      <c r="T8" s="346"/>
      <c r="U8" s="346"/>
      <c r="V8" s="346"/>
      <c r="W8" s="346"/>
      <c r="X8" s="346"/>
      <c r="Y8" s="346"/>
      <c r="Z8" s="346"/>
      <c r="AA8" s="346"/>
      <c r="AB8" s="346"/>
      <c r="AC8" s="346"/>
      <c r="AD8">
        <f t="shared" si="0"/>
        <v>0</v>
      </c>
      <c r="AE8" s="351">
        <f t="shared" si="1"/>
        <v>0</v>
      </c>
    </row>
    <row r="9" spans="1:31">
      <c r="A9" s="165">
        <f>'Conveyor Downtime (new)'!A8</f>
        <v>46028</v>
      </c>
      <c r="AD9">
        <f t="shared" si="0"/>
        <v>0</v>
      </c>
      <c r="AE9" s="351">
        <f t="shared" si="1"/>
        <v>0</v>
      </c>
    </row>
    <row r="10" spans="1:31">
      <c r="A10" s="165">
        <f>'Conveyor Downtime (new)'!A9</f>
        <v>46029</v>
      </c>
      <c r="B10" s="346"/>
      <c r="C10" s="346"/>
      <c r="D10" s="346"/>
      <c r="E10" s="346"/>
      <c r="F10" s="346"/>
      <c r="G10" s="346"/>
      <c r="H10" s="346"/>
      <c r="I10" s="346"/>
      <c r="J10" s="346"/>
      <c r="K10" s="346"/>
      <c r="L10" s="346"/>
      <c r="M10" s="346"/>
      <c r="N10" s="346"/>
      <c r="O10" s="346"/>
      <c r="P10" s="346"/>
      <c r="Q10" s="346"/>
      <c r="R10" s="346"/>
      <c r="S10" s="346"/>
      <c r="T10" s="346"/>
      <c r="U10" s="346"/>
      <c r="V10" s="346"/>
      <c r="W10" s="346"/>
      <c r="X10" s="346"/>
      <c r="Y10" s="346"/>
      <c r="Z10" s="346"/>
      <c r="AA10" s="346"/>
      <c r="AB10" s="346"/>
      <c r="AC10" s="346"/>
      <c r="AD10">
        <f t="shared" si="0"/>
        <v>0</v>
      </c>
      <c r="AE10" s="351">
        <f t="shared" si="1"/>
        <v>0</v>
      </c>
    </row>
    <row r="11" spans="1:31">
      <c r="A11" s="165">
        <f>'Conveyor Downtime (new)'!A10</f>
        <v>46030</v>
      </c>
      <c r="AD11">
        <f t="shared" si="0"/>
        <v>0</v>
      </c>
      <c r="AE11" s="351">
        <f t="shared" si="1"/>
        <v>0</v>
      </c>
    </row>
    <row r="12" spans="1:31">
      <c r="A12" s="165">
        <f>'Conveyor Downtime (new)'!A11</f>
        <v>46031</v>
      </c>
      <c r="B12" s="346"/>
      <c r="C12" s="346"/>
      <c r="D12" s="346"/>
      <c r="E12" s="346"/>
      <c r="F12" s="346"/>
      <c r="G12" s="346"/>
      <c r="H12" s="346"/>
      <c r="I12" s="346"/>
      <c r="J12" s="346"/>
      <c r="K12" s="346">
        <f>3+5</f>
        <v>8</v>
      </c>
      <c r="L12" s="346"/>
      <c r="M12" s="346"/>
      <c r="N12" s="346"/>
      <c r="O12" s="346"/>
      <c r="P12" s="346"/>
      <c r="Q12" s="346"/>
      <c r="R12" s="346"/>
      <c r="S12" s="346"/>
      <c r="T12" s="346"/>
      <c r="U12" s="346"/>
      <c r="V12" s="346"/>
      <c r="W12" s="346"/>
      <c r="X12" s="346"/>
      <c r="Y12" s="346"/>
      <c r="Z12" s="346"/>
      <c r="AA12" s="346"/>
      <c r="AB12" s="346"/>
      <c r="AC12" s="346"/>
      <c r="AD12">
        <f t="shared" si="0"/>
        <v>8</v>
      </c>
      <c r="AE12" s="351">
        <f t="shared" si="1"/>
        <v>0.1095890410958904</v>
      </c>
    </row>
    <row r="13" spans="1:31">
      <c r="A13" s="165">
        <f>'Conveyor Downtime (new)'!A12</f>
        <v>46031</v>
      </c>
      <c r="E13">
        <f>4+4+3</f>
        <v>11</v>
      </c>
      <c r="AD13">
        <f t="shared" si="0"/>
        <v>11</v>
      </c>
      <c r="AE13" s="351">
        <f t="shared" si="1"/>
        <v>0.15068493150684931</v>
      </c>
    </row>
    <row r="14" spans="1:31">
      <c r="A14" s="165">
        <f>'Conveyor Downtime (new)'!A13</f>
        <v>46032</v>
      </c>
      <c r="B14" s="346"/>
      <c r="C14" s="346"/>
      <c r="D14" s="346"/>
      <c r="E14" s="346"/>
      <c r="F14" s="346"/>
      <c r="G14" s="346"/>
      <c r="H14" s="346"/>
      <c r="I14" s="346"/>
      <c r="J14" s="346"/>
      <c r="K14" s="346"/>
      <c r="L14" s="346"/>
      <c r="M14" s="346"/>
      <c r="N14" s="346"/>
      <c r="O14" s="346"/>
      <c r="P14" s="346"/>
      <c r="Q14" s="346"/>
      <c r="R14" s="346"/>
      <c r="S14" s="346"/>
      <c r="T14" s="346"/>
      <c r="U14" s="346"/>
      <c r="V14" s="346"/>
      <c r="W14" s="346"/>
      <c r="X14" s="346"/>
      <c r="Y14" s="346"/>
      <c r="Z14" s="346"/>
      <c r="AA14" s="346"/>
      <c r="AB14" s="346"/>
      <c r="AC14" s="346"/>
      <c r="AD14">
        <f t="shared" si="0"/>
        <v>0</v>
      </c>
      <c r="AE14" s="351">
        <f t="shared" si="1"/>
        <v>0</v>
      </c>
    </row>
    <row r="15" spans="1:31">
      <c r="A15" s="165">
        <f>'Conveyor Downtime (new)'!A14</f>
        <v>46034</v>
      </c>
      <c r="AD15">
        <f t="shared" si="0"/>
        <v>0</v>
      </c>
      <c r="AE15" s="351">
        <f t="shared" si="1"/>
        <v>0</v>
      </c>
    </row>
    <row r="16" spans="1:31">
      <c r="A16" s="165">
        <f>'Conveyor Downtime (new)'!A15</f>
        <v>46034</v>
      </c>
      <c r="B16" s="346">
        <f>8</f>
        <v>8</v>
      </c>
      <c r="C16" s="346"/>
      <c r="D16" s="346"/>
      <c r="E16" s="346"/>
      <c r="F16" s="346"/>
      <c r="G16" s="346"/>
      <c r="H16" s="346"/>
      <c r="I16" s="346"/>
      <c r="J16" s="346"/>
      <c r="K16" s="346"/>
      <c r="L16" s="346"/>
      <c r="M16" s="346"/>
      <c r="N16" s="346"/>
      <c r="O16" s="346"/>
      <c r="P16" s="346"/>
      <c r="Q16" s="346"/>
      <c r="R16" s="346"/>
      <c r="S16" s="346"/>
      <c r="T16" s="346"/>
      <c r="U16" s="346"/>
      <c r="V16" s="346"/>
      <c r="W16" s="346"/>
      <c r="X16" s="346"/>
      <c r="Y16" s="346"/>
      <c r="Z16" s="346"/>
      <c r="AA16" s="346"/>
      <c r="AB16" s="346"/>
      <c r="AC16" s="346"/>
      <c r="AD16">
        <f t="shared" si="0"/>
        <v>8</v>
      </c>
      <c r="AE16" s="351">
        <f t="shared" si="1"/>
        <v>0.1095890410958904</v>
      </c>
    </row>
    <row r="17" spans="1:31">
      <c r="A17" s="165">
        <f>'Conveyor Downtime (new)'!A16</f>
        <v>46034</v>
      </c>
      <c r="AD17">
        <f t="shared" si="0"/>
        <v>0</v>
      </c>
      <c r="AE17" s="351">
        <f t="shared" si="1"/>
        <v>0</v>
      </c>
    </row>
    <row r="18" spans="1:31">
      <c r="A18" s="165">
        <f>'Conveyor Downtime (new)'!A17</f>
        <v>46035</v>
      </c>
      <c r="B18" s="346"/>
      <c r="C18" s="346"/>
      <c r="D18" s="346"/>
      <c r="E18" s="346"/>
      <c r="F18" s="346"/>
      <c r="G18" s="346"/>
      <c r="H18" s="346"/>
      <c r="I18" s="346"/>
      <c r="J18" s="346"/>
      <c r="K18" s="346"/>
      <c r="L18" s="346"/>
      <c r="M18" s="346"/>
      <c r="N18" s="346"/>
      <c r="O18" s="346"/>
      <c r="P18" s="346"/>
      <c r="Q18" s="346"/>
      <c r="R18" s="346"/>
      <c r="S18" s="346"/>
      <c r="T18" s="346"/>
      <c r="U18" s="346"/>
      <c r="V18" s="346"/>
      <c r="W18" s="346"/>
      <c r="X18" s="346"/>
      <c r="Y18" s="346"/>
      <c r="Z18" s="346"/>
      <c r="AA18" s="346"/>
      <c r="AB18" s="346"/>
      <c r="AC18" s="346"/>
      <c r="AD18">
        <f t="shared" si="0"/>
        <v>0</v>
      </c>
      <c r="AE18" s="351">
        <f t="shared" si="1"/>
        <v>0</v>
      </c>
    </row>
    <row r="19" spans="1:31">
      <c r="A19" s="165">
        <f>'Conveyor Downtime (new)'!A18</f>
        <v>46035</v>
      </c>
      <c r="K19">
        <f>7</f>
        <v>7</v>
      </c>
      <c r="AD19">
        <f t="shared" si="0"/>
        <v>7</v>
      </c>
      <c r="AE19" s="351">
        <f t="shared" si="1"/>
        <v>9.5890410958904104E-2</v>
      </c>
    </row>
    <row r="20" spans="1:31">
      <c r="A20" s="165">
        <f>'Conveyor Downtime (new)'!A19</f>
        <v>46036</v>
      </c>
      <c r="B20" s="346"/>
      <c r="C20" s="346"/>
      <c r="D20" s="346"/>
      <c r="E20" s="346"/>
      <c r="F20" s="346"/>
      <c r="G20" s="346"/>
      <c r="H20" s="346"/>
      <c r="I20" s="346"/>
      <c r="J20" s="346"/>
      <c r="K20" s="346"/>
      <c r="L20" s="346"/>
      <c r="M20" s="346"/>
      <c r="N20" s="346"/>
      <c r="O20" s="346"/>
      <c r="P20" s="346"/>
      <c r="Q20" s="346"/>
      <c r="R20" s="346"/>
      <c r="S20" s="346"/>
      <c r="T20" s="346"/>
      <c r="U20" s="346"/>
      <c r="V20" s="346"/>
      <c r="W20" s="346"/>
      <c r="X20" s="346"/>
      <c r="Y20" s="346"/>
      <c r="Z20" s="346"/>
      <c r="AA20" s="346"/>
      <c r="AB20" s="346"/>
      <c r="AC20" s="346"/>
      <c r="AD20">
        <f t="shared" si="0"/>
        <v>0</v>
      </c>
      <c r="AE20" s="351">
        <f t="shared" si="1"/>
        <v>0</v>
      </c>
    </row>
    <row r="21" spans="1:31">
      <c r="A21" s="165">
        <f>'Conveyor Downtime (new)'!A20</f>
        <v>46036</v>
      </c>
      <c r="AD21">
        <f t="shared" si="0"/>
        <v>0</v>
      </c>
      <c r="AE21" s="351">
        <f t="shared" si="1"/>
        <v>0</v>
      </c>
    </row>
    <row r="22" spans="1:31">
      <c r="A22" s="165">
        <f>'Conveyor Downtime (new)'!A21</f>
        <v>46037</v>
      </c>
      <c r="B22" s="346"/>
      <c r="C22" s="346"/>
      <c r="D22" s="346"/>
      <c r="E22" s="346"/>
      <c r="F22" s="346"/>
      <c r="G22" s="346"/>
      <c r="H22" s="346"/>
      <c r="I22" s="346"/>
      <c r="J22" s="346"/>
      <c r="K22" s="346">
        <f>29</f>
        <v>29</v>
      </c>
      <c r="L22" s="346"/>
      <c r="M22" s="346"/>
      <c r="N22" s="346"/>
      <c r="O22" s="346"/>
      <c r="P22" s="346"/>
      <c r="Q22" s="346"/>
      <c r="R22" s="346"/>
      <c r="S22" s="346"/>
      <c r="T22" s="346"/>
      <c r="U22" s="346"/>
      <c r="V22" s="346"/>
      <c r="W22" s="346"/>
      <c r="X22" s="346"/>
      <c r="Y22" s="346"/>
      <c r="Z22" s="346"/>
      <c r="AA22" s="346"/>
      <c r="AB22" s="346"/>
      <c r="AC22" s="346"/>
      <c r="AD22">
        <f t="shared" si="0"/>
        <v>29</v>
      </c>
      <c r="AE22" s="351">
        <f t="shared" si="1"/>
        <v>0.39726027397260272</v>
      </c>
    </row>
    <row r="23" spans="1:31" ht="19.5" customHeight="1">
      <c r="A23" s="165">
        <f>'Conveyor Downtime (new)'!A22</f>
        <v>46037</v>
      </c>
      <c r="AD23">
        <f t="shared" si="0"/>
        <v>0</v>
      </c>
      <c r="AE23" s="351">
        <f t="shared" si="1"/>
        <v>0</v>
      </c>
    </row>
    <row r="24" spans="1:31">
      <c r="A24" s="165">
        <f>'Conveyor Downtime (new)'!A23</f>
        <v>46038</v>
      </c>
      <c r="B24" s="346"/>
      <c r="C24" s="346"/>
      <c r="D24" s="346"/>
      <c r="E24" s="346"/>
      <c r="F24" s="346"/>
      <c r="G24" s="346"/>
      <c r="H24" s="346"/>
      <c r="I24" s="346"/>
      <c r="J24" s="346"/>
      <c r="K24" s="346"/>
      <c r="L24" s="346"/>
      <c r="M24" s="346"/>
      <c r="N24" s="346"/>
      <c r="O24" s="346"/>
      <c r="P24" s="346"/>
      <c r="Q24" s="346"/>
      <c r="R24" s="346"/>
      <c r="S24" s="346"/>
      <c r="T24" s="346"/>
      <c r="U24" s="346"/>
      <c r="V24" s="346"/>
      <c r="W24" s="346"/>
      <c r="X24" s="346"/>
      <c r="Y24" s="346"/>
      <c r="Z24" s="346"/>
      <c r="AA24" s="346"/>
      <c r="AB24" s="346"/>
      <c r="AC24" s="346"/>
      <c r="AD24">
        <f t="shared" si="0"/>
        <v>0</v>
      </c>
      <c r="AE24" s="351">
        <f t="shared" si="1"/>
        <v>0</v>
      </c>
    </row>
    <row r="25" spans="1:31" ht="14.25" customHeight="1">
      <c r="A25" s="165">
        <f>'Conveyor Downtime (new)'!A24</f>
        <v>46038</v>
      </c>
      <c r="AD25">
        <f t="shared" si="0"/>
        <v>0</v>
      </c>
      <c r="AE25" s="351">
        <f t="shared" si="1"/>
        <v>0</v>
      </c>
    </row>
    <row r="26" spans="1:31">
      <c r="A26" s="165">
        <f>'Conveyor Downtime (new)'!A25</f>
        <v>46041</v>
      </c>
      <c r="B26" s="346"/>
      <c r="C26" s="346"/>
      <c r="D26" s="346"/>
      <c r="E26" s="346"/>
      <c r="F26" s="346"/>
      <c r="G26" s="346"/>
      <c r="H26" s="346"/>
      <c r="I26" s="346"/>
      <c r="J26" s="346"/>
      <c r="K26" s="346"/>
      <c r="L26" s="346"/>
      <c r="M26" s="346"/>
      <c r="N26" s="346"/>
      <c r="O26" s="346"/>
      <c r="P26" s="346"/>
      <c r="Q26" s="346"/>
      <c r="R26" s="346"/>
      <c r="S26" s="346"/>
      <c r="T26" s="346"/>
      <c r="U26" s="346"/>
      <c r="V26" s="346"/>
      <c r="W26" s="346"/>
      <c r="X26" s="346"/>
      <c r="Y26" s="346"/>
      <c r="Z26" s="346"/>
      <c r="AA26" s="346"/>
      <c r="AB26" s="346"/>
      <c r="AC26" s="346"/>
      <c r="AD26">
        <f t="shared" si="0"/>
        <v>0</v>
      </c>
      <c r="AE26" s="351">
        <f t="shared" si="1"/>
        <v>0</v>
      </c>
    </row>
    <row r="27" spans="1:31">
      <c r="A27" s="165">
        <f>'Conveyor Downtime (new)'!A26</f>
        <v>46041</v>
      </c>
      <c r="AD27">
        <f t="shared" si="0"/>
        <v>0</v>
      </c>
      <c r="AE27" s="351">
        <f t="shared" si="1"/>
        <v>0</v>
      </c>
    </row>
    <row r="28" spans="1:31">
      <c r="A28" s="165">
        <f>'Conveyor Downtime (new)'!A27</f>
        <v>46042</v>
      </c>
      <c r="B28" s="346"/>
      <c r="C28" s="346"/>
      <c r="D28" s="346"/>
      <c r="E28" s="346"/>
      <c r="F28" s="346"/>
      <c r="G28" s="346"/>
      <c r="H28" s="346"/>
      <c r="I28" s="346"/>
      <c r="J28" s="346"/>
      <c r="K28" s="346"/>
      <c r="L28" s="346"/>
      <c r="M28" s="346"/>
      <c r="N28" s="346"/>
      <c r="O28" s="346"/>
      <c r="P28" s="346"/>
      <c r="Q28" s="346"/>
      <c r="R28" s="346"/>
      <c r="S28" s="346"/>
      <c r="T28" s="346"/>
      <c r="U28" s="346"/>
      <c r="V28" s="346"/>
      <c r="W28" s="346"/>
      <c r="X28" s="346"/>
      <c r="Y28" s="346"/>
      <c r="Z28" s="346"/>
      <c r="AA28" s="346"/>
      <c r="AB28" s="346"/>
      <c r="AC28" s="346"/>
      <c r="AD28">
        <f t="shared" si="0"/>
        <v>0</v>
      </c>
      <c r="AE28" s="351">
        <f t="shared" si="1"/>
        <v>0</v>
      </c>
    </row>
    <row r="29" spans="1:31">
      <c r="A29" s="165">
        <f>'Conveyor Downtime (new)'!A28</f>
        <v>46042</v>
      </c>
      <c r="AD29">
        <f t="shared" si="0"/>
        <v>0</v>
      </c>
      <c r="AE29" s="351">
        <f t="shared" si="1"/>
        <v>0</v>
      </c>
    </row>
    <row r="30" spans="1:31">
      <c r="A30" s="165">
        <f>'Conveyor Downtime (new)'!A29</f>
        <v>46043</v>
      </c>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46"/>
      <c r="AA30" s="346"/>
      <c r="AB30" s="346"/>
      <c r="AC30" s="346"/>
      <c r="AD30">
        <f t="shared" si="0"/>
        <v>0</v>
      </c>
      <c r="AE30" s="351">
        <f t="shared" si="1"/>
        <v>0</v>
      </c>
    </row>
    <row r="31" spans="1:31">
      <c r="A31" s="165">
        <f>'Conveyor Downtime (new)'!A30</f>
        <v>46043</v>
      </c>
      <c r="AD31">
        <f t="shared" si="0"/>
        <v>0</v>
      </c>
      <c r="AE31" s="351">
        <f t="shared" si="1"/>
        <v>0</v>
      </c>
    </row>
    <row r="32" spans="1:31">
      <c r="A32" s="165">
        <f>'Conveyor Downtime (new)'!A31</f>
        <v>46043</v>
      </c>
      <c r="B32" s="346"/>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46"/>
      <c r="AA32" s="346"/>
      <c r="AB32" s="346"/>
      <c r="AC32" s="346"/>
      <c r="AD32">
        <f t="shared" si="0"/>
        <v>0</v>
      </c>
      <c r="AE32" s="351">
        <f t="shared" si="1"/>
        <v>0</v>
      </c>
    </row>
    <row r="33" spans="1:31">
      <c r="A33" s="165">
        <f>'Conveyor Downtime (new)'!A32</f>
        <v>46043</v>
      </c>
      <c r="AD33">
        <f t="shared" si="0"/>
        <v>0</v>
      </c>
      <c r="AE33" s="351">
        <f t="shared" si="1"/>
        <v>0</v>
      </c>
    </row>
    <row r="34" spans="1:31">
      <c r="A34" s="165">
        <f>'Conveyor Downtime (new)'!A33</f>
        <v>46044</v>
      </c>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6"/>
      <c r="AC34" s="346"/>
      <c r="AD34">
        <f t="shared" si="0"/>
        <v>0</v>
      </c>
      <c r="AE34" s="351">
        <f t="shared" si="1"/>
        <v>0</v>
      </c>
    </row>
    <row r="35" spans="1:31">
      <c r="A35" s="165">
        <f>'Conveyor Downtime (new)'!A34</f>
        <v>46045</v>
      </c>
      <c r="AD35">
        <f t="shared" si="0"/>
        <v>0</v>
      </c>
      <c r="AE35" s="351">
        <f t="shared" si="1"/>
        <v>0</v>
      </c>
    </row>
    <row r="36" spans="1:31">
      <c r="A36" s="165">
        <f>'Conveyor Downtime (new)'!A35</f>
        <v>46045</v>
      </c>
      <c r="B36" s="346"/>
      <c r="C36" s="346"/>
      <c r="D36" s="346"/>
      <c r="E36" s="346"/>
      <c r="F36" s="346"/>
      <c r="G36" s="346"/>
      <c r="H36" s="346"/>
      <c r="I36" s="346"/>
      <c r="J36" s="346"/>
      <c r="K36" s="346"/>
      <c r="L36" s="346"/>
      <c r="M36" s="346"/>
      <c r="N36" s="346"/>
      <c r="O36" s="346"/>
      <c r="P36" s="346"/>
      <c r="Q36" s="346"/>
      <c r="R36" s="346"/>
      <c r="S36" s="346"/>
      <c r="T36" s="346"/>
      <c r="U36" s="346"/>
      <c r="V36" s="346"/>
      <c r="W36" s="346"/>
      <c r="X36" s="346"/>
      <c r="Y36" s="346"/>
      <c r="Z36" s="346"/>
      <c r="AA36" s="346"/>
      <c r="AB36" s="346"/>
      <c r="AC36" s="346"/>
      <c r="AD36">
        <f t="shared" si="0"/>
        <v>0</v>
      </c>
      <c r="AE36" s="351">
        <f t="shared" si="1"/>
        <v>0</v>
      </c>
    </row>
    <row r="37" spans="1:31">
      <c r="A37" s="165">
        <f>'Conveyor Downtime (new)'!A36</f>
        <v>46045</v>
      </c>
      <c r="AD37">
        <f t="shared" si="0"/>
        <v>0</v>
      </c>
      <c r="AE37" s="351">
        <f t="shared" si="1"/>
        <v>0</v>
      </c>
    </row>
    <row r="38" spans="1:31">
      <c r="A38" s="165">
        <f>'Conveyor Downtime (new)'!A37</f>
        <v>46045</v>
      </c>
      <c r="B38" s="346"/>
      <c r="C38" s="346"/>
      <c r="D38" s="346"/>
      <c r="E38" s="346"/>
      <c r="F38" s="346"/>
      <c r="G38" s="346"/>
      <c r="H38" s="346"/>
      <c r="I38" s="346"/>
      <c r="J38" s="346"/>
      <c r="K38" s="346"/>
      <c r="L38" s="346"/>
      <c r="M38" s="346"/>
      <c r="N38" s="346"/>
      <c r="O38" s="346"/>
      <c r="P38" s="346"/>
      <c r="Q38" s="346"/>
      <c r="R38" s="346"/>
      <c r="S38" s="346"/>
      <c r="T38" s="346"/>
      <c r="U38" s="346"/>
      <c r="V38" s="346"/>
      <c r="W38" s="346"/>
      <c r="X38" s="346"/>
      <c r="Y38" s="346"/>
      <c r="Z38" s="346"/>
      <c r="AA38" s="346"/>
      <c r="AB38" s="346"/>
      <c r="AC38" s="346"/>
      <c r="AD38">
        <f t="shared" si="0"/>
        <v>0</v>
      </c>
      <c r="AE38" s="351">
        <f t="shared" si="1"/>
        <v>0</v>
      </c>
    </row>
    <row r="39" spans="1:31">
      <c r="A39" s="165">
        <f>'Conveyor Downtime (new)'!A38</f>
        <v>46048</v>
      </c>
      <c r="AD39">
        <f t="shared" si="0"/>
        <v>0</v>
      </c>
      <c r="AE39" s="351">
        <f t="shared" si="1"/>
        <v>0</v>
      </c>
    </row>
    <row r="40" spans="1:31">
      <c r="A40" s="165">
        <f>'Conveyor Downtime (new)'!A39</f>
        <v>46048</v>
      </c>
      <c r="B40" s="346"/>
      <c r="C40" s="346"/>
      <c r="D40" s="346"/>
      <c r="E40" s="346"/>
      <c r="F40" s="346"/>
      <c r="G40" s="346"/>
      <c r="H40" s="346"/>
      <c r="I40" s="346"/>
      <c r="J40" s="346"/>
      <c r="K40" s="346"/>
      <c r="L40" s="346"/>
      <c r="M40" s="346"/>
      <c r="N40" s="346"/>
      <c r="O40" s="346"/>
      <c r="P40" s="346"/>
      <c r="Q40" s="346"/>
      <c r="R40" s="346"/>
      <c r="S40" s="346"/>
      <c r="T40" s="346"/>
      <c r="U40" s="346"/>
      <c r="V40" s="346"/>
      <c r="W40" s="346"/>
      <c r="X40" s="346"/>
      <c r="Y40" s="346"/>
      <c r="Z40" s="346"/>
      <c r="AA40" s="346"/>
      <c r="AB40" s="346"/>
      <c r="AC40" s="346"/>
      <c r="AD40">
        <f t="shared" si="0"/>
        <v>0</v>
      </c>
      <c r="AE40" s="351">
        <f t="shared" si="1"/>
        <v>0</v>
      </c>
    </row>
    <row r="41" spans="1:31">
      <c r="A41" s="165">
        <f>'Conveyor Downtime (new)'!A40</f>
        <v>46049</v>
      </c>
      <c r="AD41">
        <f t="shared" si="0"/>
        <v>0</v>
      </c>
      <c r="AE41" s="351">
        <f t="shared" si="1"/>
        <v>0</v>
      </c>
    </row>
    <row r="42" spans="1:31">
      <c r="A42" s="165">
        <f>'Conveyor Downtime (new)'!A41</f>
        <v>46049</v>
      </c>
      <c r="B42" s="346"/>
      <c r="C42" s="346"/>
      <c r="D42" s="346"/>
      <c r="E42" s="346"/>
      <c r="F42" s="346"/>
      <c r="G42" s="346"/>
      <c r="H42" s="346"/>
      <c r="I42" s="346"/>
      <c r="J42" s="346"/>
      <c r="K42" s="346"/>
      <c r="L42" s="346"/>
      <c r="M42" s="346"/>
      <c r="N42" s="346"/>
      <c r="O42" s="346"/>
      <c r="P42" s="346"/>
      <c r="Q42" s="346"/>
      <c r="R42" s="346"/>
      <c r="S42" s="346"/>
      <c r="T42" s="346">
        <f>3</f>
        <v>3</v>
      </c>
      <c r="U42" s="346"/>
      <c r="V42" s="346"/>
      <c r="W42" s="346"/>
      <c r="X42" s="346"/>
      <c r="Y42" s="346"/>
      <c r="Z42" s="346"/>
      <c r="AA42" s="346"/>
      <c r="AB42" s="346"/>
      <c r="AC42" s="346"/>
      <c r="AD42">
        <f t="shared" si="0"/>
        <v>3</v>
      </c>
      <c r="AE42" s="351">
        <f t="shared" si="1"/>
        <v>4.1095890410958902E-2</v>
      </c>
    </row>
    <row r="43" spans="1:31">
      <c r="A43" s="165">
        <f>'Conveyor Downtime (new)'!A42</f>
        <v>46050</v>
      </c>
      <c r="D43">
        <v>7</v>
      </c>
      <c r="AD43">
        <f t="shared" si="0"/>
        <v>7</v>
      </c>
      <c r="AE43" s="351">
        <f t="shared" si="1"/>
        <v>9.5890410958904104E-2</v>
      </c>
    </row>
    <row r="44" spans="1:31" ht="11.25" customHeight="1">
      <c r="A44" s="165">
        <f>'Conveyor Downtime (new)'!A43</f>
        <v>46050</v>
      </c>
      <c r="B44" s="346"/>
      <c r="C44" s="346"/>
      <c r="D44" s="346"/>
      <c r="E44" s="346"/>
      <c r="F44" s="346"/>
      <c r="G44" s="346"/>
      <c r="H44" s="346"/>
      <c r="I44" s="346"/>
      <c r="J44" s="346"/>
      <c r="K44" s="346"/>
      <c r="L44" s="346"/>
      <c r="M44" s="346"/>
      <c r="N44" s="346"/>
      <c r="O44" s="346"/>
      <c r="P44" s="346"/>
      <c r="Q44" s="346"/>
      <c r="R44" s="346"/>
      <c r="S44" s="346"/>
      <c r="T44" s="346"/>
      <c r="U44" s="346"/>
      <c r="V44" s="346"/>
      <c r="W44" s="346"/>
      <c r="X44" s="346"/>
      <c r="Y44" s="346"/>
      <c r="Z44" s="346"/>
      <c r="AA44" s="346"/>
      <c r="AB44" s="346"/>
      <c r="AC44" s="346"/>
      <c r="AD44">
        <f t="shared" si="0"/>
        <v>0</v>
      </c>
      <c r="AE44" s="351">
        <f t="shared" si="1"/>
        <v>0</v>
      </c>
    </row>
    <row r="45" spans="1:31">
      <c r="A45" s="165">
        <f>'Conveyor Downtime (new)'!A44</f>
        <v>46050</v>
      </c>
      <c r="AD45">
        <f t="shared" si="0"/>
        <v>0</v>
      </c>
      <c r="AE45" s="351">
        <f t="shared" si="1"/>
        <v>0</v>
      </c>
    </row>
    <row r="46" spans="1:31">
      <c r="A46" s="165">
        <f>'Conveyor Downtime (new)'!A45</f>
        <v>46051</v>
      </c>
      <c r="B46" s="346"/>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f t="shared" si="0"/>
        <v>0</v>
      </c>
      <c r="AE46" s="351">
        <f t="shared" si="1"/>
        <v>0</v>
      </c>
    </row>
    <row r="47" spans="1:31" ht="12.75" customHeight="1">
      <c r="A47" s="165">
        <f>'Conveyor Downtime (new)'!A46</f>
        <v>46051</v>
      </c>
      <c r="AD47">
        <f t="shared" si="0"/>
        <v>0</v>
      </c>
      <c r="AE47" s="351">
        <f t="shared" si="1"/>
        <v>0</v>
      </c>
    </row>
    <row r="48" spans="1:31">
      <c r="A48" s="165">
        <f>'Conveyor Downtime (new)'!A47</f>
        <v>46051</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f t="shared" si="0"/>
        <v>0</v>
      </c>
      <c r="AE48" s="351">
        <f t="shared" si="1"/>
        <v>0</v>
      </c>
    </row>
    <row r="49" spans="1:31">
      <c r="A49" s="165">
        <f>'Conveyor Downtime (new)'!A48</f>
        <v>46051</v>
      </c>
      <c r="AD49">
        <f t="shared" si="0"/>
        <v>0</v>
      </c>
      <c r="AE49" s="351">
        <f t="shared" si="1"/>
        <v>0</v>
      </c>
    </row>
    <row r="50" spans="1:31">
      <c r="A50" s="165">
        <f>'Conveyor Downtime (new)'!A49</f>
        <v>46052</v>
      </c>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c r="AB50" s="346"/>
      <c r="AC50" s="346"/>
      <c r="AD50">
        <f t="shared" si="0"/>
        <v>0</v>
      </c>
      <c r="AE50" s="351">
        <f t="shared" si="1"/>
        <v>0</v>
      </c>
    </row>
    <row r="51" spans="1:31">
      <c r="A51" s="165">
        <f>'Conveyor Downtime (new)'!A50</f>
        <v>46052</v>
      </c>
      <c r="AD51">
        <f t="shared" si="0"/>
        <v>0</v>
      </c>
      <c r="AE51" s="351">
        <f t="shared" si="1"/>
        <v>0</v>
      </c>
    </row>
    <row r="52" spans="1:31">
      <c r="A52" s="165">
        <f>'Conveyor Downtime (new)'!A51</f>
        <v>0</v>
      </c>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f t="shared" ref="AD52:AD64" si="2">SUM(B52:AC52)</f>
        <v>0</v>
      </c>
      <c r="AE52" s="351">
        <f t="shared" ref="AE52:AE64" si="3">AD52/$AD$65</f>
        <v>0</v>
      </c>
    </row>
    <row r="53" spans="1:31">
      <c r="A53" s="165">
        <f>'Conveyor Downtime (new)'!A52</f>
        <v>0</v>
      </c>
      <c r="AD53">
        <f t="shared" si="2"/>
        <v>0</v>
      </c>
      <c r="AE53" s="351">
        <f t="shared" si="3"/>
        <v>0</v>
      </c>
    </row>
    <row r="54" spans="1:31">
      <c r="A54" s="165">
        <f>'Conveyor Downtime (new)'!A53</f>
        <v>0</v>
      </c>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f t="shared" si="2"/>
        <v>0</v>
      </c>
      <c r="AE54" s="351">
        <f t="shared" si="3"/>
        <v>0</v>
      </c>
    </row>
    <row r="55" spans="1:31">
      <c r="A55" s="165">
        <f>'Conveyor Downtime (new)'!A54</f>
        <v>0</v>
      </c>
      <c r="AD55">
        <f t="shared" si="2"/>
        <v>0</v>
      </c>
      <c r="AE55" s="351">
        <f t="shared" si="3"/>
        <v>0</v>
      </c>
    </row>
    <row r="56" spans="1:31">
      <c r="A56" s="165">
        <f>'Conveyor Downtime (new)'!A55</f>
        <v>0</v>
      </c>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346"/>
      <c r="AC56" s="346"/>
      <c r="AD56">
        <f t="shared" si="2"/>
        <v>0</v>
      </c>
      <c r="AE56" s="351">
        <f t="shared" si="3"/>
        <v>0</v>
      </c>
    </row>
    <row r="57" spans="1:31">
      <c r="A57" s="165">
        <f>'Conveyor Downtime (new)'!A56</f>
        <v>0</v>
      </c>
      <c r="AD57">
        <f t="shared" si="2"/>
        <v>0</v>
      </c>
      <c r="AE57" s="351">
        <f t="shared" si="3"/>
        <v>0</v>
      </c>
    </row>
    <row r="58" spans="1:31">
      <c r="A58" s="165">
        <f>'Conveyor Downtime (new)'!A57</f>
        <v>0</v>
      </c>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f t="shared" si="2"/>
        <v>0</v>
      </c>
      <c r="AE58" s="351">
        <f t="shared" si="3"/>
        <v>0</v>
      </c>
    </row>
    <row r="59" spans="1:31">
      <c r="A59" s="165">
        <f>'Conveyor Downtime (new)'!A58</f>
        <v>0</v>
      </c>
      <c r="AD59">
        <f t="shared" si="2"/>
        <v>0</v>
      </c>
      <c r="AE59" s="351">
        <f t="shared" si="3"/>
        <v>0</v>
      </c>
    </row>
    <row r="60" spans="1:31">
      <c r="A60" s="165">
        <f>'Conveyor Downtime (new)'!A59</f>
        <v>0</v>
      </c>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f t="shared" si="2"/>
        <v>0</v>
      </c>
      <c r="AE60" s="351">
        <f t="shared" si="3"/>
        <v>0</v>
      </c>
    </row>
    <row r="61" spans="1:31">
      <c r="A61" s="165"/>
      <c r="AD61">
        <f t="shared" si="2"/>
        <v>0</v>
      </c>
      <c r="AE61" s="351">
        <f t="shared" si="3"/>
        <v>0</v>
      </c>
    </row>
    <row r="62" spans="1:31">
      <c r="A62" s="165"/>
      <c r="AD62">
        <f t="shared" si="2"/>
        <v>0</v>
      </c>
      <c r="AE62" s="351">
        <f t="shared" si="3"/>
        <v>0</v>
      </c>
    </row>
    <row r="63" spans="1:31">
      <c r="A63" s="165"/>
      <c r="AD63">
        <f t="shared" si="2"/>
        <v>0</v>
      </c>
      <c r="AE63" s="351">
        <f t="shared" si="3"/>
        <v>0</v>
      </c>
    </row>
    <row r="64" spans="1:31">
      <c r="A64" s="165"/>
      <c r="AD64">
        <f t="shared" si="2"/>
        <v>0</v>
      </c>
      <c r="AE64" s="351">
        <f t="shared" si="3"/>
        <v>0</v>
      </c>
    </row>
    <row r="65" spans="1:31" ht="15">
      <c r="A65" s="347" t="s">
        <v>173</v>
      </c>
      <c r="B65" s="347">
        <f t="shared" ref="B65:AC65" si="4">SUM(B7:B64)</f>
        <v>8</v>
      </c>
      <c r="C65" s="347">
        <f t="shared" si="4"/>
        <v>0</v>
      </c>
      <c r="D65" s="347">
        <f t="shared" si="4"/>
        <v>7</v>
      </c>
      <c r="E65" s="347">
        <f t="shared" si="4"/>
        <v>11</v>
      </c>
      <c r="F65" s="347">
        <f t="shared" si="4"/>
        <v>0</v>
      </c>
      <c r="G65" s="347">
        <f t="shared" si="4"/>
        <v>0</v>
      </c>
      <c r="H65" s="347">
        <f t="shared" si="4"/>
        <v>0</v>
      </c>
      <c r="I65" s="347">
        <f t="shared" si="4"/>
        <v>0</v>
      </c>
      <c r="J65" s="347">
        <f t="shared" si="4"/>
        <v>0</v>
      </c>
      <c r="K65" s="347">
        <f t="shared" si="4"/>
        <v>44</v>
      </c>
      <c r="L65" s="347">
        <f t="shared" si="4"/>
        <v>0</v>
      </c>
      <c r="M65" s="347">
        <f t="shared" si="4"/>
        <v>0</v>
      </c>
      <c r="N65" s="347">
        <f t="shared" si="4"/>
        <v>0</v>
      </c>
      <c r="O65" s="347">
        <f t="shared" si="4"/>
        <v>0</v>
      </c>
      <c r="P65" s="347">
        <f t="shared" si="4"/>
        <v>0</v>
      </c>
      <c r="Q65" s="347">
        <f t="shared" si="4"/>
        <v>0</v>
      </c>
      <c r="R65" s="347">
        <f t="shared" si="4"/>
        <v>0</v>
      </c>
      <c r="S65" s="347">
        <f t="shared" si="4"/>
        <v>0</v>
      </c>
      <c r="T65" s="347">
        <f t="shared" si="4"/>
        <v>3</v>
      </c>
      <c r="U65" s="347">
        <f t="shared" si="4"/>
        <v>0</v>
      </c>
      <c r="V65" s="347">
        <f t="shared" si="4"/>
        <v>0</v>
      </c>
      <c r="W65" s="347">
        <f t="shared" si="4"/>
        <v>0</v>
      </c>
      <c r="X65" s="347">
        <f t="shared" si="4"/>
        <v>0</v>
      </c>
      <c r="Y65" s="347">
        <f t="shared" si="4"/>
        <v>0</v>
      </c>
      <c r="Z65" s="347">
        <f t="shared" si="4"/>
        <v>0</v>
      </c>
      <c r="AA65" s="347">
        <f t="shared" si="4"/>
        <v>0</v>
      </c>
      <c r="AB65" s="347">
        <f t="shared" si="4"/>
        <v>0</v>
      </c>
      <c r="AC65" s="347">
        <f t="shared" si="4"/>
        <v>0</v>
      </c>
      <c r="AD65" s="347">
        <f>SUM(AD7:AD64)</f>
        <v>73</v>
      </c>
      <c r="AE65" s="351"/>
    </row>
    <row r="66" spans="1:31" ht="15.75" thickBot="1">
      <c r="A66" s="348" t="s">
        <v>174</v>
      </c>
      <c r="B66" s="348">
        <f t="shared" ref="B66:AC66" si="5">B65/$AD65</f>
        <v>0.1095890410958904</v>
      </c>
      <c r="C66" s="348">
        <f t="shared" si="5"/>
        <v>0</v>
      </c>
      <c r="D66" s="348">
        <f t="shared" si="5"/>
        <v>9.5890410958904104E-2</v>
      </c>
      <c r="E66" s="348">
        <f t="shared" si="5"/>
        <v>0.15068493150684931</v>
      </c>
      <c r="F66" s="348">
        <f t="shared" si="5"/>
        <v>0</v>
      </c>
      <c r="G66" s="348">
        <f t="shared" si="5"/>
        <v>0</v>
      </c>
      <c r="H66" s="348">
        <f t="shared" si="5"/>
        <v>0</v>
      </c>
      <c r="I66" s="348">
        <f t="shared" si="5"/>
        <v>0</v>
      </c>
      <c r="J66" s="348">
        <f t="shared" si="5"/>
        <v>0</v>
      </c>
      <c r="K66" s="348">
        <f t="shared" si="5"/>
        <v>0.60273972602739723</v>
      </c>
      <c r="L66" s="348">
        <f t="shared" si="5"/>
        <v>0</v>
      </c>
      <c r="M66" s="348">
        <f t="shared" si="5"/>
        <v>0</v>
      </c>
      <c r="N66" s="348">
        <f t="shared" si="5"/>
        <v>0</v>
      </c>
      <c r="O66" s="348">
        <f t="shared" si="5"/>
        <v>0</v>
      </c>
      <c r="P66" s="348">
        <f t="shared" si="5"/>
        <v>0</v>
      </c>
      <c r="Q66" s="348">
        <f t="shared" si="5"/>
        <v>0</v>
      </c>
      <c r="R66" s="348">
        <f t="shared" si="5"/>
        <v>0</v>
      </c>
      <c r="S66" s="348">
        <f t="shared" si="5"/>
        <v>0</v>
      </c>
      <c r="T66" s="348">
        <f t="shared" si="5"/>
        <v>4.1095890410958902E-2</v>
      </c>
      <c r="U66" s="348">
        <f t="shared" si="5"/>
        <v>0</v>
      </c>
      <c r="V66" s="348">
        <f t="shared" si="5"/>
        <v>0</v>
      </c>
      <c r="W66" s="348">
        <f t="shared" si="5"/>
        <v>0</v>
      </c>
      <c r="X66" s="348">
        <f t="shared" si="5"/>
        <v>0</v>
      </c>
      <c r="Y66" s="348">
        <f t="shared" si="5"/>
        <v>0</v>
      </c>
      <c r="Z66" s="348">
        <f t="shared" si="5"/>
        <v>0</v>
      </c>
      <c r="AA66" s="348">
        <f t="shared" si="5"/>
        <v>0</v>
      </c>
      <c r="AB66" s="348">
        <f t="shared" si="5"/>
        <v>0</v>
      </c>
      <c r="AC66" s="348">
        <f t="shared" si="5"/>
        <v>0</v>
      </c>
      <c r="AD66" s="351"/>
      <c r="AE66" s="351"/>
    </row>
    <row r="68" spans="1:31" ht="11.25" customHeight="1"/>
    <row r="69" spans="1:31" ht="15" customHeight="1"/>
    <row r="71" spans="1:31">
      <c r="A71" s="165">
        <f>'Conveyor Downtime (new)'!A67</f>
        <v>46055</v>
      </c>
      <c r="AD71">
        <f t="shared" ref="AD71:AD119" si="6">SUM(B71:AC71)</f>
        <v>0</v>
      </c>
      <c r="AE71" s="351">
        <f t="shared" ref="AE71:AE90" si="7">AD71/$AD$120</f>
        <v>0</v>
      </c>
    </row>
    <row r="72" spans="1:31">
      <c r="A72" s="165">
        <f>'Conveyor Downtime (new)'!A68</f>
        <v>46055</v>
      </c>
      <c r="B72" s="346"/>
      <c r="C72" s="346"/>
      <c r="D72" s="346"/>
      <c r="E72" s="346"/>
      <c r="F72" s="346"/>
      <c r="G72" s="346"/>
      <c r="H72" s="346"/>
      <c r="I72" s="346"/>
      <c r="J72" s="346"/>
      <c r="K72" s="346"/>
      <c r="L72" s="346"/>
      <c r="M72" s="346"/>
      <c r="N72" s="346"/>
      <c r="O72" s="346"/>
      <c r="P72" s="346"/>
      <c r="Q72" s="346"/>
      <c r="R72" s="346"/>
      <c r="S72" s="346"/>
      <c r="T72" s="346"/>
      <c r="U72" s="346"/>
      <c r="V72" s="346"/>
      <c r="W72" s="346"/>
      <c r="X72" s="346"/>
      <c r="Y72" s="346"/>
      <c r="Z72" s="346"/>
      <c r="AA72" s="346"/>
      <c r="AB72" s="346"/>
      <c r="AC72" s="346"/>
      <c r="AD72">
        <f t="shared" si="6"/>
        <v>0</v>
      </c>
      <c r="AE72" s="351">
        <f t="shared" si="7"/>
        <v>0</v>
      </c>
    </row>
    <row r="73" spans="1:31">
      <c r="A73" s="165">
        <f>'Conveyor Downtime (new)'!A69</f>
        <v>46056</v>
      </c>
      <c r="N73">
        <f>3</f>
        <v>3</v>
      </c>
      <c r="AD73">
        <f t="shared" si="6"/>
        <v>3</v>
      </c>
      <c r="AE73" s="351">
        <f t="shared" si="7"/>
        <v>1.5873015873015872E-2</v>
      </c>
    </row>
    <row r="74" spans="1:31">
      <c r="A74" s="165">
        <f>'Conveyor Downtime (new)'!A70</f>
        <v>46057</v>
      </c>
      <c r="B74" s="346"/>
      <c r="C74" s="346"/>
      <c r="D74" s="346">
        <f>4+3</f>
        <v>7</v>
      </c>
      <c r="E74" s="346"/>
      <c r="F74" s="346"/>
      <c r="G74" s="346"/>
      <c r="H74" s="346"/>
      <c r="I74" s="346"/>
      <c r="J74" s="346"/>
      <c r="K74" s="346"/>
      <c r="L74" s="346"/>
      <c r="M74" s="346"/>
      <c r="N74" s="346"/>
      <c r="O74" s="346"/>
      <c r="P74" s="346"/>
      <c r="Q74" s="346"/>
      <c r="R74" s="346"/>
      <c r="S74" s="346"/>
      <c r="T74" s="346"/>
      <c r="U74" s="346"/>
      <c r="V74" s="346"/>
      <c r="W74" s="346"/>
      <c r="X74" s="346"/>
      <c r="Y74" s="346"/>
      <c r="Z74" s="346"/>
      <c r="AA74" s="346"/>
      <c r="AB74" s="346"/>
      <c r="AC74" s="346"/>
      <c r="AD74">
        <f t="shared" si="6"/>
        <v>7</v>
      </c>
      <c r="AE74" s="351">
        <f t="shared" si="7"/>
        <v>3.7037037037037035E-2</v>
      </c>
    </row>
    <row r="75" spans="1:31">
      <c r="A75" s="165">
        <f>'Conveyor Downtime (new)'!A71</f>
        <v>46057</v>
      </c>
      <c r="AD75">
        <f t="shared" si="6"/>
        <v>0</v>
      </c>
      <c r="AE75" s="351">
        <f t="shared" si="7"/>
        <v>0</v>
      </c>
    </row>
    <row r="76" spans="1:31">
      <c r="A76" s="165">
        <f>'Conveyor Downtime (new)'!A72</f>
        <v>46058</v>
      </c>
      <c r="B76" s="346"/>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c r="AB76" s="346"/>
      <c r="AC76" s="346"/>
      <c r="AD76">
        <f t="shared" si="6"/>
        <v>0</v>
      </c>
      <c r="AE76" s="351">
        <f t="shared" si="7"/>
        <v>0</v>
      </c>
    </row>
    <row r="77" spans="1:31">
      <c r="A77" s="165">
        <f>'Conveyor Downtime (new)'!A73</f>
        <v>46058</v>
      </c>
      <c r="AD77">
        <f t="shared" si="6"/>
        <v>0</v>
      </c>
      <c r="AE77" s="351">
        <f t="shared" si="7"/>
        <v>0</v>
      </c>
    </row>
    <row r="78" spans="1:31">
      <c r="A78" s="165">
        <f>'Conveyor Downtime (new)'!A74</f>
        <v>46058</v>
      </c>
      <c r="B78" s="346"/>
      <c r="C78" s="346"/>
      <c r="D78" s="346"/>
      <c r="E78" s="346"/>
      <c r="F78" s="346"/>
      <c r="G78" s="346"/>
      <c r="H78" s="346"/>
      <c r="I78" s="346"/>
      <c r="J78" s="346"/>
      <c r="K78" s="346"/>
      <c r="L78" s="346"/>
      <c r="M78" s="346"/>
      <c r="N78" s="346"/>
      <c r="O78" s="346"/>
      <c r="P78" s="346"/>
      <c r="Q78" s="346"/>
      <c r="R78" s="346"/>
      <c r="S78" s="346"/>
      <c r="T78" s="346"/>
      <c r="U78" s="346"/>
      <c r="V78" s="346"/>
      <c r="W78" s="346"/>
      <c r="X78" s="346"/>
      <c r="Y78" s="346"/>
      <c r="Z78" s="346"/>
      <c r="AA78" s="346"/>
      <c r="AB78" s="346"/>
      <c r="AC78" s="346"/>
      <c r="AD78">
        <f t="shared" si="6"/>
        <v>0</v>
      </c>
      <c r="AE78" s="351">
        <f t="shared" si="7"/>
        <v>0</v>
      </c>
    </row>
    <row r="79" spans="1:31">
      <c r="A79" s="165">
        <f>'Conveyor Downtime (new)'!A75</f>
        <v>46059</v>
      </c>
      <c r="AD79">
        <f t="shared" si="6"/>
        <v>0</v>
      </c>
      <c r="AE79" s="351">
        <f t="shared" si="7"/>
        <v>0</v>
      </c>
    </row>
    <row r="80" spans="1:31">
      <c r="A80" s="165">
        <f>'Conveyor Downtime (new)'!A76</f>
        <v>46059</v>
      </c>
      <c r="B80" s="346"/>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c r="AB80" s="346"/>
      <c r="AC80" s="346"/>
      <c r="AD80">
        <f t="shared" si="6"/>
        <v>0</v>
      </c>
      <c r="AE80" s="351">
        <f t="shared" si="7"/>
        <v>0</v>
      </c>
    </row>
    <row r="81" spans="1:31">
      <c r="A81" s="165">
        <f>'Conveyor Downtime (new)'!A77</f>
        <v>46062</v>
      </c>
      <c r="AD81">
        <f t="shared" si="6"/>
        <v>0</v>
      </c>
      <c r="AE81" s="351">
        <f t="shared" si="7"/>
        <v>0</v>
      </c>
    </row>
    <row r="82" spans="1:31">
      <c r="A82" s="165">
        <f>'Conveyor Downtime (new)'!A78</f>
        <v>46062</v>
      </c>
      <c r="B82" s="346"/>
      <c r="C82" s="346"/>
      <c r="D82" s="346"/>
      <c r="E82" s="346">
        <f>5</f>
        <v>5</v>
      </c>
      <c r="F82" s="346"/>
      <c r="G82" s="346"/>
      <c r="H82" s="346"/>
      <c r="I82" s="346"/>
      <c r="J82" s="346"/>
      <c r="K82" s="346"/>
      <c r="L82" s="346"/>
      <c r="M82" s="346"/>
      <c r="N82" s="346"/>
      <c r="O82" s="346"/>
      <c r="P82" s="346"/>
      <c r="Q82" s="346"/>
      <c r="R82" s="346"/>
      <c r="S82" s="346"/>
      <c r="T82" s="346"/>
      <c r="U82" s="346"/>
      <c r="V82" s="346"/>
      <c r="W82" s="346"/>
      <c r="X82" s="346"/>
      <c r="Y82" s="346"/>
      <c r="Z82" s="346"/>
      <c r="AA82" s="346"/>
      <c r="AB82" s="346"/>
      <c r="AC82" s="346"/>
      <c r="AD82">
        <f t="shared" si="6"/>
        <v>5</v>
      </c>
      <c r="AE82" s="351">
        <f t="shared" si="7"/>
        <v>2.6455026455026454E-2</v>
      </c>
    </row>
    <row r="83" spans="1:31">
      <c r="A83" s="165">
        <f>'Conveyor Downtime (new)'!A79</f>
        <v>46062</v>
      </c>
      <c r="AD83">
        <f t="shared" si="6"/>
        <v>0</v>
      </c>
      <c r="AE83" s="351">
        <f t="shared" si="7"/>
        <v>0</v>
      </c>
    </row>
    <row r="84" spans="1:31">
      <c r="A84" s="165">
        <f>'Conveyor Downtime (new)'!A80</f>
        <v>46063</v>
      </c>
      <c r="B84" s="346"/>
      <c r="C84" s="346"/>
      <c r="D84" s="346"/>
      <c r="E84" s="346"/>
      <c r="F84" s="346"/>
      <c r="G84" s="346"/>
      <c r="H84" s="346"/>
      <c r="I84" s="346"/>
      <c r="J84" s="346"/>
      <c r="K84" s="346"/>
      <c r="L84" s="346"/>
      <c r="M84" s="346"/>
      <c r="N84" s="346"/>
      <c r="O84" s="346"/>
      <c r="P84" s="346"/>
      <c r="Q84" s="346"/>
      <c r="R84" s="346"/>
      <c r="S84" s="346"/>
      <c r="T84" s="346"/>
      <c r="U84" s="346"/>
      <c r="V84" s="346"/>
      <c r="W84" s="346"/>
      <c r="X84" s="346"/>
      <c r="Y84" s="346"/>
      <c r="Z84" s="346"/>
      <c r="AA84" s="346"/>
      <c r="AB84" s="346"/>
      <c r="AC84" s="346"/>
      <c r="AD84">
        <f t="shared" si="6"/>
        <v>0</v>
      </c>
      <c r="AE84" s="351">
        <f t="shared" si="7"/>
        <v>0</v>
      </c>
    </row>
    <row r="85" spans="1:31">
      <c r="A85" s="165">
        <f>'Conveyor Downtime (new)'!A81</f>
        <v>46063</v>
      </c>
      <c r="AD85">
        <f t="shared" si="6"/>
        <v>0</v>
      </c>
      <c r="AE85" s="351">
        <f t="shared" si="7"/>
        <v>0</v>
      </c>
    </row>
    <row r="86" spans="1:31">
      <c r="A86" s="165">
        <f>'Conveyor Downtime (new)'!A82</f>
        <v>46063</v>
      </c>
      <c r="B86" s="346"/>
      <c r="C86" s="346"/>
      <c r="D86" s="346"/>
      <c r="E86" s="346"/>
      <c r="F86" s="346"/>
      <c r="G86" s="346"/>
      <c r="H86" s="346"/>
      <c r="I86" s="346"/>
      <c r="J86" s="346"/>
      <c r="K86" s="346"/>
      <c r="L86" s="346"/>
      <c r="M86" s="346"/>
      <c r="N86" s="346"/>
      <c r="O86" s="346"/>
      <c r="P86" s="346"/>
      <c r="Q86" s="346"/>
      <c r="R86" s="346"/>
      <c r="S86" s="346"/>
      <c r="T86" s="346"/>
      <c r="U86" s="346"/>
      <c r="V86" s="346"/>
      <c r="W86" s="346"/>
      <c r="X86" s="346"/>
      <c r="Y86" s="346"/>
      <c r="Z86" s="346"/>
      <c r="AA86" s="346"/>
      <c r="AB86" s="346"/>
      <c r="AC86" s="346"/>
      <c r="AD86">
        <f t="shared" si="6"/>
        <v>0</v>
      </c>
      <c r="AE86" s="351">
        <f t="shared" si="7"/>
        <v>0</v>
      </c>
    </row>
    <row r="87" spans="1:31">
      <c r="A87" s="165">
        <f>'Conveyor Downtime (new)'!A83</f>
        <v>46064</v>
      </c>
      <c r="B87" s="363"/>
      <c r="AD87">
        <f t="shared" si="6"/>
        <v>0</v>
      </c>
      <c r="AE87" s="351">
        <f t="shared" si="7"/>
        <v>0</v>
      </c>
    </row>
    <row r="88" spans="1:31">
      <c r="A88" s="165">
        <f>'Conveyor Downtime (new)'!A84</f>
        <v>46064</v>
      </c>
      <c r="B88" s="346"/>
      <c r="C88" s="346"/>
      <c r="D88" s="346"/>
      <c r="E88" s="346"/>
      <c r="F88" s="346"/>
      <c r="G88" s="346"/>
      <c r="H88" s="346"/>
      <c r="I88" s="346"/>
      <c r="J88" s="346"/>
      <c r="K88" s="346"/>
      <c r="L88" s="346"/>
      <c r="M88" s="346"/>
      <c r="N88" s="346"/>
      <c r="O88" s="346"/>
      <c r="P88" s="346"/>
      <c r="Q88" s="346"/>
      <c r="R88" s="346"/>
      <c r="S88" s="346"/>
      <c r="T88" s="346"/>
      <c r="U88" s="346"/>
      <c r="V88" s="346"/>
      <c r="W88" s="346"/>
      <c r="X88" s="346"/>
      <c r="Y88" s="346"/>
      <c r="Z88" s="346"/>
      <c r="AA88" s="346"/>
      <c r="AB88" s="346"/>
      <c r="AC88" s="346"/>
      <c r="AD88">
        <f t="shared" si="6"/>
        <v>0</v>
      </c>
      <c r="AE88" s="351">
        <f t="shared" si="7"/>
        <v>0</v>
      </c>
    </row>
    <row r="89" spans="1:31">
      <c r="A89" s="165">
        <f>'Conveyor Downtime (new)'!A85</f>
        <v>46065</v>
      </c>
      <c r="AC89">
        <f>5+8+3+2+21</f>
        <v>39</v>
      </c>
      <c r="AD89">
        <f t="shared" si="6"/>
        <v>39</v>
      </c>
      <c r="AE89" s="351">
        <f t="shared" si="7"/>
        <v>0.20634920634920634</v>
      </c>
    </row>
    <row r="90" spans="1:31">
      <c r="A90" s="165">
        <f>'Conveyor Downtime (new)'!A86</f>
        <v>46066</v>
      </c>
      <c r="B90" s="346"/>
      <c r="C90" s="346"/>
      <c r="D90" s="346"/>
      <c r="E90" s="346"/>
      <c r="F90" s="346"/>
      <c r="G90" s="346"/>
      <c r="H90" s="346"/>
      <c r="I90" s="346"/>
      <c r="J90" s="346"/>
      <c r="K90" s="346"/>
      <c r="L90" s="346"/>
      <c r="M90" s="346"/>
      <c r="N90" s="346"/>
      <c r="O90" s="346"/>
      <c r="P90" s="346"/>
      <c r="Q90" s="346"/>
      <c r="R90" s="346"/>
      <c r="S90" s="346"/>
      <c r="T90" s="346"/>
      <c r="U90" s="346"/>
      <c r="V90" s="346"/>
      <c r="W90" s="346"/>
      <c r="X90" s="346"/>
      <c r="Y90" s="346"/>
      <c r="Z90" s="346"/>
      <c r="AA90" s="346"/>
      <c r="AB90" s="346"/>
      <c r="AC90" s="346"/>
      <c r="AD90">
        <f t="shared" si="6"/>
        <v>0</v>
      </c>
      <c r="AE90" s="351">
        <f t="shared" si="7"/>
        <v>0</v>
      </c>
    </row>
    <row r="91" spans="1:31">
      <c r="A91" s="165">
        <f>'Conveyor Downtime (new)'!A87</f>
        <v>46066</v>
      </c>
      <c r="Y91">
        <f>3+1</f>
        <v>4</v>
      </c>
      <c r="AD91">
        <f t="shared" ref="AD91:AD100" si="8">SUM(B91:AC91)</f>
        <v>4</v>
      </c>
      <c r="AE91" s="351">
        <f t="shared" ref="AE91:AE98" si="9">AD91/$AD$120</f>
        <v>2.1164021164021163E-2</v>
      </c>
    </row>
    <row r="92" spans="1:31">
      <c r="A92" s="165">
        <f>'Conveyor Downtime (new)'!A88</f>
        <v>46069</v>
      </c>
      <c r="B92" s="346"/>
      <c r="C92" s="346"/>
      <c r="D92" s="346"/>
      <c r="E92" s="346">
        <f>3</f>
        <v>3</v>
      </c>
      <c r="F92" s="346"/>
      <c r="G92" s="346"/>
      <c r="H92" s="346"/>
      <c r="I92" s="346"/>
      <c r="J92" s="346"/>
      <c r="K92" s="346"/>
      <c r="L92" s="346"/>
      <c r="M92" s="346"/>
      <c r="N92" s="346"/>
      <c r="O92" s="346"/>
      <c r="P92" s="346"/>
      <c r="Q92" s="346"/>
      <c r="R92" s="346"/>
      <c r="S92" s="346"/>
      <c r="T92" s="346"/>
      <c r="U92" s="346"/>
      <c r="V92" s="346"/>
      <c r="W92" s="346"/>
      <c r="X92" s="346"/>
      <c r="Y92" s="346"/>
      <c r="Z92" s="346"/>
      <c r="AA92" s="346"/>
      <c r="AB92" s="346"/>
      <c r="AC92" s="346"/>
      <c r="AD92">
        <f t="shared" si="8"/>
        <v>3</v>
      </c>
      <c r="AE92" s="351">
        <f t="shared" si="9"/>
        <v>1.5873015873015872E-2</v>
      </c>
    </row>
    <row r="93" spans="1:31">
      <c r="A93" s="165">
        <f>'Conveyor Downtime (new)'!A89</f>
        <v>46070</v>
      </c>
      <c r="AC93">
        <f>10+5</f>
        <v>15</v>
      </c>
      <c r="AD93">
        <f t="shared" si="8"/>
        <v>15</v>
      </c>
      <c r="AE93" s="351">
        <f t="shared" si="9"/>
        <v>7.9365079365079361E-2</v>
      </c>
    </row>
    <row r="94" spans="1:31">
      <c r="A94" s="165">
        <f>'Conveyor Downtime (new)'!A90</f>
        <v>46071</v>
      </c>
      <c r="B94" s="346"/>
      <c r="C94" s="346"/>
      <c r="D94" s="346"/>
      <c r="E94" s="346"/>
      <c r="F94" s="346"/>
      <c r="G94" s="346"/>
      <c r="H94" s="346"/>
      <c r="I94" s="346"/>
      <c r="J94" s="346"/>
      <c r="K94" s="346"/>
      <c r="L94" s="346"/>
      <c r="M94" s="346"/>
      <c r="N94" s="346"/>
      <c r="O94" s="346"/>
      <c r="P94" s="346"/>
      <c r="Q94" s="346"/>
      <c r="R94" s="346"/>
      <c r="S94" s="346"/>
      <c r="T94" s="346"/>
      <c r="U94" s="346"/>
      <c r="V94" s="346"/>
      <c r="W94" s="346"/>
      <c r="X94" s="346"/>
      <c r="Y94" s="346"/>
      <c r="Z94" s="346"/>
      <c r="AA94" s="346"/>
      <c r="AB94" s="346"/>
      <c r="AC94" s="346"/>
      <c r="AD94">
        <f t="shared" si="8"/>
        <v>0</v>
      </c>
      <c r="AE94" s="351">
        <f t="shared" si="9"/>
        <v>0</v>
      </c>
    </row>
    <row r="95" spans="1:31">
      <c r="A95" s="165">
        <f>'Conveyor Downtime (new)'!A91</f>
        <v>46072</v>
      </c>
      <c r="AC95">
        <f>15+8</f>
        <v>23</v>
      </c>
      <c r="AD95">
        <f t="shared" si="8"/>
        <v>23</v>
      </c>
      <c r="AE95" s="351">
        <f t="shared" si="9"/>
        <v>0.12169312169312169</v>
      </c>
    </row>
    <row r="96" spans="1:31">
      <c r="A96" s="165">
        <f>'Conveyor Downtime (new)'!A92</f>
        <v>46072</v>
      </c>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c r="AB96" s="346"/>
      <c r="AC96" s="346"/>
      <c r="AD96">
        <f t="shared" si="8"/>
        <v>0</v>
      </c>
      <c r="AE96" s="351">
        <f t="shared" si="9"/>
        <v>0</v>
      </c>
    </row>
    <row r="97" spans="1:31">
      <c r="A97" s="165">
        <f>'Conveyor Downtime (new)'!A93</f>
        <v>46072</v>
      </c>
      <c r="AD97">
        <f t="shared" si="8"/>
        <v>0</v>
      </c>
      <c r="AE97" s="351">
        <f t="shared" si="9"/>
        <v>0</v>
      </c>
    </row>
    <row r="98" spans="1:31">
      <c r="A98" s="165">
        <f>'Conveyor Downtime (new)'!A94</f>
        <v>46073</v>
      </c>
      <c r="B98" s="346"/>
      <c r="C98" s="346"/>
      <c r="D98" s="346"/>
      <c r="E98" s="346"/>
      <c r="F98" s="346"/>
      <c r="G98" s="346"/>
      <c r="H98" s="346"/>
      <c r="I98" s="346"/>
      <c r="J98" s="346"/>
      <c r="K98" s="346"/>
      <c r="L98" s="346"/>
      <c r="M98" s="346"/>
      <c r="N98" s="346"/>
      <c r="O98" s="346"/>
      <c r="P98" s="346"/>
      <c r="Q98" s="346"/>
      <c r="R98" s="346"/>
      <c r="S98" s="346"/>
      <c r="T98" s="346"/>
      <c r="U98" s="346"/>
      <c r="V98" s="346"/>
      <c r="W98" s="346"/>
      <c r="X98" s="346"/>
      <c r="Y98" s="346"/>
      <c r="Z98" s="346"/>
      <c r="AA98" s="346"/>
      <c r="AB98" s="346"/>
      <c r="AC98" s="346"/>
      <c r="AD98">
        <f t="shared" si="8"/>
        <v>0</v>
      </c>
      <c r="AE98" s="351">
        <f t="shared" si="9"/>
        <v>0</v>
      </c>
    </row>
    <row r="99" spans="1:31">
      <c r="A99" s="165">
        <f>'Conveyor Downtime (new)'!A95</f>
        <v>46073</v>
      </c>
      <c r="D99">
        <f>7</f>
        <v>7</v>
      </c>
      <c r="AC99">
        <f>30+37+3</f>
        <v>70</v>
      </c>
      <c r="AD99">
        <f t="shared" si="8"/>
        <v>77</v>
      </c>
      <c r="AE99" s="351">
        <f t="shared" ref="AE99:AE119" si="10">AD99/$AD$120</f>
        <v>0.40740740740740738</v>
      </c>
    </row>
    <row r="100" spans="1:31">
      <c r="A100" s="165">
        <f>'Conveyor Downtime (new)'!A96</f>
        <v>46076</v>
      </c>
      <c r="B100" s="346"/>
      <c r="C100" s="346"/>
      <c r="D100" s="346"/>
      <c r="E100" s="346"/>
      <c r="F100" s="346"/>
      <c r="G100" s="346"/>
      <c r="H100" s="346"/>
      <c r="I100" s="346"/>
      <c r="J100" s="346"/>
      <c r="K100" s="346"/>
      <c r="L100" s="346"/>
      <c r="M100" s="346"/>
      <c r="N100" s="346"/>
      <c r="O100" s="346"/>
      <c r="P100" s="346"/>
      <c r="Q100" s="346"/>
      <c r="R100" s="346"/>
      <c r="S100" s="346"/>
      <c r="T100" s="346"/>
      <c r="U100" s="346"/>
      <c r="V100" s="346"/>
      <c r="W100" s="346"/>
      <c r="X100" s="346"/>
      <c r="Y100" s="346"/>
      <c r="Z100" s="346"/>
      <c r="AA100" s="346"/>
      <c r="AB100" s="346"/>
      <c r="AC100" s="346">
        <f>10</f>
        <v>10</v>
      </c>
      <c r="AD100">
        <f t="shared" si="8"/>
        <v>10</v>
      </c>
      <c r="AE100" s="351">
        <f t="shared" si="10"/>
        <v>5.2910052910052907E-2</v>
      </c>
    </row>
    <row r="101" spans="1:31">
      <c r="A101" s="165">
        <f>'Conveyor Downtime (new)'!A97</f>
        <v>46077</v>
      </c>
      <c r="E101">
        <f>3</f>
        <v>3</v>
      </c>
      <c r="AD101">
        <f t="shared" si="6"/>
        <v>3</v>
      </c>
      <c r="AE101" s="351">
        <f t="shared" si="10"/>
        <v>1.5873015873015872E-2</v>
      </c>
    </row>
    <row r="102" spans="1:31">
      <c r="A102" s="165">
        <f>'Conveyor Downtime (new)'!A98</f>
        <v>46077</v>
      </c>
      <c r="B102" s="346"/>
      <c r="C102" s="346"/>
      <c r="D102" s="346"/>
      <c r="E102" s="346"/>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c r="AB102" s="346"/>
      <c r="AC102" s="346"/>
      <c r="AD102">
        <f t="shared" si="6"/>
        <v>0</v>
      </c>
      <c r="AE102" s="351">
        <f t="shared" si="10"/>
        <v>0</v>
      </c>
    </row>
    <row r="103" spans="1:31">
      <c r="A103" s="165">
        <f>'Conveyor Downtime (new)'!A99</f>
        <v>46078</v>
      </c>
      <c r="AD103">
        <f t="shared" si="6"/>
        <v>0</v>
      </c>
      <c r="AE103" s="351">
        <f t="shared" si="10"/>
        <v>0</v>
      </c>
    </row>
    <row r="104" spans="1:31">
      <c r="A104" s="165">
        <f>'Conveyor Downtime (new)'!A100</f>
        <v>46079</v>
      </c>
      <c r="B104" s="346"/>
      <c r="C104" s="346"/>
      <c r="D104" s="346"/>
      <c r="E104" s="346"/>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c r="AB104" s="346"/>
      <c r="AC104" s="346"/>
      <c r="AD104">
        <f t="shared" si="6"/>
        <v>0</v>
      </c>
      <c r="AE104" s="351">
        <f t="shared" si="10"/>
        <v>0</v>
      </c>
    </row>
    <row r="105" spans="1:31">
      <c r="A105" s="165">
        <f>'Conveyor Downtime (new)'!A101</f>
        <v>46079</v>
      </c>
      <c r="AD105">
        <f t="shared" si="6"/>
        <v>0</v>
      </c>
      <c r="AE105" s="351">
        <f t="shared" si="10"/>
        <v>0</v>
      </c>
    </row>
    <row r="106" spans="1:31">
      <c r="A106" s="165">
        <f>'Conveyor Downtime (new)'!A102</f>
        <v>46080</v>
      </c>
      <c r="B106" s="346"/>
      <c r="C106" s="346"/>
      <c r="D106" s="346"/>
      <c r="E106" s="346"/>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c r="AB106" s="346"/>
      <c r="AC106" s="346"/>
      <c r="AD106">
        <f t="shared" si="6"/>
        <v>0</v>
      </c>
      <c r="AE106" s="351">
        <f t="shared" si="10"/>
        <v>0</v>
      </c>
    </row>
    <row r="107" spans="1:31">
      <c r="A107" s="165">
        <f>'Conveyor Downtime (new)'!A103</f>
        <v>46080</v>
      </c>
      <c r="AD107">
        <f t="shared" si="6"/>
        <v>0</v>
      </c>
      <c r="AE107" s="351">
        <f t="shared" si="10"/>
        <v>0</v>
      </c>
    </row>
    <row r="108" spans="1:31">
      <c r="A108" s="165">
        <f>'Conveyor Downtime (new)'!A104</f>
        <v>46080</v>
      </c>
      <c r="B108" s="346"/>
      <c r="C108" s="346"/>
      <c r="D108" s="346"/>
      <c r="E108" s="346"/>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c r="AB108" s="346"/>
      <c r="AC108" s="346"/>
      <c r="AD108">
        <f t="shared" si="6"/>
        <v>0</v>
      </c>
      <c r="AE108" s="351">
        <f t="shared" si="10"/>
        <v>0</v>
      </c>
    </row>
    <row r="109" spans="1:31">
      <c r="A109" s="165">
        <f>'Conveyor Downtime (new)'!A105</f>
        <v>46081</v>
      </c>
      <c r="AD109">
        <f t="shared" si="6"/>
        <v>0</v>
      </c>
      <c r="AE109" s="351">
        <f t="shared" si="10"/>
        <v>0</v>
      </c>
    </row>
    <row r="110" spans="1:31">
      <c r="A110" s="165">
        <f>'Conveyor Downtime (new)'!A106</f>
        <v>46081</v>
      </c>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c r="AB110" s="346"/>
      <c r="AC110" s="346"/>
      <c r="AD110">
        <f t="shared" si="6"/>
        <v>0</v>
      </c>
      <c r="AE110" s="351">
        <f t="shared" si="10"/>
        <v>0</v>
      </c>
    </row>
    <row r="111" spans="1:31">
      <c r="A111" s="165">
        <f>'Conveyor Downtime (new)'!A107</f>
        <v>0</v>
      </c>
      <c r="AD111">
        <f t="shared" si="6"/>
        <v>0</v>
      </c>
      <c r="AE111" s="351">
        <f t="shared" si="10"/>
        <v>0</v>
      </c>
    </row>
    <row r="112" spans="1:31">
      <c r="A112" s="165">
        <f>'Conveyor Downtime (new)'!A108</f>
        <v>0</v>
      </c>
      <c r="B112" s="346"/>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c r="AB112" s="346"/>
      <c r="AC112" s="346"/>
      <c r="AD112">
        <f t="shared" si="6"/>
        <v>0</v>
      </c>
      <c r="AE112" s="351">
        <f t="shared" si="10"/>
        <v>0</v>
      </c>
    </row>
    <row r="113" spans="1:31">
      <c r="A113" s="165">
        <f>'Conveyor Downtime (new)'!A109</f>
        <v>0</v>
      </c>
      <c r="AD113">
        <f t="shared" si="6"/>
        <v>0</v>
      </c>
      <c r="AE113" s="351">
        <f t="shared" si="10"/>
        <v>0</v>
      </c>
    </row>
    <row r="114" spans="1:31">
      <c r="A114" s="165">
        <f>'Conveyor Downtime (new)'!A110</f>
        <v>0</v>
      </c>
      <c r="B114" s="346"/>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c r="AB114" s="346"/>
      <c r="AC114" s="346"/>
      <c r="AD114">
        <f t="shared" si="6"/>
        <v>0</v>
      </c>
      <c r="AE114" s="351">
        <f t="shared" si="10"/>
        <v>0</v>
      </c>
    </row>
    <row r="115" spans="1:31">
      <c r="A115" s="165">
        <f>'Conveyor Downtime (new)'!A111</f>
        <v>0</v>
      </c>
      <c r="AD115">
        <f t="shared" si="6"/>
        <v>0</v>
      </c>
      <c r="AE115" s="351">
        <f t="shared" si="10"/>
        <v>0</v>
      </c>
    </row>
    <row r="116" spans="1:31">
      <c r="A116" s="165">
        <f>'Conveyor Downtime (new)'!A112</f>
        <v>0</v>
      </c>
      <c r="B116" s="346"/>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c r="AB116" s="346"/>
      <c r="AC116" s="346"/>
      <c r="AD116">
        <f t="shared" si="6"/>
        <v>0</v>
      </c>
      <c r="AE116" s="351">
        <f t="shared" si="10"/>
        <v>0</v>
      </c>
    </row>
    <row r="117" spans="1:31">
      <c r="A117" s="165">
        <f>'Conveyor Downtime (new)'!A113</f>
        <v>0</v>
      </c>
      <c r="AD117">
        <f t="shared" si="6"/>
        <v>0</v>
      </c>
      <c r="AE117" s="351">
        <f t="shared" si="10"/>
        <v>0</v>
      </c>
    </row>
    <row r="118" spans="1:31">
      <c r="A118" s="165">
        <f>'Conveyor Downtime (new)'!A114</f>
        <v>0</v>
      </c>
      <c r="B118" s="346"/>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c r="AB118" s="346"/>
      <c r="AC118" s="346"/>
      <c r="AD118">
        <f t="shared" si="6"/>
        <v>0</v>
      </c>
      <c r="AE118" s="351">
        <f t="shared" si="10"/>
        <v>0</v>
      </c>
    </row>
    <row r="119" spans="1:31">
      <c r="A119" s="165">
        <f>'Conveyor Downtime (new)'!A115</f>
        <v>0</v>
      </c>
      <c r="AD119">
        <f t="shared" si="6"/>
        <v>0</v>
      </c>
      <c r="AE119" s="351">
        <f t="shared" si="10"/>
        <v>0</v>
      </c>
    </row>
    <row r="120" spans="1:31" ht="15">
      <c r="A120" s="347" t="s">
        <v>173</v>
      </c>
      <c r="B120" s="347">
        <f t="shared" ref="B120:AC120" si="11">SUM(B71:B119)</f>
        <v>0</v>
      </c>
      <c r="C120" s="347">
        <f t="shared" si="11"/>
        <v>0</v>
      </c>
      <c r="D120" s="347">
        <f t="shared" si="11"/>
        <v>14</v>
      </c>
      <c r="E120" s="347">
        <f t="shared" si="11"/>
        <v>11</v>
      </c>
      <c r="F120" s="347">
        <f t="shared" si="11"/>
        <v>0</v>
      </c>
      <c r="G120" s="347">
        <f t="shared" si="11"/>
        <v>0</v>
      </c>
      <c r="H120" s="347">
        <f t="shared" si="11"/>
        <v>0</v>
      </c>
      <c r="I120" s="347">
        <f t="shared" si="11"/>
        <v>0</v>
      </c>
      <c r="J120" s="347">
        <f t="shared" si="11"/>
        <v>0</v>
      </c>
      <c r="K120" s="347">
        <f t="shared" si="11"/>
        <v>0</v>
      </c>
      <c r="L120" s="347">
        <f t="shared" si="11"/>
        <v>0</v>
      </c>
      <c r="M120" s="347">
        <f t="shared" si="11"/>
        <v>0</v>
      </c>
      <c r="N120" s="347">
        <f t="shared" si="11"/>
        <v>3</v>
      </c>
      <c r="O120" s="347">
        <f t="shared" si="11"/>
        <v>0</v>
      </c>
      <c r="P120" s="347">
        <f t="shared" si="11"/>
        <v>0</v>
      </c>
      <c r="Q120" s="347">
        <f t="shared" si="11"/>
        <v>0</v>
      </c>
      <c r="R120" s="347">
        <f t="shared" si="11"/>
        <v>0</v>
      </c>
      <c r="S120" s="347">
        <f t="shared" si="11"/>
        <v>0</v>
      </c>
      <c r="T120" s="347">
        <f t="shared" si="11"/>
        <v>0</v>
      </c>
      <c r="U120" s="347">
        <f t="shared" si="11"/>
        <v>0</v>
      </c>
      <c r="V120" s="347">
        <f t="shared" si="11"/>
        <v>0</v>
      </c>
      <c r="W120" s="347">
        <f t="shared" si="11"/>
        <v>0</v>
      </c>
      <c r="X120" s="347">
        <f t="shared" si="11"/>
        <v>0</v>
      </c>
      <c r="Y120" s="347">
        <f t="shared" si="11"/>
        <v>4</v>
      </c>
      <c r="Z120" s="347">
        <f t="shared" si="11"/>
        <v>0</v>
      </c>
      <c r="AA120" s="347">
        <f t="shared" si="11"/>
        <v>0</v>
      </c>
      <c r="AB120" s="347">
        <f t="shared" si="11"/>
        <v>0</v>
      </c>
      <c r="AC120" s="347">
        <f t="shared" si="11"/>
        <v>157</v>
      </c>
      <c r="AD120" s="347">
        <f>SUM(AD71:AD119)</f>
        <v>189</v>
      </c>
      <c r="AE120" s="351"/>
    </row>
    <row r="121" spans="1:31" ht="15.75" thickBot="1">
      <c r="A121" s="348" t="s">
        <v>174</v>
      </c>
      <c r="B121" s="348">
        <f t="shared" ref="B121:AC121" si="12">B120/$AD120</f>
        <v>0</v>
      </c>
      <c r="C121" s="348">
        <f t="shared" si="12"/>
        <v>0</v>
      </c>
      <c r="D121" s="348">
        <f t="shared" si="12"/>
        <v>7.407407407407407E-2</v>
      </c>
      <c r="E121" s="348">
        <f t="shared" si="12"/>
        <v>5.8201058201058198E-2</v>
      </c>
      <c r="F121" s="348">
        <f t="shared" si="12"/>
        <v>0</v>
      </c>
      <c r="G121" s="348">
        <f t="shared" si="12"/>
        <v>0</v>
      </c>
      <c r="H121" s="348">
        <f t="shared" si="12"/>
        <v>0</v>
      </c>
      <c r="I121" s="348">
        <f t="shared" si="12"/>
        <v>0</v>
      </c>
      <c r="J121" s="348">
        <f t="shared" si="12"/>
        <v>0</v>
      </c>
      <c r="K121" s="348">
        <f t="shared" si="12"/>
        <v>0</v>
      </c>
      <c r="L121" s="348">
        <f t="shared" si="12"/>
        <v>0</v>
      </c>
      <c r="M121" s="348">
        <f t="shared" si="12"/>
        <v>0</v>
      </c>
      <c r="N121" s="348">
        <f t="shared" si="12"/>
        <v>1.5873015873015872E-2</v>
      </c>
      <c r="O121" s="348">
        <f t="shared" si="12"/>
        <v>0</v>
      </c>
      <c r="P121" s="348">
        <f t="shared" si="12"/>
        <v>0</v>
      </c>
      <c r="Q121" s="348">
        <f t="shared" si="12"/>
        <v>0</v>
      </c>
      <c r="R121" s="348">
        <f t="shared" si="12"/>
        <v>0</v>
      </c>
      <c r="S121" s="348">
        <f t="shared" si="12"/>
        <v>0</v>
      </c>
      <c r="T121" s="348">
        <f t="shared" si="12"/>
        <v>0</v>
      </c>
      <c r="U121" s="348">
        <f t="shared" si="12"/>
        <v>0</v>
      </c>
      <c r="V121" s="348">
        <f t="shared" si="12"/>
        <v>0</v>
      </c>
      <c r="W121" s="348">
        <f t="shared" si="12"/>
        <v>0</v>
      </c>
      <c r="X121" s="348">
        <f t="shared" si="12"/>
        <v>0</v>
      </c>
      <c r="Y121" s="348">
        <f t="shared" si="12"/>
        <v>2.1164021164021163E-2</v>
      </c>
      <c r="Z121" s="348">
        <f t="shared" si="12"/>
        <v>0</v>
      </c>
      <c r="AA121" s="348">
        <f t="shared" si="12"/>
        <v>0</v>
      </c>
      <c r="AB121" s="348">
        <f t="shared" si="12"/>
        <v>0</v>
      </c>
      <c r="AC121" s="348">
        <f t="shared" si="12"/>
        <v>0.8306878306878307</v>
      </c>
      <c r="AD121" s="351"/>
      <c r="AE121" s="351"/>
    </row>
    <row r="125" spans="1:31" ht="13.5" customHeight="1"/>
    <row r="128" spans="1:31">
      <c r="A128" s="165"/>
      <c r="AE128" s="351"/>
    </row>
    <row r="129" spans="1:31">
      <c r="A129" s="165">
        <f>'Conveyor Downtime (new)'!A124</f>
        <v>46083</v>
      </c>
      <c r="B129" s="346"/>
      <c r="C129" s="346"/>
      <c r="D129" s="346"/>
      <c r="E129" s="346">
        <f>14</f>
        <v>14</v>
      </c>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c r="AB129" s="346"/>
      <c r="AC129" s="346"/>
      <c r="AD129">
        <f t="shared" ref="AD129:AD175" si="13">SUM(B129:AC129)</f>
        <v>14</v>
      </c>
      <c r="AE129" s="351">
        <f t="shared" ref="AE129:AE135" si="14">AD129/$AD$182</f>
        <v>2.3333333333333334E-2</v>
      </c>
    </row>
    <row r="130" spans="1:31">
      <c r="A130" s="165">
        <f>'Conveyor Downtime (new)'!A125</f>
        <v>46083</v>
      </c>
      <c r="AD130">
        <f t="shared" si="13"/>
        <v>0</v>
      </c>
      <c r="AE130" s="351">
        <f t="shared" si="14"/>
        <v>0</v>
      </c>
    </row>
    <row r="131" spans="1:31">
      <c r="A131" s="165">
        <f>'Conveyor Downtime (new)'!A126</f>
        <v>46084</v>
      </c>
      <c r="B131" s="346"/>
      <c r="C131" s="346"/>
      <c r="D131" s="346"/>
      <c r="E131" s="346"/>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c r="AB131" s="346"/>
      <c r="AC131" s="346"/>
      <c r="AD131">
        <f t="shared" si="13"/>
        <v>0</v>
      </c>
      <c r="AE131" s="351">
        <f t="shared" si="14"/>
        <v>0</v>
      </c>
    </row>
    <row r="132" spans="1:31">
      <c r="A132" s="165">
        <f>'Conveyor Downtime (new)'!A127</f>
        <v>46085</v>
      </c>
      <c r="AD132">
        <f t="shared" si="13"/>
        <v>0</v>
      </c>
      <c r="AE132" s="351">
        <f t="shared" si="14"/>
        <v>0</v>
      </c>
    </row>
    <row r="133" spans="1:31">
      <c r="A133" s="165">
        <f>'Conveyor Downtime (new)'!A128</f>
        <v>46085</v>
      </c>
      <c r="B133" s="346"/>
      <c r="C133" s="346"/>
      <c r="D133" s="346"/>
      <c r="E133" s="346"/>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c r="AB133" s="346"/>
      <c r="AC133" s="346"/>
      <c r="AD133">
        <f t="shared" si="13"/>
        <v>0</v>
      </c>
      <c r="AE133" s="351">
        <f t="shared" si="14"/>
        <v>0</v>
      </c>
    </row>
    <row r="134" spans="1:31">
      <c r="A134" s="165">
        <f>'Conveyor Downtime (new)'!A129</f>
        <v>46086</v>
      </c>
      <c r="AD134">
        <f t="shared" si="13"/>
        <v>0</v>
      </c>
      <c r="AE134" s="351">
        <f t="shared" si="14"/>
        <v>0</v>
      </c>
    </row>
    <row r="135" spans="1:31" ht="15.75" customHeight="1">
      <c r="A135" s="165">
        <f>'Conveyor Downtime (new)'!A130</f>
        <v>46086</v>
      </c>
      <c r="B135" s="346"/>
      <c r="C135" s="346"/>
      <c r="D135" s="346"/>
      <c r="E135" s="346"/>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c r="AB135" s="346"/>
      <c r="AC135" s="346"/>
      <c r="AD135">
        <f t="shared" si="13"/>
        <v>0</v>
      </c>
      <c r="AE135" s="351">
        <f t="shared" si="14"/>
        <v>0</v>
      </c>
    </row>
    <row r="136" spans="1:31">
      <c r="A136" s="165">
        <f>'Conveyor Downtime (new)'!A131</f>
        <v>46087</v>
      </c>
      <c r="B136" s="77"/>
      <c r="D136">
        <f>37</f>
        <v>37</v>
      </c>
      <c r="AD136">
        <f t="shared" si="13"/>
        <v>37</v>
      </c>
      <c r="AE136" s="351">
        <f t="shared" ref="AE136:AE181" si="15">AD136/$AD$182</f>
        <v>6.1666666666666668E-2</v>
      </c>
    </row>
    <row r="137" spans="1:31">
      <c r="A137" s="165">
        <f>'Conveyor Downtime (new)'!A132</f>
        <v>46087</v>
      </c>
      <c r="B137" s="346"/>
      <c r="C137" s="346"/>
      <c r="D137" s="346"/>
      <c r="E137" s="346"/>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c r="AB137" s="346"/>
      <c r="AC137" s="346"/>
      <c r="AD137">
        <f t="shared" si="13"/>
        <v>0</v>
      </c>
      <c r="AE137" s="351">
        <f t="shared" si="15"/>
        <v>0</v>
      </c>
    </row>
    <row r="138" spans="1:31">
      <c r="A138" s="165">
        <f>'Conveyor Downtime (new)'!A133</f>
        <v>46087</v>
      </c>
      <c r="AD138">
        <f t="shared" si="13"/>
        <v>0</v>
      </c>
      <c r="AE138" s="351">
        <f t="shared" si="15"/>
        <v>0</v>
      </c>
    </row>
    <row r="139" spans="1:31">
      <c r="A139" s="165">
        <f>'Conveyor Downtime (new)'!A134</f>
        <v>46089</v>
      </c>
      <c r="B139" s="346"/>
      <c r="C139" s="346"/>
      <c r="D139" s="346"/>
      <c r="E139" s="346"/>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f t="shared" si="13"/>
        <v>0</v>
      </c>
      <c r="AE139" s="351">
        <f t="shared" si="15"/>
        <v>0</v>
      </c>
    </row>
    <row r="140" spans="1:31">
      <c r="A140" s="165">
        <f>'Conveyor Downtime (new)'!A135</f>
        <v>46090</v>
      </c>
      <c r="D140">
        <f>4</f>
        <v>4</v>
      </c>
      <c r="E140">
        <f>3</f>
        <v>3</v>
      </c>
      <c r="N140">
        <f>3</f>
        <v>3</v>
      </c>
      <c r="AD140">
        <f t="shared" si="13"/>
        <v>10</v>
      </c>
      <c r="AE140" s="351">
        <f t="shared" si="15"/>
        <v>1.6666666666666666E-2</v>
      </c>
    </row>
    <row r="141" spans="1:31">
      <c r="A141" s="165">
        <f>'Conveyor Downtime (new)'!A136</f>
        <v>46091</v>
      </c>
      <c r="B141" s="346"/>
      <c r="C141" s="346"/>
      <c r="D141" s="346"/>
      <c r="E141" s="346">
        <f>3+4</f>
        <v>7</v>
      </c>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c r="AB141" s="346"/>
      <c r="AC141" s="346"/>
      <c r="AD141">
        <f t="shared" si="13"/>
        <v>7</v>
      </c>
      <c r="AE141" s="351">
        <f t="shared" si="15"/>
        <v>1.1666666666666667E-2</v>
      </c>
    </row>
    <row r="142" spans="1:31">
      <c r="A142" s="165">
        <f>'Conveyor Downtime (new)'!A137</f>
        <v>46091</v>
      </c>
      <c r="L142">
        <f>9</f>
        <v>9</v>
      </c>
      <c r="AD142">
        <f t="shared" si="13"/>
        <v>9</v>
      </c>
      <c r="AE142" s="351">
        <f t="shared" si="15"/>
        <v>1.4999999999999999E-2</v>
      </c>
    </row>
    <row r="143" spans="1:31">
      <c r="A143" s="165">
        <f>'Conveyor Downtime (new)'!A138</f>
        <v>46092</v>
      </c>
      <c r="B143" s="346"/>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c r="AB143" s="346"/>
      <c r="AC143" s="346"/>
      <c r="AD143">
        <f t="shared" si="13"/>
        <v>0</v>
      </c>
      <c r="AE143" s="351">
        <f t="shared" si="15"/>
        <v>0</v>
      </c>
    </row>
    <row r="144" spans="1:31">
      <c r="A144" s="165">
        <f>'Conveyor Downtime (new)'!A139</f>
        <v>46092</v>
      </c>
      <c r="AD144">
        <f t="shared" si="13"/>
        <v>0</v>
      </c>
      <c r="AE144" s="351">
        <f t="shared" si="15"/>
        <v>0</v>
      </c>
    </row>
    <row r="145" spans="1:31">
      <c r="A145" s="165">
        <f>'Conveyor Downtime (new)'!A140</f>
        <v>46092</v>
      </c>
      <c r="B145" s="346"/>
      <c r="C145" s="346"/>
      <c r="D145" s="346"/>
      <c r="E145" s="346">
        <f>13+8+2+2</f>
        <v>25</v>
      </c>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c r="AB145" s="346"/>
      <c r="AC145" s="346">
        <f>8+2</f>
        <v>10</v>
      </c>
      <c r="AD145">
        <f t="shared" si="13"/>
        <v>35</v>
      </c>
      <c r="AE145" s="351">
        <f t="shared" si="15"/>
        <v>5.8333333333333334E-2</v>
      </c>
    </row>
    <row r="146" spans="1:31">
      <c r="A146" s="165">
        <f>'Conveyor Downtime (new)'!A141</f>
        <v>46093</v>
      </c>
      <c r="D146">
        <f>1</f>
        <v>1</v>
      </c>
      <c r="K146">
        <f>6</f>
        <v>6</v>
      </c>
      <c r="AD146">
        <f t="shared" si="13"/>
        <v>7</v>
      </c>
      <c r="AE146" s="351">
        <f t="shared" si="15"/>
        <v>1.1666666666666667E-2</v>
      </c>
    </row>
    <row r="147" spans="1:31">
      <c r="A147" s="165">
        <f>'Conveyor Downtime (new)'!A142</f>
        <v>46093</v>
      </c>
      <c r="B147" s="346"/>
      <c r="C147" s="346"/>
      <c r="D147" s="346"/>
      <c r="E147" s="346"/>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c r="AB147" s="346"/>
      <c r="AC147" s="346"/>
      <c r="AD147">
        <f t="shared" si="13"/>
        <v>0</v>
      </c>
      <c r="AE147" s="351">
        <f t="shared" si="15"/>
        <v>0</v>
      </c>
    </row>
    <row r="148" spans="1:31">
      <c r="A148" s="165">
        <f>'Conveyor Downtime (new)'!A143</f>
        <v>46094</v>
      </c>
      <c r="AD148">
        <f t="shared" si="13"/>
        <v>0</v>
      </c>
      <c r="AE148" s="351">
        <f t="shared" si="15"/>
        <v>0</v>
      </c>
    </row>
    <row r="149" spans="1:31">
      <c r="A149" s="165">
        <f>'Conveyor Downtime (new)'!A144</f>
        <v>46094</v>
      </c>
      <c r="B149" s="346"/>
      <c r="C149" s="346"/>
      <c r="D149" s="346"/>
      <c r="E149" s="346">
        <f>5</f>
        <v>5</v>
      </c>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c r="AB149" s="346"/>
      <c r="AC149" s="346"/>
      <c r="AD149">
        <f t="shared" si="13"/>
        <v>5</v>
      </c>
      <c r="AE149" s="351">
        <f t="shared" si="15"/>
        <v>8.3333333333333332E-3</v>
      </c>
    </row>
    <row r="150" spans="1:31">
      <c r="A150" s="165">
        <f>'Conveyor Downtime (new)'!A145</f>
        <v>46097</v>
      </c>
      <c r="AD150">
        <f t="shared" si="13"/>
        <v>0</v>
      </c>
      <c r="AE150" s="351">
        <f t="shared" si="15"/>
        <v>0</v>
      </c>
    </row>
    <row r="151" spans="1:31">
      <c r="A151" s="165">
        <f>'Conveyor Downtime (new)'!A146</f>
        <v>46098</v>
      </c>
      <c r="B151" s="346"/>
      <c r="C151" s="346"/>
      <c r="D151" s="346"/>
      <c r="E151" s="346"/>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c r="AB151" s="346"/>
      <c r="AC151" s="346"/>
      <c r="AD151">
        <f t="shared" si="13"/>
        <v>0</v>
      </c>
      <c r="AE151" s="351">
        <f t="shared" si="15"/>
        <v>0</v>
      </c>
    </row>
    <row r="152" spans="1:31">
      <c r="A152" s="165">
        <f>'Conveyor Downtime (new)'!A147</f>
        <v>46099</v>
      </c>
      <c r="AD152">
        <f t="shared" si="13"/>
        <v>0</v>
      </c>
      <c r="AE152" s="351">
        <f t="shared" si="15"/>
        <v>0</v>
      </c>
    </row>
    <row r="153" spans="1:31">
      <c r="A153" s="165">
        <f>'Conveyor Downtime (new)'!A148</f>
        <v>46099</v>
      </c>
      <c r="B153" s="346"/>
      <c r="C153" s="346"/>
      <c r="D153" s="346"/>
      <c r="E153" s="346"/>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6"/>
      <c r="AB153" s="346"/>
      <c r="AC153" s="346"/>
      <c r="AD153">
        <f t="shared" si="13"/>
        <v>0</v>
      </c>
      <c r="AE153" s="351">
        <f t="shared" si="15"/>
        <v>0</v>
      </c>
    </row>
    <row r="154" spans="1:31">
      <c r="A154" s="165">
        <f>'Conveyor Downtime (new)'!A149</f>
        <v>46100</v>
      </c>
      <c r="AD154">
        <f t="shared" si="13"/>
        <v>0</v>
      </c>
      <c r="AE154" s="351">
        <f t="shared" si="15"/>
        <v>0</v>
      </c>
    </row>
    <row r="155" spans="1:31">
      <c r="A155" s="165">
        <f>'Conveyor Downtime (new)'!A150</f>
        <v>46100</v>
      </c>
      <c r="B155" s="346"/>
      <c r="C155" s="346"/>
      <c r="D155" s="346"/>
      <c r="E155" s="346"/>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c r="AB155" s="346"/>
      <c r="AC155" s="346"/>
      <c r="AD155">
        <f t="shared" si="13"/>
        <v>0</v>
      </c>
      <c r="AE155" s="351">
        <f t="shared" si="15"/>
        <v>0</v>
      </c>
    </row>
    <row r="156" spans="1:31">
      <c r="A156" s="165">
        <f>'Conveyor Downtime (new)'!A151</f>
        <v>46100</v>
      </c>
      <c r="AD156">
        <f t="shared" si="13"/>
        <v>0</v>
      </c>
      <c r="AE156" s="351">
        <f t="shared" si="15"/>
        <v>0</v>
      </c>
    </row>
    <row r="157" spans="1:31">
      <c r="A157" s="165">
        <f>'Conveyor Downtime (new)'!A152</f>
        <v>46101</v>
      </c>
      <c r="B157" s="346"/>
      <c r="C157" s="346"/>
      <c r="D157" s="346"/>
      <c r="E157" s="346"/>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6"/>
      <c r="AB157" s="346"/>
      <c r="AC157" s="346"/>
      <c r="AD157">
        <f t="shared" si="13"/>
        <v>0</v>
      </c>
      <c r="AE157" s="351">
        <f t="shared" si="15"/>
        <v>0</v>
      </c>
    </row>
    <row r="158" spans="1:31">
      <c r="A158" s="165">
        <f>'Conveyor Downtime (new)'!A153</f>
        <v>46101</v>
      </c>
      <c r="AD158">
        <f t="shared" si="13"/>
        <v>0</v>
      </c>
      <c r="AE158" s="351">
        <f t="shared" si="15"/>
        <v>0</v>
      </c>
    </row>
    <row r="159" spans="1:31">
      <c r="A159" s="165">
        <f>'Conveyor Downtime (new)'!A154</f>
        <v>46104</v>
      </c>
      <c r="E159">
        <v>2</v>
      </c>
      <c r="N159">
        <v>4</v>
      </c>
      <c r="O159" s="346"/>
      <c r="P159" s="346"/>
      <c r="Q159" s="346"/>
      <c r="R159" s="346"/>
      <c r="S159" s="346"/>
      <c r="T159" s="346"/>
      <c r="U159" s="346"/>
      <c r="V159" s="346"/>
      <c r="W159" s="346"/>
      <c r="X159" s="346"/>
      <c r="Y159" s="346"/>
      <c r="Z159" s="346"/>
      <c r="AA159" s="346"/>
      <c r="AB159" s="346"/>
      <c r="AC159" s="346"/>
      <c r="AD159">
        <f t="shared" si="13"/>
        <v>6</v>
      </c>
      <c r="AE159" s="351">
        <f t="shared" si="15"/>
        <v>0.01</v>
      </c>
    </row>
    <row r="160" spans="1:31">
      <c r="A160" s="165">
        <f>'Conveyor Downtime (new)'!A155</f>
        <v>46104</v>
      </c>
      <c r="B160" s="346"/>
      <c r="C160" s="346"/>
      <c r="D160" s="346"/>
      <c r="E160" s="346"/>
      <c r="F160" s="346"/>
      <c r="G160" s="346"/>
      <c r="H160" s="346"/>
      <c r="I160" s="346"/>
      <c r="J160" s="346"/>
      <c r="K160" s="346"/>
      <c r="L160" s="346"/>
      <c r="M160" s="346"/>
      <c r="N160" s="346"/>
      <c r="AD160">
        <f t="shared" si="13"/>
        <v>0</v>
      </c>
      <c r="AE160" s="351">
        <f t="shared" si="15"/>
        <v>0</v>
      </c>
    </row>
    <row r="161" spans="1:31">
      <c r="A161" s="165">
        <f>'Conveyor Downtime (new)'!A156</f>
        <v>46104</v>
      </c>
      <c r="E161">
        <v>5</v>
      </c>
      <c r="N161">
        <v>3</v>
      </c>
      <c r="O161" s="346"/>
      <c r="P161" s="346"/>
      <c r="Q161" s="346"/>
      <c r="R161" s="346"/>
      <c r="S161" s="346"/>
      <c r="T161" s="346"/>
      <c r="U161" s="346"/>
      <c r="V161" s="346"/>
      <c r="W161" s="346"/>
      <c r="X161" s="346"/>
      <c r="Y161" s="346"/>
      <c r="Z161" s="346"/>
      <c r="AA161" s="346"/>
      <c r="AB161" s="346"/>
      <c r="AC161" s="346"/>
      <c r="AD161">
        <f t="shared" si="13"/>
        <v>8</v>
      </c>
      <c r="AE161" s="351">
        <f t="shared" si="15"/>
        <v>1.3333333333333334E-2</v>
      </c>
    </row>
    <row r="162" spans="1:31">
      <c r="A162" s="165">
        <f>'Conveyor Downtime (new)'!A157</f>
        <v>46105</v>
      </c>
      <c r="B162" s="346"/>
      <c r="C162" s="346"/>
      <c r="D162" s="346"/>
      <c r="E162" s="346"/>
      <c r="F162" s="346"/>
      <c r="G162" s="346"/>
      <c r="H162" s="346"/>
      <c r="I162" s="346"/>
      <c r="J162" s="346"/>
      <c r="K162" s="346"/>
      <c r="L162" s="346"/>
      <c r="M162" s="346"/>
      <c r="N162" s="346"/>
      <c r="AD162">
        <f t="shared" si="13"/>
        <v>0</v>
      </c>
      <c r="AE162" s="351">
        <f t="shared" si="15"/>
        <v>0</v>
      </c>
    </row>
    <row r="163" spans="1:31">
      <c r="A163" s="165">
        <f>'Conveyor Downtime (new)'!A158</f>
        <v>46105</v>
      </c>
      <c r="D163">
        <f>45+42</f>
        <v>87</v>
      </c>
      <c r="O163" s="346"/>
      <c r="P163" s="346"/>
      <c r="Q163" s="346"/>
      <c r="R163" s="346"/>
      <c r="S163" s="346"/>
      <c r="T163" s="346"/>
      <c r="U163" s="346"/>
      <c r="V163" s="346"/>
      <c r="W163" s="346"/>
      <c r="X163" s="346"/>
      <c r="Y163" s="346"/>
      <c r="Z163" s="346"/>
      <c r="AA163" s="346"/>
      <c r="AB163" s="346"/>
      <c r="AC163" s="346"/>
      <c r="AD163">
        <f t="shared" si="13"/>
        <v>87</v>
      </c>
      <c r="AE163" s="351">
        <f t="shared" si="15"/>
        <v>0.14499999999999999</v>
      </c>
    </row>
    <row r="164" spans="1:31">
      <c r="A164" s="165">
        <f>'Conveyor Downtime (new)'!A159</f>
        <v>46106</v>
      </c>
      <c r="B164" s="346">
        <f>10</f>
        <v>10</v>
      </c>
      <c r="C164" s="346"/>
      <c r="D164" s="346">
        <f>8</f>
        <v>8</v>
      </c>
      <c r="E164" s="346">
        <f>2+7</f>
        <v>9</v>
      </c>
      <c r="F164" s="346"/>
      <c r="G164" s="346"/>
      <c r="H164" s="346"/>
      <c r="I164" s="346"/>
      <c r="J164" s="346"/>
      <c r="K164" s="346"/>
      <c r="L164" s="346"/>
      <c r="M164" s="346"/>
      <c r="N164" s="346"/>
      <c r="AD164">
        <f t="shared" si="13"/>
        <v>27</v>
      </c>
      <c r="AE164" s="351">
        <f t="shared" si="15"/>
        <v>4.4999999999999998E-2</v>
      </c>
    </row>
    <row r="165" spans="1:31">
      <c r="A165" s="165">
        <f>'Conveyor Downtime (new)'!A160</f>
        <v>46106</v>
      </c>
      <c r="O165" s="346"/>
      <c r="P165" s="346"/>
      <c r="Q165" s="346"/>
      <c r="R165" s="346"/>
      <c r="S165" s="346"/>
      <c r="T165" s="346"/>
      <c r="U165" s="346"/>
      <c r="V165" s="346"/>
      <c r="W165" s="346"/>
      <c r="X165" s="346"/>
      <c r="Y165" s="346"/>
      <c r="Z165" s="346"/>
      <c r="AA165" s="346"/>
      <c r="AB165" s="346"/>
      <c r="AC165" s="346"/>
      <c r="AD165">
        <f t="shared" si="13"/>
        <v>0</v>
      </c>
      <c r="AE165" s="351">
        <f t="shared" si="15"/>
        <v>0</v>
      </c>
    </row>
    <row r="166" spans="1:31">
      <c r="A166" s="165">
        <f>'Conveyor Downtime (new)'!A161</f>
        <v>46106</v>
      </c>
      <c r="B166" s="346"/>
      <c r="C166" s="346"/>
      <c r="D166" s="346"/>
      <c r="E166" s="346"/>
      <c r="F166" s="346"/>
      <c r="G166" s="346"/>
      <c r="H166" s="346"/>
      <c r="I166" s="346"/>
      <c r="J166" s="346"/>
      <c r="K166" s="346"/>
      <c r="L166" s="346"/>
      <c r="M166" s="346"/>
      <c r="N166" s="346"/>
      <c r="AD166">
        <f t="shared" si="13"/>
        <v>0</v>
      </c>
      <c r="AE166" s="351">
        <f t="shared" si="15"/>
        <v>0</v>
      </c>
    </row>
    <row r="167" spans="1:31">
      <c r="A167" s="165">
        <f>'Conveyor Downtime (new)'!A162</f>
        <v>46106</v>
      </c>
      <c r="E167">
        <f>13+4+60+8+3</f>
        <v>88</v>
      </c>
      <c r="O167" s="346"/>
      <c r="P167" s="346"/>
      <c r="Q167" s="346"/>
      <c r="R167" s="346"/>
      <c r="S167" s="346"/>
      <c r="T167" s="346"/>
      <c r="U167" s="346"/>
      <c r="V167" s="346"/>
      <c r="W167" s="346"/>
      <c r="X167" s="346"/>
      <c r="Y167" s="346"/>
      <c r="Z167" s="346"/>
      <c r="AA167" s="346"/>
      <c r="AB167" s="346"/>
      <c r="AC167" s="346"/>
      <c r="AD167">
        <f t="shared" si="13"/>
        <v>88</v>
      </c>
      <c r="AE167" s="351">
        <f t="shared" si="15"/>
        <v>0.14666666666666667</v>
      </c>
    </row>
    <row r="168" spans="1:31">
      <c r="A168" s="165">
        <f>'Conveyor Downtime (new)'!A163</f>
        <v>46107</v>
      </c>
      <c r="B168" s="346"/>
      <c r="C168" s="346"/>
      <c r="D168" s="346"/>
      <c r="E168" s="346">
        <f>23+20+52</f>
        <v>95</v>
      </c>
      <c r="F168" s="346"/>
      <c r="G168" s="346"/>
      <c r="H168" s="346"/>
      <c r="I168" s="346"/>
      <c r="J168" s="346"/>
      <c r="K168" s="346"/>
      <c r="L168" s="346"/>
      <c r="M168" s="346"/>
      <c r="N168" s="346"/>
      <c r="AD168">
        <f t="shared" si="13"/>
        <v>95</v>
      </c>
      <c r="AE168" s="351">
        <f t="shared" si="15"/>
        <v>0.15833333333333333</v>
      </c>
    </row>
    <row r="169" spans="1:31">
      <c r="A169" s="165">
        <f>'Conveyor Downtime (new)'!A164</f>
        <v>46107</v>
      </c>
      <c r="J169">
        <f>3+6</f>
        <v>9</v>
      </c>
      <c r="O169" s="346"/>
      <c r="P169" s="346"/>
      <c r="Q169" s="346"/>
      <c r="R169" s="346"/>
      <c r="S169" s="346"/>
      <c r="T169" s="346"/>
      <c r="U169" s="346"/>
      <c r="V169" s="346"/>
      <c r="W169" s="346"/>
      <c r="X169" s="346"/>
      <c r="Y169" s="346"/>
      <c r="Z169" s="346"/>
      <c r="AA169" s="346"/>
      <c r="AB169" s="346"/>
      <c r="AC169" s="346"/>
      <c r="AD169">
        <f t="shared" si="13"/>
        <v>9</v>
      </c>
      <c r="AE169" s="351">
        <f t="shared" si="15"/>
        <v>1.4999999999999999E-2</v>
      </c>
    </row>
    <row r="170" spans="1:31">
      <c r="A170" s="165">
        <f>'Conveyor Downtime (new)'!A165</f>
        <v>46107</v>
      </c>
      <c r="B170" s="346"/>
      <c r="C170" s="346"/>
      <c r="D170" s="346"/>
      <c r="E170" s="346"/>
      <c r="F170" s="346"/>
      <c r="G170" s="346"/>
      <c r="H170" s="346"/>
      <c r="I170" s="346"/>
      <c r="J170" s="346"/>
      <c r="K170" s="346"/>
      <c r="L170" s="346"/>
      <c r="M170" s="346"/>
      <c r="N170" s="346"/>
      <c r="AD170">
        <f t="shared" si="13"/>
        <v>0</v>
      </c>
      <c r="AE170" s="351">
        <f t="shared" si="15"/>
        <v>0</v>
      </c>
    </row>
    <row r="171" spans="1:31">
      <c r="A171" s="165">
        <f>'Conveyor Downtime (new)'!A166</f>
        <v>46107</v>
      </c>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c r="AB171" s="346"/>
      <c r="AC171" s="346"/>
      <c r="AD171">
        <f t="shared" si="13"/>
        <v>0</v>
      </c>
      <c r="AE171" s="351">
        <f t="shared" si="15"/>
        <v>0</v>
      </c>
    </row>
    <row r="172" spans="1:31">
      <c r="A172" s="165">
        <f>'Conveyor Downtime (new)'!A167</f>
        <v>46108</v>
      </c>
      <c r="AD172">
        <f t="shared" si="13"/>
        <v>0</v>
      </c>
      <c r="AE172" s="351">
        <f t="shared" si="15"/>
        <v>0</v>
      </c>
    </row>
    <row r="173" spans="1:31">
      <c r="A173" s="165">
        <f>'Conveyor Downtime (new)'!A168</f>
        <v>46108</v>
      </c>
      <c r="B173" s="346">
        <f>5+30</f>
        <v>35</v>
      </c>
      <c r="C173" s="346"/>
      <c r="D173" s="346">
        <v>3</v>
      </c>
      <c r="E173" s="346"/>
      <c r="F173" s="346"/>
      <c r="G173" s="346"/>
      <c r="H173" s="346"/>
      <c r="I173" s="346"/>
      <c r="J173" s="346"/>
      <c r="K173" s="346"/>
      <c r="L173" s="346"/>
      <c r="M173" s="346"/>
      <c r="N173" s="346"/>
      <c r="O173" s="346"/>
      <c r="P173" s="346"/>
      <c r="Q173" s="346"/>
      <c r="R173" s="346"/>
      <c r="S173" s="346"/>
      <c r="T173">
        <f>1+5</f>
        <v>6</v>
      </c>
      <c r="U173" s="346"/>
      <c r="V173" s="346"/>
      <c r="W173" s="346"/>
      <c r="X173" s="346"/>
      <c r="Y173" s="346"/>
      <c r="Z173" s="346"/>
      <c r="AA173" s="346"/>
      <c r="AB173" s="346"/>
      <c r="AC173" s="346"/>
      <c r="AD173">
        <f t="shared" si="13"/>
        <v>44</v>
      </c>
      <c r="AE173" s="351">
        <f t="shared" si="15"/>
        <v>7.3333333333333334E-2</v>
      </c>
    </row>
    <row r="174" spans="1:31">
      <c r="A174" s="165">
        <f>'Conveyor Downtime (new)'!A169</f>
        <v>46111</v>
      </c>
      <c r="B174">
        <f>3+26</f>
        <v>29</v>
      </c>
      <c r="D174">
        <f>2</f>
        <v>2</v>
      </c>
      <c r="E174">
        <f>4</f>
        <v>4</v>
      </c>
      <c r="AD174">
        <f t="shared" si="13"/>
        <v>35</v>
      </c>
      <c r="AE174" s="351">
        <f t="shared" si="15"/>
        <v>5.8333333333333334E-2</v>
      </c>
    </row>
    <row r="175" spans="1:31">
      <c r="A175" s="165">
        <f>'Conveyor Downtime (new)'!A170</f>
        <v>46112</v>
      </c>
      <c r="B175" s="346">
        <f>15</f>
        <v>15</v>
      </c>
      <c r="C175" s="346"/>
      <c r="D175" s="346"/>
      <c r="E175" s="346"/>
      <c r="F175" s="346"/>
      <c r="G175" s="346"/>
      <c r="H175" s="346"/>
      <c r="I175" s="346"/>
      <c r="J175" s="346"/>
      <c r="K175" s="346"/>
      <c r="L175" s="346"/>
      <c r="M175" s="346"/>
      <c r="N175" s="346"/>
      <c r="O175" s="346"/>
      <c r="P175" s="346"/>
      <c r="Q175" s="346">
        <f>3+2+9+3+11</f>
        <v>28</v>
      </c>
      <c r="R175" s="346"/>
      <c r="S175" s="346"/>
      <c r="T175" s="346"/>
      <c r="U175" s="346"/>
      <c r="V175" s="346"/>
      <c r="W175" s="346"/>
      <c r="X175" s="346"/>
      <c r="Y175" s="346"/>
      <c r="Z175" s="346"/>
      <c r="AA175" s="346"/>
      <c r="AB175" s="346"/>
      <c r="AC175" s="346"/>
      <c r="AD175">
        <f t="shared" si="13"/>
        <v>43</v>
      </c>
      <c r="AE175" s="351">
        <f t="shared" si="15"/>
        <v>7.166666666666667E-2</v>
      </c>
    </row>
    <row r="176" spans="1:31">
      <c r="A176" s="165">
        <f>'Conveyor Downtime (new)'!A171</f>
        <v>46112</v>
      </c>
      <c r="AD176">
        <f t="shared" ref="AD176:AD181" si="16">SUM(B176:AC176)</f>
        <v>0</v>
      </c>
      <c r="AE176" s="351">
        <f t="shared" si="15"/>
        <v>0</v>
      </c>
    </row>
    <row r="177" spans="1:31">
      <c r="A177" s="165">
        <f>'Conveyor Downtime (new)'!A172</f>
        <v>46112</v>
      </c>
      <c r="B177" s="346"/>
      <c r="C177" s="346"/>
      <c r="D177" s="346"/>
      <c r="E177" s="346"/>
      <c r="F177" s="346"/>
      <c r="G177" s="346"/>
      <c r="H177" s="346"/>
      <c r="I177" s="346"/>
      <c r="J177" s="346"/>
      <c r="K177" s="346"/>
      <c r="L177" s="346"/>
      <c r="M177" s="346"/>
      <c r="N177" s="346"/>
      <c r="O177" s="346"/>
      <c r="P177" s="346"/>
      <c r="Q177" s="346">
        <f>6+8+6+3+6</f>
        <v>29</v>
      </c>
      <c r="R177" s="346"/>
      <c r="S177" s="346"/>
      <c r="T177" s="346"/>
      <c r="U177" s="346"/>
      <c r="V177" s="346"/>
      <c r="W177" s="346"/>
      <c r="X177" s="346"/>
      <c r="Y177" s="346"/>
      <c r="Z177" s="346"/>
      <c r="AA177" s="346"/>
      <c r="AB177" s="346"/>
      <c r="AC177" s="346">
        <v>5</v>
      </c>
      <c r="AD177">
        <f t="shared" si="16"/>
        <v>34</v>
      </c>
      <c r="AE177" s="351">
        <f t="shared" si="15"/>
        <v>5.6666666666666664E-2</v>
      </c>
    </row>
    <row r="178" spans="1:31">
      <c r="A178" s="165">
        <f>'Conveyor Downtime (new)'!A173</f>
        <v>46112</v>
      </c>
      <c r="AD178">
        <f t="shared" si="16"/>
        <v>0</v>
      </c>
      <c r="AE178" s="351">
        <f t="shared" si="15"/>
        <v>0</v>
      </c>
    </row>
    <row r="179" spans="1:31">
      <c r="A179" s="165">
        <f>'Conveyor Downtime (new)'!A174</f>
        <v>0</v>
      </c>
      <c r="B179" s="346"/>
      <c r="C179" s="346"/>
      <c r="D179" s="346"/>
      <c r="E179" s="346"/>
      <c r="F179" s="346"/>
      <c r="G179" s="346"/>
      <c r="H179" s="346"/>
      <c r="I179" s="346"/>
      <c r="J179" s="346"/>
      <c r="K179" s="346"/>
      <c r="L179" s="346"/>
      <c r="M179" s="346"/>
      <c r="N179" s="346"/>
      <c r="O179" s="346"/>
      <c r="P179" s="346"/>
      <c r="Q179" s="346"/>
      <c r="R179" s="346"/>
      <c r="S179" s="346"/>
      <c r="T179" s="346"/>
      <c r="U179" s="346"/>
      <c r="V179" s="346"/>
      <c r="W179" s="346"/>
      <c r="X179" s="346"/>
      <c r="Y179" s="346"/>
      <c r="Z179" s="346"/>
      <c r="AA179" s="346"/>
      <c r="AB179" s="346"/>
      <c r="AC179" s="346"/>
      <c r="AD179">
        <f t="shared" si="16"/>
        <v>0</v>
      </c>
      <c r="AE179" s="351">
        <f t="shared" si="15"/>
        <v>0</v>
      </c>
    </row>
    <row r="180" spans="1:31">
      <c r="A180" s="165">
        <f>'Conveyor Downtime (new)'!A175</f>
        <v>0</v>
      </c>
      <c r="AD180">
        <f t="shared" si="16"/>
        <v>0</v>
      </c>
      <c r="AE180" s="351">
        <f t="shared" si="15"/>
        <v>0</v>
      </c>
    </row>
    <row r="181" spans="1:31">
      <c r="A181" s="165">
        <f>'Conveyor Downtime (new)'!A177</f>
        <v>0</v>
      </c>
      <c r="B181" s="346"/>
      <c r="C181" s="346"/>
      <c r="D181" s="346"/>
      <c r="E181" s="346"/>
      <c r="F181" s="346"/>
      <c r="G181" s="346"/>
      <c r="H181" s="346"/>
      <c r="I181" s="346"/>
      <c r="J181" s="346"/>
      <c r="K181" s="346"/>
      <c r="L181" s="346"/>
      <c r="M181" s="346"/>
      <c r="N181" s="346"/>
      <c r="O181" s="346"/>
      <c r="P181" s="346"/>
      <c r="Q181" s="346"/>
      <c r="R181" s="346"/>
      <c r="S181" s="346"/>
      <c r="T181" s="346"/>
      <c r="U181" s="346"/>
      <c r="V181" s="346"/>
      <c r="W181" s="346"/>
      <c r="X181" s="346"/>
      <c r="Y181" s="346"/>
      <c r="Z181" s="346"/>
      <c r="AA181" s="346"/>
      <c r="AB181" s="346"/>
      <c r="AC181" s="346"/>
      <c r="AD181">
        <f t="shared" si="16"/>
        <v>0</v>
      </c>
      <c r="AE181" s="351">
        <f t="shared" si="15"/>
        <v>0</v>
      </c>
    </row>
    <row r="182" spans="1:31" ht="15">
      <c r="A182" s="165">
        <f>'Conveyor Downtime (new)'!A178</f>
        <v>0</v>
      </c>
      <c r="B182" s="347">
        <f t="shared" ref="B182:AC182" si="17">SUM(B128:B181)</f>
        <v>89</v>
      </c>
      <c r="C182" s="347">
        <f t="shared" si="17"/>
        <v>0</v>
      </c>
      <c r="D182" s="347">
        <f t="shared" si="17"/>
        <v>142</v>
      </c>
      <c r="E182" s="347">
        <f t="shared" si="17"/>
        <v>257</v>
      </c>
      <c r="F182" s="347">
        <f t="shared" si="17"/>
        <v>0</v>
      </c>
      <c r="G182" s="347">
        <f t="shared" si="17"/>
        <v>0</v>
      </c>
      <c r="H182" s="347">
        <f t="shared" si="17"/>
        <v>0</v>
      </c>
      <c r="I182" s="347">
        <f t="shared" si="17"/>
        <v>0</v>
      </c>
      <c r="J182" s="347">
        <f t="shared" si="17"/>
        <v>9</v>
      </c>
      <c r="K182" s="347">
        <f t="shared" si="17"/>
        <v>6</v>
      </c>
      <c r="L182" s="347">
        <f t="shared" si="17"/>
        <v>9</v>
      </c>
      <c r="M182" s="347">
        <f t="shared" si="17"/>
        <v>0</v>
      </c>
      <c r="N182" s="347">
        <f t="shared" si="17"/>
        <v>10</v>
      </c>
      <c r="O182" s="347">
        <f t="shared" si="17"/>
        <v>0</v>
      </c>
      <c r="P182" s="347">
        <f t="shared" si="17"/>
        <v>0</v>
      </c>
      <c r="Q182" s="347">
        <f t="shared" si="17"/>
        <v>57</v>
      </c>
      <c r="R182" s="347">
        <f t="shared" si="17"/>
        <v>0</v>
      </c>
      <c r="S182" s="347">
        <f t="shared" si="17"/>
        <v>0</v>
      </c>
      <c r="T182" s="347">
        <f t="shared" si="17"/>
        <v>6</v>
      </c>
      <c r="U182" s="347">
        <f t="shared" si="17"/>
        <v>0</v>
      </c>
      <c r="V182" s="347">
        <f t="shared" si="17"/>
        <v>0</v>
      </c>
      <c r="W182" s="347">
        <f t="shared" si="17"/>
        <v>0</v>
      </c>
      <c r="X182" s="347">
        <f t="shared" si="17"/>
        <v>0</v>
      </c>
      <c r="Y182" s="347">
        <f t="shared" si="17"/>
        <v>0</v>
      </c>
      <c r="Z182" s="347">
        <f t="shared" si="17"/>
        <v>0</v>
      </c>
      <c r="AA182" s="347">
        <f t="shared" si="17"/>
        <v>0</v>
      </c>
      <c r="AB182" s="347">
        <f t="shared" si="17"/>
        <v>0</v>
      </c>
      <c r="AC182" s="347">
        <f t="shared" si="17"/>
        <v>15</v>
      </c>
      <c r="AD182" s="347">
        <f>SUM(AD128:AD181)</f>
        <v>600</v>
      </c>
      <c r="AE182" s="351"/>
    </row>
    <row r="183" spans="1:31" ht="15.75" thickBot="1">
      <c r="A183" s="165">
        <f>'Conveyor Downtime (new)'!A179</f>
        <v>0</v>
      </c>
      <c r="B183" s="348">
        <f t="shared" ref="B183:AC183" si="18">B182/$AD182</f>
        <v>0.14833333333333334</v>
      </c>
      <c r="C183" s="348">
        <f t="shared" si="18"/>
        <v>0</v>
      </c>
      <c r="D183" s="348">
        <f t="shared" si="18"/>
        <v>0.23666666666666666</v>
      </c>
      <c r="E183" s="348">
        <f t="shared" si="18"/>
        <v>0.42833333333333334</v>
      </c>
      <c r="F183" s="348">
        <f t="shared" si="18"/>
        <v>0</v>
      </c>
      <c r="G183" s="348">
        <f t="shared" si="18"/>
        <v>0</v>
      </c>
      <c r="H183" s="348">
        <f t="shared" si="18"/>
        <v>0</v>
      </c>
      <c r="I183" s="348">
        <f t="shared" si="18"/>
        <v>0</v>
      </c>
      <c r="J183" s="348">
        <f t="shared" si="18"/>
        <v>1.4999999999999999E-2</v>
      </c>
      <c r="K183" s="348">
        <f t="shared" si="18"/>
        <v>0.01</v>
      </c>
      <c r="L183" s="348">
        <f t="shared" si="18"/>
        <v>1.4999999999999999E-2</v>
      </c>
      <c r="M183" s="348">
        <f t="shared" si="18"/>
        <v>0</v>
      </c>
      <c r="N183" s="348">
        <f t="shared" si="18"/>
        <v>1.6666666666666666E-2</v>
      </c>
      <c r="O183" s="348">
        <f t="shared" si="18"/>
        <v>0</v>
      </c>
      <c r="P183" s="348">
        <f t="shared" si="18"/>
        <v>0</v>
      </c>
      <c r="Q183" s="348">
        <f t="shared" si="18"/>
        <v>9.5000000000000001E-2</v>
      </c>
      <c r="R183" s="348">
        <f t="shared" si="18"/>
        <v>0</v>
      </c>
      <c r="S183" s="348">
        <f t="shared" si="18"/>
        <v>0</v>
      </c>
      <c r="T183" s="348">
        <f t="shared" si="18"/>
        <v>0.01</v>
      </c>
      <c r="U183" s="348">
        <f t="shared" si="18"/>
        <v>0</v>
      </c>
      <c r="V183" s="348">
        <f t="shared" si="18"/>
        <v>0</v>
      </c>
      <c r="W183" s="348">
        <f t="shared" si="18"/>
        <v>0</v>
      </c>
      <c r="X183" s="348">
        <f t="shared" si="18"/>
        <v>0</v>
      </c>
      <c r="Y183" s="348">
        <f t="shared" si="18"/>
        <v>0</v>
      </c>
      <c r="Z183" s="348">
        <f t="shared" si="18"/>
        <v>0</v>
      </c>
      <c r="AA183" s="348">
        <f t="shared" si="18"/>
        <v>0</v>
      </c>
      <c r="AB183" s="348">
        <f t="shared" si="18"/>
        <v>0</v>
      </c>
      <c r="AC183" s="348">
        <f t="shared" si="18"/>
        <v>2.5000000000000001E-2</v>
      </c>
      <c r="AD183" s="351"/>
      <c r="AE183" s="351"/>
    </row>
    <row r="187" spans="1:31">
      <c r="A187" s="165">
        <f>'Conveyor Downtime (new)'!A187</f>
        <v>46113</v>
      </c>
      <c r="B187">
        <f>9</f>
        <v>9</v>
      </c>
      <c r="J187">
        <f>3</f>
        <v>3</v>
      </c>
      <c r="AD187">
        <f t="shared" ref="AD187:AD210" si="19">SUM(B187:AC187)</f>
        <v>12</v>
      </c>
      <c r="AE187" s="351">
        <f>AD187/$AD$182</f>
        <v>0.02</v>
      </c>
    </row>
    <row r="188" spans="1:31">
      <c r="A188" s="165">
        <f>'Conveyor Downtime (new)'!A188</f>
        <v>46113</v>
      </c>
      <c r="B188" s="346"/>
      <c r="C188" s="346"/>
      <c r="D188" s="346"/>
      <c r="E188" s="346"/>
      <c r="F188" s="346"/>
      <c r="G188" s="346"/>
      <c r="H188" s="346"/>
      <c r="I188" s="346"/>
      <c r="J188" s="346"/>
      <c r="K188" s="346"/>
      <c r="L188" s="346"/>
      <c r="M188" s="346"/>
      <c r="N188" s="346"/>
      <c r="O188" s="346"/>
      <c r="P188" s="346"/>
      <c r="Q188" s="346"/>
      <c r="R188" s="346"/>
      <c r="S188" s="346"/>
      <c r="T188" s="346"/>
      <c r="U188" s="346"/>
      <c r="V188" s="346"/>
      <c r="W188" s="346"/>
      <c r="X188" s="346"/>
      <c r="Y188" s="346"/>
      <c r="Z188" s="346"/>
      <c r="AA188" s="346"/>
      <c r="AB188" s="346"/>
      <c r="AC188" s="346"/>
      <c r="AD188">
        <f t="shared" si="19"/>
        <v>0</v>
      </c>
      <c r="AE188" s="351">
        <f t="shared" ref="AE188:AE210" si="20">AD188/$AD$182</f>
        <v>0</v>
      </c>
    </row>
    <row r="189" spans="1:31">
      <c r="A189" s="165">
        <f>'Conveyor Downtime (new)'!A189</f>
        <v>46113</v>
      </c>
      <c r="AD189">
        <f t="shared" si="19"/>
        <v>0</v>
      </c>
      <c r="AE189" s="351">
        <f t="shared" si="20"/>
        <v>0</v>
      </c>
    </row>
    <row r="190" spans="1:31">
      <c r="A190" s="165">
        <f>'Conveyor Downtime (new)'!A190</f>
        <v>46114</v>
      </c>
      <c r="B190" s="346"/>
      <c r="C190" s="346"/>
      <c r="D190" s="346"/>
      <c r="E190" s="346"/>
      <c r="F190" s="346"/>
      <c r="G190" s="346"/>
      <c r="H190" s="346"/>
      <c r="I190" s="346"/>
      <c r="J190" s="346"/>
      <c r="K190" s="346"/>
      <c r="L190" s="346"/>
      <c r="M190" s="346"/>
      <c r="N190" s="346"/>
      <c r="O190" s="346"/>
      <c r="P190" s="346"/>
      <c r="Q190" s="346"/>
      <c r="R190" s="346"/>
      <c r="S190" s="346"/>
      <c r="T190" s="346"/>
      <c r="U190" s="346"/>
      <c r="V190" s="346"/>
      <c r="W190" s="346"/>
      <c r="X190" s="346"/>
      <c r="Y190" s="346"/>
      <c r="Z190" s="346"/>
      <c r="AA190" s="346"/>
      <c r="AB190" s="346"/>
      <c r="AC190" s="346"/>
      <c r="AD190">
        <f t="shared" si="19"/>
        <v>0</v>
      </c>
      <c r="AE190" s="351">
        <f t="shared" si="20"/>
        <v>0</v>
      </c>
    </row>
    <row r="191" spans="1:31">
      <c r="A191" s="165">
        <f>'Conveyor Downtime (new)'!A191</f>
        <v>46114</v>
      </c>
      <c r="AD191">
        <f t="shared" si="19"/>
        <v>0</v>
      </c>
      <c r="AE191" s="351">
        <f t="shared" si="20"/>
        <v>0</v>
      </c>
    </row>
    <row r="192" spans="1:31">
      <c r="A192" s="165">
        <f>'Conveyor Downtime (new)'!A192</f>
        <v>46119</v>
      </c>
      <c r="B192" s="346"/>
      <c r="C192" s="346"/>
      <c r="D192" s="346"/>
      <c r="E192" s="346"/>
      <c r="F192" s="346"/>
      <c r="G192" s="346"/>
      <c r="H192" s="346"/>
      <c r="I192" s="346"/>
      <c r="J192" s="346"/>
      <c r="K192" s="346"/>
      <c r="L192" s="346"/>
      <c r="M192" s="346"/>
      <c r="N192" s="346"/>
      <c r="O192" s="346"/>
      <c r="P192" s="346"/>
      <c r="Q192" s="346"/>
      <c r="R192" s="346"/>
      <c r="S192" s="346"/>
      <c r="T192" s="346"/>
      <c r="U192" s="346"/>
      <c r="V192" s="346"/>
      <c r="W192" s="346"/>
      <c r="X192" s="346"/>
      <c r="Y192" s="346"/>
      <c r="Z192" s="346"/>
      <c r="AA192" s="346"/>
      <c r="AB192" s="346"/>
      <c r="AC192" s="346"/>
      <c r="AD192">
        <f t="shared" si="19"/>
        <v>0</v>
      </c>
      <c r="AE192" s="351">
        <f t="shared" si="20"/>
        <v>0</v>
      </c>
    </row>
    <row r="193" spans="1:31">
      <c r="A193" s="165">
        <f>'Conveyor Downtime (new)'!A193</f>
        <v>46119</v>
      </c>
      <c r="AD193">
        <f t="shared" si="19"/>
        <v>0</v>
      </c>
      <c r="AE193" s="351">
        <f t="shared" si="20"/>
        <v>0</v>
      </c>
    </row>
    <row r="194" spans="1:31">
      <c r="A194" s="165">
        <f>'Conveyor Downtime (new)'!A194</f>
        <v>46120</v>
      </c>
      <c r="B194" s="346">
        <f>4</f>
        <v>4</v>
      </c>
      <c r="C194" s="346"/>
      <c r="D194" s="346"/>
      <c r="E194" s="346"/>
      <c r="F194" s="346"/>
      <c r="G194" s="346"/>
      <c r="H194" s="346"/>
      <c r="I194" s="346"/>
      <c r="J194" s="346"/>
      <c r="K194" s="346"/>
      <c r="L194" s="346"/>
      <c r="M194" s="346"/>
      <c r="N194" s="346"/>
      <c r="O194" s="346"/>
      <c r="P194" s="346"/>
      <c r="Q194" s="346"/>
      <c r="R194" s="346"/>
      <c r="S194" s="346"/>
      <c r="T194" s="346"/>
      <c r="U194" s="346"/>
      <c r="V194" s="346"/>
      <c r="W194" s="346"/>
      <c r="X194" s="346"/>
      <c r="Y194" s="346"/>
      <c r="Z194" s="346"/>
      <c r="AA194" s="346"/>
      <c r="AB194" s="346"/>
      <c r="AC194" s="346"/>
      <c r="AD194">
        <f t="shared" si="19"/>
        <v>4</v>
      </c>
      <c r="AE194" s="351">
        <f t="shared" si="20"/>
        <v>6.6666666666666671E-3</v>
      </c>
    </row>
    <row r="195" spans="1:31">
      <c r="A195" s="165">
        <f>'Conveyor Downtime (new)'!A195</f>
        <v>46120</v>
      </c>
      <c r="AD195">
        <f t="shared" si="19"/>
        <v>0</v>
      </c>
      <c r="AE195" s="351">
        <f t="shared" si="20"/>
        <v>0</v>
      </c>
    </row>
    <row r="196" spans="1:31">
      <c r="A196" s="165">
        <f>'Conveyor Downtime (new)'!A196</f>
        <v>46121</v>
      </c>
      <c r="B196" s="346">
        <f>1+2+3</f>
        <v>6</v>
      </c>
      <c r="C196" s="346"/>
      <c r="D196" s="346"/>
      <c r="E196" s="346">
        <f>2+3</f>
        <v>5</v>
      </c>
      <c r="F196" s="346"/>
      <c r="G196" s="346"/>
      <c r="H196" s="346"/>
      <c r="I196" s="346"/>
      <c r="J196" s="346"/>
      <c r="K196" s="346"/>
      <c r="L196" s="346"/>
      <c r="M196" s="346"/>
      <c r="N196" s="346"/>
      <c r="O196" s="346"/>
      <c r="P196" s="346"/>
      <c r="Q196" s="346"/>
      <c r="R196" s="346"/>
      <c r="S196" s="346"/>
      <c r="T196" s="346"/>
      <c r="U196" s="346"/>
      <c r="V196" s="346"/>
      <c r="W196" s="346"/>
      <c r="X196" s="346"/>
      <c r="Y196" s="346"/>
      <c r="Z196" s="346"/>
      <c r="AA196" s="346"/>
      <c r="AB196" s="346"/>
      <c r="AC196" s="346"/>
      <c r="AD196">
        <f t="shared" si="19"/>
        <v>11</v>
      </c>
      <c r="AE196" s="351">
        <f t="shared" si="20"/>
        <v>1.8333333333333333E-2</v>
      </c>
    </row>
    <row r="197" spans="1:31">
      <c r="A197" s="165">
        <f>'Conveyor Downtime (new)'!A197</f>
        <v>46122</v>
      </c>
      <c r="AD197">
        <f t="shared" si="19"/>
        <v>0</v>
      </c>
      <c r="AE197" s="351">
        <f t="shared" si="20"/>
        <v>0</v>
      </c>
    </row>
    <row r="198" spans="1:31">
      <c r="A198" s="165">
        <f>'Conveyor Downtime (new)'!A198</f>
        <v>46125</v>
      </c>
      <c r="B198" s="346"/>
      <c r="C198" s="346"/>
      <c r="D198" s="346"/>
      <c r="E198" s="346"/>
      <c r="F198" s="346"/>
      <c r="G198" s="346"/>
      <c r="H198" s="346"/>
      <c r="I198" s="346"/>
      <c r="J198" s="346"/>
      <c r="K198" s="346"/>
      <c r="L198" s="346"/>
      <c r="M198" s="346"/>
      <c r="N198" s="346"/>
      <c r="O198" s="346"/>
      <c r="P198" s="346"/>
      <c r="Q198" s="346"/>
      <c r="R198" s="346"/>
      <c r="S198" s="346"/>
      <c r="T198" s="346"/>
      <c r="U198" s="346"/>
      <c r="V198" s="346"/>
      <c r="W198" s="346"/>
      <c r="X198" s="346"/>
      <c r="Y198" s="346"/>
      <c r="Z198" s="346"/>
      <c r="AA198" s="346"/>
      <c r="AB198" s="346"/>
      <c r="AC198" s="346"/>
      <c r="AD198">
        <f t="shared" si="19"/>
        <v>0</v>
      </c>
      <c r="AE198" s="351">
        <f t="shared" si="20"/>
        <v>0</v>
      </c>
    </row>
    <row r="199" spans="1:31">
      <c r="A199" s="165">
        <f>'Conveyor Downtime (new)'!A199</f>
        <v>46125</v>
      </c>
      <c r="B199">
        <f>20+3+4+4+14+2</f>
        <v>47</v>
      </c>
      <c r="T199">
        <f>4+9+3+9</f>
        <v>25</v>
      </c>
      <c r="AD199">
        <f t="shared" si="19"/>
        <v>72</v>
      </c>
      <c r="AE199" s="351">
        <f t="shared" si="20"/>
        <v>0.12</v>
      </c>
    </row>
    <row r="200" spans="1:31">
      <c r="A200" s="165">
        <f>'Conveyor Downtime (new)'!A200</f>
        <v>46126</v>
      </c>
      <c r="B200" s="346"/>
      <c r="C200" s="346"/>
      <c r="D200" s="346"/>
      <c r="E200" s="346"/>
      <c r="F200" s="346"/>
      <c r="G200" s="346"/>
      <c r="H200" s="346"/>
      <c r="I200" s="346"/>
      <c r="J200" s="346"/>
      <c r="K200" s="346"/>
      <c r="L200" s="346"/>
      <c r="M200" s="346"/>
      <c r="N200" s="346"/>
      <c r="O200" s="346"/>
      <c r="P200" s="346"/>
      <c r="Q200" s="346"/>
      <c r="R200" s="346"/>
      <c r="S200" s="346"/>
      <c r="T200" s="346"/>
      <c r="U200" s="346"/>
      <c r="V200" s="346"/>
      <c r="W200" s="346"/>
      <c r="X200" s="346"/>
      <c r="Y200" s="346"/>
      <c r="Z200" s="346"/>
      <c r="AA200" s="346"/>
      <c r="AB200" s="346"/>
      <c r="AC200" s="346"/>
      <c r="AD200">
        <f t="shared" si="19"/>
        <v>0</v>
      </c>
      <c r="AE200" s="351">
        <f t="shared" si="20"/>
        <v>0</v>
      </c>
    </row>
    <row r="201" spans="1:31">
      <c r="A201" s="165">
        <f>'Conveyor Downtime (new)'!A201</f>
        <v>46126</v>
      </c>
      <c r="AD201">
        <f t="shared" si="19"/>
        <v>0</v>
      </c>
      <c r="AE201" s="351">
        <f t="shared" si="20"/>
        <v>0</v>
      </c>
    </row>
    <row r="202" spans="1:31">
      <c r="A202" s="165">
        <f>'Conveyor Downtime (new)'!A202</f>
        <v>46126</v>
      </c>
      <c r="B202" s="346"/>
      <c r="C202" s="346"/>
      <c r="D202" s="346"/>
      <c r="E202" s="346"/>
      <c r="F202" s="346"/>
      <c r="G202" s="346"/>
      <c r="H202" s="346"/>
      <c r="I202" s="346"/>
      <c r="J202" s="346"/>
      <c r="K202" s="346"/>
      <c r="L202" s="346"/>
      <c r="M202" s="346"/>
      <c r="N202" s="346"/>
      <c r="O202" s="346"/>
      <c r="P202" s="346"/>
      <c r="Q202" s="346"/>
      <c r="R202" s="346"/>
      <c r="S202" s="346"/>
      <c r="T202" s="346"/>
      <c r="U202" s="346"/>
      <c r="V202" s="346"/>
      <c r="W202" s="346"/>
      <c r="X202" s="346"/>
      <c r="Y202" s="346"/>
      <c r="Z202" s="346"/>
      <c r="AA202" s="346"/>
      <c r="AB202" s="346"/>
      <c r="AC202" s="346"/>
      <c r="AD202">
        <f t="shared" si="19"/>
        <v>0</v>
      </c>
      <c r="AE202" s="351">
        <f t="shared" si="20"/>
        <v>0</v>
      </c>
    </row>
    <row r="203" spans="1:31">
      <c r="A203" s="165">
        <f>'Conveyor Downtime (new)'!A203</f>
        <v>46126</v>
      </c>
      <c r="AD203">
        <f t="shared" si="19"/>
        <v>0</v>
      </c>
      <c r="AE203" s="351">
        <f t="shared" si="20"/>
        <v>0</v>
      </c>
    </row>
    <row r="204" spans="1:31">
      <c r="A204" s="165">
        <f>'Conveyor Downtime (new)'!A204</f>
        <v>46127</v>
      </c>
      <c r="B204" s="346"/>
      <c r="C204" s="346"/>
      <c r="D204" s="346"/>
      <c r="E204" s="346"/>
      <c r="F204" s="346"/>
      <c r="G204" s="346"/>
      <c r="H204" s="346"/>
      <c r="I204" s="346"/>
      <c r="J204" s="346"/>
      <c r="K204" s="346"/>
      <c r="L204" s="346"/>
      <c r="M204" s="346"/>
      <c r="N204" s="346"/>
      <c r="O204" s="346"/>
      <c r="P204" s="346"/>
      <c r="Q204" s="346"/>
      <c r="R204" s="346"/>
      <c r="S204" s="346"/>
      <c r="T204" s="346"/>
      <c r="U204" s="346"/>
      <c r="V204" s="346"/>
      <c r="W204" s="346"/>
      <c r="X204" s="346"/>
      <c r="Y204" s="346"/>
      <c r="Z204" s="346"/>
      <c r="AA204" s="346"/>
      <c r="AB204" s="346"/>
      <c r="AC204" s="346"/>
      <c r="AD204">
        <f t="shared" si="19"/>
        <v>0</v>
      </c>
      <c r="AE204" s="351">
        <f t="shared" si="20"/>
        <v>0</v>
      </c>
    </row>
    <row r="205" spans="1:31">
      <c r="A205" s="165">
        <f>'Conveyor Downtime (new)'!A205</f>
        <v>46127</v>
      </c>
      <c r="AD205">
        <f t="shared" si="19"/>
        <v>0</v>
      </c>
      <c r="AE205" s="351">
        <f t="shared" si="20"/>
        <v>0</v>
      </c>
    </row>
    <row r="206" spans="1:31">
      <c r="A206" s="165">
        <f>'Conveyor Downtime (new)'!A206</f>
        <v>46127</v>
      </c>
      <c r="B206" s="346"/>
      <c r="C206" s="346"/>
      <c r="D206" s="346"/>
      <c r="E206" s="346">
        <f>2</f>
        <v>2</v>
      </c>
      <c r="F206" s="346"/>
      <c r="G206" s="346"/>
      <c r="H206" s="346"/>
      <c r="I206" s="346"/>
      <c r="J206" s="346"/>
      <c r="K206" s="346"/>
      <c r="L206" s="346"/>
      <c r="M206" s="346"/>
      <c r="N206" s="346"/>
      <c r="O206" s="346"/>
      <c r="P206" s="346"/>
      <c r="Q206" s="346"/>
      <c r="R206" s="346"/>
      <c r="S206" s="346"/>
      <c r="T206" s="346"/>
      <c r="U206" s="346"/>
      <c r="V206" s="346"/>
      <c r="W206" s="346"/>
      <c r="X206" s="346"/>
      <c r="Y206" s="346"/>
      <c r="Z206" s="346"/>
      <c r="AA206" s="346"/>
      <c r="AB206" s="346"/>
      <c r="AC206" s="346"/>
      <c r="AD206">
        <f t="shared" si="19"/>
        <v>2</v>
      </c>
      <c r="AE206" s="351">
        <f t="shared" si="20"/>
        <v>3.3333333333333335E-3</v>
      </c>
    </row>
    <row r="207" spans="1:31">
      <c r="A207" s="165">
        <f>'Conveyor Downtime (new)'!A207</f>
        <v>46128</v>
      </c>
      <c r="B207">
        <f>6</f>
        <v>6</v>
      </c>
      <c r="AD207">
        <f t="shared" si="19"/>
        <v>6</v>
      </c>
      <c r="AE207" s="351">
        <f t="shared" si="20"/>
        <v>0.01</v>
      </c>
    </row>
    <row r="208" spans="1:31">
      <c r="A208" s="165">
        <f>'Conveyor Downtime (new)'!A208</f>
        <v>46128</v>
      </c>
      <c r="B208" s="346">
        <f>4+5+6+2+4+4+3+5+3+3</f>
        <v>39</v>
      </c>
      <c r="C208" s="346"/>
      <c r="D208" s="346"/>
      <c r="E208" s="346"/>
      <c r="F208" s="346"/>
      <c r="G208" s="346"/>
      <c r="H208" s="346"/>
      <c r="I208" s="346"/>
      <c r="J208" s="346"/>
      <c r="K208" s="346"/>
      <c r="L208" s="346"/>
      <c r="M208" s="346"/>
      <c r="N208" s="346"/>
      <c r="O208" s="346"/>
      <c r="P208" s="346"/>
      <c r="Q208" s="346"/>
      <c r="R208" s="346"/>
      <c r="S208" s="346"/>
      <c r="T208" s="346"/>
      <c r="U208" s="346"/>
      <c r="V208" s="346"/>
      <c r="W208" s="346"/>
      <c r="X208" s="346"/>
      <c r="Y208" s="346"/>
      <c r="Z208" s="346"/>
      <c r="AA208" s="346"/>
      <c r="AB208" s="346"/>
      <c r="AC208" s="346"/>
      <c r="AD208">
        <f t="shared" si="19"/>
        <v>39</v>
      </c>
      <c r="AE208" s="351">
        <f t="shared" si="20"/>
        <v>6.5000000000000002E-2</v>
      </c>
    </row>
    <row r="209" spans="1:31">
      <c r="A209" s="165">
        <f>'Conveyor Downtime (new)'!A209</f>
        <v>46129</v>
      </c>
      <c r="AD209">
        <f t="shared" si="19"/>
        <v>0</v>
      </c>
      <c r="AE209" s="351">
        <f t="shared" si="20"/>
        <v>0</v>
      </c>
    </row>
    <row r="210" spans="1:31">
      <c r="A210" s="165">
        <f>'Conveyor Downtime (new)'!A210</f>
        <v>46129</v>
      </c>
      <c r="B210" s="346"/>
      <c r="C210" s="346"/>
      <c r="D210" s="346"/>
      <c r="E210" s="346"/>
      <c r="F210" s="346"/>
      <c r="G210" s="346"/>
      <c r="H210" s="346"/>
      <c r="I210" s="346"/>
      <c r="J210" s="346"/>
      <c r="K210" s="346"/>
      <c r="L210" s="346"/>
      <c r="M210" s="346"/>
      <c r="N210" s="346"/>
      <c r="O210" s="346"/>
      <c r="P210" s="346"/>
      <c r="Q210" s="346"/>
      <c r="R210" s="346"/>
      <c r="S210" s="346"/>
      <c r="T210" s="346"/>
      <c r="U210" s="346"/>
      <c r="V210" s="346"/>
      <c r="W210" s="346"/>
      <c r="X210" s="346"/>
      <c r="Y210" s="346"/>
      <c r="Z210" s="346"/>
      <c r="AA210" s="346"/>
      <c r="AB210" s="346"/>
      <c r="AC210" s="346"/>
      <c r="AD210">
        <f t="shared" si="19"/>
        <v>0</v>
      </c>
      <c r="AE210" s="351">
        <f t="shared" si="20"/>
        <v>0</v>
      </c>
    </row>
    <row r="211" spans="1:31">
      <c r="A211" s="165">
        <f>'Conveyor Downtime (new)'!A211</f>
        <v>46132</v>
      </c>
      <c r="D211">
        <f>60+60+60</f>
        <v>180</v>
      </c>
      <c r="F211">
        <f>60+50</f>
        <v>110</v>
      </c>
      <c r="AD211">
        <f t="shared" ref="AD211:AD218" si="21">SUM(B211:AC211)</f>
        <v>290</v>
      </c>
      <c r="AE211" s="351">
        <f t="shared" ref="AE211:AE218" si="22">AD211/$AD$182</f>
        <v>0.48333333333333334</v>
      </c>
    </row>
    <row r="212" spans="1:31">
      <c r="A212" s="165">
        <f>'Conveyor Downtime (new)'!A212</f>
        <v>46132</v>
      </c>
      <c r="B212" s="346"/>
      <c r="C212" s="346"/>
      <c r="D212" s="346"/>
      <c r="E212" s="346"/>
      <c r="F212" s="346"/>
      <c r="G212" s="346"/>
      <c r="H212" s="346"/>
      <c r="I212" s="346"/>
      <c r="J212" s="346"/>
      <c r="K212" s="346"/>
      <c r="L212" s="346"/>
      <c r="M212" s="346"/>
      <c r="N212" s="346"/>
      <c r="O212" s="346"/>
      <c r="P212" s="346"/>
      <c r="Q212" s="346"/>
      <c r="R212" s="346"/>
      <c r="S212" s="346"/>
      <c r="T212" s="346"/>
      <c r="U212" s="346"/>
      <c r="V212" s="346"/>
      <c r="W212" s="346"/>
      <c r="X212" s="346"/>
      <c r="Y212" s="346"/>
      <c r="Z212" s="346"/>
      <c r="AA212" s="346"/>
      <c r="AB212" s="346"/>
      <c r="AC212" s="346"/>
      <c r="AD212">
        <f t="shared" si="21"/>
        <v>0</v>
      </c>
      <c r="AE212" s="351">
        <f t="shared" si="22"/>
        <v>0</v>
      </c>
    </row>
    <row r="213" spans="1:31">
      <c r="A213" s="165">
        <f>'Conveyor Downtime (new)'!A213</f>
        <v>46132</v>
      </c>
      <c r="B213" s="346"/>
      <c r="C213" s="346"/>
      <c r="D213" s="346"/>
      <c r="E213" s="346"/>
      <c r="F213" s="346"/>
      <c r="G213" s="346"/>
      <c r="H213" s="346"/>
      <c r="I213" s="346"/>
      <c r="J213" s="346"/>
      <c r="K213" s="346"/>
      <c r="L213" s="346"/>
      <c r="M213" s="346"/>
      <c r="N213" s="346"/>
      <c r="O213" s="346"/>
      <c r="P213" s="346"/>
      <c r="Q213" s="346"/>
      <c r="R213" s="346"/>
      <c r="S213" s="346"/>
      <c r="T213" s="346"/>
      <c r="U213" s="346"/>
      <c r="V213" s="346"/>
      <c r="W213" s="346"/>
      <c r="X213" s="346"/>
      <c r="Y213" s="346"/>
      <c r="Z213" s="346"/>
      <c r="AA213" s="346"/>
      <c r="AB213" s="346"/>
      <c r="AC213" s="346"/>
      <c r="AD213">
        <f t="shared" si="21"/>
        <v>0</v>
      </c>
      <c r="AE213" s="351">
        <f t="shared" si="22"/>
        <v>0</v>
      </c>
    </row>
    <row r="214" spans="1:31">
      <c r="A214" s="165">
        <f>'Conveyor Downtime (new)'!A214</f>
        <v>46133</v>
      </c>
      <c r="AD214">
        <f t="shared" si="21"/>
        <v>0</v>
      </c>
      <c r="AE214" s="351">
        <f t="shared" si="22"/>
        <v>0</v>
      </c>
    </row>
    <row r="215" spans="1:31">
      <c r="A215" s="165">
        <f>'Conveyor Downtime (new)'!A215</f>
        <v>46133</v>
      </c>
      <c r="B215" s="346"/>
      <c r="C215" s="346"/>
      <c r="D215" s="346"/>
      <c r="E215" s="346"/>
      <c r="F215" s="346"/>
      <c r="G215" s="346"/>
      <c r="H215" s="346"/>
      <c r="I215" s="346"/>
      <c r="J215" s="346"/>
      <c r="K215" s="346"/>
      <c r="L215" s="346"/>
      <c r="M215" s="346"/>
      <c r="N215" s="346"/>
      <c r="O215" s="346"/>
      <c r="P215" s="346"/>
      <c r="Q215" s="346"/>
      <c r="R215" s="346"/>
      <c r="S215" s="346"/>
      <c r="T215" s="346"/>
      <c r="U215" s="346"/>
      <c r="V215" s="346"/>
      <c r="W215" s="346"/>
      <c r="X215" s="346"/>
      <c r="Y215" s="346"/>
      <c r="Z215" s="346"/>
      <c r="AA215" s="346"/>
      <c r="AB215" s="346"/>
      <c r="AC215" s="346"/>
      <c r="AD215">
        <f t="shared" si="21"/>
        <v>0</v>
      </c>
      <c r="AE215" s="351">
        <f t="shared" si="22"/>
        <v>0</v>
      </c>
    </row>
    <row r="216" spans="1:31">
      <c r="A216" s="165">
        <f>'Conveyor Downtime (new)'!A216</f>
        <v>46134</v>
      </c>
      <c r="AD216">
        <f t="shared" si="21"/>
        <v>0</v>
      </c>
      <c r="AE216" s="351">
        <f t="shared" si="22"/>
        <v>0</v>
      </c>
    </row>
    <row r="217" spans="1:31">
      <c r="A217" s="165">
        <f>'Conveyor Downtime (new)'!A217</f>
        <v>46134</v>
      </c>
      <c r="B217" s="346">
        <f>14</f>
        <v>14</v>
      </c>
      <c r="C217" s="346"/>
      <c r="D217" s="346"/>
      <c r="E217" s="346">
        <f>1</f>
        <v>1</v>
      </c>
      <c r="F217" s="346"/>
      <c r="G217" s="346"/>
      <c r="H217" s="346"/>
      <c r="I217" s="346"/>
      <c r="J217" s="346"/>
      <c r="K217" s="346"/>
      <c r="L217" s="346"/>
      <c r="M217" s="346"/>
      <c r="N217" s="346"/>
      <c r="O217" s="346"/>
      <c r="P217" s="346"/>
      <c r="Q217" s="346"/>
      <c r="R217" s="346"/>
      <c r="S217" s="346"/>
      <c r="T217" s="346"/>
      <c r="U217" s="346"/>
      <c r="V217" s="346"/>
      <c r="W217" s="346"/>
      <c r="X217" s="346"/>
      <c r="Y217" s="346"/>
      <c r="Z217" s="346"/>
      <c r="AA217" s="346"/>
      <c r="AB217" s="346"/>
      <c r="AC217" s="346"/>
      <c r="AD217">
        <f t="shared" si="21"/>
        <v>15</v>
      </c>
      <c r="AE217" s="351">
        <f t="shared" si="22"/>
        <v>2.5000000000000001E-2</v>
      </c>
    </row>
    <row r="218" spans="1:31">
      <c r="A218" s="165">
        <f>'Conveyor Downtime (new)'!A218</f>
        <v>46135</v>
      </c>
      <c r="E218">
        <v>32</v>
      </c>
      <c r="T218">
        <f>2</f>
        <v>2</v>
      </c>
      <c r="AD218">
        <f t="shared" si="21"/>
        <v>34</v>
      </c>
      <c r="AE218" s="351">
        <f t="shared" si="22"/>
        <v>5.6666666666666664E-2</v>
      </c>
    </row>
    <row r="219" spans="1:31">
      <c r="A219" s="165">
        <f>'Conveyor Downtime (new)'!A219</f>
        <v>46135</v>
      </c>
      <c r="B219" s="346"/>
      <c r="C219" s="346"/>
      <c r="D219" s="346"/>
      <c r="E219" s="346">
        <f>1</f>
        <v>1</v>
      </c>
      <c r="F219" s="346"/>
      <c r="G219" s="346"/>
      <c r="H219" s="346"/>
      <c r="I219" s="346"/>
      <c r="J219" s="346"/>
      <c r="K219" s="346"/>
      <c r="L219" s="346"/>
      <c r="M219" s="346"/>
      <c r="N219" s="346"/>
      <c r="O219" s="346"/>
      <c r="P219" s="346"/>
      <c r="Q219" s="346"/>
      <c r="R219" s="346"/>
      <c r="S219" s="346"/>
      <c r="T219" s="346"/>
      <c r="U219" s="346"/>
      <c r="V219" s="346"/>
      <c r="W219" s="346"/>
      <c r="X219" s="346"/>
      <c r="Y219" s="346"/>
      <c r="Z219" s="346"/>
      <c r="AA219" s="346"/>
      <c r="AB219" s="346"/>
      <c r="AC219" s="346"/>
      <c r="AD219">
        <f t="shared" ref="AD219:AD241" si="23">SUM(B219:AC219)</f>
        <v>1</v>
      </c>
      <c r="AE219" s="351">
        <f t="shared" ref="AE219:AE241" si="24">AD219/$AD$182</f>
        <v>1.6666666666666668E-3</v>
      </c>
    </row>
    <row r="220" spans="1:31">
      <c r="A220" s="165">
        <f>'Conveyor Downtime (new)'!A220</f>
        <v>46136</v>
      </c>
      <c r="AD220">
        <f t="shared" si="23"/>
        <v>0</v>
      </c>
      <c r="AE220" s="351">
        <f t="shared" si="24"/>
        <v>0</v>
      </c>
    </row>
    <row r="221" spans="1:31">
      <c r="A221" s="165">
        <f>'Conveyor Downtime (new)'!A221</f>
        <v>46136</v>
      </c>
      <c r="B221" s="346">
        <v>4</v>
      </c>
      <c r="C221" s="346"/>
      <c r="D221" s="346"/>
      <c r="E221" s="346"/>
      <c r="F221" s="346"/>
      <c r="G221" s="346"/>
      <c r="H221" s="346"/>
      <c r="I221" s="346"/>
      <c r="J221" s="346">
        <f>2+3</f>
        <v>5</v>
      </c>
      <c r="K221" s="346"/>
      <c r="L221" s="346"/>
      <c r="M221" s="346"/>
      <c r="N221" s="346"/>
      <c r="O221" s="346"/>
      <c r="P221" s="346"/>
      <c r="Q221" s="346"/>
      <c r="R221" s="346"/>
      <c r="S221" s="346"/>
      <c r="T221" s="346"/>
      <c r="U221" s="346"/>
      <c r="V221" s="346"/>
      <c r="W221" s="346"/>
      <c r="X221" s="346"/>
      <c r="Y221" s="346"/>
      <c r="Z221" s="346"/>
      <c r="AA221" s="346"/>
      <c r="AB221" s="346"/>
      <c r="AC221" s="346"/>
      <c r="AD221">
        <f t="shared" si="23"/>
        <v>9</v>
      </c>
      <c r="AE221" s="351">
        <f t="shared" si="24"/>
        <v>1.4999999999999999E-2</v>
      </c>
    </row>
    <row r="222" spans="1:31">
      <c r="A222" s="165">
        <f>'Conveyor Downtime (new)'!A222</f>
        <v>46139</v>
      </c>
      <c r="B222">
        <f>15</f>
        <v>15</v>
      </c>
      <c r="J222">
        <f>3+4+3+28</f>
        <v>38</v>
      </c>
      <c r="AD222">
        <f t="shared" si="23"/>
        <v>53</v>
      </c>
      <c r="AE222" s="351">
        <f t="shared" si="24"/>
        <v>8.8333333333333333E-2</v>
      </c>
    </row>
    <row r="223" spans="1:31">
      <c r="A223" s="165">
        <f>'Conveyor Downtime (new)'!A223</f>
        <v>46140</v>
      </c>
      <c r="B223" s="346">
        <f>3+7+7</f>
        <v>17</v>
      </c>
      <c r="C223" s="346"/>
      <c r="D223" s="346">
        <v>2</v>
      </c>
      <c r="E223" s="346"/>
      <c r="F223" s="346"/>
      <c r="G223" s="346"/>
      <c r="H223" s="346"/>
      <c r="I223" s="346"/>
      <c r="J223" s="346"/>
      <c r="K223" s="346"/>
      <c r="L223" s="346"/>
      <c r="M223" s="346"/>
      <c r="N223" s="346"/>
      <c r="O223" s="346"/>
      <c r="P223" s="346"/>
      <c r="Q223" s="346"/>
      <c r="R223" s="346"/>
      <c r="S223" s="346"/>
      <c r="T223" s="346"/>
      <c r="U223" s="346"/>
      <c r="V223" s="346"/>
      <c r="W223" s="346"/>
      <c r="X223" s="346"/>
      <c r="Y223" s="346"/>
      <c r="Z223" s="346"/>
      <c r="AA223" s="346"/>
      <c r="AB223" s="346"/>
      <c r="AC223" s="346"/>
      <c r="AD223">
        <f t="shared" si="23"/>
        <v>19</v>
      </c>
      <c r="AE223" s="351">
        <f t="shared" si="24"/>
        <v>3.1666666666666669E-2</v>
      </c>
    </row>
    <row r="224" spans="1:31">
      <c r="A224" s="165">
        <f>'Conveyor Downtime (new)'!A224</f>
        <v>46141</v>
      </c>
      <c r="AD224">
        <f t="shared" si="23"/>
        <v>0</v>
      </c>
      <c r="AE224" s="351">
        <f t="shared" si="24"/>
        <v>0</v>
      </c>
    </row>
    <row r="225" spans="1:31">
      <c r="A225" s="165">
        <f>'Conveyor Downtime (new)'!A225</f>
        <v>46141</v>
      </c>
      <c r="B225" s="346"/>
      <c r="C225" s="346"/>
      <c r="D225" s="346"/>
      <c r="E225" s="346"/>
      <c r="F225" s="346"/>
      <c r="G225" s="346"/>
      <c r="H225" s="346"/>
      <c r="I225" s="346"/>
      <c r="J225" s="346"/>
      <c r="K225" s="346"/>
      <c r="L225" s="346"/>
      <c r="M225" s="346"/>
      <c r="N225" s="346"/>
      <c r="O225" s="346"/>
      <c r="P225" s="346"/>
      <c r="Q225" s="346"/>
      <c r="R225" s="346"/>
      <c r="S225" s="346"/>
      <c r="T225" s="346"/>
      <c r="U225" s="346"/>
      <c r="V225" s="346"/>
      <c r="W225" s="346"/>
      <c r="X225" s="346"/>
      <c r="Y225" s="346"/>
      <c r="Z225" s="346"/>
      <c r="AA225" s="346"/>
      <c r="AB225" s="346"/>
      <c r="AC225" s="346"/>
      <c r="AD225">
        <f t="shared" si="23"/>
        <v>0</v>
      </c>
      <c r="AE225" s="351">
        <f t="shared" si="24"/>
        <v>0</v>
      </c>
    </row>
    <row r="226" spans="1:31">
      <c r="A226" s="165">
        <f>'Conveyor Downtime (new)'!A226</f>
        <v>46142</v>
      </c>
      <c r="D226">
        <f>3+3</f>
        <v>6</v>
      </c>
      <c r="V226">
        <f>2</f>
        <v>2</v>
      </c>
      <c r="AD226">
        <f t="shared" si="23"/>
        <v>8</v>
      </c>
      <c r="AE226" s="351">
        <f t="shared" si="24"/>
        <v>1.3333333333333334E-2</v>
      </c>
    </row>
    <row r="227" spans="1:31">
      <c r="A227" s="165">
        <f>'Conveyor Downtime (new)'!A227</f>
        <v>46142</v>
      </c>
      <c r="B227" s="346"/>
      <c r="C227" s="346"/>
      <c r="D227" s="346"/>
      <c r="E227" s="346"/>
      <c r="F227" s="346"/>
      <c r="G227" s="346"/>
      <c r="H227" s="346"/>
      <c r="I227" s="346"/>
      <c r="J227" s="346">
        <f>5+13+3</f>
        <v>21</v>
      </c>
      <c r="K227" s="346"/>
      <c r="L227" s="346"/>
      <c r="M227" s="346"/>
      <c r="N227" s="346"/>
      <c r="O227" s="346"/>
      <c r="P227" s="346"/>
      <c r="Q227" s="346"/>
      <c r="R227" s="346"/>
      <c r="S227" s="346"/>
      <c r="T227" s="346"/>
      <c r="U227" s="346"/>
      <c r="V227" s="346"/>
      <c r="W227" s="346"/>
      <c r="X227" s="346"/>
      <c r="Y227" s="346"/>
      <c r="Z227" s="346"/>
      <c r="AA227" s="346"/>
      <c r="AB227" s="346"/>
      <c r="AC227" s="346">
        <f>3+8</f>
        <v>11</v>
      </c>
      <c r="AD227">
        <f t="shared" si="23"/>
        <v>32</v>
      </c>
      <c r="AE227" s="351">
        <f t="shared" si="24"/>
        <v>5.3333333333333337E-2</v>
      </c>
    </row>
    <row r="228" spans="1:31">
      <c r="A228" s="165">
        <f>'Conveyor Downtime (new)'!A228</f>
        <v>0</v>
      </c>
      <c r="AD228">
        <f t="shared" si="23"/>
        <v>0</v>
      </c>
      <c r="AE228" s="351">
        <f t="shared" si="24"/>
        <v>0</v>
      </c>
    </row>
    <row r="229" spans="1:31">
      <c r="A229" s="165">
        <f>'Conveyor Downtime (new)'!A229</f>
        <v>0</v>
      </c>
      <c r="B229" s="346"/>
      <c r="C229" s="346"/>
      <c r="D229" s="346"/>
      <c r="E229" s="346"/>
      <c r="F229" s="346"/>
      <c r="G229" s="346"/>
      <c r="H229" s="346"/>
      <c r="I229" s="346"/>
      <c r="J229" s="346"/>
      <c r="K229" s="346"/>
      <c r="L229" s="346"/>
      <c r="M229" s="346"/>
      <c r="N229" s="346"/>
      <c r="O229" s="346"/>
      <c r="P229" s="346"/>
      <c r="Q229" s="346"/>
      <c r="R229" s="346"/>
      <c r="S229" s="346"/>
      <c r="T229" s="346"/>
      <c r="U229" s="346"/>
      <c r="V229" s="346"/>
      <c r="W229" s="346"/>
      <c r="X229" s="346"/>
      <c r="Y229" s="346"/>
      <c r="Z229" s="346"/>
      <c r="AA229" s="346"/>
      <c r="AB229" s="346"/>
      <c r="AC229" s="346"/>
      <c r="AD229">
        <f t="shared" si="23"/>
        <v>0</v>
      </c>
      <c r="AE229" s="351">
        <f t="shared" si="24"/>
        <v>0</v>
      </c>
    </row>
    <row r="230" spans="1:31">
      <c r="A230" s="165">
        <f>'Conveyor Downtime (new)'!A230</f>
        <v>0</v>
      </c>
      <c r="AD230">
        <f t="shared" si="23"/>
        <v>0</v>
      </c>
      <c r="AE230" s="351">
        <f t="shared" si="24"/>
        <v>0</v>
      </c>
    </row>
    <row r="231" spans="1:31">
      <c r="A231" s="165">
        <f>'Conveyor Downtime (new)'!A231</f>
        <v>0</v>
      </c>
      <c r="B231" s="346"/>
      <c r="C231" s="346"/>
      <c r="D231" s="346"/>
      <c r="E231" s="346"/>
      <c r="F231" s="346"/>
      <c r="G231" s="346"/>
      <c r="H231" s="346"/>
      <c r="I231" s="346"/>
      <c r="J231" s="346"/>
      <c r="K231" s="346"/>
      <c r="L231" s="346"/>
      <c r="M231" s="346"/>
      <c r="N231" s="346"/>
      <c r="O231" s="346"/>
      <c r="P231" s="346"/>
      <c r="Q231" s="346"/>
      <c r="R231" s="346"/>
      <c r="S231" s="346"/>
      <c r="T231" s="346"/>
      <c r="U231" s="346"/>
      <c r="V231" s="346"/>
      <c r="W231" s="346"/>
      <c r="X231" s="346"/>
      <c r="Y231" s="346"/>
      <c r="Z231" s="346"/>
      <c r="AA231" s="346"/>
      <c r="AB231" s="346"/>
      <c r="AC231" s="346"/>
      <c r="AD231">
        <f t="shared" si="23"/>
        <v>0</v>
      </c>
      <c r="AE231" s="351">
        <f t="shared" si="24"/>
        <v>0</v>
      </c>
    </row>
    <row r="232" spans="1:31">
      <c r="A232" s="165">
        <f>'Conveyor Downtime (new)'!A232</f>
        <v>0</v>
      </c>
      <c r="AD232">
        <f t="shared" si="23"/>
        <v>0</v>
      </c>
      <c r="AE232" s="351">
        <f t="shared" si="24"/>
        <v>0</v>
      </c>
    </row>
    <row r="233" spans="1:31">
      <c r="A233" s="165">
        <f>'Conveyor Downtime (new)'!A233</f>
        <v>0</v>
      </c>
      <c r="B233" s="346"/>
      <c r="C233" s="346"/>
      <c r="D233" s="346"/>
      <c r="E233" s="346"/>
      <c r="F233" s="346"/>
      <c r="G233" s="346"/>
      <c r="H233" s="346"/>
      <c r="I233" s="346"/>
      <c r="J233" s="346"/>
      <c r="K233" s="346"/>
      <c r="L233" s="346"/>
      <c r="M233" s="346"/>
      <c r="N233" s="346"/>
      <c r="O233" s="346"/>
      <c r="P233" s="346"/>
      <c r="Q233" s="346"/>
      <c r="R233" s="346"/>
      <c r="S233" s="346"/>
      <c r="T233" s="346"/>
      <c r="U233" s="346"/>
      <c r="V233" s="346"/>
      <c r="W233" s="346"/>
      <c r="X233" s="346"/>
      <c r="Y233" s="346"/>
      <c r="Z233" s="346"/>
      <c r="AA233" s="346"/>
      <c r="AB233" s="346"/>
      <c r="AC233" s="346"/>
      <c r="AD233">
        <f t="shared" si="23"/>
        <v>0</v>
      </c>
      <c r="AE233" s="351">
        <f t="shared" si="24"/>
        <v>0</v>
      </c>
    </row>
    <row r="234" spans="1:31">
      <c r="A234" s="165">
        <f>'Conveyor Downtime (new)'!A234</f>
        <v>0</v>
      </c>
      <c r="AD234">
        <f t="shared" si="23"/>
        <v>0</v>
      </c>
      <c r="AE234" s="351">
        <f t="shared" si="24"/>
        <v>0</v>
      </c>
    </row>
    <row r="235" spans="1:31">
      <c r="A235" s="165">
        <f>'Conveyor Downtime (new)'!A235</f>
        <v>0</v>
      </c>
      <c r="B235" s="346"/>
      <c r="C235" s="346"/>
      <c r="D235" s="346"/>
      <c r="E235" s="346"/>
      <c r="F235" s="346"/>
      <c r="G235" s="346"/>
      <c r="H235" s="346"/>
      <c r="I235" s="346"/>
      <c r="J235" s="346"/>
      <c r="K235" s="346"/>
      <c r="L235" s="346"/>
      <c r="M235" s="346"/>
      <c r="N235" s="346"/>
      <c r="O235" s="346"/>
      <c r="P235" s="346"/>
      <c r="Q235" s="346"/>
      <c r="R235" s="346"/>
      <c r="S235" s="346"/>
      <c r="T235" s="346"/>
      <c r="U235" s="346"/>
      <c r="V235" s="346"/>
      <c r="W235" s="346"/>
      <c r="X235" s="346"/>
      <c r="Y235" s="346"/>
      <c r="Z235" s="346"/>
      <c r="AA235" s="346"/>
      <c r="AB235" s="346"/>
      <c r="AC235" s="346"/>
      <c r="AD235">
        <f t="shared" si="23"/>
        <v>0</v>
      </c>
      <c r="AE235" s="351">
        <f t="shared" si="24"/>
        <v>0</v>
      </c>
    </row>
    <row r="236" spans="1:31">
      <c r="A236" s="165">
        <f>'Conveyor Downtime (new)'!A236</f>
        <v>0</v>
      </c>
      <c r="AD236">
        <f t="shared" si="23"/>
        <v>0</v>
      </c>
      <c r="AE236" s="351">
        <f t="shared" si="24"/>
        <v>0</v>
      </c>
    </row>
    <row r="237" spans="1:31">
      <c r="A237" s="165">
        <f>'Conveyor Downtime (new)'!A237</f>
        <v>0</v>
      </c>
      <c r="B237" s="346"/>
      <c r="C237" s="346"/>
      <c r="D237" s="346"/>
      <c r="E237" s="346"/>
      <c r="F237" s="346"/>
      <c r="G237" s="346"/>
      <c r="H237" s="346"/>
      <c r="I237" s="346"/>
      <c r="J237" s="346"/>
      <c r="K237" s="346"/>
      <c r="L237" s="346"/>
      <c r="M237" s="346"/>
      <c r="N237" s="346"/>
      <c r="O237" s="346"/>
      <c r="P237" s="346"/>
      <c r="Q237" s="346"/>
      <c r="R237" s="346"/>
      <c r="S237" s="346"/>
      <c r="T237" s="346"/>
      <c r="U237" s="346"/>
      <c r="V237" s="346"/>
      <c r="W237" s="346"/>
      <c r="X237" s="346"/>
      <c r="Y237" s="346"/>
      <c r="Z237" s="346"/>
      <c r="AA237" s="346"/>
      <c r="AB237" s="346"/>
      <c r="AC237" s="346"/>
      <c r="AD237">
        <f t="shared" si="23"/>
        <v>0</v>
      </c>
      <c r="AE237" s="351">
        <f t="shared" si="24"/>
        <v>0</v>
      </c>
    </row>
    <row r="238" spans="1:31">
      <c r="A238" s="165">
        <f>'Conveyor Downtime (new)'!A238</f>
        <v>0</v>
      </c>
      <c r="AD238">
        <f t="shared" si="23"/>
        <v>0</v>
      </c>
      <c r="AE238" s="351">
        <f t="shared" si="24"/>
        <v>0</v>
      </c>
    </row>
    <row r="239" spans="1:31">
      <c r="A239" s="165"/>
      <c r="B239" s="346"/>
      <c r="C239" s="346"/>
      <c r="D239" s="346"/>
      <c r="E239" s="346"/>
      <c r="F239" s="346"/>
      <c r="G239" s="346"/>
      <c r="H239" s="346"/>
      <c r="I239" s="346"/>
      <c r="J239" s="346"/>
      <c r="K239" s="346"/>
      <c r="L239" s="346"/>
      <c r="M239" s="346"/>
      <c r="N239" s="346"/>
      <c r="O239" s="346"/>
      <c r="P239" s="346"/>
      <c r="Q239" s="346"/>
      <c r="R239" s="346"/>
      <c r="S239" s="346"/>
      <c r="T239" s="346"/>
      <c r="U239" s="346"/>
      <c r="V239" s="346"/>
      <c r="W239" s="346"/>
      <c r="X239" s="346"/>
      <c r="Y239" s="346"/>
      <c r="Z239" s="346"/>
      <c r="AA239" s="346"/>
      <c r="AB239" s="346"/>
      <c r="AC239" s="346"/>
      <c r="AD239">
        <f t="shared" si="23"/>
        <v>0</v>
      </c>
      <c r="AE239" s="351">
        <f t="shared" si="24"/>
        <v>0</v>
      </c>
    </row>
    <row r="240" spans="1:31">
      <c r="A240" s="165"/>
      <c r="AD240">
        <f t="shared" si="23"/>
        <v>0</v>
      </c>
      <c r="AE240" s="351">
        <f t="shared" si="24"/>
        <v>0</v>
      </c>
    </row>
    <row r="241" spans="1:31">
      <c r="A241" s="165"/>
      <c r="B241" s="346"/>
      <c r="C241" s="346"/>
      <c r="D241" s="346"/>
      <c r="E241" s="346"/>
      <c r="F241" s="346"/>
      <c r="G241" s="346"/>
      <c r="H241" s="346"/>
      <c r="I241" s="346"/>
      <c r="J241" s="346"/>
      <c r="K241" s="346"/>
      <c r="L241" s="346"/>
      <c r="M241" s="346"/>
      <c r="N241" s="346"/>
      <c r="O241" s="346"/>
      <c r="P241" s="346"/>
      <c r="Q241" s="346"/>
      <c r="R241" s="346"/>
      <c r="S241" s="346"/>
      <c r="T241" s="346"/>
      <c r="U241" s="346"/>
      <c r="V241" s="346"/>
      <c r="W241" s="346"/>
      <c r="X241" s="346"/>
      <c r="Y241" s="346"/>
      <c r="Z241" s="346"/>
      <c r="AA241" s="346"/>
      <c r="AB241" s="346"/>
      <c r="AC241" s="346"/>
      <c r="AD241">
        <f t="shared" si="23"/>
        <v>0</v>
      </c>
      <c r="AE241" s="351">
        <f t="shared" si="24"/>
        <v>0</v>
      </c>
    </row>
    <row r="242" spans="1:31" ht="15">
      <c r="A242" s="347" t="s">
        <v>173</v>
      </c>
      <c r="B242" s="347">
        <f t="shared" ref="B242:AC242" si="25">SUM(B187:B241)</f>
        <v>161</v>
      </c>
      <c r="C242" s="347">
        <f t="shared" si="25"/>
        <v>0</v>
      </c>
      <c r="D242" s="347">
        <f t="shared" si="25"/>
        <v>188</v>
      </c>
      <c r="E242" s="347">
        <f t="shared" si="25"/>
        <v>41</v>
      </c>
      <c r="F242" s="347">
        <f t="shared" si="25"/>
        <v>110</v>
      </c>
      <c r="G242" s="347">
        <f t="shared" si="25"/>
        <v>0</v>
      </c>
      <c r="H242" s="347">
        <f t="shared" si="25"/>
        <v>0</v>
      </c>
      <c r="I242" s="347">
        <f t="shared" si="25"/>
        <v>0</v>
      </c>
      <c r="J242" s="347">
        <f t="shared" si="25"/>
        <v>67</v>
      </c>
      <c r="K242" s="347">
        <f t="shared" si="25"/>
        <v>0</v>
      </c>
      <c r="L242" s="347">
        <f t="shared" si="25"/>
        <v>0</v>
      </c>
      <c r="M242" s="347">
        <f t="shared" si="25"/>
        <v>0</v>
      </c>
      <c r="N242" s="347">
        <f t="shared" si="25"/>
        <v>0</v>
      </c>
      <c r="O242" s="347">
        <f t="shared" si="25"/>
        <v>0</v>
      </c>
      <c r="P242" s="347">
        <f t="shared" si="25"/>
        <v>0</v>
      </c>
      <c r="Q242" s="347">
        <f t="shared" si="25"/>
        <v>0</v>
      </c>
      <c r="R242" s="347">
        <f t="shared" si="25"/>
        <v>0</v>
      </c>
      <c r="S242" s="347">
        <f t="shared" si="25"/>
        <v>0</v>
      </c>
      <c r="T242" s="347">
        <f t="shared" si="25"/>
        <v>27</v>
      </c>
      <c r="U242" s="347">
        <f t="shared" si="25"/>
        <v>0</v>
      </c>
      <c r="V242" s="347">
        <f t="shared" si="25"/>
        <v>2</v>
      </c>
      <c r="W242" s="347">
        <f t="shared" si="25"/>
        <v>0</v>
      </c>
      <c r="X242" s="347">
        <f t="shared" si="25"/>
        <v>0</v>
      </c>
      <c r="Y242" s="347">
        <f t="shared" si="25"/>
        <v>0</v>
      </c>
      <c r="Z242" s="347">
        <f t="shared" si="25"/>
        <v>0</v>
      </c>
      <c r="AA242" s="347">
        <f t="shared" si="25"/>
        <v>0</v>
      </c>
      <c r="AB242" s="347">
        <f t="shared" si="25"/>
        <v>0</v>
      </c>
      <c r="AC242" s="347">
        <f t="shared" si="25"/>
        <v>11</v>
      </c>
      <c r="AD242" s="347">
        <f>SUM(AD187:AD241)</f>
        <v>607</v>
      </c>
    </row>
    <row r="243" spans="1:31" ht="15.75" thickBot="1">
      <c r="A243" s="348" t="s">
        <v>174</v>
      </c>
      <c r="B243" s="348">
        <f t="shared" ref="B243:AC243" si="26">B242/$AD242</f>
        <v>0.26523887973640858</v>
      </c>
      <c r="C243" s="348">
        <f t="shared" si="26"/>
        <v>0</v>
      </c>
      <c r="D243" s="348">
        <f t="shared" si="26"/>
        <v>0.30971993410214166</v>
      </c>
      <c r="E243" s="348">
        <f t="shared" si="26"/>
        <v>6.7545304777594725E-2</v>
      </c>
      <c r="F243" s="348">
        <f t="shared" si="26"/>
        <v>0.1812191103789127</v>
      </c>
      <c r="G243" s="348">
        <f t="shared" si="26"/>
        <v>0</v>
      </c>
      <c r="H243" s="348">
        <f t="shared" si="26"/>
        <v>0</v>
      </c>
      <c r="I243" s="348">
        <f t="shared" si="26"/>
        <v>0</v>
      </c>
      <c r="J243" s="348">
        <f t="shared" si="26"/>
        <v>0.11037891268533773</v>
      </c>
      <c r="K243" s="348">
        <f t="shared" si="26"/>
        <v>0</v>
      </c>
      <c r="L243" s="348">
        <f t="shared" si="26"/>
        <v>0</v>
      </c>
      <c r="M243" s="348">
        <f t="shared" si="26"/>
        <v>0</v>
      </c>
      <c r="N243" s="348">
        <f t="shared" si="26"/>
        <v>0</v>
      </c>
      <c r="O243" s="348">
        <f t="shared" si="26"/>
        <v>0</v>
      </c>
      <c r="P243" s="348">
        <f t="shared" si="26"/>
        <v>0</v>
      </c>
      <c r="Q243" s="348">
        <f t="shared" si="26"/>
        <v>0</v>
      </c>
      <c r="R243" s="348">
        <f t="shared" si="26"/>
        <v>0</v>
      </c>
      <c r="S243" s="348">
        <f t="shared" si="26"/>
        <v>0</v>
      </c>
      <c r="T243" s="348">
        <f t="shared" si="26"/>
        <v>4.4481054365733116E-2</v>
      </c>
      <c r="U243" s="348">
        <f t="shared" si="26"/>
        <v>0</v>
      </c>
      <c r="V243" s="348">
        <f t="shared" si="26"/>
        <v>3.2948929159802307E-3</v>
      </c>
      <c r="W243" s="348">
        <f t="shared" si="26"/>
        <v>0</v>
      </c>
      <c r="X243" s="348">
        <f t="shared" si="26"/>
        <v>0</v>
      </c>
      <c r="Y243" s="348">
        <f t="shared" si="26"/>
        <v>0</v>
      </c>
      <c r="Z243" s="348">
        <f t="shared" si="26"/>
        <v>0</v>
      </c>
      <c r="AA243" s="348">
        <f t="shared" si="26"/>
        <v>0</v>
      </c>
      <c r="AB243" s="348">
        <f t="shared" si="26"/>
        <v>0</v>
      </c>
      <c r="AC243" s="348">
        <f t="shared" si="26"/>
        <v>1.8121911037891267E-2</v>
      </c>
      <c r="AD243" s="351"/>
    </row>
    <row r="248" spans="1:31">
      <c r="A248" s="165">
        <f>'Conveyor Downtime (new)'!A248</f>
        <v>46146</v>
      </c>
      <c r="AD248">
        <f t="shared" ref="AD248:AD280" si="27">SUM(B248:AC248)</f>
        <v>0</v>
      </c>
      <c r="AE248" s="351">
        <f>AD248/$AD$182</f>
        <v>0</v>
      </c>
    </row>
    <row r="249" spans="1:31">
      <c r="A249" s="165">
        <f>'Conveyor Downtime (new)'!A249</f>
        <v>46146</v>
      </c>
      <c r="B249" s="346"/>
      <c r="C249" s="346"/>
      <c r="D249" s="346"/>
      <c r="E249" s="346"/>
      <c r="F249" s="346"/>
      <c r="G249" s="346"/>
      <c r="H249" s="346"/>
      <c r="I249" s="346"/>
      <c r="J249" s="346"/>
      <c r="K249" s="346"/>
      <c r="L249" s="346"/>
      <c r="M249" s="346"/>
      <c r="N249" s="346"/>
      <c r="O249" s="346"/>
      <c r="P249" s="346"/>
      <c r="Q249" s="346"/>
      <c r="R249" s="346"/>
      <c r="S249" s="346"/>
      <c r="T249" s="346"/>
      <c r="U249" s="346"/>
      <c r="V249" s="346"/>
      <c r="W249" s="346"/>
      <c r="X249" s="346"/>
      <c r="Y249" s="346"/>
      <c r="Z249" s="346"/>
      <c r="AA249" s="346"/>
      <c r="AB249" s="346"/>
      <c r="AC249" s="346"/>
      <c r="AD249">
        <f t="shared" si="27"/>
        <v>0</v>
      </c>
      <c r="AE249" s="351">
        <f t="shared" ref="AE249:AE271" si="28">AD249/$AD$182</f>
        <v>0</v>
      </c>
    </row>
    <row r="250" spans="1:31">
      <c r="A250" s="165">
        <f>'Conveyor Downtime (new)'!A250</f>
        <v>46147</v>
      </c>
      <c r="AD250">
        <f t="shared" si="27"/>
        <v>0</v>
      </c>
      <c r="AE250" s="351">
        <f t="shared" si="28"/>
        <v>0</v>
      </c>
    </row>
    <row r="251" spans="1:31">
      <c r="A251" s="165">
        <f>'Conveyor Downtime (new)'!A251</f>
        <v>46147</v>
      </c>
      <c r="B251" s="346"/>
      <c r="C251" s="346"/>
      <c r="D251" s="346"/>
      <c r="E251" s="346"/>
      <c r="F251" s="346"/>
      <c r="G251" s="346"/>
      <c r="H251" s="346"/>
      <c r="I251" s="346"/>
      <c r="J251" s="346"/>
      <c r="K251" s="346"/>
      <c r="L251" s="346"/>
      <c r="M251" s="346"/>
      <c r="N251" s="346"/>
      <c r="O251" s="346"/>
      <c r="P251" s="346"/>
      <c r="Q251" s="346"/>
      <c r="R251" s="346"/>
      <c r="S251" s="346"/>
      <c r="T251" s="346"/>
      <c r="U251" s="346"/>
      <c r="V251" s="346"/>
      <c r="W251" s="346"/>
      <c r="X251" s="346"/>
      <c r="Y251" s="346"/>
      <c r="Z251" s="346"/>
      <c r="AA251" s="346"/>
      <c r="AB251" s="346"/>
      <c r="AC251" s="346"/>
      <c r="AD251">
        <f t="shared" si="27"/>
        <v>0</v>
      </c>
      <c r="AE251" s="351">
        <f t="shared" si="28"/>
        <v>0</v>
      </c>
    </row>
    <row r="252" spans="1:31">
      <c r="A252" s="165">
        <f>'Conveyor Downtime (new)'!A252</f>
        <v>46148</v>
      </c>
      <c r="B252">
        <f>15</f>
        <v>15</v>
      </c>
      <c r="AD252">
        <f t="shared" si="27"/>
        <v>15</v>
      </c>
      <c r="AE252" s="351">
        <f t="shared" si="28"/>
        <v>2.5000000000000001E-2</v>
      </c>
    </row>
    <row r="253" spans="1:31">
      <c r="A253" s="165">
        <f>'Conveyor Downtime (new)'!A253</f>
        <v>46149</v>
      </c>
      <c r="B253" s="346"/>
      <c r="C253" s="346"/>
      <c r="D253" s="346"/>
      <c r="E253" s="346"/>
      <c r="F253" s="346"/>
      <c r="G253" s="346"/>
      <c r="H253" s="346"/>
      <c r="I253" s="346"/>
      <c r="J253" s="346"/>
      <c r="K253" s="346"/>
      <c r="L253" s="346"/>
      <c r="M253" s="346"/>
      <c r="N253" s="346"/>
      <c r="O253" s="346"/>
      <c r="P253" s="346"/>
      <c r="Q253" s="346"/>
      <c r="R253" s="346"/>
      <c r="S253" s="346"/>
      <c r="T253" s="346"/>
      <c r="U253" s="346"/>
      <c r="V253" s="346"/>
      <c r="W253" s="346"/>
      <c r="X253" s="346"/>
      <c r="Y253" s="346"/>
      <c r="Z253" s="346"/>
      <c r="AA253" s="346"/>
      <c r="AB253" s="346"/>
      <c r="AC253" s="346"/>
      <c r="AD253">
        <f t="shared" si="27"/>
        <v>0</v>
      </c>
      <c r="AE253" s="351">
        <f t="shared" si="28"/>
        <v>0</v>
      </c>
    </row>
    <row r="254" spans="1:31">
      <c r="A254" s="165">
        <f>'Conveyor Downtime (new)'!A254</f>
        <v>46149</v>
      </c>
      <c r="AD254">
        <f t="shared" si="27"/>
        <v>0</v>
      </c>
      <c r="AE254" s="351">
        <f t="shared" si="28"/>
        <v>0</v>
      </c>
    </row>
    <row r="255" spans="1:31">
      <c r="A255" s="165">
        <f>'Conveyor Downtime (new)'!A255</f>
        <v>46149</v>
      </c>
      <c r="B255" s="346"/>
      <c r="C255" s="346"/>
      <c r="D255" s="346"/>
      <c r="E255" s="346"/>
      <c r="F255" s="346"/>
      <c r="G255" s="346"/>
      <c r="H255" s="346"/>
      <c r="I255" s="346"/>
      <c r="J255" s="346"/>
      <c r="K255" s="346"/>
      <c r="L255" s="346"/>
      <c r="M255" s="346"/>
      <c r="N255" s="346"/>
      <c r="O255" s="346"/>
      <c r="P255" s="346"/>
      <c r="Q255" s="346"/>
      <c r="R255" s="346"/>
      <c r="S255" s="346"/>
      <c r="T255" s="346"/>
      <c r="U255" s="346"/>
      <c r="V255" s="346"/>
      <c r="W255" s="346"/>
      <c r="X255" s="346"/>
      <c r="Y255" s="346"/>
      <c r="Z255" s="346"/>
      <c r="AA255" s="346"/>
      <c r="AB255" s="346"/>
      <c r="AC255" s="346"/>
      <c r="AD255">
        <f t="shared" si="27"/>
        <v>0</v>
      </c>
      <c r="AE255" s="351">
        <f t="shared" si="28"/>
        <v>0</v>
      </c>
    </row>
    <row r="256" spans="1:31">
      <c r="A256" s="165">
        <f>'Conveyor Downtime (new)'!A256</f>
        <v>46150</v>
      </c>
      <c r="E256">
        <f>2</f>
        <v>2</v>
      </c>
      <c r="T256">
        <f>8</f>
        <v>8</v>
      </c>
      <c r="AD256">
        <f t="shared" si="27"/>
        <v>10</v>
      </c>
      <c r="AE256" s="351">
        <f t="shared" si="28"/>
        <v>1.6666666666666666E-2</v>
      </c>
    </row>
    <row r="257" spans="1:31">
      <c r="A257" s="165">
        <f>'Conveyor Downtime (new)'!A257</f>
        <v>46150</v>
      </c>
      <c r="B257" s="346"/>
      <c r="C257" s="346"/>
      <c r="D257" s="346"/>
      <c r="E257" s="346"/>
      <c r="F257" s="346"/>
      <c r="G257" s="346"/>
      <c r="H257" s="346"/>
      <c r="I257" s="346"/>
      <c r="J257" s="346"/>
      <c r="K257" s="346"/>
      <c r="L257" s="346"/>
      <c r="M257" s="346"/>
      <c r="N257" s="346"/>
      <c r="O257" s="346"/>
      <c r="P257" s="346"/>
      <c r="Q257" s="346"/>
      <c r="R257" s="346"/>
      <c r="S257" s="346"/>
      <c r="T257" s="346"/>
      <c r="U257" s="346"/>
      <c r="V257" s="346"/>
      <c r="W257" s="346"/>
      <c r="X257" s="346"/>
      <c r="Y257" s="346"/>
      <c r="Z257" s="346"/>
      <c r="AA257" s="346"/>
      <c r="AB257" s="346"/>
      <c r="AC257" s="346"/>
      <c r="AD257">
        <f t="shared" si="27"/>
        <v>0</v>
      </c>
      <c r="AE257" s="351">
        <f t="shared" si="28"/>
        <v>0</v>
      </c>
    </row>
    <row r="258" spans="1:31">
      <c r="A258" s="165">
        <f>'Conveyor Downtime (new)'!A258</f>
        <v>46151</v>
      </c>
      <c r="B258">
        <f>3+11+10+20+1+1</f>
        <v>46</v>
      </c>
      <c r="D258">
        <f>10</f>
        <v>10</v>
      </c>
      <c r="AD258">
        <f t="shared" si="27"/>
        <v>56</v>
      </c>
      <c r="AE258" s="351">
        <f t="shared" si="28"/>
        <v>9.3333333333333338E-2</v>
      </c>
    </row>
    <row r="259" spans="1:31">
      <c r="A259" s="165">
        <f>'Conveyor Downtime (new)'!A259</f>
        <v>46153</v>
      </c>
      <c r="B259" s="346">
        <f>4</f>
        <v>4</v>
      </c>
      <c r="C259" s="346"/>
      <c r="D259" s="346">
        <f>15</f>
        <v>15</v>
      </c>
      <c r="E259" s="346">
        <f>4</f>
        <v>4</v>
      </c>
      <c r="F259" s="346"/>
      <c r="G259" s="346"/>
      <c r="H259" s="346"/>
      <c r="I259" s="346"/>
      <c r="J259" s="346"/>
      <c r="K259" s="346"/>
      <c r="L259" s="346"/>
      <c r="M259" s="346"/>
      <c r="N259" s="346"/>
      <c r="O259" s="346"/>
      <c r="P259" s="346"/>
      <c r="Q259" s="346"/>
      <c r="R259" s="346"/>
      <c r="S259" s="346"/>
      <c r="T259" s="346"/>
      <c r="U259" s="346"/>
      <c r="V259" s="346"/>
      <c r="W259" s="346"/>
      <c r="X259" s="346"/>
      <c r="Y259" s="346"/>
      <c r="Z259" s="346"/>
      <c r="AA259" s="346"/>
      <c r="AB259" s="346"/>
      <c r="AC259" s="346"/>
      <c r="AD259">
        <f t="shared" si="27"/>
        <v>23</v>
      </c>
      <c r="AE259" s="351">
        <f t="shared" si="28"/>
        <v>3.833333333333333E-2</v>
      </c>
    </row>
    <row r="260" spans="1:31">
      <c r="A260" s="165">
        <f>'Conveyor Downtime (new)'!A260</f>
        <v>46154</v>
      </c>
      <c r="AD260">
        <f t="shared" si="27"/>
        <v>0</v>
      </c>
      <c r="AE260" s="351">
        <f t="shared" si="28"/>
        <v>0</v>
      </c>
    </row>
    <row r="261" spans="1:31">
      <c r="A261" s="165">
        <f>'Conveyor Downtime (new)'!A261</f>
        <v>46154</v>
      </c>
      <c r="B261" s="346">
        <f>5</f>
        <v>5</v>
      </c>
      <c r="C261" s="346"/>
      <c r="D261" s="346"/>
      <c r="E261" s="346">
        <f>2</f>
        <v>2</v>
      </c>
      <c r="F261" s="346"/>
      <c r="G261" s="346"/>
      <c r="H261" s="346"/>
      <c r="I261" s="346"/>
      <c r="J261" s="346">
        <f>3</f>
        <v>3</v>
      </c>
      <c r="K261" s="346"/>
      <c r="L261" s="346"/>
      <c r="M261" s="346"/>
      <c r="N261" s="346"/>
      <c r="O261" s="346"/>
      <c r="P261" s="346"/>
      <c r="Q261" s="346"/>
      <c r="R261" s="346"/>
      <c r="S261" s="346"/>
      <c r="T261" s="346"/>
      <c r="U261" s="346"/>
      <c r="V261" s="346"/>
      <c r="W261" s="346">
        <f>4+3</f>
        <v>7</v>
      </c>
      <c r="X261" s="346"/>
      <c r="Y261" s="346"/>
      <c r="Z261" s="346"/>
      <c r="AA261" s="346"/>
      <c r="AB261" s="346"/>
      <c r="AC261" s="346"/>
      <c r="AD261">
        <f t="shared" si="27"/>
        <v>17</v>
      </c>
      <c r="AE261" s="351">
        <f t="shared" si="28"/>
        <v>2.8333333333333332E-2</v>
      </c>
    </row>
    <row r="262" spans="1:31">
      <c r="A262" s="165">
        <f>'Conveyor Downtime (new)'!A262</f>
        <v>46155</v>
      </c>
      <c r="AB262">
        <f>3+2+4+3+2+3+2</f>
        <v>19</v>
      </c>
      <c r="AD262">
        <f t="shared" si="27"/>
        <v>19</v>
      </c>
      <c r="AE262" s="351">
        <f t="shared" si="28"/>
        <v>3.1666666666666669E-2</v>
      </c>
    </row>
    <row r="263" spans="1:31">
      <c r="A263" s="165">
        <f>'Conveyor Downtime (new)'!A263</f>
        <v>46155</v>
      </c>
      <c r="B263" s="346">
        <v>3</v>
      </c>
      <c r="C263" s="346"/>
      <c r="D263" s="346"/>
      <c r="E263" s="346"/>
      <c r="F263" s="346"/>
      <c r="G263" s="346"/>
      <c r="H263" s="346"/>
      <c r="I263" s="346"/>
      <c r="J263" s="346"/>
      <c r="K263" s="346"/>
      <c r="L263" s="346"/>
      <c r="M263" s="346"/>
      <c r="N263" s="346"/>
      <c r="O263" s="346"/>
      <c r="P263" s="346"/>
      <c r="Q263" s="346"/>
      <c r="R263" s="346"/>
      <c r="S263" s="346"/>
      <c r="T263" s="346"/>
      <c r="U263" s="346"/>
      <c r="V263" s="346"/>
      <c r="W263" s="346"/>
      <c r="X263" s="346"/>
      <c r="Y263" s="346"/>
      <c r="Z263" s="346"/>
      <c r="AA263" s="346"/>
      <c r="AB263" s="346">
        <f>4+3</f>
        <v>7</v>
      </c>
      <c r="AC263" s="346"/>
      <c r="AD263">
        <f t="shared" si="27"/>
        <v>10</v>
      </c>
      <c r="AE263" s="351">
        <f t="shared" si="28"/>
        <v>1.6666666666666666E-2</v>
      </c>
    </row>
    <row r="264" spans="1:31">
      <c r="A264" s="165">
        <f>'Conveyor Downtime (new)'!A264</f>
        <v>46156</v>
      </c>
      <c r="AD264">
        <f t="shared" si="27"/>
        <v>0</v>
      </c>
      <c r="AE264" s="351">
        <f t="shared" si="28"/>
        <v>0</v>
      </c>
    </row>
    <row r="265" spans="1:31">
      <c r="A265" s="165">
        <f>'Conveyor Downtime (new)'!A265</f>
        <v>46156</v>
      </c>
      <c r="B265" s="346"/>
      <c r="C265" s="346"/>
      <c r="D265" s="346"/>
      <c r="E265" s="346"/>
      <c r="F265" s="346"/>
      <c r="G265" s="346"/>
      <c r="H265" s="346"/>
      <c r="I265" s="346"/>
      <c r="J265" s="346"/>
      <c r="K265" s="346"/>
      <c r="L265" s="346"/>
      <c r="M265" s="346"/>
      <c r="N265" s="346"/>
      <c r="O265" s="346"/>
      <c r="P265" s="346"/>
      <c r="Q265" s="346"/>
      <c r="R265" s="346"/>
      <c r="S265" s="346"/>
      <c r="T265" s="346"/>
      <c r="U265" s="346"/>
      <c r="V265" s="346"/>
      <c r="W265" s="346"/>
      <c r="X265" s="346"/>
      <c r="Y265" s="346"/>
      <c r="Z265" s="346"/>
      <c r="AA265" s="346"/>
      <c r="AB265" s="346">
        <f>2+2+3+2+2</f>
        <v>11</v>
      </c>
      <c r="AC265" s="346"/>
      <c r="AD265">
        <f t="shared" si="27"/>
        <v>11</v>
      </c>
      <c r="AE265" s="351">
        <f t="shared" si="28"/>
        <v>1.8333333333333333E-2</v>
      </c>
    </row>
    <row r="266" spans="1:31">
      <c r="A266" s="165">
        <f>'Conveyor Downtime (new)'!A266</f>
        <v>46156</v>
      </c>
      <c r="D266" s="77"/>
      <c r="AD266">
        <f t="shared" si="27"/>
        <v>0</v>
      </c>
      <c r="AE266" s="351">
        <f t="shared" si="28"/>
        <v>0</v>
      </c>
    </row>
    <row r="267" spans="1:31">
      <c r="A267" s="165">
        <f>'Conveyor Downtime (new)'!A267</f>
        <v>46156</v>
      </c>
      <c r="B267" s="346"/>
      <c r="C267" s="346"/>
      <c r="D267" s="346"/>
      <c r="E267" s="346"/>
      <c r="F267" s="346"/>
      <c r="G267" s="346"/>
      <c r="H267" s="346"/>
      <c r="I267" s="346"/>
      <c r="J267" s="346"/>
      <c r="K267" s="346"/>
      <c r="L267" s="346"/>
      <c r="M267" s="346"/>
      <c r="N267" s="346"/>
      <c r="O267" s="346"/>
      <c r="P267" s="346"/>
      <c r="Q267" s="346"/>
      <c r="R267" s="346"/>
      <c r="S267" s="346"/>
      <c r="T267" s="346"/>
      <c r="U267" s="346"/>
      <c r="V267" s="346"/>
      <c r="W267" s="346"/>
      <c r="X267" s="346"/>
      <c r="Y267" s="346"/>
      <c r="Z267" s="346"/>
      <c r="AA267" s="346"/>
      <c r="AB267" s="346"/>
      <c r="AC267" s="346"/>
      <c r="AD267">
        <f t="shared" si="27"/>
        <v>0</v>
      </c>
      <c r="AE267" s="351">
        <f t="shared" si="28"/>
        <v>0</v>
      </c>
    </row>
    <row r="268" spans="1:31">
      <c r="A268" s="165">
        <f>'Conveyor Downtime (new)'!A268</f>
        <v>46157</v>
      </c>
      <c r="D268">
        <f>5+2</f>
        <v>7</v>
      </c>
      <c r="AD268">
        <f t="shared" si="27"/>
        <v>7</v>
      </c>
      <c r="AE268" s="351">
        <f t="shared" si="28"/>
        <v>1.1666666666666667E-2</v>
      </c>
    </row>
    <row r="269" spans="1:31">
      <c r="A269" s="165">
        <f>'Conveyor Downtime (new)'!A269</f>
        <v>46157</v>
      </c>
      <c r="B269" s="346"/>
      <c r="C269" s="346"/>
      <c r="D269" s="346"/>
      <c r="E269" s="346"/>
      <c r="F269" s="346"/>
      <c r="G269" s="346"/>
      <c r="H269" s="346"/>
      <c r="I269" s="346"/>
      <c r="J269" s="346"/>
      <c r="K269" s="346"/>
      <c r="L269" s="346"/>
      <c r="M269" s="346"/>
      <c r="N269" s="346"/>
      <c r="O269" s="346"/>
      <c r="P269" s="346"/>
      <c r="Q269" s="346"/>
      <c r="R269" s="346"/>
      <c r="S269" s="346"/>
      <c r="T269" s="346"/>
      <c r="U269" s="346"/>
      <c r="V269" s="346"/>
      <c r="W269" s="346"/>
      <c r="X269" s="346"/>
      <c r="Y269" s="346"/>
      <c r="Z269" s="346"/>
      <c r="AA269" s="346"/>
      <c r="AB269" s="346"/>
      <c r="AC269" s="346"/>
      <c r="AD269">
        <f t="shared" si="27"/>
        <v>0</v>
      </c>
      <c r="AE269" s="351">
        <f t="shared" si="28"/>
        <v>0</v>
      </c>
    </row>
    <row r="270" spans="1:31">
      <c r="A270" s="165">
        <f>'Conveyor Downtime (new)'!A270</f>
        <v>46158</v>
      </c>
      <c r="Q270" s="77"/>
      <c r="AD270">
        <f t="shared" si="27"/>
        <v>0</v>
      </c>
      <c r="AE270" s="351">
        <f t="shared" si="28"/>
        <v>0</v>
      </c>
    </row>
    <row r="271" spans="1:31">
      <c r="A271" s="165">
        <f>'Conveyor Downtime (new)'!A271</f>
        <v>46160</v>
      </c>
      <c r="B271" s="346"/>
      <c r="C271" s="346"/>
      <c r="D271" s="346"/>
      <c r="E271" s="346"/>
      <c r="F271" s="346"/>
      <c r="G271" s="346"/>
      <c r="H271" s="346"/>
      <c r="I271" s="346"/>
      <c r="J271" s="346"/>
      <c r="K271" s="346"/>
      <c r="L271" s="346"/>
      <c r="M271" s="346"/>
      <c r="N271" s="346"/>
      <c r="O271" s="346"/>
      <c r="P271" s="346"/>
      <c r="Q271" s="346"/>
      <c r="R271" s="346"/>
      <c r="S271" s="346"/>
      <c r="T271" s="346"/>
      <c r="U271" s="346"/>
      <c r="V271" s="346"/>
      <c r="W271" s="346"/>
      <c r="X271" s="346"/>
      <c r="Y271" s="346"/>
      <c r="Z271" s="346"/>
      <c r="AA271" s="346"/>
      <c r="AB271" s="346"/>
      <c r="AC271" s="346"/>
      <c r="AD271">
        <f t="shared" si="27"/>
        <v>0</v>
      </c>
      <c r="AE271" s="351">
        <f t="shared" si="28"/>
        <v>0</v>
      </c>
    </row>
    <row r="272" spans="1:31">
      <c r="A272" s="165">
        <f>'Conveyor Downtime (new)'!A272</f>
        <v>46160</v>
      </c>
      <c r="AD272">
        <f t="shared" si="27"/>
        <v>0</v>
      </c>
      <c r="AE272" s="351">
        <f t="shared" ref="AE272:AE280" si="29">AD272/$AD$182</f>
        <v>0</v>
      </c>
    </row>
    <row r="273" spans="1:31">
      <c r="A273" s="165">
        <f>'Conveyor Downtime (new)'!A273</f>
        <v>46161</v>
      </c>
      <c r="B273" s="346"/>
      <c r="C273" s="346"/>
      <c r="D273" s="346"/>
      <c r="E273" s="346"/>
      <c r="F273" s="346"/>
      <c r="G273" s="346"/>
      <c r="H273" s="346"/>
      <c r="I273" s="346"/>
      <c r="J273" s="346"/>
      <c r="K273" s="346"/>
      <c r="L273" s="346"/>
      <c r="M273" s="346"/>
      <c r="N273" s="346"/>
      <c r="O273" s="346"/>
      <c r="P273" s="346"/>
      <c r="Q273" s="346"/>
      <c r="R273" s="346"/>
      <c r="S273" s="346"/>
      <c r="T273" s="346"/>
      <c r="U273" s="346"/>
      <c r="V273" s="346"/>
      <c r="W273" s="346"/>
      <c r="X273" s="346"/>
      <c r="Y273" s="346"/>
      <c r="Z273" s="346"/>
      <c r="AA273" s="346"/>
      <c r="AB273" s="346"/>
      <c r="AC273" s="346"/>
      <c r="AD273">
        <f t="shared" si="27"/>
        <v>0</v>
      </c>
      <c r="AE273" s="351">
        <f t="shared" si="29"/>
        <v>0</v>
      </c>
    </row>
    <row r="274" spans="1:31">
      <c r="A274" s="165">
        <f>'Conveyor Downtime (new)'!A274</f>
        <v>46161</v>
      </c>
      <c r="AD274">
        <f t="shared" si="27"/>
        <v>0</v>
      </c>
      <c r="AE274" s="351">
        <f t="shared" si="29"/>
        <v>0</v>
      </c>
    </row>
    <row r="275" spans="1:31">
      <c r="A275" s="165">
        <f>'Conveyor Downtime (new)'!A275</f>
        <v>46161</v>
      </c>
      <c r="B275" s="346"/>
      <c r="C275" s="346"/>
      <c r="D275" s="346"/>
      <c r="E275" s="346"/>
      <c r="F275" s="346"/>
      <c r="G275" s="346"/>
      <c r="H275" s="346"/>
      <c r="I275" s="346"/>
      <c r="J275" s="346"/>
      <c r="K275" s="346"/>
      <c r="L275" s="346"/>
      <c r="M275" s="346"/>
      <c r="N275" s="346"/>
      <c r="O275" s="346"/>
      <c r="P275" s="346"/>
      <c r="Q275" s="346"/>
      <c r="R275" s="346"/>
      <c r="S275" s="346"/>
      <c r="T275" s="346"/>
      <c r="U275" s="346"/>
      <c r="V275" s="346"/>
      <c r="W275" s="346"/>
      <c r="X275" s="346"/>
      <c r="Y275" s="346"/>
      <c r="Z275" s="346"/>
      <c r="AA275" s="346"/>
      <c r="AB275" s="346"/>
      <c r="AC275" s="346"/>
      <c r="AD275">
        <f t="shared" si="27"/>
        <v>0</v>
      </c>
      <c r="AE275" s="351">
        <f t="shared" si="29"/>
        <v>0</v>
      </c>
    </row>
    <row r="276" spans="1:31">
      <c r="A276" s="165">
        <f>'Conveyor Downtime (new)'!A276</f>
        <v>46162</v>
      </c>
      <c r="AD276">
        <f t="shared" si="27"/>
        <v>0</v>
      </c>
      <c r="AE276" s="351">
        <f t="shared" si="29"/>
        <v>0</v>
      </c>
    </row>
    <row r="277" spans="1:31">
      <c r="A277" s="165">
        <f>'Conveyor Downtime (new)'!A277</f>
        <v>46162</v>
      </c>
      <c r="B277" s="346"/>
      <c r="C277" s="346"/>
      <c r="D277" s="346"/>
      <c r="E277" s="346"/>
      <c r="F277" s="346"/>
      <c r="G277" s="346"/>
      <c r="H277" s="346"/>
      <c r="I277" s="346"/>
      <c r="J277" s="346"/>
      <c r="K277" s="346"/>
      <c r="L277" s="346"/>
      <c r="M277" s="346"/>
      <c r="N277" s="346"/>
      <c r="O277" s="346"/>
      <c r="P277" s="346"/>
      <c r="Q277" s="346"/>
      <c r="R277" s="346"/>
      <c r="S277" s="346"/>
      <c r="T277" s="346"/>
      <c r="U277" s="346"/>
      <c r="V277" s="346"/>
      <c r="W277" s="346"/>
      <c r="X277" s="346"/>
      <c r="Y277" s="346"/>
      <c r="Z277" s="346"/>
      <c r="AA277" s="346"/>
      <c r="AB277" s="346"/>
      <c r="AC277" s="346"/>
      <c r="AD277">
        <f t="shared" si="27"/>
        <v>0</v>
      </c>
      <c r="AE277" s="351">
        <f t="shared" si="29"/>
        <v>0</v>
      </c>
    </row>
    <row r="278" spans="1:31">
      <c r="A278" s="165">
        <f>'Conveyor Downtime (new)'!A278</f>
        <v>46163</v>
      </c>
      <c r="AD278">
        <f t="shared" si="27"/>
        <v>0</v>
      </c>
      <c r="AE278" s="351">
        <f t="shared" si="29"/>
        <v>0</v>
      </c>
    </row>
    <row r="279" spans="1:31">
      <c r="A279" s="165">
        <f>'Conveyor Downtime (new)'!A279</f>
        <v>46163</v>
      </c>
      <c r="B279" s="346"/>
      <c r="C279" s="346"/>
      <c r="D279" s="346"/>
      <c r="E279" s="346"/>
      <c r="F279" s="346"/>
      <c r="G279" s="346"/>
      <c r="H279" s="346"/>
      <c r="I279" s="346"/>
      <c r="J279" s="346">
        <f>1+2</f>
        <v>3</v>
      </c>
      <c r="K279" s="346"/>
      <c r="L279" s="346"/>
      <c r="M279" s="346"/>
      <c r="N279" s="346"/>
      <c r="O279" s="346"/>
      <c r="P279" s="346"/>
      <c r="Q279" s="346"/>
      <c r="R279" s="346"/>
      <c r="S279" s="346"/>
      <c r="T279" s="346"/>
      <c r="U279" s="346"/>
      <c r="V279" s="346"/>
      <c r="W279" s="346"/>
      <c r="X279" s="346"/>
      <c r="Y279" s="346"/>
      <c r="Z279" s="346"/>
      <c r="AA279" s="346"/>
      <c r="AB279" s="346"/>
      <c r="AC279" s="346"/>
      <c r="AD279">
        <f t="shared" si="27"/>
        <v>3</v>
      </c>
      <c r="AE279" s="351">
        <f t="shared" si="29"/>
        <v>5.0000000000000001E-3</v>
      </c>
    </row>
    <row r="280" spans="1:31">
      <c r="A280" s="165">
        <f>'Conveyor Downtime (new)'!A280</f>
        <v>46163</v>
      </c>
      <c r="AD280">
        <f t="shared" si="27"/>
        <v>0</v>
      </c>
      <c r="AE280" s="351">
        <f t="shared" si="29"/>
        <v>0</v>
      </c>
    </row>
    <row r="281" spans="1:31">
      <c r="A281" s="165">
        <f>'Conveyor Downtime (new)'!A281</f>
        <v>46164</v>
      </c>
      <c r="B281" s="346"/>
      <c r="C281" s="346"/>
      <c r="D281" s="346"/>
      <c r="E281" s="346">
        <v>4</v>
      </c>
      <c r="F281" s="346"/>
      <c r="G281" s="346"/>
      <c r="H281" s="346"/>
      <c r="I281" s="346"/>
      <c r="J281" s="346"/>
      <c r="K281" s="346"/>
      <c r="L281" s="346"/>
      <c r="M281" s="346"/>
      <c r="N281" s="346"/>
      <c r="O281" s="346"/>
      <c r="P281" s="346"/>
      <c r="Q281" s="346"/>
      <c r="R281" s="346"/>
      <c r="S281" s="346"/>
      <c r="T281" s="346"/>
      <c r="U281" s="346"/>
      <c r="V281" s="346"/>
      <c r="W281" s="346"/>
      <c r="X281" s="346"/>
      <c r="Y281" s="346"/>
      <c r="Z281" s="346"/>
      <c r="AA281" s="346"/>
      <c r="AB281" s="346"/>
      <c r="AC281" s="346"/>
      <c r="AD281">
        <f t="shared" ref="AD281:AD298" si="30">SUM(B281:AC281)</f>
        <v>4</v>
      </c>
      <c r="AE281" s="351">
        <f t="shared" ref="AE281:AE298" si="31">AD281/$AD$182</f>
        <v>6.6666666666666671E-3</v>
      </c>
    </row>
    <row r="282" spans="1:31">
      <c r="A282" s="165">
        <f>'Conveyor Downtime (new)'!A282</f>
        <v>46164</v>
      </c>
      <c r="N282">
        <f>4</f>
        <v>4</v>
      </c>
      <c r="AD282">
        <f t="shared" si="30"/>
        <v>4</v>
      </c>
      <c r="AE282" s="351">
        <f t="shared" si="31"/>
        <v>6.6666666666666671E-3</v>
      </c>
    </row>
    <row r="283" spans="1:31">
      <c r="A283" s="165">
        <f>'Conveyor Downtime (new)'!A283</f>
        <v>46164</v>
      </c>
      <c r="B283" s="346"/>
      <c r="C283" s="346"/>
      <c r="D283" s="346"/>
      <c r="E283" s="346"/>
      <c r="F283" s="346"/>
      <c r="G283" s="346"/>
      <c r="H283" s="346"/>
      <c r="I283" s="346"/>
      <c r="J283" s="346"/>
      <c r="K283" s="346"/>
      <c r="L283" s="346"/>
      <c r="M283" s="346"/>
      <c r="N283" s="346"/>
      <c r="O283" s="346"/>
      <c r="P283" s="346"/>
      <c r="Q283" s="346"/>
      <c r="R283" s="346"/>
      <c r="S283" s="346"/>
      <c r="T283" s="346"/>
      <c r="U283" s="346"/>
      <c r="V283" s="346"/>
      <c r="W283" s="346"/>
      <c r="X283" s="346"/>
      <c r="Y283" s="346"/>
      <c r="Z283" s="346"/>
      <c r="AA283" s="346"/>
      <c r="AB283" s="346"/>
      <c r="AC283" s="346"/>
      <c r="AD283">
        <f t="shared" si="30"/>
        <v>0</v>
      </c>
      <c r="AE283" s="351">
        <f t="shared" si="31"/>
        <v>0</v>
      </c>
    </row>
    <row r="284" spans="1:31">
      <c r="A284" s="165">
        <f>'Conveyor Downtime (new)'!A284</f>
        <v>46168</v>
      </c>
      <c r="AD284">
        <f t="shared" si="30"/>
        <v>0</v>
      </c>
      <c r="AE284" s="351">
        <f t="shared" si="31"/>
        <v>0</v>
      </c>
    </row>
    <row r="285" spans="1:31">
      <c r="A285" s="165">
        <f>'Conveyor Downtime (new)'!A285</f>
        <v>46169</v>
      </c>
      <c r="B285" s="346">
        <v>16</v>
      </c>
      <c r="C285" s="346"/>
      <c r="D285" s="346"/>
      <c r="E285" s="346"/>
      <c r="F285" s="346"/>
      <c r="G285" s="346"/>
      <c r="H285" s="346"/>
      <c r="I285" s="346"/>
      <c r="J285" s="346"/>
      <c r="K285" s="346"/>
      <c r="L285" s="346"/>
      <c r="M285" s="346"/>
      <c r="N285" s="346"/>
      <c r="O285" s="346"/>
      <c r="P285" s="346"/>
      <c r="Q285" s="346"/>
      <c r="R285" s="346"/>
      <c r="S285" s="346"/>
      <c r="T285" s="346"/>
      <c r="U285" s="346"/>
      <c r="V285" s="346"/>
      <c r="W285" s="346"/>
      <c r="X285" s="346"/>
      <c r="Y285" s="346"/>
      <c r="Z285" s="346"/>
      <c r="AA285" s="346"/>
      <c r="AB285" s="346"/>
      <c r="AC285" s="346"/>
      <c r="AD285">
        <f t="shared" si="30"/>
        <v>16</v>
      </c>
      <c r="AE285" s="351">
        <f t="shared" si="31"/>
        <v>2.6666666666666668E-2</v>
      </c>
    </row>
    <row r="286" spans="1:31">
      <c r="A286" s="165">
        <f>'Conveyor Downtime (new)'!A286</f>
        <v>46169</v>
      </c>
      <c r="AD286">
        <f t="shared" si="30"/>
        <v>0</v>
      </c>
      <c r="AE286" s="351">
        <f t="shared" si="31"/>
        <v>0</v>
      </c>
    </row>
    <row r="287" spans="1:31">
      <c r="A287" s="165">
        <f>'Conveyor Downtime (new)'!A287</f>
        <v>46170</v>
      </c>
      <c r="B287" s="346">
        <f>6+10+5</f>
        <v>21</v>
      </c>
      <c r="C287" s="346"/>
      <c r="D287" s="346"/>
      <c r="E287" s="346"/>
      <c r="F287" s="346"/>
      <c r="G287" s="346"/>
      <c r="H287" s="346"/>
      <c r="I287" s="346"/>
      <c r="J287" s="346"/>
      <c r="K287" s="346"/>
      <c r="L287" s="346"/>
      <c r="M287" s="346"/>
      <c r="N287" s="346"/>
      <c r="O287" s="346"/>
      <c r="P287" s="346"/>
      <c r="Q287" s="346"/>
      <c r="R287" s="346"/>
      <c r="S287" s="346"/>
      <c r="T287" s="346"/>
      <c r="U287" s="346"/>
      <c r="V287" s="346"/>
      <c r="W287" s="346"/>
      <c r="X287" s="346"/>
      <c r="Y287" s="346"/>
      <c r="Z287" s="346"/>
      <c r="AA287" s="346"/>
      <c r="AB287" s="346"/>
      <c r="AC287" s="346"/>
      <c r="AD287">
        <f t="shared" si="30"/>
        <v>21</v>
      </c>
      <c r="AE287" s="351">
        <f t="shared" si="31"/>
        <v>3.5000000000000003E-2</v>
      </c>
    </row>
    <row r="288" spans="1:31">
      <c r="A288" s="165">
        <f>'Conveyor Downtime (new)'!A288</f>
        <v>0</v>
      </c>
      <c r="AD288">
        <f t="shared" si="30"/>
        <v>0</v>
      </c>
      <c r="AE288" s="351">
        <f t="shared" si="31"/>
        <v>0</v>
      </c>
    </row>
    <row r="289" spans="1:31">
      <c r="A289" s="165">
        <f>'Conveyor Downtime (new)'!A289</f>
        <v>0</v>
      </c>
      <c r="B289" s="346"/>
      <c r="C289" s="346"/>
      <c r="D289" s="346"/>
      <c r="E289" s="346"/>
      <c r="F289" s="346"/>
      <c r="G289" s="346"/>
      <c r="H289" s="346"/>
      <c r="I289" s="346"/>
      <c r="J289" s="346"/>
      <c r="K289" s="346"/>
      <c r="L289" s="346"/>
      <c r="M289" s="346"/>
      <c r="N289" s="346"/>
      <c r="O289" s="346"/>
      <c r="P289" s="346"/>
      <c r="Q289" s="346"/>
      <c r="R289" s="346"/>
      <c r="S289" s="346"/>
      <c r="T289" s="346"/>
      <c r="U289" s="346"/>
      <c r="V289" s="346"/>
      <c r="W289" s="346"/>
      <c r="X289" s="346"/>
      <c r="Y289" s="346"/>
      <c r="Z289" s="346"/>
      <c r="AA289" s="346"/>
      <c r="AB289" s="346"/>
      <c r="AC289" s="346"/>
      <c r="AD289">
        <f t="shared" si="30"/>
        <v>0</v>
      </c>
      <c r="AE289" s="351">
        <f t="shared" si="31"/>
        <v>0</v>
      </c>
    </row>
    <row r="290" spans="1:31">
      <c r="A290" s="165">
        <f>'Conveyor Downtime (new)'!A290</f>
        <v>0</v>
      </c>
      <c r="AD290">
        <f t="shared" si="30"/>
        <v>0</v>
      </c>
      <c r="AE290" s="351">
        <f t="shared" si="31"/>
        <v>0</v>
      </c>
    </row>
    <row r="291" spans="1:31">
      <c r="A291" s="165">
        <f>'Conveyor Downtime (new)'!A291</f>
        <v>0</v>
      </c>
      <c r="B291" s="346"/>
      <c r="C291" s="346"/>
      <c r="D291" s="346"/>
      <c r="E291" s="346"/>
      <c r="F291" s="346"/>
      <c r="G291" s="346"/>
      <c r="H291" s="346"/>
      <c r="I291" s="346"/>
      <c r="J291" s="346"/>
      <c r="K291" s="346"/>
      <c r="L291" s="346"/>
      <c r="M291" s="346"/>
      <c r="N291" s="346"/>
      <c r="O291" s="346"/>
      <c r="P291" s="346"/>
      <c r="Q291" s="346"/>
      <c r="R291" s="346"/>
      <c r="S291" s="346"/>
      <c r="T291" s="346"/>
      <c r="U291" s="346"/>
      <c r="V291" s="346"/>
      <c r="W291" s="346"/>
      <c r="X291" s="346"/>
      <c r="Y291" s="346"/>
      <c r="Z291" s="346"/>
      <c r="AA291" s="346"/>
      <c r="AB291" s="346"/>
      <c r="AC291" s="346"/>
      <c r="AD291">
        <f t="shared" si="30"/>
        <v>0</v>
      </c>
      <c r="AE291" s="351">
        <f t="shared" si="31"/>
        <v>0</v>
      </c>
    </row>
    <row r="292" spans="1:31">
      <c r="A292" s="165">
        <f>'Conveyor Downtime (new)'!A292</f>
        <v>0</v>
      </c>
      <c r="AD292">
        <f t="shared" si="30"/>
        <v>0</v>
      </c>
      <c r="AE292" s="351">
        <f t="shared" si="31"/>
        <v>0</v>
      </c>
    </row>
    <row r="293" spans="1:31">
      <c r="A293" s="165">
        <f>'Conveyor Downtime (new)'!A293</f>
        <v>0</v>
      </c>
      <c r="B293" s="346"/>
      <c r="C293" s="346"/>
      <c r="D293" s="346"/>
      <c r="E293" s="346"/>
      <c r="F293" s="346"/>
      <c r="G293" s="346"/>
      <c r="H293" s="346"/>
      <c r="I293" s="346"/>
      <c r="J293" s="346"/>
      <c r="K293" s="346"/>
      <c r="L293" s="346"/>
      <c r="M293" s="346"/>
      <c r="N293" s="346"/>
      <c r="O293" s="346"/>
      <c r="P293" s="346"/>
      <c r="Q293" s="346"/>
      <c r="R293" s="346"/>
      <c r="S293" s="346"/>
      <c r="T293" s="346"/>
      <c r="U293" s="346"/>
      <c r="V293" s="346"/>
      <c r="W293" s="346"/>
      <c r="X293" s="346"/>
      <c r="Y293" s="346"/>
      <c r="Z293" s="346"/>
      <c r="AA293" s="346"/>
      <c r="AB293" s="346"/>
      <c r="AC293" s="346"/>
      <c r="AD293">
        <f t="shared" si="30"/>
        <v>0</v>
      </c>
      <c r="AE293" s="351">
        <f t="shared" si="31"/>
        <v>0</v>
      </c>
    </row>
    <row r="294" spans="1:31">
      <c r="A294" s="165">
        <f>'Conveyor Downtime (new)'!A294</f>
        <v>0</v>
      </c>
      <c r="AD294">
        <f t="shared" si="30"/>
        <v>0</v>
      </c>
      <c r="AE294" s="351">
        <f t="shared" si="31"/>
        <v>0</v>
      </c>
    </row>
    <row r="295" spans="1:31">
      <c r="A295" s="165">
        <f>'Conveyor Downtime (new)'!A295</f>
        <v>0</v>
      </c>
      <c r="B295" s="346"/>
      <c r="C295" s="346"/>
      <c r="D295" s="346"/>
      <c r="E295" s="346"/>
      <c r="F295" s="346"/>
      <c r="G295" s="346"/>
      <c r="H295" s="346"/>
      <c r="I295" s="346"/>
      <c r="J295" s="346"/>
      <c r="K295" s="346"/>
      <c r="L295" s="346"/>
      <c r="M295" s="346"/>
      <c r="N295" s="346"/>
      <c r="O295" s="346"/>
      <c r="P295" s="346"/>
      <c r="Q295" s="346"/>
      <c r="R295" s="346"/>
      <c r="S295" s="346"/>
      <c r="T295" s="346"/>
      <c r="U295" s="346"/>
      <c r="V295" s="346"/>
      <c r="W295" s="346"/>
      <c r="X295" s="346"/>
      <c r="Y295" s="346"/>
      <c r="Z295" s="346"/>
      <c r="AA295" s="346"/>
      <c r="AB295" s="346"/>
      <c r="AC295" s="346"/>
      <c r="AD295">
        <f t="shared" si="30"/>
        <v>0</v>
      </c>
      <c r="AE295" s="351">
        <f t="shared" si="31"/>
        <v>0</v>
      </c>
    </row>
    <row r="296" spans="1:31">
      <c r="A296" s="165">
        <f>'Conveyor Downtime (new)'!A296</f>
        <v>0</v>
      </c>
      <c r="AD296">
        <f t="shared" si="30"/>
        <v>0</v>
      </c>
      <c r="AE296" s="351">
        <f t="shared" si="31"/>
        <v>0</v>
      </c>
    </row>
    <row r="297" spans="1:31">
      <c r="A297" s="165">
        <f>'Conveyor Downtime (new)'!A297</f>
        <v>0</v>
      </c>
      <c r="B297" s="346"/>
      <c r="C297" s="346"/>
      <c r="D297" s="346"/>
      <c r="E297" s="346"/>
      <c r="F297" s="346"/>
      <c r="G297" s="346"/>
      <c r="H297" s="346"/>
      <c r="I297" s="346"/>
      <c r="J297" s="346"/>
      <c r="K297" s="346"/>
      <c r="L297" s="346"/>
      <c r="M297" s="346"/>
      <c r="N297" s="346"/>
      <c r="O297" s="346"/>
      <c r="P297" s="346"/>
      <c r="Q297" s="346"/>
      <c r="R297" s="346"/>
      <c r="S297" s="346"/>
      <c r="T297" s="346"/>
      <c r="U297" s="346"/>
      <c r="V297" s="346"/>
      <c r="W297" s="346"/>
      <c r="X297" s="346"/>
      <c r="Y297" s="346"/>
      <c r="Z297" s="346"/>
      <c r="AA297" s="346"/>
      <c r="AB297" s="346"/>
      <c r="AC297" s="346"/>
      <c r="AD297">
        <f t="shared" si="30"/>
        <v>0</v>
      </c>
      <c r="AE297" s="351">
        <f t="shared" si="31"/>
        <v>0</v>
      </c>
    </row>
    <row r="298" spans="1:31">
      <c r="A298" s="165">
        <f>'Conveyor Downtime (new)'!A298</f>
        <v>0</v>
      </c>
      <c r="AD298">
        <f t="shared" si="30"/>
        <v>0</v>
      </c>
      <c r="AE298" s="351">
        <f t="shared" si="31"/>
        <v>0</v>
      </c>
    </row>
    <row r="299" spans="1:31">
      <c r="A299" s="165">
        <f>'Conveyor Downtime (new)'!A299</f>
        <v>0</v>
      </c>
      <c r="B299" s="346"/>
      <c r="C299" s="346"/>
      <c r="D299" s="346"/>
      <c r="E299" s="346"/>
      <c r="F299" s="346"/>
      <c r="G299" s="346"/>
      <c r="H299" s="346"/>
      <c r="I299" s="346"/>
      <c r="J299" s="346"/>
      <c r="K299" s="346"/>
      <c r="L299" s="346"/>
      <c r="M299" s="346"/>
      <c r="N299" s="346"/>
      <c r="O299" s="346"/>
      <c r="P299" s="346"/>
      <c r="Q299" s="346"/>
      <c r="R299" s="346"/>
      <c r="S299" s="346"/>
      <c r="T299" s="346"/>
      <c r="U299" s="346"/>
      <c r="V299" s="346"/>
      <c r="W299" s="346"/>
      <c r="X299" s="346"/>
      <c r="Y299" s="346"/>
      <c r="Z299" s="346"/>
      <c r="AA299" s="346"/>
      <c r="AB299" s="346"/>
      <c r="AC299" s="346"/>
    </row>
    <row r="300" spans="1:31">
      <c r="A300" s="165">
        <f>'Conveyor Downtime (new)'!A300</f>
        <v>0</v>
      </c>
    </row>
    <row r="301" spans="1:31">
      <c r="A301" s="165"/>
      <c r="B301" s="346"/>
      <c r="C301" s="346"/>
      <c r="D301" s="346"/>
      <c r="E301" s="346"/>
      <c r="F301" s="346"/>
      <c r="G301" s="346"/>
      <c r="H301" s="346"/>
      <c r="I301" s="346"/>
      <c r="J301" s="346"/>
      <c r="K301" s="346"/>
      <c r="L301" s="346"/>
      <c r="M301" s="346"/>
      <c r="N301" s="346"/>
      <c r="O301" s="346"/>
      <c r="P301" s="346"/>
      <c r="Q301" s="346"/>
      <c r="R301" s="346"/>
      <c r="S301" s="346"/>
      <c r="T301" s="346"/>
      <c r="U301" s="346"/>
      <c r="V301" s="346"/>
      <c r="W301" s="346"/>
      <c r="X301" s="346"/>
      <c r="Y301" s="346"/>
      <c r="Z301" s="346"/>
      <c r="AA301" s="346"/>
      <c r="AB301" s="346"/>
      <c r="AC301" s="346"/>
    </row>
    <row r="302" spans="1:31" ht="15">
      <c r="A302" s="347" t="s">
        <v>173</v>
      </c>
      <c r="B302" s="347">
        <f t="shared" ref="B302:AC302" si="32">SUM(B248:B301)</f>
        <v>110</v>
      </c>
      <c r="C302" s="347">
        <f t="shared" si="32"/>
        <v>0</v>
      </c>
      <c r="D302" s="347">
        <f t="shared" si="32"/>
        <v>32</v>
      </c>
      <c r="E302" s="347">
        <f t="shared" si="32"/>
        <v>12</v>
      </c>
      <c r="F302" s="347">
        <f t="shared" si="32"/>
        <v>0</v>
      </c>
      <c r="G302" s="347">
        <f t="shared" si="32"/>
        <v>0</v>
      </c>
      <c r="H302" s="347">
        <f t="shared" si="32"/>
        <v>0</v>
      </c>
      <c r="I302" s="347">
        <f t="shared" si="32"/>
        <v>0</v>
      </c>
      <c r="J302" s="347">
        <f t="shared" si="32"/>
        <v>6</v>
      </c>
      <c r="K302" s="347">
        <f t="shared" si="32"/>
        <v>0</v>
      </c>
      <c r="L302" s="347">
        <f t="shared" si="32"/>
        <v>0</v>
      </c>
      <c r="M302" s="347">
        <f t="shared" si="32"/>
        <v>0</v>
      </c>
      <c r="N302" s="347">
        <f t="shared" si="32"/>
        <v>4</v>
      </c>
      <c r="O302" s="347">
        <f t="shared" si="32"/>
        <v>0</v>
      </c>
      <c r="P302" s="347">
        <f t="shared" si="32"/>
        <v>0</v>
      </c>
      <c r="Q302" s="347">
        <f t="shared" si="32"/>
        <v>0</v>
      </c>
      <c r="R302" s="347">
        <f t="shared" si="32"/>
        <v>0</v>
      </c>
      <c r="S302" s="347">
        <f t="shared" si="32"/>
        <v>0</v>
      </c>
      <c r="T302" s="347">
        <f t="shared" si="32"/>
        <v>8</v>
      </c>
      <c r="U302" s="347">
        <f t="shared" si="32"/>
        <v>0</v>
      </c>
      <c r="V302" s="347">
        <f t="shared" si="32"/>
        <v>0</v>
      </c>
      <c r="W302" s="347">
        <f t="shared" si="32"/>
        <v>7</v>
      </c>
      <c r="X302" s="347">
        <f t="shared" si="32"/>
        <v>0</v>
      </c>
      <c r="Y302" s="347">
        <f t="shared" si="32"/>
        <v>0</v>
      </c>
      <c r="Z302" s="347">
        <f t="shared" si="32"/>
        <v>0</v>
      </c>
      <c r="AA302" s="347">
        <f t="shared" si="32"/>
        <v>0</v>
      </c>
      <c r="AB302" s="347">
        <f t="shared" si="32"/>
        <v>37</v>
      </c>
      <c r="AC302" s="347">
        <f t="shared" si="32"/>
        <v>0</v>
      </c>
      <c r="AD302" s="347">
        <f>SUM(AD248:AD301)</f>
        <v>216</v>
      </c>
    </row>
    <row r="303" spans="1:31" ht="15.75" thickBot="1">
      <c r="A303" s="348" t="s">
        <v>174</v>
      </c>
      <c r="B303" s="348">
        <f t="shared" ref="B303:AC303" si="33">B302/$AD302</f>
        <v>0.5092592592592593</v>
      </c>
      <c r="C303" s="348">
        <f t="shared" si="33"/>
        <v>0</v>
      </c>
      <c r="D303" s="348">
        <f t="shared" si="33"/>
        <v>0.14814814814814814</v>
      </c>
      <c r="E303" s="348">
        <f t="shared" si="33"/>
        <v>5.5555555555555552E-2</v>
      </c>
      <c r="F303" s="348">
        <f t="shared" si="33"/>
        <v>0</v>
      </c>
      <c r="G303" s="348">
        <f t="shared" si="33"/>
        <v>0</v>
      </c>
      <c r="H303" s="348">
        <f t="shared" si="33"/>
        <v>0</v>
      </c>
      <c r="I303" s="348">
        <f t="shared" si="33"/>
        <v>0</v>
      </c>
      <c r="J303" s="348">
        <f t="shared" si="33"/>
        <v>2.7777777777777776E-2</v>
      </c>
      <c r="K303" s="348">
        <f t="shared" si="33"/>
        <v>0</v>
      </c>
      <c r="L303" s="348">
        <f t="shared" si="33"/>
        <v>0</v>
      </c>
      <c r="M303" s="348">
        <f t="shared" si="33"/>
        <v>0</v>
      </c>
      <c r="N303" s="348">
        <f t="shared" si="33"/>
        <v>1.8518518518518517E-2</v>
      </c>
      <c r="O303" s="348">
        <f t="shared" si="33"/>
        <v>0</v>
      </c>
      <c r="P303" s="348">
        <f t="shared" si="33"/>
        <v>0</v>
      </c>
      <c r="Q303" s="348">
        <f t="shared" si="33"/>
        <v>0</v>
      </c>
      <c r="R303" s="348">
        <f t="shared" si="33"/>
        <v>0</v>
      </c>
      <c r="S303" s="348">
        <f t="shared" si="33"/>
        <v>0</v>
      </c>
      <c r="T303" s="348">
        <f t="shared" si="33"/>
        <v>3.7037037037037035E-2</v>
      </c>
      <c r="U303" s="348">
        <f t="shared" si="33"/>
        <v>0</v>
      </c>
      <c r="V303" s="348">
        <f t="shared" si="33"/>
        <v>0</v>
      </c>
      <c r="W303" s="348">
        <f t="shared" si="33"/>
        <v>3.2407407407407406E-2</v>
      </c>
      <c r="X303" s="348">
        <f t="shared" si="33"/>
        <v>0</v>
      </c>
      <c r="Y303" s="348">
        <f t="shared" si="33"/>
        <v>0</v>
      </c>
      <c r="Z303" s="348">
        <f t="shared" si="33"/>
        <v>0</v>
      </c>
      <c r="AA303" s="348">
        <f t="shared" si="33"/>
        <v>0</v>
      </c>
      <c r="AB303" s="348">
        <f t="shared" si="33"/>
        <v>0.17129629629629631</v>
      </c>
      <c r="AC303" s="348">
        <f t="shared" si="33"/>
        <v>0</v>
      </c>
      <c r="AD303" s="351"/>
    </row>
    <row r="307" spans="1:31">
      <c r="A307" s="165">
        <f>'Conveyor Downtime (new)'!A308</f>
        <v>46192</v>
      </c>
      <c r="B307" s="346"/>
      <c r="C307" s="346"/>
      <c r="D307" s="346"/>
      <c r="E307" s="346"/>
      <c r="F307" s="346"/>
      <c r="G307" s="346"/>
      <c r="H307" s="346"/>
      <c r="I307" s="346"/>
      <c r="J307" s="346"/>
      <c r="K307" s="346"/>
      <c r="L307" s="346"/>
      <c r="M307" s="346"/>
      <c r="N307" s="346"/>
      <c r="O307" s="346"/>
      <c r="P307" s="346"/>
      <c r="Q307" s="346"/>
      <c r="R307" s="346"/>
      <c r="S307" s="346"/>
      <c r="T307" s="346"/>
      <c r="U307" s="346"/>
      <c r="V307" s="346"/>
      <c r="W307" s="346"/>
      <c r="X307" s="346"/>
      <c r="Y307" s="346"/>
      <c r="Z307" s="346"/>
      <c r="AA307" s="346"/>
      <c r="AB307" s="346"/>
      <c r="AC307" s="346"/>
      <c r="AD307">
        <f t="shared" ref="AD307:AD321" si="34">SUM(B307:AC307)</f>
        <v>0</v>
      </c>
      <c r="AE307" s="351">
        <f t="shared" ref="AE307:AE321" si="35">AD307/$AD$182</f>
        <v>0</v>
      </c>
    </row>
    <row r="308" spans="1:31">
      <c r="A308" s="165">
        <f>'Conveyor Downtime (new)'!A309</f>
        <v>46193</v>
      </c>
      <c r="AD308">
        <f t="shared" si="34"/>
        <v>0</v>
      </c>
      <c r="AE308" s="351">
        <f t="shared" si="35"/>
        <v>0</v>
      </c>
    </row>
    <row r="309" spans="1:31">
      <c r="A309" s="165">
        <f>'Conveyor Downtime (new)'!A310</f>
        <v>46194</v>
      </c>
      <c r="B309" s="346"/>
      <c r="C309" s="346"/>
      <c r="D309" s="346"/>
      <c r="E309" s="346"/>
      <c r="F309" s="346"/>
      <c r="G309" s="346"/>
      <c r="H309" s="346"/>
      <c r="I309" s="346"/>
      <c r="J309" s="346"/>
      <c r="K309" s="346"/>
      <c r="L309" s="346"/>
      <c r="M309" s="346"/>
      <c r="N309" s="346"/>
      <c r="O309" s="346"/>
      <c r="P309" s="346"/>
      <c r="Q309" s="346"/>
      <c r="R309" s="346"/>
      <c r="S309" s="346"/>
      <c r="T309" s="346"/>
      <c r="U309" s="346"/>
      <c r="V309" s="346"/>
      <c r="W309" s="346"/>
      <c r="X309" s="346"/>
      <c r="Y309" s="346"/>
      <c r="Z309" s="346"/>
      <c r="AA309" s="346"/>
      <c r="AB309" s="346"/>
      <c r="AC309" s="346"/>
      <c r="AD309">
        <f t="shared" si="34"/>
        <v>0</v>
      </c>
      <c r="AE309" s="351">
        <f t="shared" si="35"/>
        <v>0</v>
      </c>
    </row>
    <row r="310" spans="1:31">
      <c r="A310" s="165">
        <f>'Conveyor Downtime (new)'!A311</f>
        <v>46195</v>
      </c>
      <c r="AD310">
        <f t="shared" si="34"/>
        <v>0</v>
      </c>
      <c r="AE310" s="351">
        <f t="shared" si="35"/>
        <v>0</v>
      </c>
    </row>
    <row r="311" spans="1:31">
      <c r="A311" s="165">
        <f>'Conveyor Downtime (new)'!A312</f>
        <v>46195</v>
      </c>
      <c r="B311" s="346"/>
      <c r="C311" s="346"/>
      <c r="D311" s="346"/>
      <c r="E311" s="346"/>
      <c r="F311" s="346"/>
      <c r="G311" s="346"/>
      <c r="H311" s="346"/>
      <c r="I311" s="346"/>
      <c r="J311" s="346"/>
      <c r="K311" s="346"/>
      <c r="L311" s="346"/>
      <c r="M311" s="346"/>
      <c r="N311" s="346"/>
      <c r="O311" s="346"/>
      <c r="P311" s="346"/>
      <c r="Q311" s="346"/>
      <c r="R311" s="346"/>
      <c r="S311" s="346"/>
      <c r="T311" s="346"/>
      <c r="U311" s="346"/>
      <c r="V311" s="346"/>
      <c r="W311" s="346"/>
      <c r="X311" s="346"/>
      <c r="Y311" s="346"/>
      <c r="Z311" s="346"/>
      <c r="AA311" s="346"/>
      <c r="AB311" s="346"/>
      <c r="AC311" s="346"/>
      <c r="AD311">
        <f t="shared" si="34"/>
        <v>0</v>
      </c>
      <c r="AE311" s="351">
        <f t="shared" si="35"/>
        <v>0</v>
      </c>
    </row>
    <row r="312" spans="1:31">
      <c r="A312" s="165">
        <f>'Conveyor Downtime (new)'!A313</f>
        <v>46196</v>
      </c>
      <c r="AD312">
        <f t="shared" si="34"/>
        <v>0</v>
      </c>
      <c r="AE312" s="351">
        <f t="shared" si="35"/>
        <v>0</v>
      </c>
    </row>
    <row r="313" spans="1:31">
      <c r="A313" s="165">
        <f>'Conveyor Downtime (new)'!A314</f>
        <v>46196</v>
      </c>
      <c r="B313" s="346"/>
      <c r="C313" s="346"/>
      <c r="D313" s="346"/>
      <c r="E313" s="346"/>
      <c r="F313" s="346"/>
      <c r="G313" s="346"/>
      <c r="H313" s="346"/>
      <c r="I313" s="346"/>
      <c r="J313" s="346"/>
      <c r="K313" s="346"/>
      <c r="L313" s="346"/>
      <c r="M313" s="346"/>
      <c r="N313" s="346"/>
      <c r="O313" s="346"/>
      <c r="P313" s="346"/>
      <c r="Q313" s="346"/>
      <c r="R313" s="346"/>
      <c r="S313" s="346"/>
      <c r="T313" s="346"/>
      <c r="U313" s="346"/>
      <c r="V313" s="346"/>
      <c r="W313" s="346"/>
      <c r="X313" s="346"/>
      <c r="Y313" s="346"/>
      <c r="Z313" s="346"/>
      <c r="AA313" s="346"/>
      <c r="AB313" s="346"/>
      <c r="AC313" s="346"/>
      <c r="AD313">
        <f t="shared" si="34"/>
        <v>0</v>
      </c>
      <c r="AE313" s="351">
        <f t="shared" si="35"/>
        <v>0</v>
      </c>
    </row>
    <row r="314" spans="1:31">
      <c r="A314" s="165">
        <f>'Conveyor Downtime (new)'!A315</f>
        <v>46196</v>
      </c>
      <c r="AD314">
        <f t="shared" si="34"/>
        <v>0</v>
      </c>
      <c r="AE314" s="351">
        <f t="shared" si="35"/>
        <v>0</v>
      </c>
    </row>
    <row r="315" spans="1:31">
      <c r="A315" s="165">
        <f>'Conveyor Downtime (new)'!A316</f>
        <v>46197</v>
      </c>
      <c r="B315" s="346"/>
      <c r="C315" s="346"/>
      <c r="D315" s="346"/>
      <c r="E315" s="346"/>
      <c r="F315" s="346"/>
      <c r="G315" s="346"/>
      <c r="H315" s="346"/>
      <c r="I315" s="346"/>
      <c r="J315" s="346"/>
      <c r="K315" s="346"/>
      <c r="L315" s="346"/>
      <c r="M315" s="346"/>
      <c r="N315" s="346"/>
      <c r="O315" s="346"/>
      <c r="P315" s="346"/>
      <c r="Q315" s="346"/>
      <c r="R315" s="346"/>
      <c r="S315" s="346"/>
      <c r="T315" s="346"/>
      <c r="U315" s="346"/>
      <c r="V315" s="346"/>
      <c r="W315" s="346"/>
      <c r="X315" s="346"/>
      <c r="Y315" s="346"/>
      <c r="Z315" s="346"/>
      <c r="AA315" s="346"/>
      <c r="AB315" s="346"/>
      <c r="AC315" s="346"/>
      <c r="AD315">
        <f t="shared" si="34"/>
        <v>0</v>
      </c>
      <c r="AE315" s="351">
        <f t="shared" si="35"/>
        <v>0</v>
      </c>
    </row>
    <row r="316" spans="1:31">
      <c r="A316" s="165">
        <f>'Conveyor Downtime (new)'!A317</f>
        <v>46197</v>
      </c>
      <c r="AD316">
        <f t="shared" si="34"/>
        <v>0</v>
      </c>
      <c r="AE316" s="351">
        <f t="shared" si="35"/>
        <v>0</v>
      </c>
    </row>
    <row r="317" spans="1:31">
      <c r="A317" s="165">
        <f>'Conveyor Downtime (new)'!A318</f>
        <v>46198</v>
      </c>
      <c r="B317" s="77"/>
      <c r="C317" s="346"/>
      <c r="D317" s="346"/>
      <c r="E317" s="346"/>
      <c r="F317" s="346"/>
      <c r="G317" s="346"/>
      <c r="H317" s="346"/>
      <c r="I317" s="346"/>
      <c r="J317" s="346"/>
      <c r="K317" s="346"/>
      <c r="L317" s="346"/>
      <c r="M317" s="346"/>
      <c r="N317" s="346"/>
      <c r="O317" s="346"/>
      <c r="P317" s="346"/>
      <c r="Q317" s="346"/>
      <c r="R317" s="346"/>
      <c r="S317" s="346"/>
      <c r="T317" s="346"/>
      <c r="U317" s="346"/>
      <c r="V317" s="346"/>
      <c r="W317" s="346"/>
      <c r="X317" s="346"/>
      <c r="Y317" s="346"/>
      <c r="Z317" s="346"/>
      <c r="AA317" s="346"/>
      <c r="AB317" s="346"/>
      <c r="AC317" s="346"/>
      <c r="AD317">
        <f t="shared" si="34"/>
        <v>0</v>
      </c>
      <c r="AE317" s="351">
        <f t="shared" si="35"/>
        <v>0</v>
      </c>
    </row>
    <row r="318" spans="1:31">
      <c r="A318" s="165">
        <f>'Conveyor Downtime (new)'!A319</f>
        <v>46198</v>
      </c>
      <c r="M318">
        <f>3</f>
        <v>3</v>
      </c>
      <c r="AD318">
        <f t="shared" si="34"/>
        <v>3</v>
      </c>
      <c r="AE318" s="351">
        <f t="shared" si="35"/>
        <v>5.0000000000000001E-3</v>
      </c>
    </row>
    <row r="319" spans="1:31">
      <c r="A319" s="165">
        <f>'Conveyor Downtime (new)'!A320</f>
        <v>46198</v>
      </c>
      <c r="B319" s="346"/>
      <c r="C319" s="346"/>
      <c r="D319" s="346"/>
      <c r="E319" s="346"/>
      <c r="F319" s="346"/>
      <c r="G319" s="346"/>
      <c r="H319" s="346"/>
      <c r="I319" s="346"/>
      <c r="J319" s="346"/>
      <c r="K319" s="346"/>
      <c r="L319" s="346"/>
      <c r="M319" s="346"/>
      <c r="N319" s="346"/>
      <c r="O319" s="346"/>
      <c r="P319" s="346"/>
      <c r="Q319" s="346"/>
      <c r="R319" s="346"/>
      <c r="S319" s="346"/>
      <c r="T319" s="346"/>
      <c r="U319" s="346"/>
      <c r="V319" s="346"/>
      <c r="W319" s="346"/>
      <c r="X319" s="346"/>
      <c r="Y319" s="346"/>
      <c r="Z319" s="346"/>
      <c r="AA319" s="346"/>
      <c r="AB319" s="346"/>
      <c r="AC319" s="346"/>
      <c r="AD319">
        <f t="shared" si="34"/>
        <v>0</v>
      </c>
      <c r="AE319" s="351">
        <f t="shared" si="35"/>
        <v>0</v>
      </c>
    </row>
    <row r="320" spans="1:31">
      <c r="A320" s="165">
        <f>'Conveyor Downtime (new)'!A321</f>
        <v>46198</v>
      </c>
      <c r="AD320">
        <f t="shared" si="34"/>
        <v>0</v>
      </c>
      <c r="AE320" s="351">
        <f t="shared" si="35"/>
        <v>0</v>
      </c>
    </row>
    <row r="321" spans="1:31">
      <c r="A321" s="165">
        <f>'Conveyor Downtime (new)'!A322</f>
        <v>46199</v>
      </c>
      <c r="B321" s="346"/>
      <c r="C321" s="346"/>
      <c r="D321" s="346"/>
      <c r="E321" s="346"/>
      <c r="F321" s="346"/>
      <c r="G321" s="346"/>
      <c r="H321" s="346"/>
      <c r="I321" s="346"/>
      <c r="J321" s="346"/>
      <c r="K321" s="346"/>
      <c r="L321" s="346"/>
      <c r="M321" s="346"/>
      <c r="N321" s="346"/>
      <c r="O321" s="346"/>
      <c r="P321" s="346"/>
      <c r="Q321" s="346"/>
      <c r="R321" s="346"/>
      <c r="S321" s="346"/>
      <c r="T321" s="346"/>
      <c r="U321" s="346"/>
      <c r="V321" s="346"/>
      <c r="W321" s="346"/>
      <c r="X321" s="346"/>
      <c r="Y321" s="346"/>
      <c r="Z321" s="346"/>
      <c r="AA321" s="346"/>
      <c r="AB321" s="346"/>
      <c r="AC321" s="346"/>
      <c r="AD321">
        <f t="shared" si="34"/>
        <v>0</v>
      </c>
      <c r="AE321" s="351">
        <f t="shared" si="35"/>
        <v>0</v>
      </c>
    </row>
    <row r="322" spans="1:31">
      <c r="A322" s="165">
        <f>'Conveyor Downtime (new)'!A323</f>
        <v>46199</v>
      </c>
      <c r="B322" s="346"/>
      <c r="C322" s="346"/>
      <c r="D322" s="346"/>
      <c r="E322" s="346"/>
      <c r="F322" s="346"/>
      <c r="G322" s="346"/>
      <c r="H322" s="346"/>
      <c r="I322" s="346"/>
      <c r="J322" s="346"/>
      <c r="K322" s="346"/>
      <c r="L322" s="346"/>
      <c r="M322" s="346"/>
      <c r="N322" s="346"/>
      <c r="O322" s="346"/>
      <c r="P322" s="346"/>
      <c r="Q322" s="346"/>
      <c r="R322" s="346"/>
      <c r="S322" s="346"/>
      <c r="T322" s="346"/>
      <c r="U322" s="346"/>
      <c r="V322" s="346"/>
      <c r="W322" s="346"/>
      <c r="X322" s="346"/>
      <c r="Y322" s="346"/>
      <c r="Z322" s="346"/>
      <c r="AA322" s="346"/>
      <c r="AB322" s="346"/>
      <c r="AC322" s="346"/>
      <c r="AD322">
        <f t="shared" ref="AD322" si="36">SUM(B322:AC322)</f>
        <v>0</v>
      </c>
      <c r="AE322" s="351">
        <f t="shared" ref="AE322" si="37">AD322/$AD$182</f>
        <v>0</v>
      </c>
    </row>
    <row r="323" spans="1:31">
      <c r="A323" s="165">
        <f>'Conveyor Downtime (new)'!A324</f>
        <v>46200</v>
      </c>
      <c r="B323" s="346"/>
      <c r="C323" s="346"/>
      <c r="D323" s="346"/>
      <c r="E323" s="346"/>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f t="shared" ref="AD323:AD364" si="38">SUM(B323:AC323)</f>
        <v>0</v>
      </c>
      <c r="AE323" s="351">
        <f t="shared" ref="AE323:AE364" si="39">AD323/$AD$182</f>
        <v>0</v>
      </c>
    </row>
    <row r="324" spans="1:31">
      <c r="A324" s="165">
        <f>'Conveyor Downtime (new)'!A325</f>
        <v>46200</v>
      </c>
      <c r="AD324">
        <f t="shared" si="38"/>
        <v>0</v>
      </c>
      <c r="AE324" s="351">
        <f t="shared" si="39"/>
        <v>0</v>
      </c>
    </row>
    <row r="325" spans="1:31">
      <c r="A325" s="165">
        <f>'Conveyor Downtime (new)'!A326</f>
        <v>46202</v>
      </c>
      <c r="B325" s="346">
        <f>2</f>
        <v>2</v>
      </c>
      <c r="C325" s="346"/>
      <c r="D325" s="346"/>
      <c r="E325" s="346"/>
      <c r="F325" s="346"/>
      <c r="G325" s="346"/>
      <c r="H325" s="346"/>
      <c r="I325" s="346"/>
      <c r="J325" s="346"/>
      <c r="K325" s="346"/>
      <c r="L325" s="346"/>
      <c r="M325" s="346"/>
      <c r="N325" s="346">
        <f>4</f>
        <v>4</v>
      </c>
      <c r="O325" s="346"/>
      <c r="P325" s="346"/>
      <c r="Q325" s="346"/>
      <c r="R325" s="346"/>
      <c r="S325" s="346"/>
      <c r="T325" s="346"/>
      <c r="U325" s="346"/>
      <c r="V325" s="346"/>
      <c r="W325" s="346"/>
      <c r="X325" s="346"/>
      <c r="Y325" s="346"/>
      <c r="Z325" s="346"/>
      <c r="AA325" s="346"/>
      <c r="AB325" s="346"/>
      <c r="AC325" s="346"/>
      <c r="AD325">
        <f t="shared" si="38"/>
        <v>6</v>
      </c>
      <c r="AE325" s="351">
        <f t="shared" si="39"/>
        <v>0.01</v>
      </c>
    </row>
    <row r="326" spans="1:31">
      <c r="A326" s="165">
        <f>'Conveyor Downtime (new)'!A327</f>
        <v>46202</v>
      </c>
      <c r="AD326">
        <f t="shared" si="38"/>
        <v>0</v>
      </c>
      <c r="AE326" s="351">
        <f t="shared" si="39"/>
        <v>0</v>
      </c>
    </row>
    <row r="327" spans="1:31">
      <c r="A327" s="165">
        <f>'Conveyor Downtime (new)'!A328</f>
        <v>46202</v>
      </c>
      <c r="B327" s="346"/>
      <c r="C327" s="346"/>
      <c r="D327" s="346"/>
      <c r="E327" s="346"/>
      <c r="F327" s="346"/>
      <c r="G327" s="346"/>
      <c r="H327" s="346"/>
      <c r="I327" s="346"/>
      <c r="J327" s="346"/>
      <c r="K327" s="346"/>
      <c r="L327" s="346"/>
      <c r="M327" s="346"/>
      <c r="N327" s="346"/>
      <c r="O327" s="346"/>
      <c r="P327" s="346"/>
      <c r="Q327" s="346"/>
      <c r="R327" s="346"/>
      <c r="S327" s="346"/>
      <c r="T327" s="346"/>
      <c r="U327" s="346"/>
      <c r="V327" s="346"/>
      <c r="W327" s="346"/>
      <c r="X327" s="346"/>
      <c r="Y327" s="346"/>
      <c r="Z327" s="346"/>
      <c r="AA327" s="346"/>
      <c r="AB327" s="346"/>
      <c r="AC327" s="346"/>
      <c r="AD327">
        <f t="shared" si="38"/>
        <v>0</v>
      </c>
      <c r="AE327" s="351">
        <f t="shared" si="39"/>
        <v>0</v>
      </c>
    </row>
    <row r="328" spans="1:31">
      <c r="A328" s="165">
        <f>'Conveyor Downtime (new)'!A329</f>
        <v>46203</v>
      </c>
      <c r="AD328">
        <f t="shared" si="38"/>
        <v>0</v>
      </c>
      <c r="AE328" s="351">
        <f t="shared" si="39"/>
        <v>0</v>
      </c>
    </row>
    <row r="329" spans="1:31">
      <c r="A329" s="165">
        <f>'Conveyor Downtime (new)'!A330</f>
        <v>46203</v>
      </c>
      <c r="B329" s="346"/>
      <c r="C329" s="346"/>
      <c r="D329" s="346"/>
      <c r="E329" s="346"/>
      <c r="F329" s="346"/>
      <c r="G329" s="346"/>
      <c r="H329" s="346"/>
      <c r="I329" s="346"/>
      <c r="J329" s="346"/>
      <c r="K329" s="346"/>
      <c r="L329" s="346"/>
      <c r="M329" s="346"/>
      <c r="N329" s="346"/>
      <c r="O329" s="346"/>
      <c r="P329" s="346"/>
      <c r="Q329" s="346"/>
      <c r="R329" s="346"/>
      <c r="S329" s="346"/>
      <c r="T329" s="346"/>
      <c r="U329" s="346"/>
      <c r="V329" s="346"/>
      <c r="W329" s="346"/>
      <c r="X329" s="346"/>
      <c r="Y329" s="346"/>
      <c r="Z329" s="346"/>
      <c r="AA329" s="346"/>
      <c r="AB329" s="346"/>
      <c r="AC329" s="346"/>
      <c r="AD329">
        <f t="shared" si="38"/>
        <v>0</v>
      </c>
      <c r="AE329" s="351">
        <f t="shared" si="39"/>
        <v>0</v>
      </c>
    </row>
    <row r="330" spans="1:31">
      <c r="A330" s="165">
        <f>'Conveyor Downtime (new)'!A331</f>
        <v>0</v>
      </c>
      <c r="B330" s="346"/>
      <c r="C330" s="346"/>
      <c r="D330" s="346"/>
      <c r="E330" s="346"/>
      <c r="F330" s="346"/>
      <c r="G330" s="346"/>
      <c r="H330" s="346"/>
      <c r="I330" s="346"/>
      <c r="J330" s="346"/>
      <c r="K330" s="346"/>
      <c r="L330" s="346"/>
      <c r="M330" s="346"/>
      <c r="N330" s="346"/>
      <c r="O330" s="346"/>
      <c r="P330" s="346"/>
      <c r="Q330" s="346"/>
      <c r="R330" s="346"/>
      <c r="S330" s="346"/>
      <c r="T330" s="346"/>
      <c r="U330" s="346"/>
      <c r="V330" s="346"/>
      <c r="W330" s="346"/>
      <c r="X330" s="346"/>
      <c r="Y330" s="346"/>
      <c r="Z330" s="346"/>
      <c r="AA330" s="346"/>
      <c r="AB330" s="346"/>
      <c r="AC330" s="346"/>
      <c r="AD330">
        <f t="shared" si="38"/>
        <v>0</v>
      </c>
      <c r="AE330" s="351">
        <f t="shared" si="39"/>
        <v>0</v>
      </c>
    </row>
    <row r="331" spans="1:31">
      <c r="A331" s="165">
        <f>'Conveyor Downtime (new)'!A332</f>
        <v>0</v>
      </c>
      <c r="B331" s="346"/>
      <c r="C331" s="346"/>
      <c r="D331" s="346"/>
      <c r="E331" s="346"/>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f t="shared" si="38"/>
        <v>0</v>
      </c>
      <c r="AE331" s="351">
        <f t="shared" si="39"/>
        <v>0</v>
      </c>
    </row>
    <row r="332" spans="1:31">
      <c r="A332" s="165">
        <f>'Conveyor Downtime (new)'!A333</f>
        <v>0</v>
      </c>
      <c r="AD332">
        <f t="shared" si="38"/>
        <v>0</v>
      </c>
      <c r="AE332" s="351">
        <f t="shared" si="39"/>
        <v>0</v>
      </c>
    </row>
    <row r="333" spans="1:31">
      <c r="A333" s="165">
        <f>'Conveyor Downtime (new)'!A334</f>
        <v>0</v>
      </c>
      <c r="B333" s="346"/>
      <c r="C333" s="346"/>
      <c r="D333" s="346"/>
      <c r="E333" s="346"/>
      <c r="F333" s="346"/>
      <c r="G333" s="346"/>
      <c r="H333" s="346"/>
      <c r="I333" s="346"/>
      <c r="J333" s="346"/>
      <c r="K333" s="346"/>
      <c r="L333" s="346"/>
      <c r="M333" s="346"/>
      <c r="N333" s="346"/>
      <c r="O333" s="346"/>
      <c r="P333" s="346"/>
      <c r="Q333" s="346"/>
      <c r="R333" s="346"/>
      <c r="S333" s="346"/>
      <c r="T333" s="346"/>
      <c r="U333" s="346"/>
      <c r="V333" s="346"/>
      <c r="W333" s="346"/>
      <c r="X333" s="346"/>
      <c r="Y333" s="346"/>
      <c r="Z333" s="346"/>
      <c r="AA333" s="346"/>
      <c r="AB333" s="346"/>
      <c r="AC333" s="346"/>
      <c r="AD333">
        <f t="shared" si="38"/>
        <v>0</v>
      </c>
      <c r="AE333" s="351">
        <f t="shared" si="39"/>
        <v>0</v>
      </c>
    </row>
    <row r="334" spans="1:31">
      <c r="A334" s="165">
        <f>'Conveyor Downtime (new)'!A335</f>
        <v>0</v>
      </c>
      <c r="AD334">
        <f t="shared" si="38"/>
        <v>0</v>
      </c>
      <c r="AE334" s="351">
        <f t="shared" si="39"/>
        <v>0</v>
      </c>
    </row>
    <row r="335" spans="1:31">
      <c r="A335" s="165">
        <f>'Conveyor Downtime (new)'!A336</f>
        <v>0</v>
      </c>
      <c r="AD335">
        <f t="shared" si="38"/>
        <v>0</v>
      </c>
      <c r="AE335" s="351">
        <f t="shared" si="39"/>
        <v>0</v>
      </c>
    </row>
    <row r="336" spans="1:31">
      <c r="A336" s="165">
        <f>'Conveyor Downtime (new)'!A337</f>
        <v>0</v>
      </c>
      <c r="B336" s="346"/>
      <c r="C336" s="346"/>
      <c r="D336" s="346"/>
      <c r="E336" s="346"/>
      <c r="F336" s="346"/>
      <c r="G336" s="346"/>
      <c r="H336" s="346"/>
      <c r="I336" s="346"/>
      <c r="J336" s="346"/>
      <c r="K336" s="346"/>
      <c r="L336" s="346"/>
      <c r="M336" s="346"/>
      <c r="N336" s="346"/>
      <c r="O336" s="346"/>
      <c r="P336" s="346"/>
      <c r="Q336" s="346"/>
      <c r="R336" s="346"/>
      <c r="S336" s="346"/>
      <c r="T336" s="346"/>
      <c r="U336" s="346"/>
      <c r="V336" s="346"/>
      <c r="W336" s="346"/>
      <c r="X336" s="346"/>
      <c r="Y336" s="346"/>
      <c r="Z336" s="346"/>
      <c r="AA336" s="346"/>
      <c r="AB336" s="346"/>
      <c r="AC336" s="346"/>
      <c r="AD336">
        <f t="shared" si="38"/>
        <v>0</v>
      </c>
      <c r="AE336" s="351">
        <f t="shared" si="39"/>
        <v>0</v>
      </c>
    </row>
    <row r="337" spans="1:31">
      <c r="A337" s="165">
        <f>'Conveyor Downtime (new)'!A338</f>
        <v>0</v>
      </c>
      <c r="AD337">
        <f t="shared" si="38"/>
        <v>0</v>
      </c>
      <c r="AE337" s="351">
        <f t="shared" si="39"/>
        <v>0</v>
      </c>
    </row>
    <row r="338" spans="1:31">
      <c r="A338" s="165">
        <f>'Conveyor Downtime (new)'!A339</f>
        <v>0</v>
      </c>
      <c r="AD338">
        <f t="shared" si="38"/>
        <v>0</v>
      </c>
      <c r="AE338" s="351">
        <f t="shared" si="39"/>
        <v>0</v>
      </c>
    </row>
    <row r="339" spans="1:31">
      <c r="A339" s="165">
        <f>'Conveyor Downtime (new)'!A340</f>
        <v>0</v>
      </c>
      <c r="AD339">
        <f t="shared" si="38"/>
        <v>0</v>
      </c>
      <c r="AE339" s="351">
        <f t="shared" si="39"/>
        <v>0</v>
      </c>
    </row>
    <row r="340" spans="1:31">
      <c r="A340" s="165">
        <f>'Conveyor Downtime (new)'!A341</f>
        <v>0</v>
      </c>
      <c r="B340" s="346"/>
      <c r="C340" s="346"/>
      <c r="D340" s="346"/>
      <c r="E340" s="346"/>
      <c r="F340" s="346"/>
      <c r="G340" s="346"/>
      <c r="H340" s="346"/>
      <c r="I340" s="346"/>
      <c r="J340" s="346"/>
      <c r="K340" s="346"/>
      <c r="L340" s="346"/>
      <c r="M340" s="346"/>
      <c r="N340" s="346"/>
      <c r="O340" s="346"/>
      <c r="P340" s="346"/>
      <c r="Q340" s="346"/>
      <c r="R340" s="346"/>
      <c r="S340" s="346"/>
      <c r="T340" s="346"/>
      <c r="U340" s="346"/>
      <c r="V340" s="346"/>
      <c r="W340" s="346"/>
      <c r="X340" s="346"/>
      <c r="Y340" s="346"/>
      <c r="Z340" s="346"/>
      <c r="AA340" s="346"/>
      <c r="AB340" s="346"/>
      <c r="AC340" s="346"/>
      <c r="AD340">
        <f t="shared" si="38"/>
        <v>0</v>
      </c>
      <c r="AE340" s="351">
        <f t="shared" si="39"/>
        <v>0</v>
      </c>
    </row>
    <row r="341" spans="1:31">
      <c r="A341" s="165">
        <f>'Conveyor Downtime (new)'!A342</f>
        <v>0</v>
      </c>
      <c r="AD341">
        <f t="shared" si="38"/>
        <v>0</v>
      </c>
      <c r="AE341" s="351">
        <f t="shared" si="39"/>
        <v>0</v>
      </c>
    </row>
    <row r="342" spans="1:31">
      <c r="A342" s="165">
        <f>'Conveyor Downtime (new)'!A343</f>
        <v>0</v>
      </c>
      <c r="B342" s="346"/>
      <c r="C342" s="346"/>
      <c r="D342" s="346"/>
      <c r="E342" s="346"/>
      <c r="F342" s="346"/>
      <c r="G342" s="346"/>
      <c r="H342" s="346"/>
      <c r="I342" s="346"/>
      <c r="J342" s="346"/>
      <c r="K342" s="346"/>
      <c r="L342" s="346"/>
      <c r="M342" s="346"/>
      <c r="N342" s="346"/>
      <c r="O342" s="346"/>
      <c r="P342" s="346"/>
      <c r="Q342" s="346"/>
      <c r="R342" s="346"/>
      <c r="S342" s="346"/>
      <c r="T342" s="346"/>
      <c r="U342" s="346"/>
      <c r="V342" s="346"/>
      <c r="W342" s="346"/>
      <c r="X342" s="346"/>
      <c r="Y342" s="346"/>
      <c r="Z342" s="346"/>
      <c r="AA342" s="346"/>
      <c r="AB342" s="346"/>
      <c r="AC342" s="346"/>
      <c r="AD342">
        <f t="shared" si="38"/>
        <v>0</v>
      </c>
      <c r="AE342" s="351">
        <f t="shared" si="39"/>
        <v>0</v>
      </c>
    </row>
    <row r="343" spans="1:31">
      <c r="A343" s="165">
        <f>'Conveyor Downtime (new)'!A344</f>
        <v>0</v>
      </c>
      <c r="AD343">
        <f t="shared" si="38"/>
        <v>0</v>
      </c>
      <c r="AE343" s="351">
        <f t="shared" si="39"/>
        <v>0</v>
      </c>
    </row>
    <row r="344" spans="1:31">
      <c r="A344" s="165">
        <f>'Conveyor Downtime (new)'!A345</f>
        <v>0</v>
      </c>
      <c r="B344" s="346"/>
      <c r="C344" s="346"/>
      <c r="D344" s="346"/>
      <c r="E344" s="346"/>
      <c r="F344" s="346"/>
      <c r="G344" s="346"/>
      <c r="H344" s="346"/>
      <c r="I344" s="346"/>
      <c r="J344" s="346"/>
      <c r="K344" s="346"/>
      <c r="L344" s="346"/>
      <c r="M344" s="346"/>
      <c r="N344" s="346"/>
      <c r="O344" s="346"/>
      <c r="P344" s="346"/>
      <c r="Q344" s="346"/>
      <c r="R344" s="346"/>
      <c r="S344" s="346"/>
      <c r="T344" s="346"/>
      <c r="U344" s="346"/>
      <c r="V344" s="346"/>
      <c r="W344" s="346"/>
      <c r="X344" s="346"/>
      <c r="Y344" s="346"/>
      <c r="Z344" s="346"/>
      <c r="AA344" s="346"/>
      <c r="AB344" s="346"/>
      <c r="AC344" s="346"/>
      <c r="AD344">
        <f t="shared" si="38"/>
        <v>0</v>
      </c>
      <c r="AE344" s="351">
        <f t="shared" si="39"/>
        <v>0</v>
      </c>
    </row>
    <row r="345" spans="1:31">
      <c r="A345" s="165">
        <f>'Conveyor Downtime (new)'!A346</f>
        <v>0</v>
      </c>
      <c r="AD345">
        <f t="shared" si="38"/>
        <v>0</v>
      </c>
      <c r="AE345" s="351">
        <f t="shared" si="39"/>
        <v>0</v>
      </c>
    </row>
    <row r="346" spans="1:31">
      <c r="A346" s="165">
        <f>'Conveyor Downtime (new)'!A347</f>
        <v>0</v>
      </c>
      <c r="B346" s="346"/>
      <c r="C346" s="346"/>
      <c r="D346" s="346"/>
      <c r="E346" s="346"/>
      <c r="F346" s="346"/>
      <c r="G346" s="346"/>
      <c r="H346" s="346"/>
      <c r="I346" s="346"/>
      <c r="J346" s="346"/>
      <c r="K346" s="346"/>
      <c r="L346" s="346"/>
      <c r="M346" s="346"/>
      <c r="N346" s="346"/>
      <c r="O346" s="346"/>
      <c r="P346" s="346"/>
      <c r="Q346" s="346"/>
      <c r="R346" s="346"/>
      <c r="S346" s="346"/>
      <c r="T346" s="346"/>
      <c r="U346" s="346"/>
      <c r="V346" s="346"/>
      <c r="W346" s="346"/>
      <c r="X346" s="346"/>
      <c r="Y346" s="346"/>
      <c r="Z346" s="346"/>
      <c r="AA346" s="346"/>
      <c r="AB346" s="346"/>
      <c r="AC346" s="346"/>
      <c r="AD346">
        <f t="shared" si="38"/>
        <v>0</v>
      </c>
      <c r="AE346" s="351">
        <f t="shared" si="39"/>
        <v>0</v>
      </c>
    </row>
    <row r="347" spans="1:31">
      <c r="A347" s="165">
        <f>'Conveyor Downtime (new)'!A348</f>
        <v>0</v>
      </c>
      <c r="AD347">
        <f t="shared" si="38"/>
        <v>0</v>
      </c>
      <c r="AE347" s="351">
        <f t="shared" si="39"/>
        <v>0</v>
      </c>
    </row>
    <row r="348" spans="1:31">
      <c r="A348" s="165">
        <f>'Conveyor Downtime (new)'!A349</f>
        <v>0</v>
      </c>
      <c r="B348" s="346"/>
      <c r="C348" s="346"/>
      <c r="D348" s="346"/>
      <c r="E348" s="346"/>
      <c r="F348" s="346"/>
      <c r="G348" s="346"/>
      <c r="H348" s="346"/>
      <c r="I348" s="346"/>
      <c r="J348" s="346"/>
      <c r="K348" s="346"/>
      <c r="L348" s="346"/>
      <c r="M348" s="346"/>
      <c r="N348" s="346"/>
      <c r="O348" s="346"/>
      <c r="P348" s="346"/>
      <c r="Q348" s="346"/>
      <c r="R348" s="346"/>
      <c r="S348" s="346"/>
      <c r="T348" s="346"/>
      <c r="U348" s="346"/>
      <c r="V348" s="346"/>
      <c r="W348" s="346"/>
      <c r="X348" s="346"/>
      <c r="Y348" s="346"/>
      <c r="Z348" s="346"/>
      <c r="AA348" s="346"/>
      <c r="AB348" s="346"/>
      <c r="AC348" s="346"/>
      <c r="AD348">
        <f t="shared" si="38"/>
        <v>0</v>
      </c>
      <c r="AE348" s="351">
        <f t="shared" si="39"/>
        <v>0</v>
      </c>
    </row>
    <row r="349" spans="1:31">
      <c r="A349" s="165">
        <f>'Conveyor Downtime (new)'!A350</f>
        <v>0</v>
      </c>
      <c r="AD349">
        <f t="shared" si="38"/>
        <v>0</v>
      </c>
      <c r="AE349" s="351">
        <f t="shared" si="39"/>
        <v>0</v>
      </c>
    </row>
    <row r="350" spans="1:31">
      <c r="A350" s="165">
        <f>'Conveyor Downtime (new)'!A351</f>
        <v>0</v>
      </c>
      <c r="B350" s="346"/>
      <c r="C350" s="346"/>
      <c r="D350" s="346"/>
      <c r="E350" s="346"/>
      <c r="F350" s="346"/>
      <c r="G350" s="346"/>
      <c r="H350" s="346"/>
      <c r="I350" s="346"/>
      <c r="J350" s="346"/>
      <c r="K350" s="346"/>
      <c r="L350" s="346"/>
      <c r="M350" s="346"/>
      <c r="N350" s="346"/>
      <c r="O350" s="346"/>
      <c r="P350" s="346"/>
      <c r="Q350" s="346"/>
      <c r="R350" s="346"/>
      <c r="S350" s="346"/>
      <c r="T350" s="346"/>
      <c r="U350" s="346"/>
      <c r="V350" s="346"/>
      <c r="W350" s="346"/>
      <c r="X350" s="346"/>
      <c r="Y350" s="346"/>
      <c r="Z350" s="346"/>
      <c r="AA350" s="346"/>
      <c r="AB350" s="346"/>
      <c r="AC350" s="346"/>
      <c r="AD350">
        <f t="shared" si="38"/>
        <v>0</v>
      </c>
      <c r="AE350" s="351">
        <f t="shared" si="39"/>
        <v>0</v>
      </c>
    </row>
    <row r="351" spans="1:31">
      <c r="A351" s="165">
        <f>'Conveyor Downtime (new)'!A352</f>
        <v>0</v>
      </c>
      <c r="AD351">
        <f t="shared" si="38"/>
        <v>0</v>
      </c>
      <c r="AE351" s="351">
        <f t="shared" si="39"/>
        <v>0</v>
      </c>
    </row>
    <row r="352" spans="1:31">
      <c r="A352" s="165">
        <f>'Conveyor Downtime (new)'!A353</f>
        <v>0</v>
      </c>
      <c r="B352" s="346"/>
      <c r="C352" s="346"/>
      <c r="D352" s="346"/>
      <c r="E352" s="346"/>
      <c r="F352" s="346"/>
      <c r="G352" s="346"/>
      <c r="H352" s="346"/>
      <c r="I352" s="346"/>
      <c r="J352" s="346"/>
      <c r="K352" s="346"/>
      <c r="L352" s="346"/>
      <c r="M352" s="346"/>
      <c r="N352" s="346"/>
      <c r="O352" s="346"/>
      <c r="P352" s="346"/>
      <c r="Q352" s="346"/>
      <c r="R352" s="346"/>
      <c r="S352" s="346"/>
      <c r="T352" s="346"/>
      <c r="U352" s="346"/>
      <c r="V352" s="346"/>
      <c r="W352" s="346"/>
      <c r="X352" s="346"/>
      <c r="Y352" s="346"/>
      <c r="Z352" s="346"/>
      <c r="AA352" s="346"/>
      <c r="AB352" s="346"/>
      <c r="AC352" s="346"/>
      <c r="AD352">
        <f t="shared" si="38"/>
        <v>0</v>
      </c>
      <c r="AE352" s="351">
        <f t="shared" si="39"/>
        <v>0</v>
      </c>
    </row>
    <row r="353" spans="1:31">
      <c r="A353" s="165"/>
      <c r="AD353">
        <f t="shared" si="38"/>
        <v>0</v>
      </c>
      <c r="AE353" s="351">
        <f t="shared" si="39"/>
        <v>0</v>
      </c>
    </row>
    <row r="354" spans="1:31">
      <c r="A354" s="165"/>
      <c r="B354" s="346"/>
      <c r="C354" s="346"/>
      <c r="D354" s="346"/>
      <c r="E354" s="346"/>
      <c r="F354" s="346"/>
      <c r="G354" s="346"/>
      <c r="H354" s="346"/>
      <c r="I354" s="346"/>
      <c r="J354" s="346"/>
      <c r="K354" s="346"/>
      <c r="L354" s="346"/>
      <c r="M354" s="346"/>
      <c r="N354" s="346"/>
      <c r="O354" s="346"/>
      <c r="P354" s="346"/>
      <c r="Q354" s="346"/>
      <c r="R354" s="346"/>
      <c r="S354" s="346"/>
      <c r="T354" s="346"/>
      <c r="U354" s="346"/>
      <c r="V354" s="346"/>
      <c r="W354" s="346"/>
      <c r="X354" s="346"/>
      <c r="Y354" s="346"/>
      <c r="Z354" s="346"/>
      <c r="AA354" s="346"/>
      <c r="AB354" s="346"/>
      <c r="AC354" s="346"/>
      <c r="AD354">
        <f t="shared" si="38"/>
        <v>0</v>
      </c>
      <c r="AE354" s="351">
        <f t="shared" si="39"/>
        <v>0</v>
      </c>
    </row>
    <row r="355" spans="1:31">
      <c r="A355" s="165"/>
      <c r="AD355">
        <f t="shared" si="38"/>
        <v>0</v>
      </c>
      <c r="AE355" s="351">
        <f t="shared" si="39"/>
        <v>0</v>
      </c>
    </row>
    <row r="356" spans="1:31">
      <c r="A356" s="165"/>
      <c r="B356" s="346"/>
      <c r="C356" s="346"/>
      <c r="D356" s="346"/>
      <c r="E356" s="346"/>
      <c r="F356" s="346"/>
      <c r="G356" s="346"/>
      <c r="H356" s="346"/>
      <c r="I356" s="346"/>
      <c r="J356" s="346"/>
      <c r="K356" s="346"/>
      <c r="L356" s="346"/>
      <c r="M356" s="346"/>
      <c r="N356" s="346"/>
      <c r="O356" s="346"/>
      <c r="P356" s="346"/>
      <c r="Q356" s="346"/>
      <c r="R356" s="346"/>
      <c r="S356" s="346"/>
      <c r="T356" s="346"/>
      <c r="U356" s="346"/>
      <c r="V356" s="346"/>
      <c r="W356" s="346"/>
      <c r="X356" s="346"/>
      <c r="Y356" s="346"/>
      <c r="Z356" s="346"/>
      <c r="AA356" s="346"/>
      <c r="AB356" s="346"/>
      <c r="AC356" s="346"/>
      <c r="AD356">
        <f t="shared" si="38"/>
        <v>0</v>
      </c>
      <c r="AE356" s="351">
        <f t="shared" si="39"/>
        <v>0</v>
      </c>
    </row>
    <row r="357" spans="1:31">
      <c r="A357" s="165"/>
      <c r="AD357">
        <f t="shared" si="38"/>
        <v>0</v>
      </c>
      <c r="AE357" s="351">
        <f t="shared" si="39"/>
        <v>0</v>
      </c>
    </row>
    <row r="358" spans="1:31">
      <c r="A358" s="165"/>
      <c r="B358" s="346"/>
      <c r="C358" s="346"/>
      <c r="D358" s="346"/>
      <c r="E358" s="346"/>
      <c r="F358" s="346"/>
      <c r="G358" s="346"/>
      <c r="H358" s="346"/>
      <c r="I358" s="346"/>
      <c r="J358" s="346"/>
      <c r="K358" s="346"/>
      <c r="L358" s="346"/>
      <c r="M358" s="346"/>
      <c r="N358" s="346"/>
      <c r="O358" s="346"/>
      <c r="P358" s="346"/>
      <c r="Q358" s="346"/>
      <c r="R358" s="346"/>
      <c r="S358" s="346"/>
      <c r="T358" s="346"/>
      <c r="U358" s="346"/>
      <c r="V358" s="346"/>
      <c r="W358" s="346"/>
      <c r="X358" s="346"/>
      <c r="Y358" s="346"/>
      <c r="Z358" s="346"/>
      <c r="AA358" s="346"/>
      <c r="AB358" s="346"/>
      <c r="AC358" s="346"/>
      <c r="AD358">
        <f t="shared" si="38"/>
        <v>0</v>
      </c>
      <c r="AE358" s="351">
        <f t="shared" si="39"/>
        <v>0</v>
      </c>
    </row>
    <row r="359" spans="1:31">
      <c r="A359" s="165"/>
      <c r="AD359">
        <f t="shared" si="38"/>
        <v>0</v>
      </c>
      <c r="AE359" s="351">
        <f t="shared" si="39"/>
        <v>0</v>
      </c>
    </row>
    <row r="360" spans="1:31">
      <c r="A360" s="165"/>
      <c r="B360" s="346"/>
      <c r="C360" s="346"/>
      <c r="D360" s="346"/>
      <c r="E360" s="346"/>
      <c r="F360" s="346"/>
      <c r="G360" s="346"/>
      <c r="H360" s="346"/>
      <c r="I360" s="346"/>
      <c r="J360" s="346"/>
      <c r="K360" s="346"/>
      <c r="L360" s="346"/>
      <c r="M360" s="346"/>
      <c r="N360" s="346"/>
      <c r="O360" s="346"/>
      <c r="P360" s="346"/>
      <c r="Q360" s="346"/>
      <c r="R360" s="346"/>
      <c r="S360" s="346"/>
      <c r="T360" s="346"/>
      <c r="U360" s="346"/>
      <c r="V360" s="346"/>
      <c r="W360" s="346"/>
      <c r="X360" s="346"/>
      <c r="Y360" s="346"/>
      <c r="Z360" s="346"/>
      <c r="AA360" s="346"/>
      <c r="AB360" s="346"/>
      <c r="AC360" s="346"/>
      <c r="AD360">
        <f t="shared" si="38"/>
        <v>0</v>
      </c>
      <c r="AE360" s="351">
        <f t="shared" si="39"/>
        <v>0</v>
      </c>
    </row>
    <row r="361" spans="1:31">
      <c r="A361" s="165"/>
      <c r="AD361">
        <f t="shared" si="38"/>
        <v>0</v>
      </c>
      <c r="AE361" s="351">
        <f t="shared" si="39"/>
        <v>0</v>
      </c>
    </row>
    <row r="362" spans="1:31">
      <c r="A362" s="165"/>
      <c r="B362" s="346"/>
      <c r="C362" s="346"/>
      <c r="D362" s="346"/>
      <c r="E362" s="346"/>
      <c r="F362" s="346"/>
      <c r="G362" s="346"/>
      <c r="H362" s="346"/>
      <c r="I362" s="346"/>
      <c r="J362" s="346"/>
      <c r="K362" s="346"/>
      <c r="L362" s="346"/>
      <c r="M362" s="346"/>
      <c r="N362" s="346"/>
      <c r="O362" s="346"/>
      <c r="P362" s="346"/>
      <c r="Q362" s="346"/>
      <c r="R362" s="346"/>
      <c r="S362" s="346"/>
      <c r="T362" s="346"/>
      <c r="U362" s="346"/>
      <c r="V362" s="346"/>
      <c r="W362" s="346"/>
      <c r="X362" s="346"/>
      <c r="Y362" s="346"/>
      <c r="Z362" s="346"/>
      <c r="AA362" s="346"/>
      <c r="AB362" s="346"/>
      <c r="AC362" s="346"/>
      <c r="AD362">
        <f t="shared" si="38"/>
        <v>0</v>
      </c>
      <c r="AE362" s="351">
        <f t="shared" si="39"/>
        <v>0</v>
      </c>
    </row>
    <row r="363" spans="1:31">
      <c r="A363" s="165"/>
      <c r="AD363">
        <f t="shared" si="38"/>
        <v>0</v>
      </c>
      <c r="AE363" s="351">
        <f t="shared" si="39"/>
        <v>0</v>
      </c>
    </row>
    <row r="364" spans="1:31">
      <c r="A364" s="165"/>
      <c r="B364" s="346"/>
      <c r="C364" s="346"/>
      <c r="D364" s="346"/>
      <c r="E364" s="346"/>
      <c r="F364" s="346"/>
      <c r="G364" s="346"/>
      <c r="H364" s="346"/>
      <c r="I364" s="346"/>
      <c r="J364" s="346"/>
      <c r="K364" s="346"/>
      <c r="L364" s="346"/>
      <c r="M364" s="346"/>
      <c r="N364" s="346"/>
      <c r="O364" s="346"/>
      <c r="P364" s="346"/>
      <c r="Q364" s="346"/>
      <c r="R364" s="346"/>
      <c r="S364" s="346"/>
      <c r="T364" s="346"/>
      <c r="U364" s="346"/>
      <c r="V364" s="346"/>
      <c r="W364" s="346"/>
      <c r="X364" s="346"/>
      <c r="Y364" s="346"/>
      <c r="Z364" s="346"/>
      <c r="AA364" s="346"/>
      <c r="AB364" s="346"/>
      <c r="AC364" s="346"/>
      <c r="AD364">
        <f t="shared" si="38"/>
        <v>0</v>
      </c>
      <c r="AE364" s="351">
        <f t="shared" si="39"/>
        <v>0</v>
      </c>
    </row>
    <row r="365" spans="1:31" ht="15">
      <c r="A365" s="347" t="s">
        <v>173</v>
      </c>
      <c r="B365" s="347">
        <f t="shared" ref="B365:AD365" si="40">SUM(B307:B364)</f>
        <v>2</v>
      </c>
      <c r="C365" s="347">
        <f t="shared" si="40"/>
        <v>0</v>
      </c>
      <c r="D365" s="347">
        <f t="shared" si="40"/>
        <v>0</v>
      </c>
      <c r="E365" s="347">
        <f t="shared" si="40"/>
        <v>0</v>
      </c>
      <c r="F365" s="347">
        <f t="shared" si="40"/>
        <v>0</v>
      </c>
      <c r="G365" s="347">
        <f t="shared" si="40"/>
        <v>0</v>
      </c>
      <c r="H365" s="347">
        <f t="shared" si="40"/>
        <v>0</v>
      </c>
      <c r="I365" s="347">
        <f t="shared" si="40"/>
        <v>0</v>
      </c>
      <c r="J365" s="347">
        <f t="shared" si="40"/>
        <v>0</v>
      </c>
      <c r="K365" s="347">
        <f t="shared" si="40"/>
        <v>0</v>
      </c>
      <c r="L365" s="347">
        <f t="shared" si="40"/>
        <v>0</v>
      </c>
      <c r="M365" s="347">
        <f t="shared" si="40"/>
        <v>3</v>
      </c>
      <c r="N365" s="347">
        <f t="shared" si="40"/>
        <v>4</v>
      </c>
      <c r="O365" s="347">
        <f t="shared" si="40"/>
        <v>0</v>
      </c>
      <c r="P365" s="347">
        <f t="shared" si="40"/>
        <v>0</v>
      </c>
      <c r="Q365" s="347">
        <f t="shared" si="40"/>
        <v>0</v>
      </c>
      <c r="R365" s="347">
        <f t="shared" si="40"/>
        <v>0</v>
      </c>
      <c r="S365" s="347">
        <f t="shared" si="40"/>
        <v>0</v>
      </c>
      <c r="T365" s="347">
        <f t="shared" si="40"/>
        <v>0</v>
      </c>
      <c r="U365" s="347">
        <f t="shared" si="40"/>
        <v>0</v>
      </c>
      <c r="V365" s="347">
        <f t="shared" si="40"/>
        <v>0</v>
      </c>
      <c r="W365" s="347">
        <f t="shared" si="40"/>
        <v>0</v>
      </c>
      <c r="X365" s="347">
        <f t="shared" si="40"/>
        <v>0</v>
      </c>
      <c r="Y365" s="347">
        <f t="shared" si="40"/>
        <v>0</v>
      </c>
      <c r="Z365" s="347">
        <f t="shared" si="40"/>
        <v>0</v>
      </c>
      <c r="AA365" s="347">
        <f t="shared" si="40"/>
        <v>0</v>
      </c>
      <c r="AB365" s="347">
        <f t="shared" si="40"/>
        <v>0</v>
      </c>
      <c r="AC365" s="347">
        <f t="shared" si="40"/>
        <v>0</v>
      </c>
      <c r="AD365" s="347">
        <f t="shared" si="40"/>
        <v>9</v>
      </c>
    </row>
    <row r="366" spans="1:31" ht="15.75" thickBot="1">
      <c r="A366" s="348" t="s">
        <v>174</v>
      </c>
      <c r="B366" s="348">
        <f t="shared" ref="B366:AC366" si="41">B365/$AD365</f>
        <v>0.22222222222222221</v>
      </c>
      <c r="C366" s="348">
        <f t="shared" si="41"/>
        <v>0</v>
      </c>
      <c r="D366" s="348">
        <f t="shared" si="41"/>
        <v>0</v>
      </c>
      <c r="E366" s="348">
        <f t="shared" si="41"/>
        <v>0</v>
      </c>
      <c r="F366" s="348">
        <f t="shared" si="41"/>
        <v>0</v>
      </c>
      <c r="G366" s="348">
        <f t="shared" si="41"/>
        <v>0</v>
      </c>
      <c r="H366" s="348">
        <f t="shared" si="41"/>
        <v>0</v>
      </c>
      <c r="I366" s="348">
        <f t="shared" si="41"/>
        <v>0</v>
      </c>
      <c r="J366" s="348">
        <f t="shared" si="41"/>
        <v>0</v>
      </c>
      <c r="K366" s="348">
        <f t="shared" si="41"/>
        <v>0</v>
      </c>
      <c r="L366" s="348">
        <f t="shared" si="41"/>
        <v>0</v>
      </c>
      <c r="M366" s="348">
        <f t="shared" si="41"/>
        <v>0.33333333333333331</v>
      </c>
      <c r="N366" s="348">
        <f t="shared" si="41"/>
        <v>0.44444444444444442</v>
      </c>
      <c r="O366" s="348">
        <f t="shared" si="41"/>
        <v>0</v>
      </c>
      <c r="P366" s="348">
        <f t="shared" si="41"/>
        <v>0</v>
      </c>
      <c r="Q366" s="348">
        <f t="shared" si="41"/>
        <v>0</v>
      </c>
      <c r="R366" s="348">
        <f t="shared" si="41"/>
        <v>0</v>
      </c>
      <c r="S366" s="348">
        <f t="shared" si="41"/>
        <v>0</v>
      </c>
      <c r="T366" s="348">
        <f t="shared" si="41"/>
        <v>0</v>
      </c>
      <c r="U366" s="348">
        <f t="shared" si="41"/>
        <v>0</v>
      </c>
      <c r="V366" s="348">
        <f t="shared" si="41"/>
        <v>0</v>
      </c>
      <c r="W366" s="348">
        <f t="shared" si="41"/>
        <v>0</v>
      </c>
      <c r="X366" s="348">
        <f t="shared" si="41"/>
        <v>0</v>
      </c>
      <c r="Y366" s="348">
        <f t="shared" si="41"/>
        <v>0</v>
      </c>
      <c r="Z366" s="348">
        <f t="shared" si="41"/>
        <v>0</v>
      </c>
      <c r="AA366" s="348">
        <f t="shared" si="41"/>
        <v>0</v>
      </c>
      <c r="AB366" s="348">
        <f t="shared" si="41"/>
        <v>0</v>
      </c>
      <c r="AC366" s="348">
        <f t="shared" si="41"/>
        <v>0</v>
      </c>
      <c r="AD366" s="351"/>
    </row>
    <row r="368" spans="1:31">
      <c r="A368" s="165">
        <f>'Conveyor Downtime (new)'!A372</f>
        <v>46204</v>
      </c>
      <c r="B368" s="346"/>
      <c r="C368" s="346"/>
      <c r="D368" s="346"/>
      <c r="E368" s="346"/>
      <c r="F368" s="346"/>
      <c r="G368" s="346"/>
      <c r="H368" s="346"/>
      <c r="I368" s="346"/>
      <c r="J368" s="346"/>
      <c r="K368" s="346"/>
      <c r="L368" s="346"/>
      <c r="M368" s="346"/>
      <c r="N368" s="346"/>
      <c r="O368" s="346"/>
      <c r="P368" s="346"/>
      <c r="Q368" s="346"/>
      <c r="R368" s="346"/>
      <c r="S368" s="346"/>
      <c r="T368" s="346"/>
      <c r="U368" s="346"/>
      <c r="V368" s="346"/>
      <c r="W368" s="346"/>
      <c r="X368" s="346"/>
      <c r="Y368" s="346"/>
      <c r="Z368" s="346"/>
      <c r="AA368" s="346"/>
      <c r="AB368" s="346"/>
      <c r="AC368" s="346"/>
      <c r="AD368">
        <f t="shared" ref="AD368:AD398" si="42">SUM(B368:AC368)</f>
        <v>0</v>
      </c>
      <c r="AE368" s="351">
        <f t="shared" ref="AE368:AE390" si="43">AD368/$AD$182</f>
        <v>0</v>
      </c>
    </row>
    <row r="369" spans="1:31">
      <c r="A369" s="165">
        <f>'Conveyor Downtime (new)'!A373</f>
        <v>46204</v>
      </c>
      <c r="AD369">
        <f t="shared" si="42"/>
        <v>0</v>
      </c>
      <c r="AE369" s="351">
        <f t="shared" si="43"/>
        <v>0</v>
      </c>
    </row>
    <row r="370" spans="1:31">
      <c r="A370" s="165">
        <f>'Conveyor Downtime (new)'!A374</f>
        <v>46205</v>
      </c>
      <c r="B370" s="346"/>
      <c r="C370" s="346"/>
      <c r="D370" s="346"/>
      <c r="E370" s="346"/>
      <c r="F370" s="346"/>
      <c r="G370" s="346"/>
      <c r="H370" s="346"/>
      <c r="I370" s="346"/>
      <c r="J370" s="346"/>
      <c r="K370" s="346"/>
      <c r="L370" s="346"/>
      <c r="M370" s="346"/>
      <c r="N370" s="346"/>
      <c r="O370" s="346"/>
      <c r="P370" s="346"/>
      <c r="Q370" s="346"/>
      <c r="R370" s="346"/>
      <c r="S370" s="346"/>
      <c r="T370" s="346"/>
      <c r="U370" s="346"/>
      <c r="V370" s="346"/>
      <c r="W370" s="346"/>
      <c r="X370" s="346"/>
      <c r="Y370" s="346"/>
      <c r="Z370" s="346"/>
      <c r="AA370" s="346"/>
      <c r="AB370" s="346"/>
      <c r="AC370" s="346"/>
      <c r="AD370">
        <f t="shared" si="42"/>
        <v>0</v>
      </c>
      <c r="AE370" s="351">
        <f t="shared" si="43"/>
        <v>0</v>
      </c>
    </row>
    <row r="371" spans="1:31">
      <c r="A371" s="165">
        <f>'Conveyor Downtime (new)'!A375</f>
        <v>46205</v>
      </c>
      <c r="AD371">
        <f t="shared" si="42"/>
        <v>0</v>
      </c>
      <c r="AE371" s="351">
        <f t="shared" si="43"/>
        <v>0</v>
      </c>
    </row>
    <row r="372" spans="1:31">
      <c r="A372" s="165">
        <f>'Conveyor Downtime (new)'!A376</f>
        <v>46205</v>
      </c>
      <c r="B372" s="346"/>
      <c r="C372" s="346"/>
      <c r="D372" s="346"/>
      <c r="E372" s="346"/>
      <c r="F372" s="346"/>
      <c r="G372" s="346"/>
      <c r="H372" s="346"/>
      <c r="I372" s="346"/>
      <c r="J372" s="346"/>
      <c r="K372" s="346"/>
      <c r="L372" s="346"/>
      <c r="M372" s="346"/>
      <c r="N372" s="346"/>
      <c r="O372" s="346"/>
      <c r="P372" s="346"/>
      <c r="Q372" s="346"/>
      <c r="R372" s="346"/>
      <c r="S372" s="346"/>
      <c r="T372" s="346"/>
      <c r="U372" s="346"/>
      <c r="V372" s="346"/>
      <c r="W372" s="346"/>
      <c r="X372" s="346"/>
      <c r="Y372" s="346"/>
      <c r="Z372" s="346"/>
      <c r="AA372" s="346"/>
      <c r="AB372" s="346"/>
      <c r="AC372" s="346"/>
      <c r="AD372">
        <f t="shared" si="42"/>
        <v>0</v>
      </c>
      <c r="AE372" s="351">
        <f t="shared" si="43"/>
        <v>0</v>
      </c>
    </row>
    <row r="373" spans="1:31">
      <c r="A373" s="165">
        <f>'Conveyor Downtime (new)'!A377</f>
        <v>46206</v>
      </c>
      <c r="AD373">
        <f t="shared" si="42"/>
        <v>0</v>
      </c>
      <c r="AE373" s="351">
        <f t="shared" si="43"/>
        <v>0</v>
      </c>
    </row>
    <row r="374" spans="1:31">
      <c r="A374" s="165">
        <f>'Conveyor Downtime (new)'!A378</f>
        <v>46206</v>
      </c>
      <c r="AD374">
        <f t="shared" si="42"/>
        <v>0</v>
      </c>
      <c r="AE374" s="351">
        <f t="shared" si="43"/>
        <v>0</v>
      </c>
    </row>
    <row r="375" spans="1:31">
      <c r="A375" s="165">
        <f>'Conveyor Downtime (new)'!A379</f>
        <v>46209</v>
      </c>
      <c r="B375" s="346"/>
      <c r="C375" s="346"/>
      <c r="D375" s="346"/>
      <c r="E375" s="346"/>
      <c r="F375" s="346"/>
      <c r="G375" s="346"/>
      <c r="H375" s="346"/>
      <c r="I375" s="346"/>
      <c r="J375" s="346"/>
      <c r="K375" s="346"/>
      <c r="L375" s="346"/>
      <c r="M375" s="346"/>
      <c r="N375" s="346"/>
      <c r="O375" s="346"/>
      <c r="P375" s="346"/>
      <c r="Q375" s="346"/>
      <c r="R375" s="346"/>
      <c r="S375" s="346"/>
      <c r="T375" s="346"/>
      <c r="U375" s="346"/>
      <c r="V375" s="346"/>
      <c r="W375" s="346"/>
      <c r="X375" s="346"/>
      <c r="Y375" s="346"/>
      <c r="Z375" s="346"/>
      <c r="AA375" s="346"/>
      <c r="AB375" s="346"/>
      <c r="AC375" s="346"/>
      <c r="AD375">
        <f t="shared" si="42"/>
        <v>0</v>
      </c>
      <c r="AE375" s="351">
        <f t="shared" si="43"/>
        <v>0</v>
      </c>
    </row>
    <row r="376" spans="1:31">
      <c r="A376" s="165">
        <f>'Conveyor Downtime (new)'!A380</f>
        <v>46210</v>
      </c>
      <c r="AD376">
        <f t="shared" si="42"/>
        <v>0</v>
      </c>
      <c r="AE376" s="351">
        <f t="shared" si="43"/>
        <v>0</v>
      </c>
    </row>
    <row r="377" spans="1:31">
      <c r="A377" s="165">
        <f>'Conveyor Downtime (new)'!A381</f>
        <v>46210</v>
      </c>
      <c r="B377" s="346"/>
      <c r="C377" s="346"/>
      <c r="D377" s="346"/>
      <c r="E377" s="346"/>
      <c r="F377" s="346"/>
      <c r="G377" s="346"/>
      <c r="H377" s="346"/>
      <c r="I377" s="346"/>
      <c r="J377" s="346"/>
      <c r="K377" s="346"/>
      <c r="L377" s="346"/>
      <c r="M377" s="346"/>
      <c r="N377" s="346"/>
      <c r="O377" s="346"/>
      <c r="P377" s="346"/>
      <c r="Q377" s="346"/>
      <c r="R377" s="346"/>
      <c r="S377" s="346"/>
      <c r="T377" s="346"/>
      <c r="U377" s="346"/>
      <c r="V377" s="346"/>
      <c r="W377" s="346"/>
      <c r="X377" s="346"/>
      <c r="Y377" s="346"/>
      <c r="Z377" s="346"/>
      <c r="AA377" s="346"/>
      <c r="AB377" s="346"/>
      <c r="AC377" s="346"/>
      <c r="AD377">
        <f t="shared" si="42"/>
        <v>0</v>
      </c>
      <c r="AE377" s="351">
        <f t="shared" si="43"/>
        <v>0</v>
      </c>
    </row>
    <row r="378" spans="1:31">
      <c r="A378" s="165">
        <f>'Conveyor Downtime (new)'!A382</f>
        <v>46211</v>
      </c>
      <c r="AD378">
        <f t="shared" si="42"/>
        <v>0</v>
      </c>
      <c r="AE378" s="351">
        <f t="shared" si="43"/>
        <v>0</v>
      </c>
    </row>
    <row r="379" spans="1:31">
      <c r="A379" s="165">
        <f>'Conveyor Downtime (new)'!A383</f>
        <v>46211</v>
      </c>
      <c r="B379" s="346"/>
      <c r="C379" s="346"/>
      <c r="D379" s="346"/>
      <c r="E379" s="346"/>
      <c r="F379" s="346"/>
      <c r="G379" s="346"/>
      <c r="H379" s="346"/>
      <c r="I379" s="346"/>
      <c r="J379" s="346"/>
      <c r="K379" s="346"/>
      <c r="L379" s="346"/>
      <c r="M379" s="346"/>
      <c r="N379" s="346"/>
      <c r="O379" s="346"/>
      <c r="P379" s="346"/>
      <c r="Q379" s="346"/>
      <c r="R379" s="346"/>
      <c r="S379" s="346"/>
      <c r="T379" s="346"/>
      <c r="U379" s="346"/>
      <c r="V379" s="346"/>
      <c r="W379" s="346"/>
      <c r="X379" s="346"/>
      <c r="Y379" s="346"/>
      <c r="Z379" s="346"/>
      <c r="AA379" s="346"/>
      <c r="AB379" s="346"/>
      <c r="AC379" s="346"/>
      <c r="AD379">
        <f t="shared" si="42"/>
        <v>0</v>
      </c>
      <c r="AE379" s="351">
        <f t="shared" si="43"/>
        <v>0</v>
      </c>
    </row>
    <row r="380" spans="1:31">
      <c r="A380" s="165">
        <f>'Conveyor Downtime (new)'!A384</f>
        <v>46211</v>
      </c>
      <c r="AD380">
        <f t="shared" si="42"/>
        <v>0</v>
      </c>
      <c r="AE380" s="351">
        <f t="shared" si="43"/>
        <v>0</v>
      </c>
    </row>
    <row r="381" spans="1:31">
      <c r="A381" s="165">
        <f>'Conveyor Downtime (new)'!A385</f>
        <v>46211</v>
      </c>
      <c r="B381" s="346"/>
      <c r="C381" s="346"/>
      <c r="D381" s="346"/>
      <c r="E381" s="346"/>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f t="shared" si="42"/>
        <v>0</v>
      </c>
      <c r="AE381" s="351">
        <f t="shared" si="43"/>
        <v>0</v>
      </c>
    </row>
    <row r="382" spans="1:31">
      <c r="A382" s="165">
        <f>'Conveyor Downtime (new)'!A386</f>
        <v>46211</v>
      </c>
      <c r="AD382">
        <f t="shared" si="42"/>
        <v>0</v>
      </c>
      <c r="AE382" s="351">
        <f t="shared" si="43"/>
        <v>0</v>
      </c>
    </row>
    <row r="383" spans="1:31">
      <c r="A383" s="165">
        <f>'Conveyor Downtime (new)'!A387</f>
        <v>46212</v>
      </c>
      <c r="B383" s="346"/>
      <c r="C383" s="346"/>
      <c r="D383" s="346"/>
      <c r="E383" s="346"/>
      <c r="F383" s="346"/>
      <c r="G383" s="346"/>
      <c r="H383" s="346"/>
      <c r="I383" s="346"/>
      <c r="J383" s="346"/>
      <c r="K383" s="346"/>
      <c r="L383" s="346"/>
      <c r="M383" s="346"/>
      <c r="N383" s="346"/>
      <c r="O383" s="346"/>
      <c r="P383" s="346"/>
      <c r="Q383" s="346"/>
      <c r="R383" s="346"/>
      <c r="S383" s="346"/>
      <c r="T383" s="346"/>
      <c r="U383" s="346"/>
      <c r="V383" s="346"/>
      <c r="W383" s="346"/>
      <c r="X383" s="346"/>
      <c r="Y383" s="346"/>
      <c r="Z383" s="346"/>
      <c r="AA383" s="346"/>
      <c r="AB383" s="346"/>
      <c r="AC383" s="346"/>
      <c r="AD383">
        <f t="shared" si="42"/>
        <v>0</v>
      </c>
      <c r="AE383" s="351">
        <f t="shared" si="43"/>
        <v>0</v>
      </c>
    </row>
    <row r="384" spans="1:31">
      <c r="A384" s="165">
        <f>'Conveyor Downtime (new)'!A388</f>
        <v>46212</v>
      </c>
      <c r="AD384">
        <f t="shared" si="42"/>
        <v>0</v>
      </c>
      <c r="AE384" s="351">
        <f t="shared" si="43"/>
        <v>0</v>
      </c>
    </row>
    <row r="385" spans="1:31">
      <c r="A385" s="165">
        <f>'Conveyor Downtime (new)'!A389</f>
        <v>46212</v>
      </c>
      <c r="B385" s="346"/>
      <c r="C385" s="346"/>
      <c r="D385" s="346"/>
      <c r="E385" s="346"/>
      <c r="F385" s="346"/>
      <c r="G385" s="346"/>
      <c r="H385" s="346"/>
      <c r="I385" s="346"/>
      <c r="J385" s="346"/>
      <c r="K385" s="346"/>
      <c r="L385" s="346"/>
      <c r="M385" s="346"/>
      <c r="N385" s="346"/>
      <c r="O385" s="346"/>
      <c r="P385" s="346"/>
      <c r="Q385" s="346"/>
      <c r="R385" s="346"/>
      <c r="S385" s="346"/>
      <c r="T385" s="346"/>
      <c r="U385" s="346"/>
      <c r="V385" s="346"/>
      <c r="W385" s="346"/>
      <c r="X385" s="346"/>
      <c r="Y385" s="346"/>
      <c r="Z385" s="346"/>
      <c r="AA385" s="346"/>
      <c r="AB385" s="346"/>
      <c r="AC385" s="346"/>
      <c r="AD385">
        <f t="shared" si="42"/>
        <v>0</v>
      </c>
      <c r="AE385" s="351">
        <f t="shared" si="43"/>
        <v>0</v>
      </c>
    </row>
    <row r="386" spans="1:31">
      <c r="A386" s="165">
        <f>'Conveyor Downtime (new)'!A390</f>
        <v>46213</v>
      </c>
      <c r="AD386">
        <f t="shared" si="42"/>
        <v>0</v>
      </c>
      <c r="AE386" s="351">
        <f t="shared" si="43"/>
        <v>0</v>
      </c>
    </row>
    <row r="387" spans="1:31">
      <c r="A387" s="165">
        <f>'Conveyor Downtime (new)'!A391</f>
        <v>46213</v>
      </c>
      <c r="B387" s="77"/>
      <c r="C387" s="346"/>
      <c r="D387" s="346"/>
      <c r="E387" s="346"/>
      <c r="F387" s="346"/>
      <c r="G387" s="346"/>
      <c r="H387" s="346"/>
      <c r="I387" s="346"/>
      <c r="J387" s="346"/>
      <c r="K387" s="346"/>
      <c r="L387" s="346"/>
      <c r="M387" s="346"/>
      <c r="N387" s="346"/>
      <c r="O387" s="346"/>
      <c r="P387" s="346"/>
      <c r="Q387" s="346"/>
      <c r="R387" s="346"/>
      <c r="S387" s="346"/>
      <c r="T387" s="346"/>
      <c r="U387" s="346"/>
      <c r="V387" s="346"/>
      <c r="W387" s="346"/>
      <c r="X387" s="346"/>
      <c r="Y387" s="346"/>
      <c r="Z387" s="346"/>
      <c r="AA387" s="346"/>
      <c r="AB387" s="346"/>
      <c r="AC387" s="346"/>
      <c r="AD387">
        <f t="shared" si="42"/>
        <v>0</v>
      </c>
      <c r="AE387" s="351">
        <f t="shared" si="43"/>
        <v>0</v>
      </c>
    </row>
    <row r="388" spans="1:31">
      <c r="A388" s="165">
        <f>'Conveyor Downtime (new)'!A392</f>
        <v>46216</v>
      </c>
      <c r="B388" s="77"/>
      <c r="AD388">
        <f t="shared" si="42"/>
        <v>0</v>
      </c>
      <c r="AE388" s="351">
        <f t="shared" si="43"/>
        <v>0</v>
      </c>
    </row>
    <row r="389" spans="1:31">
      <c r="A389" s="165">
        <f>'Conveyor Downtime (new)'!A393</f>
        <v>46216</v>
      </c>
      <c r="B389" s="346"/>
      <c r="C389" s="346"/>
      <c r="D389" s="346"/>
      <c r="E389" s="346"/>
      <c r="F389" s="346"/>
      <c r="G389" s="346"/>
      <c r="H389" s="346"/>
      <c r="I389" s="346"/>
      <c r="J389" s="346"/>
      <c r="K389" s="346"/>
      <c r="L389" s="346"/>
      <c r="M389" s="346"/>
      <c r="N389" s="346"/>
      <c r="O389" s="346"/>
      <c r="P389" s="346"/>
      <c r="Q389" s="346"/>
      <c r="R389" s="346"/>
      <c r="S389" s="346"/>
      <c r="T389" s="346"/>
      <c r="U389" s="346"/>
      <c r="V389" s="346"/>
      <c r="W389" s="346"/>
      <c r="X389" s="346"/>
      <c r="Y389" s="346"/>
      <c r="Z389" s="346"/>
      <c r="AA389" s="346"/>
      <c r="AB389" s="346"/>
      <c r="AC389" s="346"/>
      <c r="AD389">
        <f t="shared" si="42"/>
        <v>0</v>
      </c>
      <c r="AE389" s="351">
        <f t="shared" si="43"/>
        <v>0</v>
      </c>
    </row>
    <row r="390" spans="1:31">
      <c r="A390" s="165">
        <f>'Conveyor Downtime (new)'!A394</f>
        <v>46217</v>
      </c>
      <c r="J390">
        <v>4</v>
      </c>
      <c r="AD390">
        <f t="shared" si="42"/>
        <v>4</v>
      </c>
      <c r="AE390" s="351">
        <f t="shared" si="43"/>
        <v>6.6666666666666671E-3</v>
      </c>
    </row>
    <row r="391" spans="1:31">
      <c r="A391" s="165">
        <f>'Conveyor Downtime (new)'!A395</f>
        <v>46218</v>
      </c>
      <c r="B391" s="346"/>
      <c r="C391" s="346"/>
      <c r="D391" s="346"/>
      <c r="E391" s="346"/>
      <c r="F391" s="346"/>
      <c r="G391" s="346"/>
      <c r="H391" s="346"/>
      <c r="I391" s="346"/>
      <c r="J391" s="346"/>
      <c r="K391" s="346"/>
      <c r="L391" s="346"/>
      <c r="M391" s="346"/>
      <c r="N391" s="346"/>
      <c r="O391" s="346"/>
      <c r="P391" s="346"/>
      <c r="Q391" s="346"/>
      <c r="R391" s="346"/>
      <c r="S391" s="346"/>
      <c r="T391" s="346"/>
      <c r="U391" s="346"/>
      <c r="V391" s="346"/>
      <c r="W391" s="346"/>
      <c r="X391" s="346"/>
      <c r="Y391" s="346"/>
      <c r="Z391" s="346"/>
      <c r="AA391" s="346"/>
      <c r="AB391" s="346"/>
      <c r="AC391" s="346"/>
      <c r="AD391">
        <f t="shared" si="42"/>
        <v>0</v>
      </c>
      <c r="AE391" s="351">
        <f t="shared" ref="AE391:AE422" si="44">AD391/$AD$182</f>
        <v>0</v>
      </c>
    </row>
    <row r="392" spans="1:31">
      <c r="A392" s="165">
        <f>'Conveyor Downtime (new)'!A396</f>
        <v>46218</v>
      </c>
      <c r="N392">
        <f>3</f>
        <v>3</v>
      </c>
      <c r="AD392">
        <f t="shared" si="42"/>
        <v>3</v>
      </c>
      <c r="AE392" s="351">
        <f t="shared" si="44"/>
        <v>5.0000000000000001E-3</v>
      </c>
    </row>
    <row r="393" spans="1:31">
      <c r="A393" s="165">
        <f>'Conveyor Downtime (new)'!A397</f>
        <v>46219</v>
      </c>
      <c r="B393" s="346"/>
      <c r="C393" s="346"/>
      <c r="D393" s="346"/>
      <c r="E393" s="346">
        <f>4+3+2+4+4</f>
        <v>17</v>
      </c>
      <c r="F393" s="346"/>
      <c r="G393" s="346"/>
      <c r="H393" s="346"/>
      <c r="I393" s="346"/>
      <c r="J393" s="346"/>
      <c r="K393" s="346"/>
      <c r="L393" s="346"/>
      <c r="M393" s="346"/>
      <c r="N393" s="346"/>
      <c r="O393" s="346"/>
      <c r="P393" s="346"/>
      <c r="Q393" s="346"/>
      <c r="R393" s="346"/>
      <c r="S393" s="346"/>
      <c r="T393" s="346"/>
      <c r="U393" s="346"/>
      <c r="V393" s="346"/>
      <c r="W393" s="346"/>
      <c r="X393" s="346"/>
      <c r="Y393" s="346"/>
      <c r="Z393" s="346"/>
      <c r="AA393" s="346"/>
      <c r="AB393" s="346"/>
      <c r="AC393" s="346"/>
      <c r="AD393">
        <f t="shared" si="42"/>
        <v>17</v>
      </c>
      <c r="AE393" s="351">
        <f t="shared" si="44"/>
        <v>2.8333333333333332E-2</v>
      </c>
    </row>
    <row r="394" spans="1:31">
      <c r="A394" s="165">
        <f>'Conveyor Downtime (new)'!A398</f>
        <v>46219</v>
      </c>
      <c r="D394">
        <f>60+60+21</f>
        <v>141</v>
      </c>
      <c r="AC394">
        <v>25</v>
      </c>
      <c r="AD394">
        <f t="shared" si="42"/>
        <v>166</v>
      </c>
      <c r="AE394" s="351">
        <f t="shared" si="44"/>
        <v>0.27666666666666667</v>
      </c>
    </row>
    <row r="395" spans="1:31">
      <c r="A395" s="165">
        <f>'Conveyor Downtime (new)'!A399</f>
        <v>46219</v>
      </c>
      <c r="B395" s="346"/>
      <c r="C395" s="346"/>
      <c r="D395" s="346"/>
      <c r="E395" s="346"/>
      <c r="F395" s="346"/>
      <c r="G395" s="346"/>
      <c r="H395" s="346"/>
      <c r="I395" s="346"/>
      <c r="J395" s="346"/>
      <c r="K395" s="346"/>
      <c r="L395" s="346"/>
      <c r="M395" s="346"/>
      <c r="N395" s="346"/>
      <c r="O395" s="346"/>
      <c r="P395" s="346"/>
      <c r="Q395" s="346"/>
      <c r="R395" s="346"/>
      <c r="S395" s="346"/>
      <c r="T395" s="346"/>
      <c r="U395" s="346"/>
      <c r="V395" s="346"/>
      <c r="W395" s="346"/>
      <c r="X395" s="346"/>
      <c r="Y395" s="346"/>
      <c r="Z395" s="346"/>
      <c r="AA395" s="346"/>
      <c r="AB395" s="346"/>
      <c r="AC395" s="346"/>
      <c r="AD395">
        <f t="shared" si="42"/>
        <v>0</v>
      </c>
      <c r="AE395" s="351">
        <f t="shared" si="44"/>
        <v>0</v>
      </c>
    </row>
    <row r="396" spans="1:31">
      <c r="A396" s="165">
        <f>'Conveyor Downtime (new)'!A400</f>
        <v>46219</v>
      </c>
      <c r="E396">
        <f>5</f>
        <v>5</v>
      </c>
      <c r="AD396">
        <f t="shared" si="42"/>
        <v>5</v>
      </c>
      <c r="AE396" s="351">
        <f t="shared" si="44"/>
        <v>8.3333333333333332E-3</v>
      </c>
    </row>
    <row r="397" spans="1:31">
      <c r="A397" s="165">
        <f>'Conveyor Downtime (new)'!A401</f>
        <v>46220</v>
      </c>
      <c r="B397" s="346"/>
      <c r="C397" s="346"/>
      <c r="D397" s="346"/>
      <c r="E397" s="346"/>
      <c r="F397" s="346"/>
      <c r="G397" s="346"/>
      <c r="H397" s="346"/>
      <c r="I397" s="346"/>
      <c r="J397" s="346"/>
      <c r="K397" s="346"/>
      <c r="L397" s="346"/>
      <c r="M397" s="346"/>
      <c r="N397" s="346"/>
      <c r="O397" s="346"/>
      <c r="P397" s="346"/>
      <c r="Q397" s="346"/>
      <c r="R397" s="346"/>
      <c r="S397" s="346"/>
      <c r="T397" s="346"/>
      <c r="U397" s="346"/>
      <c r="V397" s="346"/>
      <c r="W397" s="346"/>
      <c r="X397" s="346"/>
      <c r="Y397" s="346"/>
      <c r="Z397" s="346"/>
      <c r="AA397" s="346"/>
      <c r="AB397" s="346"/>
      <c r="AC397" s="346"/>
      <c r="AD397">
        <f t="shared" si="42"/>
        <v>0</v>
      </c>
      <c r="AE397" s="351">
        <f t="shared" si="44"/>
        <v>0</v>
      </c>
    </row>
    <row r="398" spans="1:31">
      <c r="A398" s="165">
        <f>'Conveyor Downtime (new)'!A402</f>
        <v>46220</v>
      </c>
      <c r="AD398">
        <f t="shared" si="42"/>
        <v>0</v>
      </c>
      <c r="AE398" s="351">
        <f t="shared" si="44"/>
        <v>0</v>
      </c>
    </row>
    <row r="399" spans="1:31">
      <c r="A399" s="165">
        <f>'Conveyor Downtime (new)'!A403</f>
        <v>46223</v>
      </c>
      <c r="B399" s="77"/>
      <c r="C399" s="346">
        <f>10+60+60+60+4</f>
        <v>194</v>
      </c>
      <c r="D399" s="346"/>
      <c r="E399" s="346"/>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c r="AD399">
        <f t="shared" ref="AD399:AD422" si="45">SUM(B399:AC399)</f>
        <v>194</v>
      </c>
      <c r="AE399" s="351">
        <f t="shared" si="44"/>
        <v>0.32333333333333331</v>
      </c>
    </row>
    <row r="400" spans="1:31">
      <c r="A400" s="165">
        <f>'Conveyor Downtime (new)'!A404</f>
        <v>46223</v>
      </c>
      <c r="AD400">
        <f t="shared" si="45"/>
        <v>0</v>
      </c>
      <c r="AE400" s="351">
        <f t="shared" si="44"/>
        <v>0</v>
      </c>
    </row>
    <row r="401" spans="1:31">
      <c r="A401" s="165">
        <f>'Conveyor Downtime (new)'!A405</f>
        <v>46224</v>
      </c>
      <c r="AD401">
        <f t="shared" si="45"/>
        <v>0</v>
      </c>
      <c r="AE401" s="351">
        <f t="shared" si="44"/>
        <v>0</v>
      </c>
    </row>
    <row r="402" spans="1:31">
      <c r="A402" s="165">
        <f>'Conveyor Downtime (new)'!A406</f>
        <v>46224</v>
      </c>
      <c r="B402" s="346"/>
      <c r="C402" s="346"/>
      <c r="D402" s="346"/>
      <c r="E402" s="346"/>
      <c r="F402" s="346"/>
      <c r="G402" s="346"/>
      <c r="H402" s="346"/>
      <c r="I402" s="346"/>
      <c r="J402" s="346"/>
      <c r="K402" s="346"/>
      <c r="L402" s="346"/>
      <c r="M402" s="346"/>
      <c r="N402" s="346"/>
      <c r="O402" s="346"/>
      <c r="P402" s="346"/>
      <c r="Q402" s="346"/>
      <c r="R402" s="346"/>
      <c r="S402" s="346"/>
      <c r="T402" s="346"/>
      <c r="U402" s="346"/>
      <c r="V402" s="346"/>
      <c r="W402" s="346"/>
      <c r="X402" s="346"/>
      <c r="Y402" s="346"/>
      <c r="Z402" s="346"/>
      <c r="AA402" s="346"/>
      <c r="AB402" s="346"/>
      <c r="AC402" s="346"/>
      <c r="AD402">
        <f t="shared" si="45"/>
        <v>0</v>
      </c>
      <c r="AE402" s="351">
        <f t="shared" si="44"/>
        <v>0</v>
      </c>
    </row>
    <row r="403" spans="1:31">
      <c r="A403" s="165">
        <f>'Conveyor Downtime (new)'!A407</f>
        <v>46224</v>
      </c>
      <c r="AD403">
        <f t="shared" si="45"/>
        <v>0</v>
      </c>
      <c r="AE403" s="351">
        <f t="shared" si="44"/>
        <v>0</v>
      </c>
    </row>
    <row r="404" spans="1:31">
      <c r="A404" s="165">
        <f>'Conveyor Downtime (new)'!A408</f>
        <v>46225</v>
      </c>
      <c r="B404" s="346"/>
      <c r="C404" s="346"/>
      <c r="D404" s="346"/>
      <c r="E404" s="346"/>
      <c r="F404" s="346"/>
      <c r="G404" s="346"/>
      <c r="H404" s="346"/>
      <c r="I404" s="346"/>
      <c r="J404" s="346"/>
      <c r="K404" s="346"/>
      <c r="L404" s="346"/>
      <c r="M404" s="346"/>
      <c r="N404" s="346"/>
      <c r="O404" s="346"/>
      <c r="P404" s="346"/>
      <c r="Q404" s="346"/>
      <c r="R404" s="346"/>
      <c r="S404" s="346"/>
      <c r="T404" s="346"/>
      <c r="U404" s="346"/>
      <c r="V404" s="346"/>
      <c r="W404" s="346"/>
      <c r="X404" s="346"/>
      <c r="Y404" s="346"/>
      <c r="Z404" s="346"/>
      <c r="AA404" s="346"/>
      <c r="AB404" s="346"/>
      <c r="AC404" s="346"/>
      <c r="AD404">
        <f t="shared" si="45"/>
        <v>0</v>
      </c>
      <c r="AE404" s="351">
        <f t="shared" si="44"/>
        <v>0</v>
      </c>
    </row>
    <row r="405" spans="1:31">
      <c r="A405" s="165">
        <f>'Conveyor Downtime (new)'!A409</f>
        <v>46225</v>
      </c>
      <c r="AD405">
        <f t="shared" si="45"/>
        <v>0</v>
      </c>
      <c r="AE405" s="351">
        <f t="shared" si="44"/>
        <v>0</v>
      </c>
    </row>
    <row r="406" spans="1:31">
      <c r="A406" s="165">
        <f>'Conveyor Downtime (new)'!A410</f>
        <v>46226</v>
      </c>
      <c r="B406" s="346"/>
      <c r="C406" s="346"/>
      <c r="D406" s="346"/>
      <c r="E406" s="346"/>
      <c r="F406" s="346"/>
      <c r="G406" s="346"/>
      <c r="H406" s="346"/>
      <c r="I406" s="346"/>
      <c r="J406" s="346"/>
      <c r="K406" s="346"/>
      <c r="L406" s="346"/>
      <c r="M406" s="346"/>
      <c r="N406" s="346"/>
      <c r="O406" s="346"/>
      <c r="P406" s="346"/>
      <c r="Q406" s="346"/>
      <c r="R406" s="346"/>
      <c r="S406" s="346"/>
      <c r="T406" s="346"/>
      <c r="U406" s="346"/>
      <c r="V406" s="346"/>
      <c r="W406" s="346"/>
      <c r="X406" s="346"/>
      <c r="Y406" s="346"/>
      <c r="Z406" s="346"/>
      <c r="AA406" s="346"/>
      <c r="AB406" s="346"/>
      <c r="AC406" s="346"/>
      <c r="AD406">
        <f t="shared" si="45"/>
        <v>0</v>
      </c>
      <c r="AE406" s="351">
        <f t="shared" si="44"/>
        <v>0</v>
      </c>
    </row>
    <row r="407" spans="1:31">
      <c r="A407" s="165">
        <f>'Conveyor Downtime (new)'!A411</f>
        <v>46226</v>
      </c>
      <c r="AD407">
        <f t="shared" si="45"/>
        <v>0</v>
      </c>
      <c r="AE407" s="351">
        <f t="shared" si="44"/>
        <v>0</v>
      </c>
    </row>
    <row r="408" spans="1:31">
      <c r="A408" s="165">
        <f>'Conveyor Downtime (new)'!A412</f>
        <v>46227</v>
      </c>
      <c r="B408" s="346"/>
      <c r="C408" s="346"/>
      <c r="D408" s="346"/>
      <c r="E408" s="346"/>
      <c r="F408" s="346"/>
      <c r="G408" s="346"/>
      <c r="H408" s="346"/>
      <c r="I408" s="346"/>
      <c r="J408" s="346"/>
      <c r="K408" s="346"/>
      <c r="L408" s="346"/>
      <c r="M408" s="346"/>
      <c r="N408" s="346"/>
      <c r="O408" s="346"/>
      <c r="P408" s="346"/>
      <c r="Q408" s="346"/>
      <c r="R408" s="346"/>
      <c r="S408" s="346"/>
      <c r="T408" s="346"/>
      <c r="U408" s="346"/>
      <c r="V408" s="346"/>
      <c r="W408" s="346"/>
      <c r="X408" s="346"/>
      <c r="Y408" s="346"/>
      <c r="Z408" s="346"/>
      <c r="AA408" s="346"/>
      <c r="AB408" s="346"/>
      <c r="AC408" s="346"/>
      <c r="AD408">
        <f t="shared" si="45"/>
        <v>0</v>
      </c>
      <c r="AE408" s="351">
        <f t="shared" si="44"/>
        <v>0</v>
      </c>
    </row>
    <row r="409" spans="1:31">
      <c r="A409" s="165">
        <f>'Conveyor Downtime (new)'!A413</f>
        <v>46227</v>
      </c>
      <c r="AD409">
        <f t="shared" ref="AD409:AD416" si="46">SUM(B409:AC409)</f>
        <v>0</v>
      </c>
      <c r="AE409" s="351">
        <f t="shared" ref="AE409:AE416" si="47">AD409/$AD$182</f>
        <v>0</v>
      </c>
    </row>
    <row r="410" spans="1:31">
      <c r="A410" s="165">
        <f>'Conveyor Downtime (new)'!A414</f>
        <v>46230</v>
      </c>
      <c r="B410" s="346"/>
      <c r="C410" s="346"/>
      <c r="D410" s="346"/>
      <c r="E410" s="346"/>
      <c r="F410" s="346"/>
      <c r="G410" s="346"/>
      <c r="H410" s="346"/>
      <c r="I410" s="346"/>
      <c r="J410" s="346"/>
      <c r="K410" s="346"/>
      <c r="L410" s="346"/>
      <c r="M410" s="346"/>
      <c r="N410" s="346"/>
      <c r="O410" s="346"/>
      <c r="P410" s="346"/>
      <c r="Q410" s="346"/>
      <c r="R410" s="346"/>
      <c r="S410" s="346"/>
      <c r="T410" s="346"/>
      <c r="U410" s="346"/>
      <c r="V410" s="346"/>
      <c r="W410" s="346"/>
      <c r="X410" s="346"/>
      <c r="Y410" s="346"/>
      <c r="Z410" s="346"/>
      <c r="AA410" s="346"/>
      <c r="AB410" s="346"/>
      <c r="AC410" s="346"/>
      <c r="AD410">
        <f t="shared" si="46"/>
        <v>0</v>
      </c>
      <c r="AE410" s="351">
        <f t="shared" si="47"/>
        <v>0</v>
      </c>
    </row>
    <row r="411" spans="1:31">
      <c r="A411" s="165">
        <f>'Conveyor Downtime (new)'!A415</f>
        <v>46231</v>
      </c>
      <c r="AD411">
        <f t="shared" si="46"/>
        <v>0</v>
      </c>
      <c r="AE411" s="351">
        <f t="shared" si="47"/>
        <v>0</v>
      </c>
    </row>
    <row r="412" spans="1:31">
      <c r="A412" s="165">
        <f>'Conveyor Downtime (new)'!A416</f>
        <v>46231</v>
      </c>
      <c r="B412" s="346"/>
      <c r="C412" s="346"/>
      <c r="D412" s="346"/>
      <c r="E412" s="346"/>
      <c r="F412" s="346"/>
      <c r="G412" s="346"/>
      <c r="H412" s="346"/>
      <c r="I412" s="346"/>
      <c r="J412" s="346"/>
      <c r="K412" s="346"/>
      <c r="L412" s="346"/>
      <c r="M412" s="346"/>
      <c r="N412" s="346"/>
      <c r="O412" s="346"/>
      <c r="P412" s="346"/>
      <c r="Q412" s="346"/>
      <c r="R412" s="346"/>
      <c r="S412" s="346"/>
      <c r="T412" s="346"/>
      <c r="U412" s="346"/>
      <c r="V412" s="346"/>
      <c r="W412" s="346"/>
      <c r="X412" s="346"/>
      <c r="Y412" s="346"/>
      <c r="Z412" s="346"/>
      <c r="AA412" s="346"/>
      <c r="AB412" s="346"/>
      <c r="AC412" s="346"/>
      <c r="AD412">
        <f t="shared" si="46"/>
        <v>0</v>
      </c>
      <c r="AE412" s="351">
        <f t="shared" si="47"/>
        <v>0</v>
      </c>
    </row>
    <row r="413" spans="1:31">
      <c r="A413" s="165">
        <f>'Conveyor Downtime (new)'!A417</f>
        <v>46232</v>
      </c>
      <c r="AD413">
        <f t="shared" si="46"/>
        <v>0</v>
      </c>
      <c r="AE413" s="351">
        <f t="shared" si="47"/>
        <v>0</v>
      </c>
    </row>
    <row r="414" spans="1:31">
      <c r="A414" s="165">
        <f>'Conveyor Downtime (new)'!A418</f>
        <v>46232</v>
      </c>
      <c r="B414" s="346"/>
      <c r="C414" s="346"/>
      <c r="D414" s="346"/>
      <c r="E414" s="346"/>
      <c r="F414" s="346"/>
      <c r="G414" s="346"/>
      <c r="H414" s="346"/>
      <c r="I414" s="346"/>
      <c r="J414" s="346"/>
      <c r="K414" s="346"/>
      <c r="L414" s="346"/>
      <c r="M414" s="346"/>
      <c r="N414" s="346">
        <v>5</v>
      </c>
      <c r="O414" s="346"/>
      <c r="P414" s="346"/>
      <c r="Q414" s="346"/>
      <c r="R414" s="346"/>
      <c r="S414" s="346"/>
      <c r="T414" s="346"/>
      <c r="U414" s="346"/>
      <c r="V414" s="346"/>
      <c r="W414" s="346"/>
      <c r="X414" s="346"/>
      <c r="Y414" s="346"/>
      <c r="Z414" s="346"/>
      <c r="AA414" s="346"/>
      <c r="AB414" s="346"/>
      <c r="AC414" s="346"/>
      <c r="AD414">
        <f t="shared" si="46"/>
        <v>5</v>
      </c>
      <c r="AE414" s="351">
        <f t="shared" si="47"/>
        <v>8.3333333333333332E-3</v>
      </c>
    </row>
    <row r="415" spans="1:31">
      <c r="A415" s="165">
        <f>'Conveyor Downtime (new)'!A419</f>
        <v>46232</v>
      </c>
      <c r="AD415">
        <f t="shared" si="46"/>
        <v>0</v>
      </c>
      <c r="AE415" s="351">
        <f t="shared" si="47"/>
        <v>0</v>
      </c>
    </row>
    <row r="416" spans="1:31">
      <c r="A416" s="165">
        <f>'Conveyor Downtime (new)'!A420</f>
        <v>46233</v>
      </c>
      <c r="B416" s="346"/>
      <c r="C416" s="346"/>
      <c r="D416" s="346"/>
      <c r="E416" s="346"/>
      <c r="F416" s="346"/>
      <c r="G416" s="346"/>
      <c r="H416" s="346"/>
      <c r="I416" s="346"/>
      <c r="J416" s="346"/>
      <c r="K416" s="346"/>
      <c r="L416" s="346"/>
      <c r="M416" s="346"/>
      <c r="N416" s="346"/>
      <c r="O416" s="346"/>
      <c r="P416" s="346"/>
      <c r="Q416" s="346"/>
      <c r="R416" s="346"/>
      <c r="S416" s="346"/>
      <c r="T416" s="346"/>
      <c r="U416" s="346"/>
      <c r="V416" s="346"/>
      <c r="W416" s="346"/>
      <c r="X416" s="346"/>
      <c r="Y416" s="346"/>
      <c r="Z416" s="346"/>
      <c r="AA416" s="346"/>
      <c r="AB416" s="346"/>
      <c r="AC416" s="346"/>
      <c r="AD416">
        <f t="shared" si="46"/>
        <v>0</v>
      </c>
      <c r="AE416" s="351">
        <f t="shared" si="47"/>
        <v>0</v>
      </c>
    </row>
    <row r="417" spans="1:31">
      <c r="A417" s="165">
        <f>'Conveyor Downtime (new)'!A421</f>
        <v>46233</v>
      </c>
      <c r="AD417">
        <f t="shared" si="45"/>
        <v>0</v>
      </c>
      <c r="AE417" s="351">
        <f t="shared" si="44"/>
        <v>0</v>
      </c>
    </row>
    <row r="418" spans="1:31">
      <c r="A418" s="165">
        <f>'Conveyor Downtime (new)'!A422</f>
        <v>46233</v>
      </c>
      <c r="B418" s="346"/>
      <c r="C418" s="346"/>
      <c r="D418" s="346"/>
      <c r="E418" s="346"/>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f t="shared" si="45"/>
        <v>0</v>
      </c>
      <c r="AE418" s="351">
        <f t="shared" si="44"/>
        <v>0</v>
      </c>
    </row>
    <row r="419" spans="1:31">
      <c r="A419" s="165">
        <f>'Conveyor Downtime (new)'!A423</f>
        <v>46234</v>
      </c>
      <c r="AD419">
        <f t="shared" si="45"/>
        <v>0</v>
      </c>
      <c r="AE419" s="351">
        <f t="shared" si="44"/>
        <v>0</v>
      </c>
    </row>
    <row r="420" spans="1:31">
      <c r="A420" s="165">
        <f>'Conveyor Downtime (new)'!A424</f>
        <v>0</v>
      </c>
      <c r="B420" s="346"/>
      <c r="C420" s="346"/>
      <c r="D420" s="346"/>
      <c r="E420" s="346"/>
      <c r="F420" s="346"/>
      <c r="G420" s="346"/>
      <c r="H420" s="346"/>
      <c r="I420" s="346"/>
      <c r="J420" s="346"/>
      <c r="K420" s="346"/>
      <c r="L420" s="346"/>
      <c r="M420" s="346"/>
      <c r="N420" s="346"/>
      <c r="O420" s="346"/>
      <c r="P420" s="346"/>
      <c r="Q420" s="346"/>
      <c r="R420" s="346"/>
      <c r="S420" s="346"/>
      <c r="T420" s="346"/>
      <c r="U420" s="346"/>
      <c r="V420" s="346"/>
      <c r="W420" s="346"/>
      <c r="X420" s="346"/>
      <c r="Y420" s="346"/>
      <c r="Z420" s="346"/>
      <c r="AA420" s="346"/>
      <c r="AB420" s="346"/>
      <c r="AC420" s="346"/>
      <c r="AD420">
        <f t="shared" si="45"/>
        <v>0</v>
      </c>
      <c r="AE420" s="351">
        <f t="shared" si="44"/>
        <v>0</v>
      </c>
    </row>
    <row r="421" spans="1:31">
      <c r="A421" s="165">
        <f>'Conveyor Downtime (new)'!A425</f>
        <v>0</v>
      </c>
      <c r="AD421">
        <f t="shared" si="45"/>
        <v>0</v>
      </c>
      <c r="AE421" s="351">
        <f t="shared" si="44"/>
        <v>0</v>
      </c>
    </row>
    <row r="422" spans="1:31">
      <c r="A422" s="165">
        <f>'Conveyor Downtime (new)'!A426</f>
        <v>0</v>
      </c>
      <c r="B422" s="346"/>
      <c r="C422" s="346"/>
      <c r="D422" s="346"/>
      <c r="E422" s="346"/>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f t="shared" si="45"/>
        <v>0</v>
      </c>
      <c r="AE422" s="351">
        <f t="shared" si="44"/>
        <v>0</v>
      </c>
    </row>
    <row r="423" spans="1:31" ht="15">
      <c r="A423" s="347" t="s">
        <v>173</v>
      </c>
      <c r="B423" s="347">
        <f>SUM(B368:B422)</f>
        <v>0</v>
      </c>
      <c r="C423" s="347">
        <f t="shared" ref="C423:AC423" si="48">SUM(C368:C422)</f>
        <v>194</v>
      </c>
      <c r="D423" s="347">
        <f t="shared" si="48"/>
        <v>141</v>
      </c>
      <c r="E423" s="347">
        <f t="shared" si="48"/>
        <v>22</v>
      </c>
      <c r="F423" s="347">
        <f t="shared" si="48"/>
        <v>0</v>
      </c>
      <c r="G423" s="347">
        <f t="shared" si="48"/>
        <v>0</v>
      </c>
      <c r="H423" s="347">
        <f t="shared" si="48"/>
        <v>0</v>
      </c>
      <c r="I423" s="347">
        <f t="shared" si="48"/>
        <v>0</v>
      </c>
      <c r="J423" s="347">
        <f t="shared" si="48"/>
        <v>4</v>
      </c>
      <c r="K423" s="347">
        <f t="shared" si="48"/>
        <v>0</v>
      </c>
      <c r="L423" s="347">
        <f t="shared" si="48"/>
        <v>0</v>
      </c>
      <c r="M423" s="347">
        <f t="shared" si="48"/>
        <v>0</v>
      </c>
      <c r="N423" s="347">
        <f t="shared" si="48"/>
        <v>8</v>
      </c>
      <c r="O423" s="347">
        <f t="shared" si="48"/>
        <v>0</v>
      </c>
      <c r="P423" s="347">
        <f t="shared" si="48"/>
        <v>0</v>
      </c>
      <c r="Q423" s="347">
        <f t="shared" si="48"/>
        <v>0</v>
      </c>
      <c r="R423" s="347">
        <f t="shared" si="48"/>
        <v>0</v>
      </c>
      <c r="S423" s="347">
        <f t="shared" si="48"/>
        <v>0</v>
      </c>
      <c r="T423" s="347">
        <f t="shared" si="48"/>
        <v>0</v>
      </c>
      <c r="U423" s="347">
        <f t="shared" si="48"/>
        <v>0</v>
      </c>
      <c r="V423" s="347">
        <f t="shared" si="48"/>
        <v>0</v>
      </c>
      <c r="W423" s="347">
        <f t="shared" si="48"/>
        <v>0</v>
      </c>
      <c r="X423" s="347">
        <f t="shared" si="48"/>
        <v>0</v>
      </c>
      <c r="Y423" s="347">
        <f t="shared" si="48"/>
        <v>0</v>
      </c>
      <c r="Z423" s="347">
        <f t="shared" si="48"/>
        <v>0</v>
      </c>
      <c r="AA423" s="347">
        <f t="shared" si="48"/>
        <v>0</v>
      </c>
      <c r="AB423" s="347">
        <f t="shared" si="48"/>
        <v>0</v>
      </c>
      <c r="AC423" s="347">
        <f t="shared" si="48"/>
        <v>25</v>
      </c>
      <c r="AD423" s="347">
        <f>SUM(AD368:AD422)</f>
        <v>394</v>
      </c>
    </row>
    <row r="424" spans="1:31" ht="15.75" thickBot="1">
      <c r="A424" s="348" t="s">
        <v>174</v>
      </c>
      <c r="B424" s="348">
        <f t="shared" ref="B424" si="49">B423/$AD423</f>
        <v>0</v>
      </c>
      <c r="C424" s="348">
        <f t="shared" ref="C424:AC424" si="50">C423/$AD423</f>
        <v>0.49238578680203043</v>
      </c>
      <c r="D424" s="348">
        <f t="shared" si="50"/>
        <v>0.35786802030456855</v>
      </c>
      <c r="E424" s="348">
        <f t="shared" si="50"/>
        <v>5.5837563451776651E-2</v>
      </c>
      <c r="F424" s="348">
        <f t="shared" si="50"/>
        <v>0</v>
      </c>
      <c r="G424" s="348">
        <f t="shared" si="50"/>
        <v>0</v>
      </c>
      <c r="H424" s="348">
        <f t="shared" si="50"/>
        <v>0</v>
      </c>
      <c r="I424" s="348">
        <f t="shared" si="50"/>
        <v>0</v>
      </c>
      <c r="J424" s="348">
        <f t="shared" si="50"/>
        <v>1.015228426395939E-2</v>
      </c>
      <c r="K424" s="348">
        <f t="shared" si="50"/>
        <v>0</v>
      </c>
      <c r="L424" s="348">
        <f t="shared" si="50"/>
        <v>0</v>
      </c>
      <c r="M424" s="348">
        <f t="shared" si="50"/>
        <v>0</v>
      </c>
      <c r="N424" s="348">
        <f t="shared" si="50"/>
        <v>2.030456852791878E-2</v>
      </c>
      <c r="O424" s="348">
        <f t="shared" si="50"/>
        <v>0</v>
      </c>
      <c r="P424" s="348">
        <f t="shared" si="50"/>
        <v>0</v>
      </c>
      <c r="Q424" s="348">
        <f t="shared" si="50"/>
        <v>0</v>
      </c>
      <c r="R424" s="348">
        <f t="shared" si="50"/>
        <v>0</v>
      </c>
      <c r="S424" s="348">
        <f t="shared" si="50"/>
        <v>0</v>
      </c>
      <c r="T424" s="348">
        <f t="shared" si="50"/>
        <v>0</v>
      </c>
      <c r="U424" s="348">
        <f t="shared" si="50"/>
        <v>0</v>
      </c>
      <c r="V424" s="348">
        <f t="shared" si="50"/>
        <v>0</v>
      </c>
      <c r="W424" s="348">
        <f t="shared" si="50"/>
        <v>0</v>
      </c>
      <c r="X424" s="348">
        <f t="shared" si="50"/>
        <v>0</v>
      </c>
      <c r="Y424" s="348">
        <f t="shared" si="50"/>
        <v>0</v>
      </c>
      <c r="Z424" s="348">
        <f t="shared" si="50"/>
        <v>0</v>
      </c>
      <c r="AA424" s="348">
        <f t="shared" si="50"/>
        <v>0</v>
      </c>
      <c r="AB424" s="348">
        <f t="shared" si="50"/>
        <v>0</v>
      </c>
      <c r="AC424" s="348">
        <f t="shared" si="50"/>
        <v>6.3451776649746189E-2</v>
      </c>
      <c r="AD424" s="351"/>
    </row>
    <row r="427" spans="1:31">
      <c r="A427" s="165">
        <f>'Conveyor Downtime (new)'!A433</f>
        <v>46237</v>
      </c>
      <c r="B427" s="346"/>
      <c r="C427" s="346"/>
      <c r="D427" s="346"/>
      <c r="E427" s="346"/>
      <c r="F427" s="346"/>
      <c r="G427" s="346"/>
      <c r="H427" s="346"/>
      <c r="I427" s="346"/>
      <c r="J427" s="346"/>
      <c r="K427" s="346"/>
      <c r="L427" s="346"/>
      <c r="M427" s="346"/>
      <c r="N427" s="346"/>
      <c r="O427" s="346"/>
      <c r="P427" s="346"/>
      <c r="Q427" s="346"/>
      <c r="R427" s="346"/>
      <c r="S427" s="346"/>
      <c r="T427" s="346"/>
      <c r="U427" s="346"/>
      <c r="V427" s="346"/>
      <c r="W427" s="346"/>
      <c r="X427" s="346"/>
      <c r="Y427" s="346"/>
      <c r="Z427" s="346"/>
      <c r="AA427" s="346"/>
      <c r="AB427" s="346"/>
      <c r="AC427" s="346"/>
      <c r="AD427">
        <f t="shared" ref="AD427:AD459" si="51">SUM(B427:AC427)</f>
        <v>0</v>
      </c>
      <c r="AE427" s="351">
        <f t="shared" ref="AE427:AE449" si="52">AD427/$AD$182</f>
        <v>0</v>
      </c>
    </row>
    <row r="428" spans="1:31">
      <c r="A428" s="165">
        <f>'Conveyor Downtime (new)'!A434</f>
        <v>46238</v>
      </c>
      <c r="D428">
        <f>11</f>
        <v>11</v>
      </c>
      <c r="E428">
        <f>8+5</f>
        <v>13</v>
      </c>
      <c r="AD428">
        <f t="shared" si="51"/>
        <v>24</v>
      </c>
      <c r="AE428" s="351">
        <f t="shared" si="52"/>
        <v>0.04</v>
      </c>
    </row>
    <row r="429" spans="1:31">
      <c r="A429" s="165">
        <f>'Conveyor Downtime (new)'!A435</f>
        <v>46239</v>
      </c>
      <c r="B429" s="346"/>
      <c r="C429" s="346"/>
      <c r="D429" s="346"/>
      <c r="E429" s="346"/>
      <c r="F429" s="346"/>
      <c r="G429" s="346"/>
      <c r="H429" s="346"/>
      <c r="I429" s="346"/>
      <c r="J429" s="346"/>
      <c r="K429" s="346"/>
      <c r="L429" s="346"/>
      <c r="M429" s="346"/>
      <c r="N429" s="346"/>
      <c r="O429" s="346"/>
      <c r="P429" s="346"/>
      <c r="Q429" s="346"/>
      <c r="R429" s="346"/>
      <c r="S429" s="346"/>
      <c r="T429" s="346"/>
      <c r="U429" s="346"/>
      <c r="V429" s="346"/>
      <c r="W429" s="346"/>
      <c r="X429" s="346"/>
      <c r="Y429" s="346"/>
      <c r="Z429" s="346"/>
      <c r="AA429" s="346"/>
      <c r="AB429" s="346"/>
      <c r="AC429" s="346"/>
      <c r="AD429">
        <f t="shared" si="51"/>
        <v>0</v>
      </c>
      <c r="AE429" s="351">
        <f t="shared" si="52"/>
        <v>0</v>
      </c>
    </row>
    <row r="430" spans="1:31">
      <c r="A430" s="165">
        <f>'Conveyor Downtime (new)'!A436</f>
        <v>46239</v>
      </c>
      <c r="AD430">
        <f t="shared" si="51"/>
        <v>0</v>
      </c>
      <c r="AE430" s="351">
        <f t="shared" si="52"/>
        <v>0</v>
      </c>
    </row>
    <row r="431" spans="1:31">
      <c r="A431" s="165">
        <f>'Conveyor Downtime (new)'!A437</f>
        <v>46239</v>
      </c>
      <c r="B431" s="346"/>
      <c r="C431" s="346"/>
      <c r="D431" s="346"/>
      <c r="E431" s="346"/>
      <c r="F431" s="346"/>
      <c r="G431" s="346"/>
      <c r="H431" s="346"/>
      <c r="I431" s="346"/>
      <c r="J431" s="346"/>
      <c r="K431" s="346"/>
      <c r="L431" s="346"/>
      <c r="M431" s="346"/>
      <c r="N431" s="346"/>
      <c r="O431" s="346"/>
      <c r="P431" s="346"/>
      <c r="Q431" s="346"/>
      <c r="R431" s="346"/>
      <c r="S431" s="346"/>
      <c r="T431" s="346"/>
      <c r="U431" s="346"/>
      <c r="V431" s="346"/>
      <c r="W431" s="346"/>
      <c r="X431" s="346"/>
      <c r="Y431" s="346"/>
      <c r="Z431" s="346"/>
      <c r="AA431" s="346"/>
      <c r="AB431" s="346"/>
      <c r="AC431" s="346"/>
      <c r="AD431">
        <f t="shared" si="51"/>
        <v>0</v>
      </c>
      <c r="AE431" s="351">
        <f t="shared" si="52"/>
        <v>0</v>
      </c>
    </row>
    <row r="432" spans="1:31">
      <c r="A432" s="165">
        <f>'Conveyor Downtime (new)'!A438</f>
        <v>46240</v>
      </c>
      <c r="O432">
        <f>8</f>
        <v>8</v>
      </c>
      <c r="AD432">
        <f t="shared" si="51"/>
        <v>8</v>
      </c>
      <c r="AE432" s="351">
        <f t="shared" si="52"/>
        <v>1.3333333333333334E-2</v>
      </c>
    </row>
    <row r="433" spans="1:31">
      <c r="A433" s="165">
        <f>'Conveyor Downtime (new)'!A439</f>
        <v>46241</v>
      </c>
      <c r="B433" s="346"/>
      <c r="C433" s="346"/>
      <c r="D433" s="346"/>
      <c r="E433" s="346"/>
      <c r="F433" s="346"/>
      <c r="G433" s="346"/>
      <c r="H433" s="346"/>
      <c r="I433" s="346"/>
      <c r="J433" s="346"/>
      <c r="K433" s="346"/>
      <c r="L433" s="346"/>
      <c r="M433" s="346"/>
      <c r="N433" s="346"/>
      <c r="O433" s="346"/>
      <c r="P433" s="346"/>
      <c r="Q433" s="346"/>
      <c r="R433" s="346"/>
      <c r="S433" s="346"/>
      <c r="T433" s="346"/>
      <c r="U433" s="346"/>
      <c r="V433" s="346"/>
      <c r="W433" s="346"/>
      <c r="X433" s="346"/>
      <c r="Y433" s="346"/>
      <c r="Z433" s="346"/>
      <c r="AA433" s="346"/>
      <c r="AB433" s="346"/>
      <c r="AC433" s="346"/>
      <c r="AD433">
        <f t="shared" si="51"/>
        <v>0</v>
      </c>
      <c r="AE433" s="351">
        <f t="shared" si="52"/>
        <v>0</v>
      </c>
    </row>
    <row r="434" spans="1:31">
      <c r="A434" s="165">
        <f>'Conveyor Downtime (new)'!A440</f>
        <v>46241</v>
      </c>
      <c r="AD434">
        <f t="shared" si="51"/>
        <v>0</v>
      </c>
      <c r="AE434" s="351">
        <f t="shared" si="52"/>
        <v>0</v>
      </c>
    </row>
    <row r="435" spans="1:31">
      <c r="A435" s="165">
        <f>'Conveyor Downtime (new)'!A441</f>
        <v>46246</v>
      </c>
      <c r="B435" s="346"/>
      <c r="C435" s="346"/>
      <c r="D435" s="346"/>
      <c r="E435" s="346"/>
      <c r="F435" s="346"/>
      <c r="G435" s="346"/>
      <c r="H435" s="346"/>
      <c r="I435" s="346"/>
      <c r="J435" s="346"/>
      <c r="K435" s="346"/>
      <c r="L435" s="346"/>
      <c r="M435" s="346"/>
      <c r="N435" s="346"/>
      <c r="O435" s="346"/>
      <c r="P435" s="346"/>
      <c r="Q435" s="346"/>
      <c r="R435" s="346"/>
      <c r="S435" s="346"/>
      <c r="T435" s="346"/>
      <c r="U435" s="346"/>
      <c r="V435" s="346"/>
      <c r="W435" s="346"/>
      <c r="X435" s="346"/>
      <c r="Y435" s="346"/>
      <c r="Z435" s="346"/>
      <c r="AA435" s="346"/>
      <c r="AB435" s="346"/>
      <c r="AC435" s="346"/>
      <c r="AD435">
        <f t="shared" si="51"/>
        <v>0</v>
      </c>
      <c r="AE435" s="351">
        <f t="shared" si="52"/>
        <v>0</v>
      </c>
    </row>
    <row r="436" spans="1:31">
      <c r="A436" s="165">
        <f>'Conveyor Downtime (new)'!A442</f>
        <v>46247</v>
      </c>
      <c r="K436">
        <v>2</v>
      </c>
      <c r="AD436">
        <f t="shared" si="51"/>
        <v>2</v>
      </c>
      <c r="AE436" s="351">
        <f t="shared" si="52"/>
        <v>3.3333333333333335E-3</v>
      </c>
    </row>
    <row r="437" spans="1:31">
      <c r="A437" s="165">
        <f>'Conveyor Downtime (new)'!A443</f>
        <v>46247</v>
      </c>
      <c r="B437" s="346"/>
      <c r="C437" s="346"/>
      <c r="D437" s="346"/>
      <c r="E437" s="346"/>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f t="shared" si="51"/>
        <v>0</v>
      </c>
      <c r="AE437" s="351">
        <f t="shared" si="52"/>
        <v>0</v>
      </c>
    </row>
    <row r="438" spans="1:31">
      <c r="A438" s="165">
        <f>'Conveyor Downtime (new)'!A444</f>
        <v>46247</v>
      </c>
      <c r="AD438">
        <f t="shared" si="51"/>
        <v>0</v>
      </c>
      <c r="AE438" s="351">
        <f t="shared" si="52"/>
        <v>0</v>
      </c>
    </row>
    <row r="439" spans="1:31" ht="12" customHeight="1">
      <c r="A439" s="165">
        <f>'Conveyor Downtime (new)'!A445</f>
        <v>46248</v>
      </c>
      <c r="B439" s="346"/>
      <c r="C439" s="346"/>
      <c r="D439" s="346"/>
      <c r="E439" s="346"/>
      <c r="F439" s="346"/>
      <c r="G439" s="346"/>
      <c r="H439" s="346"/>
      <c r="I439" s="346"/>
      <c r="J439" s="346"/>
      <c r="K439" s="346"/>
      <c r="L439" s="346"/>
      <c r="M439" s="346"/>
      <c r="N439" s="346"/>
      <c r="O439" s="346"/>
      <c r="P439" s="346"/>
      <c r="Q439" s="346"/>
      <c r="R439" s="346"/>
      <c r="S439" s="346"/>
      <c r="T439" s="346"/>
      <c r="U439" s="346"/>
      <c r="V439" s="346"/>
      <c r="W439" s="346"/>
      <c r="X439" s="346"/>
      <c r="Y439" s="346"/>
      <c r="Z439" s="346"/>
      <c r="AA439" s="346"/>
      <c r="AB439" s="346"/>
      <c r="AC439" s="346"/>
      <c r="AD439">
        <f t="shared" si="51"/>
        <v>0</v>
      </c>
      <c r="AE439" s="351">
        <f t="shared" si="52"/>
        <v>0</v>
      </c>
    </row>
    <row r="440" spans="1:31">
      <c r="A440" s="165">
        <f>'Conveyor Downtime (new)'!A446</f>
        <v>46248</v>
      </c>
      <c r="AD440">
        <f t="shared" si="51"/>
        <v>0</v>
      </c>
      <c r="AE440" s="351">
        <f t="shared" si="52"/>
        <v>0</v>
      </c>
    </row>
    <row r="441" spans="1:31">
      <c r="A441" s="165">
        <f>'Conveyor Downtime (new)'!A447</f>
        <v>46251</v>
      </c>
      <c r="B441" s="346"/>
      <c r="C441" s="346"/>
      <c r="D441" s="346"/>
      <c r="E441" s="346"/>
      <c r="F441" s="346"/>
      <c r="G441" s="346"/>
      <c r="H441" s="346"/>
      <c r="I441" s="346"/>
      <c r="J441" s="346"/>
      <c r="K441" s="346"/>
      <c r="L441" s="346"/>
      <c r="M441" s="346"/>
      <c r="N441" s="346"/>
      <c r="O441" s="346"/>
      <c r="P441" s="346"/>
      <c r="Q441" s="346"/>
      <c r="R441" s="346"/>
      <c r="S441" s="346"/>
      <c r="T441" s="346"/>
      <c r="U441" s="346"/>
      <c r="V441" s="346"/>
      <c r="W441" s="346"/>
      <c r="X441" s="346"/>
      <c r="Y441" s="346"/>
      <c r="Z441" s="346"/>
      <c r="AA441" s="346"/>
      <c r="AB441" s="346"/>
      <c r="AC441" s="346"/>
      <c r="AD441">
        <f t="shared" si="51"/>
        <v>0</v>
      </c>
      <c r="AE441" s="351">
        <f t="shared" si="52"/>
        <v>0</v>
      </c>
    </row>
    <row r="442" spans="1:31">
      <c r="A442" s="165">
        <f>'Conveyor Downtime (new)'!A448</f>
        <v>46251</v>
      </c>
      <c r="K442" s="77">
        <f>51+8</f>
        <v>59</v>
      </c>
      <c r="AD442">
        <f t="shared" si="51"/>
        <v>59</v>
      </c>
      <c r="AE442" s="351">
        <f t="shared" si="52"/>
        <v>9.8333333333333328E-2</v>
      </c>
    </row>
    <row r="443" spans="1:31" ht="12" customHeight="1">
      <c r="A443" s="165">
        <f>'Conveyor Downtime (new)'!A449</f>
        <v>46252</v>
      </c>
      <c r="B443" s="346"/>
      <c r="C443" s="346"/>
      <c r="D443" s="346"/>
      <c r="E443" s="346"/>
      <c r="F443" s="346"/>
      <c r="G443" s="346"/>
      <c r="H443" s="346"/>
      <c r="I443" s="346"/>
      <c r="J443" s="346"/>
      <c r="K443" s="346"/>
      <c r="L443" s="346"/>
      <c r="M443" s="346"/>
      <c r="N443" s="346"/>
      <c r="O443" s="346"/>
      <c r="P443" s="346"/>
      <c r="Q443" s="346"/>
      <c r="R443" s="346"/>
      <c r="S443" s="346"/>
      <c r="T443" s="346"/>
      <c r="U443" s="346"/>
      <c r="V443" s="346"/>
      <c r="W443" s="346"/>
      <c r="X443" s="346"/>
      <c r="Y443" s="346"/>
      <c r="Z443" s="346"/>
      <c r="AA443" s="346"/>
      <c r="AB443" s="346"/>
      <c r="AC443" s="346"/>
      <c r="AD443">
        <f t="shared" si="51"/>
        <v>0</v>
      </c>
      <c r="AE443" s="351">
        <f t="shared" si="52"/>
        <v>0</v>
      </c>
    </row>
    <row r="444" spans="1:31">
      <c r="A444" s="165">
        <f>'Conveyor Downtime (new)'!A450</f>
        <v>46252</v>
      </c>
      <c r="Q444">
        <f>7</f>
        <v>7</v>
      </c>
      <c r="AD444">
        <f t="shared" si="51"/>
        <v>7</v>
      </c>
      <c r="AE444" s="351">
        <f t="shared" si="52"/>
        <v>1.1666666666666667E-2</v>
      </c>
    </row>
    <row r="445" spans="1:31" ht="12" customHeight="1">
      <c r="A445" s="165">
        <f>'Conveyor Downtime (new)'!A451</f>
        <v>46253</v>
      </c>
      <c r="B445" s="346"/>
      <c r="C445" s="346"/>
      <c r="D445" s="346">
        <f>7+3+2+4</f>
        <v>16</v>
      </c>
      <c r="E445" s="346"/>
      <c r="F445" s="346"/>
      <c r="G445" s="346"/>
      <c r="H445" s="346"/>
      <c r="I445" s="346"/>
      <c r="J445" s="346"/>
      <c r="K445" s="346"/>
      <c r="L445" s="346"/>
      <c r="M445" s="346"/>
      <c r="N445" s="346"/>
      <c r="O445" s="346"/>
      <c r="P445" s="346"/>
      <c r="Q445" s="346"/>
      <c r="R445" s="346"/>
      <c r="S445" s="346"/>
      <c r="T445" s="346"/>
      <c r="U445" s="346"/>
      <c r="V445" s="346"/>
      <c r="W445" s="346"/>
      <c r="X445" s="346"/>
      <c r="Y445" s="346"/>
      <c r="Z445" s="346"/>
      <c r="AA445" s="346"/>
      <c r="AB445" s="346"/>
      <c r="AC445" s="346"/>
      <c r="AD445">
        <f t="shared" si="51"/>
        <v>16</v>
      </c>
      <c r="AE445" s="351">
        <f t="shared" si="52"/>
        <v>2.6666666666666668E-2</v>
      </c>
    </row>
    <row r="446" spans="1:31">
      <c r="A446" s="165">
        <f>'Conveyor Downtime (new)'!A452</f>
        <v>46253</v>
      </c>
      <c r="AD446">
        <f t="shared" si="51"/>
        <v>0</v>
      </c>
      <c r="AE446" s="351">
        <f t="shared" si="52"/>
        <v>0</v>
      </c>
    </row>
    <row r="447" spans="1:31" ht="12" customHeight="1">
      <c r="A447" s="165">
        <f>'Conveyor Downtime (new)'!A453</f>
        <v>46254</v>
      </c>
      <c r="B447" s="346"/>
      <c r="C447" s="346"/>
      <c r="D447" s="346"/>
      <c r="E447" s="346"/>
      <c r="F447" s="346"/>
      <c r="G447" s="346"/>
      <c r="H447" s="346"/>
      <c r="I447" s="346"/>
      <c r="J447" s="346"/>
      <c r="K447" s="346"/>
      <c r="L447" s="346"/>
      <c r="M447" s="346"/>
      <c r="N447" s="346"/>
      <c r="O447" s="346"/>
      <c r="P447" s="346"/>
      <c r="Q447" s="346"/>
      <c r="R447" s="346"/>
      <c r="S447" s="346"/>
      <c r="T447" s="346"/>
      <c r="U447" s="346"/>
      <c r="V447" s="346"/>
      <c r="W447" s="346"/>
      <c r="X447" s="346"/>
      <c r="Y447" s="346"/>
      <c r="Z447" s="346"/>
      <c r="AA447" s="346"/>
      <c r="AB447" s="346"/>
      <c r="AC447" s="346"/>
      <c r="AD447">
        <f>SUM(B447:AC447)</f>
        <v>0</v>
      </c>
      <c r="AE447" s="351">
        <f t="shared" si="52"/>
        <v>0</v>
      </c>
    </row>
    <row r="448" spans="1:31">
      <c r="A448" s="165">
        <f>'Conveyor Downtime (new)'!A454</f>
        <v>46254</v>
      </c>
      <c r="D448">
        <f>9+4</f>
        <v>13</v>
      </c>
      <c r="W448">
        <f>2</f>
        <v>2</v>
      </c>
      <c r="AD448">
        <f t="shared" si="51"/>
        <v>15</v>
      </c>
      <c r="AE448" s="351">
        <f t="shared" si="52"/>
        <v>2.5000000000000001E-2</v>
      </c>
    </row>
    <row r="449" spans="1:31" ht="12" customHeight="1">
      <c r="A449" s="165">
        <f>'Conveyor Downtime (new)'!A455</f>
        <v>46258</v>
      </c>
      <c r="B449" s="346"/>
      <c r="C449" s="346"/>
      <c r="D449" s="346"/>
      <c r="E449" s="346"/>
      <c r="F449" s="346"/>
      <c r="G449" s="346"/>
      <c r="H449" s="346"/>
      <c r="I449" s="346"/>
      <c r="J449" s="346"/>
      <c r="K449" s="346"/>
      <c r="L449" s="346"/>
      <c r="M449" s="346"/>
      <c r="N449" s="346"/>
      <c r="O449" s="346"/>
      <c r="P449" s="346"/>
      <c r="Q449" s="346"/>
      <c r="R449" s="346"/>
      <c r="S449" s="346"/>
      <c r="T449" s="346"/>
      <c r="U449" s="346"/>
      <c r="V449" s="346"/>
      <c r="W449" s="346"/>
      <c r="X449" s="346"/>
      <c r="Y449" s="346"/>
      <c r="Z449" s="346"/>
      <c r="AA449" s="346"/>
      <c r="AB449" s="346"/>
      <c r="AC449" s="346"/>
      <c r="AD449">
        <f t="shared" si="51"/>
        <v>0</v>
      </c>
      <c r="AE449" s="351">
        <f t="shared" si="52"/>
        <v>0</v>
      </c>
    </row>
    <row r="450" spans="1:31">
      <c r="A450" s="165">
        <f>'Conveyor Downtime (new)'!A456</f>
        <v>46258</v>
      </c>
      <c r="AD450">
        <f t="shared" si="51"/>
        <v>0</v>
      </c>
      <c r="AE450" s="351">
        <f t="shared" ref="AE450:AE478" si="53">AD450/$AD$182</f>
        <v>0</v>
      </c>
    </row>
    <row r="451" spans="1:31" ht="12" customHeight="1">
      <c r="A451" s="165">
        <f>'Conveyor Downtime (new)'!A457</f>
        <v>46259</v>
      </c>
      <c r="B451" s="346"/>
      <c r="C451" s="346"/>
      <c r="D451" s="346"/>
      <c r="E451" s="346">
        <f>3</f>
        <v>3</v>
      </c>
      <c r="F451" s="346"/>
      <c r="G451" s="346"/>
      <c r="H451" s="346"/>
      <c r="I451" s="346"/>
      <c r="J451" s="346"/>
      <c r="K451" s="346"/>
      <c r="L451" s="346"/>
      <c r="M451" s="346"/>
      <c r="N451" s="346"/>
      <c r="O451" s="346"/>
      <c r="P451" s="346"/>
      <c r="Q451" s="346"/>
      <c r="R451" s="346"/>
      <c r="S451" s="346"/>
      <c r="T451" s="346"/>
      <c r="U451" s="346"/>
      <c r="V451" s="346"/>
      <c r="W451" s="346"/>
      <c r="X451" s="346"/>
      <c r="Y451" s="346"/>
      <c r="Z451" s="346"/>
      <c r="AA451" s="346"/>
      <c r="AB451" s="346"/>
      <c r="AC451" s="346"/>
      <c r="AD451">
        <f t="shared" si="51"/>
        <v>3</v>
      </c>
      <c r="AE451" s="351">
        <f t="shared" si="53"/>
        <v>5.0000000000000001E-3</v>
      </c>
    </row>
    <row r="452" spans="1:31">
      <c r="A452" s="165">
        <f>'Conveyor Downtime (new)'!A458</f>
        <v>46259</v>
      </c>
      <c r="AD452">
        <f t="shared" si="51"/>
        <v>0</v>
      </c>
      <c r="AE452" s="351">
        <f t="shared" si="53"/>
        <v>0</v>
      </c>
    </row>
    <row r="453" spans="1:31" ht="12" customHeight="1">
      <c r="A453" s="165">
        <f>'Conveyor Downtime (new)'!A459</f>
        <v>46260</v>
      </c>
      <c r="B453" s="346"/>
      <c r="C453" s="346"/>
      <c r="D453" s="346"/>
      <c r="E453" s="346"/>
      <c r="F453" s="346"/>
      <c r="G453" s="346"/>
      <c r="H453" s="346"/>
      <c r="I453" s="346"/>
      <c r="J453" s="346"/>
      <c r="K453" s="346"/>
      <c r="L453" s="346"/>
      <c r="M453" s="346"/>
      <c r="N453" s="346"/>
      <c r="O453" s="346"/>
      <c r="P453" s="346"/>
      <c r="Q453" s="346"/>
      <c r="R453" s="346"/>
      <c r="S453" s="346"/>
      <c r="T453" s="346"/>
      <c r="U453" s="346"/>
      <c r="V453" s="346"/>
      <c r="W453" s="346"/>
      <c r="X453" s="346"/>
      <c r="Y453" s="346"/>
      <c r="Z453" s="346"/>
      <c r="AA453" s="346"/>
      <c r="AB453" s="346"/>
      <c r="AC453" s="346"/>
      <c r="AD453">
        <f t="shared" si="51"/>
        <v>0</v>
      </c>
      <c r="AE453" s="351">
        <f t="shared" si="53"/>
        <v>0</v>
      </c>
    </row>
    <row r="454" spans="1:31">
      <c r="A454" s="165">
        <f>'Conveyor Downtime (new)'!A460</f>
        <v>46260</v>
      </c>
      <c r="AD454">
        <f t="shared" si="51"/>
        <v>0</v>
      </c>
      <c r="AE454" s="351">
        <f t="shared" si="53"/>
        <v>0</v>
      </c>
    </row>
    <row r="455" spans="1:31" ht="12" customHeight="1">
      <c r="A455" s="165">
        <f>'Conveyor Downtime (new)'!A461</f>
        <v>46261</v>
      </c>
      <c r="B455" s="346"/>
      <c r="C455" s="346"/>
      <c r="D455" s="346"/>
      <c r="E455" s="346"/>
      <c r="F455" s="346"/>
      <c r="G455" s="346"/>
      <c r="H455" s="346"/>
      <c r="I455" s="346"/>
      <c r="J455" s="346"/>
      <c r="K455" s="346"/>
      <c r="L455" s="346"/>
      <c r="M455" s="346"/>
      <c r="N455" s="346"/>
      <c r="O455" s="346"/>
      <c r="P455" s="346"/>
      <c r="Q455" s="346"/>
      <c r="R455" s="346"/>
      <c r="S455" s="346"/>
      <c r="T455" s="346"/>
      <c r="U455" s="346"/>
      <c r="V455" s="346"/>
      <c r="W455" s="346"/>
      <c r="X455" s="346"/>
      <c r="Y455" s="346"/>
      <c r="Z455" s="346"/>
      <c r="AA455" s="346"/>
      <c r="AB455" s="346"/>
      <c r="AC455" s="346"/>
      <c r="AD455">
        <f t="shared" si="51"/>
        <v>0</v>
      </c>
      <c r="AE455" s="351">
        <f t="shared" si="53"/>
        <v>0</v>
      </c>
    </row>
    <row r="456" spans="1:31">
      <c r="A456" s="165">
        <f>'Conveyor Downtime (new)'!A462</f>
        <v>46261</v>
      </c>
      <c r="D456">
        <f>4+7+2</f>
        <v>13</v>
      </c>
      <c r="AD456">
        <f t="shared" si="51"/>
        <v>13</v>
      </c>
      <c r="AE456" s="351">
        <f t="shared" si="53"/>
        <v>2.1666666666666667E-2</v>
      </c>
    </row>
    <row r="457" spans="1:31">
      <c r="A457" s="165">
        <f>'Conveyor Downtime (new)'!A463</f>
        <v>46261</v>
      </c>
      <c r="AD457">
        <f t="shared" si="51"/>
        <v>0</v>
      </c>
      <c r="AE457" s="351">
        <f t="shared" si="53"/>
        <v>0</v>
      </c>
    </row>
    <row r="458" spans="1:31">
      <c r="A458" s="165">
        <f>'Conveyor Downtime (new)'!A464</f>
        <v>46262</v>
      </c>
      <c r="B458" s="346"/>
      <c r="C458" s="346"/>
      <c r="D458" s="346"/>
      <c r="E458" s="346"/>
      <c r="F458" s="346"/>
      <c r="G458" s="346"/>
      <c r="H458" s="346"/>
      <c r="I458" s="346"/>
      <c r="J458" s="346"/>
      <c r="K458" s="346"/>
      <c r="L458" s="346"/>
      <c r="M458" s="346"/>
      <c r="N458" s="346"/>
      <c r="O458" s="346"/>
      <c r="P458" s="346"/>
      <c r="Q458" s="346"/>
      <c r="R458" s="346"/>
      <c r="S458" s="346"/>
      <c r="T458" s="346"/>
      <c r="U458" s="346"/>
      <c r="V458" s="346"/>
      <c r="W458" s="346"/>
      <c r="X458" s="346"/>
      <c r="Y458" s="346"/>
      <c r="Z458" s="346"/>
      <c r="AA458" s="346"/>
      <c r="AB458" s="346"/>
      <c r="AC458" s="346"/>
      <c r="AD458">
        <f t="shared" si="51"/>
        <v>0</v>
      </c>
      <c r="AE458" s="351">
        <f t="shared" si="53"/>
        <v>0</v>
      </c>
    </row>
    <row r="459" spans="1:31">
      <c r="A459" s="165">
        <f>'Conveyor Downtime (new)'!A465</f>
        <v>46262</v>
      </c>
      <c r="AD459">
        <f t="shared" si="51"/>
        <v>0</v>
      </c>
      <c r="AE459" s="351">
        <f t="shared" si="53"/>
        <v>0</v>
      </c>
    </row>
    <row r="460" spans="1:31">
      <c r="A460" s="165">
        <f>'Conveyor Downtime (new)'!A466</f>
        <v>46262</v>
      </c>
      <c r="B460" s="346"/>
      <c r="C460" s="346"/>
      <c r="D460" s="346"/>
      <c r="E460" s="346"/>
      <c r="F460" s="346"/>
      <c r="G460" s="346"/>
      <c r="H460" s="346"/>
      <c r="I460" s="346"/>
      <c r="J460" s="346"/>
      <c r="K460" s="346"/>
      <c r="L460" s="346"/>
      <c r="M460" s="346"/>
      <c r="N460" s="346"/>
      <c r="O460" s="346"/>
      <c r="P460" s="346"/>
      <c r="Q460" s="346"/>
      <c r="R460" s="346"/>
      <c r="S460" s="346"/>
      <c r="T460" s="346"/>
      <c r="U460" s="346"/>
      <c r="V460" s="346"/>
      <c r="W460" s="346"/>
      <c r="X460" s="346"/>
      <c r="Y460" s="346"/>
      <c r="Z460" s="346"/>
      <c r="AA460" s="346"/>
      <c r="AB460" s="346"/>
      <c r="AC460" s="346"/>
      <c r="AD460">
        <f t="shared" ref="AD460:AD478" si="54">SUM(B460:AC460)</f>
        <v>0</v>
      </c>
      <c r="AE460" s="351">
        <f t="shared" si="53"/>
        <v>0</v>
      </c>
    </row>
    <row r="461" spans="1:31">
      <c r="A461" s="165">
        <f>'Conveyor Downtime (new)'!A467</f>
        <v>46262</v>
      </c>
      <c r="AD461">
        <f t="shared" si="54"/>
        <v>0</v>
      </c>
      <c r="AE461" s="351">
        <f t="shared" si="53"/>
        <v>0</v>
      </c>
    </row>
    <row r="462" spans="1:31">
      <c r="A462" s="165">
        <f>'Conveyor Downtime (new)'!A468</f>
        <v>46265</v>
      </c>
      <c r="B462" s="346"/>
      <c r="C462" s="346"/>
      <c r="D462" s="346"/>
      <c r="E462" s="346"/>
      <c r="F462" s="346"/>
      <c r="G462" s="346"/>
      <c r="H462" s="346"/>
      <c r="I462" s="346"/>
      <c r="J462" s="346"/>
      <c r="K462" s="346"/>
      <c r="L462" s="346"/>
      <c r="M462" s="346"/>
      <c r="N462" s="346"/>
      <c r="O462" s="346"/>
      <c r="P462" s="346"/>
      <c r="Q462" s="346"/>
      <c r="R462" s="346"/>
      <c r="S462" s="346"/>
      <c r="T462" s="346"/>
      <c r="U462" s="346"/>
      <c r="V462" s="346"/>
      <c r="W462" s="346"/>
      <c r="X462" s="346"/>
      <c r="Y462" s="346"/>
      <c r="Z462" s="346"/>
      <c r="AA462" s="346"/>
      <c r="AB462" s="346"/>
      <c r="AC462" s="346"/>
      <c r="AD462">
        <f t="shared" si="54"/>
        <v>0</v>
      </c>
      <c r="AE462" s="351">
        <f t="shared" si="53"/>
        <v>0</v>
      </c>
    </row>
    <row r="463" spans="1:31">
      <c r="A463" s="165"/>
      <c r="AD463">
        <f t="shared" si="54"/>
        <v>0</v>
      </c>
      <c r="AE463" s="351">
        <f t="shared" si="53"/>
        <v>0</v>
      </c>
    </row>
    <row r="464" spans="1:31">
      <c r="A464" s="165"/>
      <c r="B464" s="346"/>
      <c r="C464" s="346"/>
      <c r="D464" s="346"/>
      <c r="E464" s="346"/>
      <c r="F464" s="346"/>
      <c r="G464" s="346"/>
      <c r="H464" s="346"/>
      <c r="I464" s="346"/>
      <c r="J464" s="346"/>
      <c r="K464" s="346"/>
      <c r="L464" s="346"/>
      <c r="M464" s="346"/>
      <c r="N464" s="346"/>
      <c r="O464" s="346"/>
      <c r="P464" s="346"/>
      <c r="Q464" s="346"/>
      <c r="R464" s="346"/>
      <c r="S464" s="346"/>
      <c r="T464" s="346"/>
      <c r="U464" s="346"/>
      <c r="V464" s="346"/>
      <c r="W464" s="346"/>
      <c r="X464" s="346"/>
      <c r="Y464" s="346"/>
      <c r="Z464" s="346"/>
      <c r="AA464" s="346"/>
      <c r="AB464" s="346"/>
      <c r="AC464" s="346"/>
      <c r="AD464">
        <f t="shared" si="54"/>
        <v>0</v>
      </c>
      <c r="AE464" s="351">
        <f t="shared" si="53"/>
        <v>0</v>
      </c>
    </row>
    <row r="465" spans="1:31">
      <c r="A465" s="165"/>
      <c r="AD465">
        <f t="shared" si="54"/>
        <v>0</v>
      </c>
      <c r="AE465" s="351">
        <f t="shared" si="53"/>
        <v>0</v>
      </c>
    </row>
    <row r="466" spans="1:31">
      <c r="A466" s="165"/>
      <c r="B466" s="346"/>
      <c r="C466" s="346"/>
      <c r="D466" s="346"/>
      <c r="E466" s="346"/>
      <c r="F466" s="346"/>
      <c r="G466" s="346"/>
      <c r="H466" s="346"/>
      <c r="I466" s="346"/>
      <c r="J466" s="346"/>
      <c r="K466" s="346"/>
      <c r="L466" s="346"/>
      <c r="M466" s="346"/>
      <c r="N466" s="346"/>
      <c r="O466" s="346"/>
      <c r="P466" s="346"/>
      <c r="Q466" s="346"/>
      <c r="R466" s="346"/>
      <c r="S466" s="346"/>
      <c r="T466" s="346"/>
      <c r="U466" s="346"/>
      <c r="V466" s="346"/>
      <c r="W466" s="346"/>
      <c r="X466" s="346"/>
      <c r="Y466" s="346"/>
      <c r="Z466" s="346"/>
      <c r="AA466" s="346"/>
      <c r="AB466" s="346"/>
      <c r="AC466" s="346"/>
      <c r="AD466">
        <f t="shared" si="54"/>
        <v>0</v>
      </c>
      <c r="AE466" s="351">
        <f t="shared" si="53"/>
        <v>0</v>
      </c>
    </row>
    <row r="467" spans="1:31">
      <c r="A467" s="165"/>
      <c r="AD467">
        <f t="shared" si="54"/>
        <v>0</v>
      </c>
      <c r="AE467" s="351">
        <f t="shared" si="53"/>
        <v>0</v>
      </c>
    </row>
    <row r="468" spans="1:31">
      <c r="A468" s="165"/>
      <c r="B468" s="346"/>
      <c r="C468" s="346"/>
      <c r="D468" s="346"/>
      <c r="E468" s="346"/>
      <c r="F468" s="346"/>
      <c r="G468" s="346"/>
      <c r="H468" s="346"/>
      <c r="I468" s="346"/>
      <c r="J468" s="346"/>
      <c r="K468" s="346"/>
      <c r="L468" s="346"/>
      <c r="M468" s="346"/>
      <c r="N468" s="346"/>
      <c r="O468" s="346"/>
      <c r="P468" s="346"/>
      <c r="Q468" s="346"/>
      <c r="R468" s="346"/>
      <c r="S468" s="346"/>
      <c r="T468" s="346"/>
      <c r="U468" s="346"/>
      <c r="V468" s="346"/>
      <c r="W468" s="346"/>
      <c r="X468" s="346"/>
      <c r="Y468" s="346"/>
      <c r="Z468" s="346"/>
      <c r="AA468" s="346"/>
      <c r="AB468" s="346"/>
      <c r="AC468" s="346"/>
      <c r="AD468">
        <f t="shared" si="54"/>
        <v>0</v>
      </c>
      <c r="AE468" s="351">
        <f t="shared" si="53"/>
        <v>0</v>
      </c>
    </row>
    <row r="469" spans="1:31">
      <c r="A469" s="165"/>
      <c r="AD469">
        <f t="shared" si="54"/>
        <v>0</v>
      </c>
      <c r="AE469" s="351">
        <f t="shared" si="53"/>
        <v>0</v>
      </c>
    </row>
    <row r="470" spans="1:31">
      <c r="A470" s="165"/>
      <c r="B470" s="346"/>
      <c r="C470" s="346"/>
      <c r="D470" s="346"/>
      <c r="E470" s="346"/>
      <c r="F470" s="346"/>
      <c r="G470" s="346"/>
      <c r="H470" s="346"/>
      <c r="I470" s="346"/>
      <c r="J470" s="346"/>
      <c r="K470" s="346"/>
      <c r="L470" s="346"/>
      <c r="M470" s="346"/>
      <c r="N470" s="346"/>
      <c r="O470" s="346"/>
      <c r="P470" s="346"/>
      <c r="Q470" s="346"/>
      <c r="R470" s="346"/>
      <c r="S470" s="346"/>
      <c r="T470" s="346"/>
      <c r="U470" s="346"/>
      <c r="V470" s="346"/>
      <c r="W470" s="346"/>
      <c r="X470" s="346"/>
      <c r="Y470" s="346"/>
      <c r="Z470" s="346"/>
      <c r="AA470" s="346"/>
      <c r="AB470" s="346"/>
      <c r="AC470" s="346"/>
      <c r="AD470">
        <f t="shared" si="54"/>
        <v>0</v>
      </c>
      <c r="AE470" s="351">
        <f t="shared" si="53"/>
        <v>0</v>
      </c>
    </row>
    <row r="471" spans="1:31">
      <c r="A471" s="165"/>
      <c r="AD471">
        <f t="shared" si="54"/>
        <v>0</v>
      </c>
      <c r="AE471" s="351">
        <f t="shared" si="53"/>
        <v>0</v>
      </c>
    </row>
    <row r="472" spans="1:31">
      <c r="A472" s="165"/>
      <c r="B472" s="346"/>
      <c r="C472" s="346"/>
      <c r="D472" s="346"/>
      <c r="E472" s="346"/>
      <c r="F472" s="346"/>
      <c r="G472" s="346"/>
      <c r="H472" s="346"/>
      <c r="I472" s="346"/>
      <c r="J472" s="346"/>
      <c r="K472" s="346"/>
      <c r="L472" s="346"/>
      <c r="M472" s="346"/>
      <c r="N472" s="346"/>
      <c r="O472" s="346"/>
      <c r="P472" s="346"/>
      <c r="Q472" s="346"/>
      <c r="R472" s="346"/>
      <c r="S472" s="346"/>
      <c r="T472" s="346"/>
      <c r="U472" s="346"/>
      <c r="V472" s="346"/>
      <c r="W472" s="346"/>
      <c r="X472" s="346"/>
      <c r="Y472" s="346"/>
      <c r="Z472" s="346"/>
      <c r="AA472" s="346"/>
      <c r="AB472" s="346"/>
      <c r="AC472" s="346"/>
      <c r="AD472">
        <f t="shared" si="54"/>
        <v>0</v>
      </c>
      <c r="AE472" s="351">
        <f t="shared" si="53"/>
        <v>0</v>
      </c>
    </row>
    <row r="473" spans="1:31">
      <c r="A473" s="165"/>
      <c r="AD473">
        <f t="shared" si="54"/>
        <v>0</v>
      </c>
      <c r="AE473" s="351">
        <f t="shared" si="53"/>
        <v>0</v>
      </c>
    </row>
    <row r="474" spans="1:31">
      <c r="A474" s="165"/>
      <c r="B474" s="346"/>
      <c r="C474" s="346"/>
      <c r="D474" s="346"/>
      <c r="E474" s="346"/>
      <c r="F474" s="346"/>
      <c r="G474" s="346"/>
      <c r="H474" s="346"/>
      <c r="I474" s="346"/>
      <c r="J474" s="346"/>
      <c r="K474" s="346"/>
      <c r="L474" s="346"/>
      <c r="M474" s="346"/>
      <c r="N474" s="346"/>
      <c r="O474" s="346"/>
      <c r="P474" s="346"/>
      <c r="Q474" s="346"/>
      <c r="R474" s="346"/>
      <c r="S474" s="346"/>
      <c r="T474" s="346"/>
      <c r="U474" s="346"/>
      <c r="V474" s="346"/>
      <c r="W474" s="346"/>
      <c r="X474" s="346"/>
      <c r="Y474" s="346"/>
      <c r="Z474" s="346"/>
      <c r="AA474" s="346"/>
      <c r="AB474" s="346"/>
      <c r="AC474" s="346"/>
      <c r="AD474">
        <f t="shared" si="54"/>
        <v>0</v>
      </c>
      <c r="AE474" s="351">
        <f t="shared" si="53"/>
        <v>0</v>
      </c>
    </row>
    <row r="475" spans="1:31">
      <c r="A475" s="165"/>
      <c r="AD475">
        <f t="shared" si="54"/>
        <v>0</v>
      </c>
      <c r="AE475" s="351">
        <f t="shared" si="53"/>
        <v>0</v>
      </c>
    </row>
    <row r="476" spans="1:31">
      <c r="A476" s="165"/>
      <c r="B476" s="346"/>
      <c r="C476" s="346"/>
      <c r="D476" s="346"/>
      <c r="E476" s="346"/>
      <c r="F476" s="346"/>
      <c r="G476" s="346"/>
      <c r="H476" s="346"/>
      <c r="I476" s="346"/>
      <c r="J476" s="346"/>
      <c r="K476" s="346"/>
      <c r="L476" s="346"/>
      <c r="M476" s="346"/>
      <c r="N476" s="346"/>
      <c r="O476" s="346"/>
      <c r="P476" s="346"/>
      <c r="Q476" s="346"/>
      <c r="R476" s="346"/>
      <c r="S476" s="346"/>
      <c r="T476" s="346"/>
      <c r="U476" s="346"/>
      <c r="V476" s="346"/>
      <c r="W476" s="346"/>
      <c r="X476" s="346"/>
      <c r="Y476" s="346"/>
      <c r="Z476" s="346"/>
      <c r="AA476" s="346"/>
      <c r="AB476" s="346"/>
      <c r="AC476" s="346"/>
      <c r="AD476">
        <f t="shared" si="54"/>
        <v>0</v>
      </c>
      <c r="AE476" s="351">
        <f t="shared" si="53"/>
        <v>0</v>
      </c>
    </row>
    <row r="477" spans="1:31">
      <c r="A477" s="165"/>
      <c r="AD477">
        <f t="shared" si="54"/>
        <v>0</v>
      </c>
      <c r="AE477" s="351">
        <f t="shared" si="53"/>
        <v>0</v>
      </c>
    </row>
    <row r="478" spans="1:31">
      <c r="A478" s="165"/>
      <c r="B478" s="346"/>
      <c r="C478" s="346"/>
      <c r="D478" s="346"/>
      <c r="E478" s="346"/>
      <c r="F478" s="346"/>
      <c r="G478" s="346"/>
      <c r="H478" s="346"/>
      <c r="I478" s="346"/>
      <c r="J478" s="346"/>
      <c r="K478" s="346"/>
      <c r="L478" s="346"/>
      <c r="M478" s="346"/>
      <c r="N478" s="346"/>
      <c r="O478" s="346"/>
      <c r="P478" s="346"/>
      <c r="Q478" s="346"/>
      <c r="R478" s="346"/>
      <c r="S478" s="346"/>
      <c r="T478" s="346"/>
      <c r="U478" s="346"/>
      <c r="V478" s="346"/>
      <c r="W478" s="346"/>
      <c r="X478" s="346"/>
      <c r="Y478" s="346"/>
      <c r="Z478" s="346"/>
      <c r="AA478" s="346"/>
      <c r="AB478" s="346"/>
      <c r="AC478" s="346"/>
      <c r="AD478">
        <f t="shared" si="54"/>
        <v>0</v>
      </c>
      <c r="AE478" s="351">
        <f t="shared" si="53"/>
        <v>0</v>
      </c>
    </row>
    <row r="479" spans="1:31" ht="15">
      <c r="A479" s="347" t="s">
        <v>173</v>
      </c>
      <c r="B479" s="347">
        <f t="shared" ref="B479:AC479" si="55">SUM(B427:B478)</f>
        <v>0</v>
      </c>
      <c r="C479" s="347">
        <f t="shared" si="55"/>
        <v>0</v>
      </c>
      <c r="D479" s="347">
        <f t="shared" si="55"/>
        <v>53</v>
      </c>
      <c r="E479" s="347">
        <f t="shared" si="55"/>
        <v>16</v>
      </c>
      <c r="F479" s="347">
        <f t="shared" si="55"/>
        <v>0</v>
      </c>
      <c r="G479" s="347">
        <f t="shared" si="55"/>
        <v>0</v>
      </c>
      <c r="H479" s="347">
        <f t="shared" si="55"/>
        <v>0</v>
      </c>
      <c r="I479" s="347">
        <f t="shared" si="55"/>
        <v>0</v>
      </c>
      <c r="J479" s="347">
        <f t="shared" si="55"/>
        <v>0</v>
      </c>
      <c r="K479" s="347">
        <f t="shared" si="55"/>
        <v>61</v>
      </c>
      <c r="L479" s="347">
        <f t="shared" si="55"/>
        <v>0</v>
      </c>
      <c r="M479" s="347">
        <f t="shared" si="55"/>
        <v>0</v>
      </c>
      <c r="N479" s="347">
        <f t="shared" si="55"/>
        <v>0</v>
      </c>
      <c r="O479" s="347">
        <f t="shared" si="55"/>
        <v>8</v>
      </c>
      <c r="P479" s="347">
        <f t="shared" si="55"/>
        <v>0</v>
      </c>
      <c r="Q479" s="347">
        <f t="shared" si="55"/>
        <v>7</v>
      </c>
      <c r="R479" s="347">
        <f t="shared" si="55"/>
        <v>0</v>
      </c>
      <c r="S479" s="347">
        <f t="shared" si="55"/>
        <v>0</v>
      </c>
      <c r="T479" s="347">
        <f t="shared" si="55"/>
        <v>0</v>
      </c>
      <c r="U479" s="347">
        <f t="shared" si="55"/>
        <v>0</v>
      </c>
      <c r="V479" s="347">
        <f t="shared" si="55"/>
        <v>0</v>
      </c>
      <c r="W479" s="347">
        <f t="shared" si="55"/>
        <v>2</v>
      </c>
      <c r="X479" s="347">
        <f t="shared" si="55"/>
        <v>0</v>
      </c>
      <c r="Y479" s="347">
        <f t="shared" si="55"/>
        <v>0</v>
      </c>
      <c r="Z479" s="347">
        <f t="shared" si="55"/>
        <v>0</v>
      </c>
      <c r="AA479" s="347">
        <f t="shared" si="55"/>
        <v>0</v>
      </c>
      <c r="AB479" s="347">
        <f t="shared" si="55"/>
        <v>0</v>
      </c>
      <c r="AC479" s="347">
        <f t="shared" si="55"/>
        <v>0</v>
      </c>
      <c r="AD479" s="347">
        <f>SUM(AD427:AD478)</f>
        <v>147</v>
      </c>
    </row>
    <row r="480" spans="1:31" ht="15.75" thickBot="1">
      <c r="A480" s="348" t="s">
        <v>174</v>
      </c>
      <c r="B480" s="348">
        <f t="shared" ref="B480:AC480" si="56">B479/$AD479</f>
        <v>0</v>
      </c>
      <c r="C480" s="348">
        <f t="shared" si="56"/>
        <v>0</v>
      </c>
      <c r="D480" s="348">
        <f t="shared" si="56"/>
        <v>0.36054421768707484</v>
      </c>
      <c r="E480" s="348">
        <f t="shared" si="56"/>
        <v>0.10884353741496598</v>
      </c>
      <c r="F480" s="348">
        <f t="shared" si="56"/>
        <v>0</v>
      </c>
      <c r="G480" s="348">
        <f t="shared" si="56"/>
        <v>0</v>
      </c>
      <c r="H480" s="348">
        <f t="shared" si="56"/>
        <v>0</v>
      </c>
      <c r="I480" s="348">
        <f t="shared" si="56"/>
        <v>0</v>
      </c>
      <c r="J480" s="348">
        <f t="shared" si="56"/>
        <v>0</v>
      </c>
      <c r="K480" s="348">
        <f t="shared" si="56"/>
        <v>0.41496598639455784</v>
      </c>
      <c r="L480" s="348">
        <f t="shared" si="56"/>
        <v>0</v>
      </c>
      <c r="M480" s="348">
        <f t="shared" si="56"/>
        <v>0</v>
      </c>
      <c r="N480" s="348">
        <f t="shared" si="56"/>
        <v>0</v>
      </c>
      <c r="O480" s="348">
        <f t="shared" si="56"/>
        <v>5.4421768707482991E-2</v>
      </c>
      <c r="P480" s="348">
        <f t="shared" si="56"/>
        <v>0</v>
      </c>
      <c r="Q480" s="348">
        <f t="shared" si="56"/>
        <v>4.7619047619047616E-2</v>
      </c>
      <c r="R480" s="348">
        <f t="shared" si="56"/>
        <v>0</v>
      </c>
      <c r="S480" s="348">
        <f t="shared" si="56"/>
        <v>0</v>
      </c>
      <c r="T480" s="348">
        <f t="shared" si="56"/>
        <v>0</v>
      </c>
      <c r="U480" s="348">
        <f t="shared" si="56"/>
        <v>0</v>
      </c>
      <c r="V480" s="348">
        <f t="shared" si="56"/>
        <v>0</v>
      </c>
      <c r="W480" s="348">
        <f t="shared" si="56"/>
        <v>1.3605442176870748E-2</v>
      </c>
      <c r="X480" s="348">
        <f t="shared" si="56"/>
        <v>0</v>
      </c>
      <c r="Y480" s="348">
        <f t="shared" si="56"/>
        <v>0</v>
      </c>
      <c r="Z480" s="348">
        <f t="shared" si="56"/>
        <v>0</v>
      </c>
      <c r="AA480" s="348">
        <f t="shared" si="56"/>
        <v>0</v>
      </c>
      <c r="AB480" s="348">
        <f t="shared" si="56"/>
        <v>0</v>
      </c>
      <c r="AC480" s="348">
        <f t="shared" si="56"/>
        <v>0</v>
      </c>
      <c r="AD480" s="351"/>
    </row>
    <row r="484" spans="1:31">
      <c r="A484" s="165">
        <f>'Conveyor Downtime (new)'!A494</f>
        <v>46266</v>
      </c>
      <c r="B484" s="346"/>
      <c r="C484" s="346"/>
      <c r="D484" s="346"/>
      <c r="E484" s="346"/>
      <c r="F484" s="346"/>
      <c r="G484" s="346"/>
      <c r="H484" s="346"/>
      <c r="I484" s="346"/>
      <c r="J484" s="346"/>
      <c r="K484" s="346"/>
      <c r="L484" s="346"/>
      <c r="M484" s="346"/>
      <c r="N484" s="346"/>
      <c r="O484" s="346"/>
      <c r="P484" s="346"/>
      <c r="Q484" s="346"/>
      <c r="R484" s="346"/>
      <c r="S484" s="346"/>
      <c r="T484" s="346"/>
      <c r="U484" s="346"/>
      <c r="V484" s="346"/>
      <c r="W484" s="346"/>
      <c r="X484" s="346"/>
      <c r="Y484" s="346"/>
      <c r="Z484" s="346"/>
      <c r="AA484" s="346"/>
      <c r="AB484" s="346"/>
      <c r="AC484" s="346"/>
      <c r="AD484">
        <f t="shared" ref="AD484:AD533" si="57">SUM(B484:AC484)</f>
        <v>0</v>
      </c>
      <c r="AE484" s="351">
        <f t="shared" ref="AE484:AE497" si="58">AD484/$AD$182</f>
        <v>0</v>
      </c>
    </row>
    <row r="485" spans="1:31">
      <c r="A485" s="165">
        <f>'Conveyor Downtime (new)'!A495</f>
        <v>46266</v>
      </c>
      <c r="D485">
        <f>4</f>
        <v>4</v>
      </c>
      <c r="E485">
        <v>25</v>
      </c>
      <c r="AD485">
        <f t="shared" si="57"/>
        <v>29</v>
      </c>
      <c r="AE485" s="351">
        <f t="shared" si="58"/>
        <v>4.8333333333333332E-2</v>
      </c>
    </row>
    <row r="486" spans="1:31">
      <c r="A486" s="165">
        <f>'Conveyor Downtime (new)'!A496</f>
        <v>46267</v>
      </c>
      <c r="B486" s="346"/>
      <c r="C486" s="346"/>
      <c r="D486" s="346">
        <f>2+10</f>
        <v>12</v>
      </c>
      <c r="E486" s="346"/>
      <c r="F486" s="346"/>
      <c r="G486" s="346"/>
      <c r="H486" s="346"/>
      <c r="I486" s="346"/>
      <c r="J486" s="346"/>
      <c r="K486" s="346"/>
      <c r="L486" s="346"/>
      <c r="M486" s="346"/>
      <c r="N486" s="346"/>
      <c r="O486" s="346"/>
      <c r="P486" s="346"/>
      <c r="Q486" s="346"/>
      <c r="R486" s="346"/>
      <c r="S486" s="346"/>
      <c r="T486" s="346"/>
      <c r="U486" s="346"/>
      <c r="V486" s="346"/>
      <c r="W486" s="346"/>
      <c r="X486" s="346"/>
      <c r="Y486" s="346"/>
      <c r="Z486" s="346"/>
      <c r="AA486" s="346"/>
      <c r="AB486" s="346"/>
      <c r="AC486" s="346"/>
      <c r="AD486">
        <f t="shared" si="57"/>
        <v>12</v>
      </c>
      <c r="AE486" s="351">
        <f t="shared" si="58"/>
        <v>0.02</v>
      </c>
    </row>
    <row r="487" spans="1:31">
      <c r="A487" s="165">
        <f>'Conveyor Downtime (new)'!A497</f>
        <v>46267</v>
      </c>
      <c r="AD487">
        <f t="shared" si="57"/>
        <v>0</v>
      </c>
      <c r="AE487" s="351">
        <f t="shared" si="58"/>
        <v>0</v>
      </c>
    </row>
    <row r="488" spans="1:31">
      <c r="A488" s="165">
        <f>'Conveyor Downtime (new)'!A498</f>
        <v>46267</v>
      </c>
      <c r="B488" s="346"/>
      <c r="C488" s="346"/>
      <c r="D488" s="346"/>
      <c r="E488" s="346"/>
      <c r="F488" s="346"/>
      <c r="G488" s="346"/>
      <c r="H488" s="346"/>
      <c r="I488" s="346"/>
      <c r="J488" s="346"/>
      <c r="K488" s="346"/>
      <c r="L488" s="346"/>
      <c r="M488" s="346"/>
      <c r="N488" s="346"/>
      <c r="O488" s="346"/>
      <c r="P488" s="346"/>
      <c r="Q488" s="346"/>
      <c r="R488" s="346"/>
      <c r="S488" s="346"/>
      <c r="T488" s="346"/>
      <c r="U488" s="346"/>
      <c r="V488" s="346"/>
      <c r="W488" s="346"/>
      <c r="X488" s="346"/>
      <c r="Y488" s="346"/>
      <c r="Z488" s="346"/>
      <c r="AA488" s="346"/>
      <c r="AB488" s="346"/>
      <c r="AC488" s="346"/>
      <c r="AD488">
        <f t="shared" si="57"/>
        <v>0</v>
      </c>
      <c r="AE488" s="351">
        <f t="shared" si="58"/>
        <v>0</v>
      </c>
    </row>
    <row r="489" spans="1:31">
      <c r="A489" s="165">
        <f>'Conveyor Downtime (new)'!A499</f>
        <v>46268</v>
      </c>
      <c r="AD489">
        <f t="shared" si="57"/>
        <v>0</v>
      </c>
      <c r="AE489" s="351">
        <f t="shared" si="58"/>
        <v>0</v>
      </c>
    </row>
    <row r="490" spans="1:31">
      <c r="A490" s="165">
        <f>'Conveyor Downtime (new)'!A500</f>
        <v>46268</v>
      </c>
      <c r="B490" s="346"/>
      <c r="C490" s="346"/>
      <c r="D490" s="346">
        <f>4+4</f>
        <v>8</v>
      </c>
      <c r="E490" s="346"/>
      <c r="F490" s="346"/>
      <c r="G490" s="346"/>
      <c r="H490" s="346"/>
      <c r="I490" s="346"/>
      <c r="J490" s="346"/>
      <c r="K490" s="346"/>
      <c r="L490" s="346"/>
      <c r="M490" s="346"/>
      <c r="N490" s="346"/>
      <c r="O490" s="346"/>
      <c r="P490" s="346"/>
      <c r="Q490" s="346"/>
      <c r="R490" s="346"/>
      <c r="S490" s="346"/>
      <c r="T490" s="346"/>
      <c r="U490" s="346"/>
      <c r="V490" s="346"/>
      <c r="W490" s="346"/>
      <c r="X490" s="346"/>
      <c r="Y490" s="346">
        <f>3</f>
        <v>3</v>
      </c>
      <c r="Z490" s="346"/>
      <c r="AA490" s="346"/>
      <c r="AB490" s="346"/>
      <c r="AC490" s="346"/>
      <c r="AD490">
        <f t="shared" si="57"/>
        <v>11</v>
      </c>
      <c r="AE490" s="351">
        <f t="shared" si="58"/>
        <v>1.8333333333333333E-2</v>
      </c>
    </row>
    <row r="491" spans="1:31">
      <c r="A491" s="165">
        <f>'Conveyor Downtime (new)'!A501</f>
        <v>46268</v>
      </c>
      <c r="AD491">
        <f t="shared" si="57"/>
        <v>0</v>
      </c>
      <c r="AE491" s="351">
        <f t="shared" si="58"/>
        <v>0</v>
      </c>
    </row>
    <row r="492" spans="1:31">
      <c r="A492" s="165">
        <f>'Conveyor Downtime (new)'!A502</f>
        <v>46269</v>
      </c>
      <c r="B492" s="346"/>
      <c r="C492" s="346"/>
      <c r="D492" s="346"/>
      <c r="E492" s="346"/>
      <c r="F492" s="346"/>
      <c r="G492" s="346"/>
      <c r="H492" s="346"/>
      <c r="I492" s="346"/>
      <c r="J492" s="346"/>
      <c r="K492" s="346"/>
      <c r="L492" s="346"/>
      <c r="M492" s="346"/>
      <c r="N492" s="346"/>
      <c r="O492" s="346"/>
      <c r="P492" s="346"/>
      <c r="Q492" s="346"/>
      <c r="R492" s="346"/>
      <c r="S492" s="346"/>
      <c r="T492" s="346"/>
      <c r="U492" s="346"/>
      <c r="V492" s="346"/>
      <c r="W492" s="346"/>
      <c r="X492" s="346"/>
      <c r="Y492" s="346"/>
      <c r="Z492" s="346"/>
      <c r="AA492" s="346"/>
      <c r="AB492" s="346"/>
      <c r="AC492" s="346"/>
      <c r="AD492">
        <f t="shared" si="57"/>
        <v>0</v>
      </c>
      <c r="AE492" s="351">
        <f t="shared" si="58"/>
        <v>0</v>
      </c>
    </row>
    <row r="493" spans="1:31">
      <c r="A493" s="165">
        <f>'Conveyor Downtime (new)'!A503</f>
        <v>46273</v>
      </c>
      <c r="D493">
        <v>50</v>
      </c>
      <c r="AD493">
        <f t="shared" si="57"/>
        <v>50</v>
      </c>
      <c r="AE493" s="351">
        <f t="shared" si="58"/>
        <v>8.3333333333333329E-2</v>
      </c>
    </row>
    <row r="494" spans="1:31">
      <c r="A494" s="165">
        <f>'Conveyor Downtime (new)'!A504</f>
        <v>46274</v>
      </c>
      <c r="B494" s="346"/>
      <c r="C494" s="346"/>
      <c r="D494" s="346"/>
      <c r="E494" s="346"/>
      <c r="F494" s="346"/>
      <c r="G494" s="346"/>
      <c r="H494" s="346"/>
      <c r="I494" s="346"/>
      <c r="J494" s="346"/>
      <c r="K494" s="346"/>
      <c r="L494" s="346"/>
      <c r="M494" s="346"/>
      <c r="N494" s="346"/>
      <c r="O494" s="346"/>
      <c r="P494" s="346"/>
      <c r="Q494" s="346"/>
      <c r="R494" s="346"/>
      <c r="S494" s="346"/>
      <c r="T494" s="346"/>
      <c r="U494" s="346"/>
      <c r="V494" s="346"/>
      <c r="W494" s="346">
        <f>4</f>
        <v>4</v>
      </c>
      <c r="X494" s="346"/>
      <c r="Y494" s="346"/>
      <c r="Z494" s="346"/>
      <c r="AA494" s="346"/>
      <c r="AB494" s="346"/>
      <c r="AC494" s="346"/>
      <c r="AD494">
        <f t="shared" si="57"/>
        <v>4</v>
      </c>
      <c r="AE494" s="351">
        <f t="shared" si="58"/>
        <v>6.6666666666666671E-3</v>
      </c>
    </row>
    <row r="495" spans="1:31">
      <c r="A495" s="165">
        <f>'Conveyor Downtime (new)'!A505</f>
        <v>46275</v>
      </c>
      <c r="AD495">
        <f t="shared" si="57"/>
        <v>0</v>
      </c>
      <c r="AE495" s="351">
        <f t="shared" si="58"/>
        <v>0</v>
      </c>
    </row>
    <row r="496" spans="1:31">
      <c r="A496" s="165">
        <f>'Conveyor Downtime (new)'!A506</f>
        <v>46276</v>
      </c>
      <c r="B496" s="346"/>
      <c r="C496" s="346"/>
      <c r="D496" s="346"/>
      <c r="E496" s="346"/>
      <c r="F496" s="346"/>
      <c r="G496" s="346"/>
      <c r="H496" s="346"/>
      <c r="I496" s="346"/>
      <c r="J496" s="346"/>
      <c r="K496" s="346"/>
      <c r="L496" s="346"/>
      <c r="M496" s="346"/>
      <c r="N496" s="346"/>
      <c r="O496" s="346"/>
      <c r="P496" s="346"/>
      <c r="Q496" s="346"/>
      <c r="R496" s="346"/>
      <c r="S496" s="346"/>
      <c r="T496" s="346"/>
      <c r="U496" s="346"/>
      <c r="V496" s="346"/>
      <c r="W496" s="346"/>
      <c r="X496" s="346"/>
      <c r="Y496" s="346"/>
      <c r="Z496" s="346"/>
      <c r="AA496" s="346"/>
      <c r="AB496" s="346"/>
      <c r="AC496" s="346"/>
      <c r="AD496">
        <f t="shared" si="57"/>
        <v>0</v>
      </c>
      <c r="AE496" s="351">
        <f t="shared" si="58"/>
        <v>0</v>
      </c>
    </row>
    <row r="497" spans="1:31">
      <c r="A497" s="165">
        <f>'Conveyor Downtime (new)'!A507</f>
        <v>46276</v>
      </c>
      <c r="AD497">
        <f t="shared" si="57"/>
        <v>0</v>
      </c>
      <c r="AE497" s="351">
        <f t="shared" si="58"/>
        <v>0</v>
      </c>
    </row>
    <row r="498" spans="1:31">
      <c r="A498" s="165">
        <f>'Conveyor Downtime (new)'!A508</f>
        <v>46279</v>
      </c>
      <c r="B498" s="346"/>
      <c r="C498" s="346"/>
      <c r="D498" s="346"/>
      <c r="E498" s="346"/>
      <c r="F498" s="346"/>
      <c r="G498" s="346"/>
      <c r="H498" s="346"/>
      <c r="I498" s="346"/>
      <c r="J498" s="346"/>
      <c r="K498" s="346"/>
      <c r="L498" s="346"/>
      <c r="M498" s="346"/>
      <c r="N498" s="346"/>
      <c r="O498" s="346"/>
      <c r="P498" s="346"/>
      <c r="Q498" s="346"/>
      <c r="R498" s="346"/>
      <c r="S498" s="346"/>
      <c r="T498" s="346"/>
      <c r="U498" s="346"/>
      <c r="V498" s="346"/>
      <c r="W498" s="346"/>
      <c r="X498" s="346"/>
      <c r="Y498" s="346"/>
      <c r="Z498" s="346"/>
      <c r="AA498" s="346"/>
      <c r="AB498" s="346"/>
      <c r="AC498" s="346"/>
      <c r="AD498">
        <f t="shared" ref="AD498:AD503" si="59">SUM(B498:AC498)</f>
        <v>0</v>
      </c>
      <c r="AE498" s="351">
        <f t="shared" ref="AE498:AE503" si="60">AD498/$AD$182</f>
        <v>0</v>
      </c>
    </row>
    <row r="499" spans="1:31">
      <c r="A499" s="165">
        <f>'Conveyor Downtime (new)'!A509</f>
        <v>46279</v>
      </c>
      <c r="AD499">
        <f t="shared" si="59"/>
        <v>0</v>
      </c>
      <c r="AE499" s="351">
        <f t="shared" si="60"/>
        <v>0</v>
      </c>
    </row>
    <row r="500" spans="1:31">
      <c r="A500" s="165">
        <f>'Conveyor Downtime (new)'!A510</f>
        <v>46280</v>
      </c>
      <c r="AD500">
        <f t="shared" si="59"/>
        <v>0</v>
      </c>
      <c r="AE500" s="351">
        <f t="shared" si="60"/>
        <v>0</v>
      </c>
    </row>
    <row r="501" spans="1:31">
      <c r="A501" s="165">
        <f>'Conveyor Downtime (new)'!A511</f>
        <v>46280</v>
      </c>
      <c r="J501">
        <f>2</f>
        <v>2</v>
      </c>
      <c r="AD501">
        <f t="shared" si="59"/>
        <v>2</v>
      </c>
      <c r="AE501" s="351">
        <f t="shared" si="60"/>
        <v>3.3333333333333335E-3</v>
      </c>
    </row>
    <row r="502" spans="1:31">
      <c r="A502" s="165">
        <f>'Conveyor Downtime (new)'!A512</f>
        <v>46281</v>
      </c>
      <c r="B502" s="346"/>
      <c r="C502" s="346"/>
      <c r="D502" s="346"/>
      <c r="E502" s="346"/>
      <c r="F502" s="346"/>
      <c r="G502" s="346"/>
      <c r="H502" s="346"/>
      <c r="I502" s="346"/>
      <c r="J502" s="346"/>
      <c r="K502" s="346"/>
      <c r="L502" s="346"/>
      <c r="M502" s="346"/>
      <c r="N502" s="346"/>
      <c r="O502" s="346"/>
      <c r="P502" s="346"/>
      <c r="Q502" s="346"/>
      <c r="R502" s="346"/>
      <c r="S502" s="346"/>
      <c r="T502" s="346"/>
      <c r="U502" s="346"/>
      <c r="V502" s="346"/>
      <c r="W502" s="346"/>
      <c r="X502" s="346"/>
      <c r="Y502" s="346"/>
      <c r="Z502" s="346"/>
      <c r="AA502" s="346"/>
      <c r="AB502" s="346"/>
      <c r="AC502" s="346"/>
      <c r="AD502">
        <f t="shared" si="59"/>
        <v>0</v>
      </c>
      <c r="AE502" s="351">
        <f t="shared" si="60"/>
        <v>0</v>
      </c>
    </row>
    <row r="503" spans="1:31">
      <c r="A503" s="165">
        <f>'Conveyor Downtime (new)'!A513</f>
        <v>46281</v>
      </c>
      <c r="AD503">
        <f t="shared" si="59"/>
        <v>0</v>
      </c>
      <c r="AE503" s="351">
        <f t="shared" si="60"/>
        <v>0</v>
      </c>
    </row>
    <row r="504" spans="1:31">
      <c r="A504" s="165">
        <f>'Conveyor Downtime (new)'!A514</f>
        <v>46282</v>
      </c>
      <c r="B504" s="346"/>
      <c r="C504" s="346"/>
      <c r="D504" s="346"/>
      <c r="E504" s="346"/>
      <c r="F504" s="346"/>
      <c r="G504" s="346"/>
      <c r="H504" s="346"/>
      <c r="I504" s="346"/>
      <c r="J504" s="346"/>
      <c r="K504" s="346"/>
      <c r="L504" s="346"/>
      <c r="M504" s="346"/>
      <c r="N504" s="346"/>
      <c r="O504" s="346"/>
      <c r="P504" s="346"/>
      <c r="Q504" s="346"/>
      <c r="R504" s="346"/>
      <c r="S504" s="346"/>
      <c r="T504" s="346"/>
      <c r="U504" s="346"/>
      <c r="V504" s="346"/>
      <c r="W504" s="346"/>
      <c r="X504" s="346"/>
      <c r="Y504" s="346"/>
      <c r="Z504" s="346"/>
      <c r="AA504" s="346"/>
      <c r="AB504" s="346"/>
      <c r="AC504" s="346"/>
      <c r="AD504">
        <f t="shared" si="57"/>
        <v>0</v>
      </c>
      <c r="AE504" s="351">
        <f t="shared" ref="AE504:AE533" si="61">AD504/$AD$182</f>
        <v>0</v>
      </c>
    </row>
    <row r="505" spans="1:31">
      <c r="A505" s="165">
        <f>'Conveyor Downtime (new)'!A515</f>
        <v>46282</v>
      </c>
      <c r="D505">
        <f>8+5</f>
        <v>13</v>
      </c>
      <c r="AD505">
        <f t="shared" si="57"/>
        <v>13</v>
      </c>
      <c r="AE505" s="351">
        <f t="shared" si="61"/>
        <v>2.1666666666666667E-2</v>
      </c>
    </row>
    <row r="506" spans="1:31">
      <c r="A506" s="165">
        <f>'Conveyor Downtime (new)'!A516</f>
        <v>46282</v>
      </c>
      <c r="B506" s="346"/>
      <c r="C506" s="346"/>
      <c r="D506" s="346"/>
      <c r="E506" s="346"/>
      <c r="F506" s="346"/>
      <c r="G506" s="346"/>
      <c r="H506" s="346"/>
      <c r="I506" s="346"/>
      <c r="J506" s="346"/>
      <c r="K506" s="346"/>
      <c r="L506" s="346"/>
      <c r="M506" s="346"/>
      <c r="N506" s="346"/>
      <c r="O506" s="346"/>
      <c r="P506" s="346"/>
      <c r="Q506" s="346"/>
      <c r="R506" s="346"/>
      <c r="S506" s="346"/>
      <c r="T506" s="346"/>
      <c r="U506" s="346"/>
      <c r="V506" s="346"/>
      <c r="W506" s="346"/>
      <c r="X506" s="346"/>
      <c r="Y506" s="346"/>
      <c r="Z506" s="346"/>
      <c r="AA506" s="346"/>
      <c r="AB506" s="346"/>
      <c r="AC506" s="346"/>
      <c r="AD506">
        <f t="shared" si="57"/>
        <v>0</v>
      </c>
      <c r="AE506" s="351">
        <f t="shared" si="61"/>
        <v>0</v>
      </c>
    </row>
    <row r="507" spans="1:31">
      <c r="A507" s="165">
        <f>'Conveyor Downtime (new)'!A517</f>
        <v>46283</v>
      </c>
      <c r="D507">
        <f>4</f>
        <v>4</v>
      </c>
      <c r="T507">
        <f>4</f>
        <v>4</v>
      </c>
      <c r="Y507" s="77"/>
      <c r="AD507">
        <f t="shared" si="57"/>
        <v>8</v>
      </c>
      <c r="AE507" s="351">
        <f t="shared" si="61"/>
        <v>1.3333333333333334E-2</v>
      </c>
    </row>
    <row r="508" spans="1:31">
      <c r="A508" s="165">
        <f>'Conveyor Downtime (new)'!A518</f>
        <v>46283</v>
      </c>
      <c r="B508" s="346"/>
      <c r="C508" s="346"/>
      <c r="D508" s="346"/>
      <c r="E508" s="346"/>
      <c r="F508" s="346"/>
      <c r="G508" s="346"/>
      <c r="H508" s="346"/>
      <c r="I508" s="346"/>
      <c r="J508" s="346"/>
      <c r="K508" s="346"/>
      <c r="L508" s="346"/>
      <c r="M508" s="346"/>
      <c r="N508" s="346"/>
      <c r="O508" s="346"/>
      <c r="P508" s="346"/>
      <c r="Q508" s="346"/>
      <c r="R508" s="346"/>
      <c r="S508" s="346"/>
      <c r="T508" s="346"/>
      <c r="U508" s="346"/>
      <c r="V508" s="346"/>
      <c r="W508" s="346"/>
      <c r="X508" s="346"/>
      <c r="Y508" s="346"/>
      <c r="Z508" s="346"/>
      <c r="AA508" s="346"/>
      <c r="AB508" s="346"/>
      <c r="AC508" s="346"/>
      <c r="AD508">
        <f t="shared" si="57"/>
        <v>0</v>
      </c>
      <c r="AE508" s="351">
        <f t="shared" si="61"/>
        <v>0</v>
      </c>
    </row>
    <row r="509" spans="1:31">
      <c r="A509" s="165">
        <f>'Conveyor Downtime (new)'!A519</f>
        <v>46283</v>
      </c>
      <c r="AD509">
        <f t="shared" si="57"/>
        <v>0</v>
      </c>
      <c r="AE509" s="351">
        <f t="shared" si="61"/>
        <v>0</v>
      </c>
    </row>
    <row r="510" spans="1:31">
      <c r="A510" s="165">
        <f>'Conveyor Downtime (new)'!A520</f>
        <v>46286</v>
      </c>
      <c r="B510" s="346"/>
      <c r="C510" s="346"/>
      <c r="D510" s="346"/>
      <c r="E510" s="346"/>
      <c r="F510" s="346"/>
      <c r="G510" s="346"/>
      <c r="H510" s="346"/>
      <c r="I510" s="346"/>
      <c r="J510" s="346"/>
      <c r="K510" s="346"/>
      <c r="L510" s="346"/>
      <c r="M510" s="346"/>
      <c r="N510" s="346"/>
      <c r="O510" s="346"/>
      <c r="P510" s="346"/>
      <c r="Q510" s="346"/>
      <c r="R510" s="346"/>
      <c r="S510" s="346"/>
      <c r="T510" s="346"/>
      <c r="U510" s="346"/>
      <c r="V510" s="346"/>
      <c r="W510" s="346"/>
      <c r="X510" s="346"/>
      <c r="Y510" s="346"/>
      <c r="Z510" s="346"/>
      <c r="AA510" s="346"/>
      <c r="AB510" s="346"/>
      <c r="AC510" s="346"/>
      <c r="AD510">
        <f t="shared" si="57"/>
        <v>0</v>
      </c>
      <c r="AE510" s="351">
        <f t="shared" si="61"/>
        <v>0</v>
      </c>
    </row>
    <row r="511" spans="1:31">
      <c r="A511" s="165">
        <f>'Conveyor Downtime (new)'!A521</f>
        <v>46286</v>
      </c>
      <c r="B511" s="346"/>
      <c r="C511" s="346"/>
      <c r="D511" s="346"/>
      <c r="E511" s="346"/>
      <c r="F511" s="346"/>
      <c r="G511" s="346"/>
      <c r="H511" s="346"/>
      <c r="I511" s="346"/>
      <c r="J511" s="346"/>
      <c r="K511" s="346"/>
      <c r="L511" s="346"/>
      <c r="M511" s="346"/>
      <c r="N511" s="346"/>
      <c r="O511" s="346"/>
      <c r="P511" s="346"/>
      <c r="Q511" s="346"/>
      <c r="R511" s="346"/>
      <c r="S511" s="346"/>
      <c r="T511" s="346"/>
      <c r="U511" s="346"/>
      <c r="V511" s="346"/>
      <c r="W511" s="346"/>
      <c r="X511" s="346"/>
      <c r="Y511" s="346"/>
      <c r="Z511" s="346"/>
      <c r="AA511" s="346"/>
      <c r="AB511" s="346"/>
      <c r="AC511" s="346"/>
      <c r="AD511">
        <f t="shared" si="57"/>
        <v>0</v>
      </c>
      <c r="AE511" s="351">
        <f t="shared" si="61"/>
        <v>0</v>
      </c>
    </row>
    <row r="512" spans="1:31">
      <c r="A512" s="165">
        <f>'Conveyor Downtime (new)'!A522</f>
        <v>46287</v>
      </c>
      <c r="AD512">
        <f t="shared" si="57"/>
        <v>0</v>
      </c>
      <c r="AE512" s="351">
        <f t="shared" si="61"/>
        <v>0</v>
      </c>
    </row>
    <row r="513" spans="1:31">
      <c r="A513" s="165">
        <f>'Conveyor Downtime (new)'!A523</f>
        <v>46288</v>
      </c>
      <c r="B513" s="346"/>
      <c r="C513" s="346"/>
      <c r="D513" s="346"/>
      <c r="E513" s="346"/>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f t="shared" si="57"/>
        <v>0</v>
      </c>
      <c r="AE513" s="351">
        <f t="shared" si="61"/>
        <v>0</v>
      </c>
    </row>
    <row r="514" spans="1:31">
      <c r="A514" s="165">
        <f>'Conveyor Downtime (new)'!A524</f>
        <v>46288</v>
      </c>
      <c r="D514">
        <f>6+60+15+3+10+2</f>
        <v>96</v>
      </c>
      <c r="AD514">
        <f t="shared" si="57"/>
        <v>96</v>
      </c>
      <c r="AE514" s="351">
        <f t="shared" si="61"/>
        <v>0.16</v>
      </c>
    </row>
    <row r="515" spans="1:31">
      <c r="A515" s="165">
        <f>'Conveyor Downtime (new)'!A525</f>
        <v>46289</v>
      </c>
      <c r="B515" s="346"/>
      <c r="C515" s="346"/>
      <c r="D515" s="346">
        <f>4</f>
        <v>4</v>
      </c>
      <c r="E515" s="346"/>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f t="shared" si="57"/>
        <v>4</v>
      </c>
      <c r="AE515" s="351">
        <f t="shared" si="61"/>
        <v>6.6666666666666671E-3</v>
      </c>
    </row>
    <row r="516" spans="1:31">
      <c r="A516" s="165">
        <f>'Conveyor Downtime (new)'!A526</f>
        <v>46290</v>
      </c>
      <c r="D516">
        <f>8+4+4</f>
        <v>16</v>
      </c>
      <c r="AD516">
        <f t="shared" si="57"/>
        <v>16</v>
      </c>
      <c r="AE516" s="351">
        <f t="shared" si="61"/>
        <v>2.6666666666666668E-2</v>
      </c>
    </row>
    <row r="517" spans="1:31">
      <c r="A517" s="165">
        <f>'Conveyor Downtime (new)'!A527</f>
        <v>46290</v>
      </c>
      <c r="B517" s="346"/>
      <c r="C517" s="346"/>
      <c r="D517" s="346"/>
      <c r="E517" s="346"/>
      <c r="F517" s="346"/>
      <c r="G517" s="346"/>
      <c r="H517" s="346"/>
      <c r="I517" s="346"/>
      <c r="J517" s="346"/>
      <c r="K517" s="346"/>
      <c r="L517" s="346"/>
      <c r="M517" s="346"/>
      <c r="N517" s="346"/>
      <c r="O517" s="346"/>
      <c r="P517" s="346"/>
      <c r="Q517" s="346"/>
      <c r="R517" s="346"/>
      <c r="S517" s="346"/>
      <c r="T517" s="346"/>
      <c r="U517" s="346"/>
      <c r="V517" s="346"/>
      <c r="W517" s="346"/>
      <c r="X517" s="346"/>
      <c r="Y517" s="346"/>
      <c r="Z517" s="346"/>
      <c r="AA517" s="346"/>
      <c r="AB517" s="346"/>
      <c r="AC517" s="346"/>
      <c r="AD517">
        <f t="shared" si="57"/>
        <v>0</v>
      </c>
      <c r="AE517" s="351">
        <f t="shared" si="61"/>
        <v>0</v>
      </c>
    </row>
    <row r="518" spans="1:31">
      <c r="A518" s="165">
        <f>'Conveyor Downtime (new)'!A528</f>
        <v>46293</v>
      </c>
      <c r="D518">
        <f>5+16+14+5+22+4+4+6+9+3+5+9</f>
        <v>102</v>
      </c>
      <c r="AD518">
        <f t="shared" si="57"/>
        <v>102</v>
      </c>
      <c r="AE518" s="351">
        <f t="shared" si="61"/>
        <v>0.17</v>
      </c>
    </row>
    <row r="519" spans="1:31">
      <c r="A519" s="165">
        <f>'Conveyor Downtime (new)'!A529</f>
        <v>46294</v>
      </c>
      <c r="B519" s="346"/>
      <c r="C519" s="346"/>
      <c r="D519" s="346"/>
      <c r="E519" s="346"/>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f t="shared" si="57"/>
        <v>0</v>
      </c>
      <c r="AE519" s="351">
        <f t="shared" si="61"/>
        <v>0</v>
      </c>
    </row>
    <row r="520" spans="1:31">
      <c r="A520" s="165">
        <f>'Conveyor Downtime (new)'!A530</f>
        <v>46294</v>
      </c>
      <c r="E520" s="392">
        <f>3</f>
        <v>3</v>
      </c>
      <c r="AD520">
        <f t="shared" si="57"/>
        <v>3</v>
      </c>
      <c r="AE520" s="351">
        <f t="shared" si="61"/>
        <v>5.0000000000000001E-3</v>
      </c>
    </row>
    <row r="521" spans="1:31">
      <c r="A521" s="165">
        <f>'Conveyor Downtime (new)'!A531</f>
        <v>46295</v>
      </c>
      <c r="B521" s="346"/>
      <c r="C521" s="346"/>
      <c r="D521" s="346"/>
      <c r="F521" s="346"/>
      <c r="G521" s="346"/>
      <c r="H521" s="346"/>
      <c r="I521" s="346"/>
      <c r="J521" s="346"/>
      <c r="K521" s="346"/>
      <c r="L521" s="346"/>
      <c r="M521" s="346">
        <v>2</v>
      </c>
      <c r="N521" s="346"/>
      <c r="O521" s="346"/>
      <c r="P521" s="346"/>
      <c r="Q521" s="346"/>
      <c r="R521" s="346"/>
      <c r="S521" s="346"/>
      <c r="T521" s="346"/>
      <c r="U521" s="346"/>
      <c r="V521" s="346"/>
      <c r="W521" s="346"/>
      <c r="X521" s="346"/>
      <c r="Y521" s="346"/>
      <c r="Z521" s="346"/>
      <c r="AA521" s="346"/>
      <c r="AB521" s="346"/>
      <c r="AC521" s="346"/>
      <c r="AD521">
        <f t="shared" si="57"/>
        <v>2</v>
      </c>
      <c r="AE521" s="351">
        <f t="shared" si="61"/>
        <v>3.3333333333333335E-3</v>
      </c>
    </row>
    <row r="522" spans="1:31">
      <c r="A522" s="165">
        <f>'Conveyor Downtime (new)'!A532</f>
        <v>46295</v>
      </c>
      <c r="AD522">
        <f t="shared" si="57"/>
        <v>0</v>
      </c>
      <c r="AE522" s="351">
        <f t="shared" si="61"/>
        <v>0</v>
      </c>
    </row>
    <row r="523" spans="1:31">
      <c r="A523" s="165">
        <f>'Conveyor Downtime (new)'!A533</f>
        <v>0</v>
      </c>
      <c r="B523" s="346"/>
      <c r="C523" s="346"/>
      <c r="D523" s="346"/>
      <c r="E523" s="346"/>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c r="AD523">
        <f t="shared" si="57"/>
        <v>0</v>
      </c>
      <c r="AE523" s="351">
        <f t="shared" si="61"/>
        <v>0</v>
      </c>
    </row>
    <row r="524" spans="1:31">
      <c r="A524" s="165">
        <f>'Conveyor Downtime (new)'!A534</f>
        <v>0</v>
      </c>
      <c r="AD524">
        <f t="shared" si="57"/>
        <v>0</v>
      </c>
      <c r="AE524" s="351">
        <f t="shared" si="61"/>
        <v>0</v>
      </c>
    </row>
    <row r="525" spans="1:31">
      <c r="A525" s="165">
        <f>'Conveyor Downtime (new)'!A535</f>
        <v>0</v>
      </c>
      <c r="B525" s="346"/>
      <c r="C525" s="346"/>
      <c r="D525" s="346"/>
      <c r="E525" s="346"/>
      <c r="F525" s="346"/>
      <c r="G525" s="346"/>
      <c r="H525" s="346"/>
      <c r="I525" s="346"/>
      <c r="J525" s="346"/>
      <c r="K525" s="346"/>
      <c r="L525" s="346"/>
      <c r="M525" s="346"/>
      <c r="N525" s="346"/>
      <c r="O525" s="346"/>
      <c r="P525" s="346"/>
      <c r="Q525" s="346"/>
      <c r="R525" s="346"/>
      <c r="S525" s="346"/>
      <c r="T525" s="346"/>
      <c r="U525" s="346"/>
      <c r="V525" s="346"/>
      <c r="W525" s="346"/>
      <c r="X525" s="346"/>
      <c r="Y525" s="346"/>
      <c r="Z525" s="346"/>
      <c r="AA525" s="346"/>
      <c r="AB525" s="346"/>
      <c r="AC525" s="346"/>
      <c r="AD525">
        <f t="shared" si="57"/>
        <v>0</v>
      </c>
      <c r="AE525" s="351">
        <f t="shared" si="61"/>
        <v>0</v>
      </c>
    </row>
    <row r="526" spans="1:31">
      <c r="A526" s="165">
        <f>'Conveyor Downtime (new)'!A536</f>
        <v>0</v>
      </c>
      <c r="AD526">
        <f t="shared" si="57"/>
        <v>0</v>
      </c>
      <c r="AE526" s="351">
        <f t="shared" si="61"/>
        <v>0</v>
      </c>
    </row>
    <row r="527" spans="1:31">
      <c r="A527" s="165">
        <f>'Conveyor Downtime (new)'!A537</f>
        <v>0</v>
      </c>
      <c r="B527" s="346"/>
      <c r="C527" s="346"/>
      <c r="D527" s="346"/>
      <c r="E527" s="346"/>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f t="shared" si="57"/>
        <v>0</v>
      </c>
      <c r="AE527" s="351">
        <f t="shared" si="61"/>
        <v>0</v>
      </c>
    </row>
    <row r="528" spans="1:31">
      <c r="A528" s="165">
        <f>'Conveyor Downtime (new)'!A538</f>
        <v>0</v>
      </c>
      <c r="AD528">
        <f t="shared" si="57"/>
        <v>0</v>
      </c>
      <c r="AE528" s="351">
        <f t="shared" si="61"/>
        <v>0</v>
      </c>
    </row>
    <row r="529" spans="1:31">
      <c r="A529" s="165">
        <f>'Conveyor Downtime (new)'!A539</f>
        <v>0</v>
      </c>
      <c r="B529" s="346"/>
      <c r="C529" s="346"/>
      <c r="D529" s="346"/>
      <c r="E529" s="346"/>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f t="shared" si="57"/>
        <v>0</v>
      </c>
      <c r="AE529" s="351">
        <f t="shared" si="61"/>
        <v>0</v>
      </c>
    </row>
    <row r="530" spans="1:31">
      <c r="A530" s="165">
        <f>'Conveyor Downtime (new)'!A540</f>
        <v>0</v>
      </c>
      <c r="AD530">
        <f t="shared" si="57"/>
        <v>0</v>
      </c>
      <c r="AE530" s="351">
        <f t="shared" si="61"/>
        <v>0</v>
      </c>
    </row>
    <row r="531" spans="1:31">
      <c r="A531" s="165"/>
      <c r="B531" s="346"/>
      <c r="C531" s="346"/>
      <c r="D531" s="346"/>
      <c r="E531" s="346"/>
      <c r="F531" s="346"/>
      <c r="G531" s="346"/>
      <c r="H531" s="346"/>
      <c r="I531" s="346"/>
      <c r="J531" s="346"/>
      <c r="K531" s="346"/>
      <c r="L531" s="346"/>
      <c r="M531" s="346"/>
      <c r="N531" s="346"/>
      <c r="O531" s="346"/>
      <c r="P531" s="346"/>
      <c r="Q531" s="346"/>
      <c r="R531" s="346"/>
      <c r="S531" s="346"/>
      <c r="T531" s="346"/>
      <c r="U531" s="346"/>
      <c r="V531" s="346"/>
      <c r="W531" s="346"/>
      <c r="X531" s="346"/>
      <c r="Y531" s="346"/>
      <c r="Z531" s="346"/>
      <c r="AA531" s="346"/>
      <c r="AB531" s="346"/>
      <c r="AC531" s="346"/>
      <c r="AD531">
        <f t="shared" si="57"/>
        <v>0</v>
      </c>
      <c r="AE531" s="351">
        <f t="shared" si="61"/>
        <v>0</v>
      </c>
    </row>
    <row r="532" spans="1:31">
      <c r="A532" s="165"/>
      <c r="AD532">
        <f t="shared" si="57"/>
        <v>0</v>
      </c>
      <c r="AE532" s="351">
        <f t="shared" si="61"/>
        <v>0</v>
      </c>
    </row>
    <row r="533" spans="1:31">
      <c r="A533" s="165"/>
      <c r="B533" s="346"/>
      <c r="C533" s="346"/>
      <c r="D533" s="346"/>
      <c r="E533" s="346"/>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f t="shared" si="57"/>
        <v>0</v>
      </c>
      <c r="AE533" s="351">
        <f t="shared" si="61"/>
        <v>0</v>
      </c>
    </row>
    <row r="534" spans="1:31" ht="15">
      <c r="A534" s="347" t="s">
        <v>173</v>
      </c>
      <c r="B534" s="347">
        <f t="shared" ref="B534:AC534" si="62">SUM(B484:B533)</f>
        <v>0</v>
      </c>
      <c r="C534" s="347">
        <f t="shared" si="62"/>
        <v>0</v>
      </c>
      <c r="D534" s="347">
        <f t="shared" si="62"/>
        <v>309</v>
      </c>
      <c r="E534" s="347">
        <f t="shared" si="62"/>
        <v>28</v>
      </c>
      <c r="F534" s="347">
        <f t="shared" si="62"/>
        <v>0</v>
      </c>
      <c r="G534" s="347">
        <f t="shared" si="62"/>
        <v>0</v>
      </c>
      <c r="H534" s="347">
        <f t="shared" si="62"/>
        <v>0</v>
      </c>
      <c r="I534" s="347">
        <f t="shared" si="62"/>
        <v>0</v>
      </c>
      <c r="J534" s="347">
        <f t="shared" si="62"/>
        <v>2</v>
      </c>
      <c r="K534" s="347">
        <f t="shared" si="62"/>
        <v>0</v>
      </c>
      <c r="L534" s="347">
        <f t="shared" si="62"/>
        <v>0</v>
      </c>
      <c r="M534" s="347">
        <f t="shared" si="62"/>
        <v>2</v>
      </c>
      <c r="N534" s="347">
        <f t="shared" si="62"/>
        <v>0</v>
      </c>
      <c r="O534" s="347">
        <f t="shared" si="62"/>
        <v>0</v>
      </c>
      <c r="P534" s="347">
        <f t="shared" si="62"/>
        <v>0</v>
      </c>
      <c r="Q534" s="347">
        <f t="shared" si="62"/>
        <v>0</v>
      </c>
      <c r="R534" s="347">
        <f t="shared" si="62"/>
        <v>0</v>
      </c>
      <c r="S534" s="347">
        <f t="shared" si="62"/>
        <v>0</v>
      </c>
      <c r="T534" s="347">
        <f t="shared" si="62"/>
        <v>4</v>
      </c>
      <c r="U534" s="347">
        <f t="shared" si="62"/>
        <v>0</v>
      </c>
      <c r="V534" s="347">
        <f t="shared" si="62"/>
        <v>0</v>
      </c>
      <c r="W534" s="347">
        <f t="shared" si="62"/>
        <v>4</v>
      </c>
      <c r="X534" s="347">
        <f t="shared" si="62"/>
        <v>0</v>
      </c>
      <c r="Y534" s="347">
        <f t="shared" si="62"/>
        <v>3</v>
      </c>
      <c r="Z534" s="347">
        <f t="shared" si="62"/>
        <v>0</v>
      </c>
      <c r="AA534" s="347">
        <f t="shared" si="62"/>
        <v>0</v>
      </c>
      <c r="AB534" s="347">
        <f t="shared" si="62"/>
        <v>0</v>
      </c>
      <c r="AC534" s="347">
        <f t="shared" si="62"/>
        <v>0</v>
      </c>
      <c r="AD534" s="347">
        <f>SUM(AD484:AD533)</f>
        <v>352</v>
      </c>
    </row>
    <row r="535" spans="1:31" ht="15.75" thickBot="1">
      <c r="A535" s="348" t="s">
        <v>174</v>
      </c>
      <c r="B535" s="348">
        <f t="shared" ref="B535:AC535" si="63">B534/$AD534</f>
        <v>0</v>
      </c>
      <c r="C535" s="348">
        <f t="shared" si="63"/>
        <v>0</v>
      </c>
      <c r="D535" s="348">
        <f t="shared" si="63"/>
        <v>0.87784090909090906</v>
      </c>
      <c r="E535" s="348">
        <f t="shared" si="63"/>
        <v>7.9545454545454544E-2</v>
      </c>
      <c r="F535" s="348">
        <f t="shared" si="63"/>
        <v>0</v>
      </c>
      <c r="G535" s="348">
        <f t="shared" si="63"/>
        <v>0</v>
      </c>
      <c r="H535" s="348">
        <f t="shared" si="63"/>
        <v>0</v>
      </c>
      <c r="I535" s="348">
        <f t="shared" si="63"/>
        <v>0</v>
      </c>
      <c r="J535" s="348">
        <f t="shared" si="63"/>
        <v>5.681818181818182E-3</v>
      </c>
      <c r="K535" s="348">
        <f t="shared" si="63"/>
        <v>0</v>
      </c>
      <c r="L535" s="348">
        <f t="shared" si="63"/>
        <v>0</v>
      </c>
      <c r="M535" s="348">
        <f t="shared" si="63"/>
        <v>5.681818181818182E-3</v>
      </c>
      <c r="N535" s="348">
        <f t="shared" si="63"/>
        <v>0</v>
      </c>
      <c r="O535" s="348">
        <f t="shared" si="63"/>
        <v>0</v>
      </c>
      <c r="P535" s="348">
        <f t="shared" si="63"/>
        <v>0</v>
      </c>
      <c r="Q535" s="348">
        <f t="shared" si="63"/>
        <v>0</v>
      </c>
      <c r="R535" s="348">
        <f t="shared" si="63"/>
        <v>0</v>
      </c>
      <c r="S535" s="348">
        <f t="shared" si="63"/>
        <v>0</v>
      </c>
      <c r="T535" s="348">
        <f t="shared" si="63"/>
        <v>1.1363636363636364E-2</v>
      </c>
      <c r="U535" s="348">
        <f t="shared" si="63"/>
        <v>0</v>
      </c>
      <c r="V535" s="348">
        <f t="shared" si="63"/>
        <v>0</v>
      </c>
      <c r="W535" s="348">
        <f t="shared" si="63"/>
        <v>1.1363636363636364E-2</v>
      </c>
      <c r="X535" s="348">
        <f t="shared" si="63"/>
        <v>0</v>
      </c>
      <c r="Y535" s="348">
        <f t="shared" si="63"/>
        <v>8.5227272727272721E-3</v>
      </c>
      <c r="Z535" s="348">
        <f t="shared" si="63"/>
        <v>0</v>
      </c>
      <c r="AA535" s="348">
        <f t="shared" si="63"/>
        <v>0</v>
      </c>
      <c r="AB535" s="348">
        <f t="shared" si="63"/>
        <v>0</v>
      </c>
      <c r="AC535" s="348">
        <f t="shared" si="63"/>
        <v>0</v>
      </c>
      <c r="AD535" s="351"/>
    </row>
    <row r="539" spans="1:31">
      <c r="A539" s="165">
        <f>'Conveyor Downtime (new)'!A556</f>
        <v>46296</v>
      </c>
      <c r="B539" s="346"/>
      <c r="C539" s="346"/>
      <c r="D539" s="346"/>
      <c r="E539" s="346"/>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f>SUM(B539:AC539)</f>
        <v>0</v>
      </c>
      <c r="AE539" s="351">
        <f>AD539/$AD$182</f>
        <v>0</v>
      </c>
    </row>
    <row r="540" spans="1:31">
      <c r="A540" s="165">
        <f>'Conveyor Downtime (new)'!A557</f>
        <v>0</v>
      </c>
      <c r="AD540">
        <f t="shared" ref="AD540:AD586" si="64">SUM(B540:AC540)</f>
        <v>0</v>
      </c>
      <c r="AE540" s="351">
        <f t="shared" ref="AE540:AE550" si="65">AD540/$AD$182</f>
        <v>0</v>
      </c>
    </row>
    <row r="541" spans="1:31">
      <c r="A541" s="165">
        <f>'Conveyor Downtime (new)'!A558</f>
        <v>0</v>
      </c>
      <c r="B541" s="346"/>
      <c r="C541" s="346"/>
      <c r="D541" s="346"/>
      <c r="E541" s="346"/>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f t="shared" si="64"/>
        <v>0</v>
      </c>
      <c r="AE541" s="351">
        <f t="shared" si="65"/>
        <v>0</v>
      </c>
    </row>
    <row r="542" spans="1:31">
      <c r="A542" s="165">
        <f>'Conveyor Downtime (new)'!A559</f>
        <v>0</v>
      </c>
      <c r="AD542">
        <f t="shared" si="64"/>
        <v>0</v>
      </c>
      <c r="AE542" s="351">
        <f t="shared" si="65"/>
        <v>0</v>
      </c>
    </row>
    <row r="543" spans="1:31">
      <c r="A543" s="165">
        <f>'Conveyor Downtime (new)'!A560</f>
        <v>0</v>
      </c>
      <c r="B543" s="346"/>
      <c r="C543" s="346"/>
      <c r="D543" s="346"/>
      <c r="E543" s="346"/>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f t="shared" si="64"/>
        <v>0</v>
      </c>
      <c r="AE543" s="351">
        <f t="shared" si="65"/>
        <v>0</v>
      </c>
    </row>
    <row r="544" spans="1:31">
      <c r="A544" s="165">
        <f>'Conveyor Downtime (new)'!A561</f>
        <v>0</v>
      </c>
      <c r="AD544">
        <f t="shared" si="64"/>
        <v>0</v>
      </c>
      <c r="AE544" s="351">
        <f t="shared" si="65"/>
        <v>0</v>
      </c>
    </row>
    <row r="545" spans="1:31">
      <c r="A545" s="165">
        <f>'Conveyor Downtime (new)'!A562</f>
        <v>0</v>
      </c>
      <c r="B545" s="346"/>
      <c r="C545" s="346"/>
      <c r="D545" s="346"/>
      <c r="E545" s="346"/>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f t="shared" si="64"/>
        <v>0</v>
      </c>
      <c r="AE545" s="351">
        <f t="shared" si="65"/>
        <v>0</v>
      </c>
    </row>
    <row r="546" spans="1:31">
      <c r="A546" s="165">
        <f>'Conveyor Downtime (new)'!A563</f>
        <v>0</v>
      </c>
      <c r="AD546">
        <f t="shared" si="64"/>
        <v>0</v>
      </c>
      <c r="AE546" s="351">
        <f t="shared" si="65"/>
        <v>0</v>
      </c>
    </row>
    <row r="547" spans="1:31">
      <c r="A547" s="165">
        <f>'Conveyor Downtime (new)'!A564</f>
        <v>0</v>
      </c>
      <c r="B547" s="346"/>
      <c r="C547" s="346"/>
      <c r="D547" s="346"/>
      <c r="E547" s="346"/>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f t="shared" si="64"/>
        <v>0</v>
      </c>
      <c r="AE547" s="351">
        <f t="shared" si="65"/>
        <v>0</v>
      </c>
    </row>
    <row r="548" spans="1:31">
      <c r="A548" s="165">
        <f>'Conveyor Downtime (new)'!A565</f>
        <v>0</v>
      </c>
      <c r="AD548">
        <f t="shared" si="64"/>
        <v>0</v>
      </c>
      <c r="AE548" s="351">
        <f t="shared" si="65"/>
        <v>0</v>
      </c>
    </row>
    <row r="549" spans="1:31">
      <c r="A549" s="165">
        <f>'Conveyor Downtime (new)'!A566</f>
        <v>0</v>
      </c>
      <c r="B549" s="346"/>
      <c r="C549" s="346"/>
      <c r="D549" s="346"/>
      <c r="E549" s="346"/>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f t="shared" si="64"/>
        <v>0</v>
      </c>
      <c r="AE549" s="351">
        <f t="shared" si="65"/>
        <v>0</v>
      </c>
    </row>
    <row r="550" spans="1:31">
      <c r="A550" s="165">
        <f>'[3]Conveyor Downtime (new)'!A565</f>
        <v>45937</v>
      </c>
      <c r="AD550">
        <f t="shared" si="64"/>
        <v>0</v>
      </c>
      <c r="AE550" s="351">
        <f t="shared" si="65"/>
        <v>0</v>
      </c>
    </row>
    <row r="551" spans="1:31">
      <c r="A551" s="165">
        <f>'Conveyor Downtime (new)'!A568</f>
        <v>0</v>
      </c>
      <c r="B551" s="346"/>
      <c r="C551" s="346"/>
      <c r="D551" s="346"/>
      <c r="E551" s="346"/>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f t="shared" si="64"/>
        <v>0</v>
      </c>
      <c r="AE551" s="351">
        <f t="shared" ref="AE551:AE573" si="66">AD551/$AD$182</f>
        <v>0</v>
      </c>
    </row>
    <row r="552" spans="1:31">
      <c r="A552" s="165">
        <f>'Conveyor Downtime (new)'!A569</f>
        <v>0</v>
      </c>
      <c r="AD552">
        <f t="shared" si="64"/>
        <v>0</v>
      </c>
      <c r="AE552" s="351">
        <f t="shared" si="66"/>
        <v>0</v>
      </c>
    </row>
    <row r="553" spans="1:31">
      <c r="A553" s="165">
        <f>'Conveyor Downtime (new)'!A570</f>
        <v>0</v>
      </c>
      <c r="B553" s="346"/>
      <c r="C553" s="346"/>
      <c r="D553" s="346"/>
      <c r="E553" s="346"/>
      <c r="F553" s="346"/>
      <c r="G553" s="346"/>
      <c r="H553" s="346"/>
      <c r="I553" s="346"/>
      <c r="J553" s="346"/>
      <c r="K553" s="346"/>
      <c r="L553" s="346"/>
      <c r="M553" s="346"/>
      <c r="N553" s="346"/>
      <c r="O553" s="346"/>
      <c r="P553" s="346"/>
      <c r="Q553" s="346"/>
      <c r="R553" s="346"/>
      <c r="S553" s="346"/>
      <c r="T553" s="346"/>
      <c r="U553" s="346"/>
      <c r="V553" s="346"/>
      <c r="W553" s="346"/>
      <c r="X553" s="346"/>
      <c r="Y553" s="346"/>
      <c r="Z553" s="346"/>
      <c r="AA553" s="346"/>
      <c r="AB553" s="346"/>
      <c r="AC553" s="346"/>
      <c r="AD553">
        <f t="shared" si="64"/>
        <v>0</v>
      </c>
      <c r="AE553" s="351">
        <f t="shared" si="66"/>
        <v>0</v>
      </c>
    </row>
    <row r="554" spans="1:31">
      <c r="A554" s="165">
        <f>'Conveyor Downtime (new)'!A571</f>
        <v>0</v>
      </c>
      <c r="AD554">
        <f t="shared" si="64"/>
        <v>0</v>
      </c>
      <c r="AE554" s="351">
        <f t="shared" si="66"/>
        <v>0</v>
      </c>
    </row>
    <row r="555" spans="1:31">
      <c r="A555" s="165">
        <f>'Conveyor Downtime (new)'!A572</f>
        <v>0</v>
      </c>
      <c r="B555" s="346"/>
      <c r="C555" s="346"/>
      <c r="D555" s="346"/>
      <c r="E555" s="346"/>
      <c r="F555" s="346"/>
      <c r="G555" s="346"/>
      <c r="H555" s="346"/>
      <c r="I555" s="346"/>
      <c r="J555" s="346"/>
      <c r="K555" s="346"/>
      <c r="L555" s="346"/>
      <c r="M555" s="346"/>
      <c r="N555" s="346"/>
      <c r="O555" s="346"/>
      <c r="P555" s="346"/>
      <c r="Q555" s="346"/>
      <c r="R555" s="346"/>
      <c r="S555" s="346"/>
      <c r="T555" s="346"/>
      <c r="U555" s="346"/>
      <c r="V555" s="346"/>
      <c r="W555" s="346"/>
      <c r="X555" s="346"/>
      <c r="Y555" s="346"/>
      <c r="Z555" s="346"/>
      <c r="AA555" s="346"/>
      <c r="AB555" s="346"/>
      <c r="AC555" s="346"/>
      <c r="AD555">
        <f t="shared" si="64"/>
        <v>0</v>
      </c>
      <c r="AE555" s="351">
        <f t="shared" si="66"/>
        <v>0</v>
      </c>
    </row>
    <row r="556" spans="1:31">
      <c r="A556" s="165">
        <f>'Conveyor Downtime (new)'!A573</f>
        <v>0</v>
      </c>
      <c r="AD556">
        <f t="shared" si="64"/>
        <v>0</v>
      </c>
      <c r="AE556" s="351">
        <f t="shared" si="66"/>
        <v>0</v>
      </c>
    </row>
    <row r="557" spans="1:31">
      <c r="A557" s="165">
        <f>'Conveyor Downtime (new)'!A574</f>
        <v>0</v>
      </c>
      <c r="B557" s="346"/>
      <c r="C557" s="346"/>
      <c r="D557" s="346"/>
      <c r="E557" s="346"/>
      <c r="F557" s="346"/>
      <c r="G557" s="346"/>
      <c r="H557" s="346"/>
      <c r="I557" s="346"/>
      <c r="J557" s="346"/>
      <c r="K557" s="346"/>
      <c r="L557" s="346"/>
      <c r="M557" s="346"/>
      <c r="N557" s="346"/>
      <c r="O557" s="346"/>
      <c r="P557" s="346"/>
      <c r="Q557" s="346"/>
      <c r="R557" s="346"/>
      <c r="S557" s="346"/>
      <c r="T557" s="346"/>
      <c r="U557" s="346"/>
      <c r="V557" s="346"/>
      <c r="W557" s="346"/>
      <c r="X557" s="346"/>
      <c r="Y557" s="346"/>
      <c r="Z557" s="346"/>
      <c r="AA557" s="346"/>
      <c r="AB557" s="346"/>
      <c r="AC557" s="346"/>
      <c r="AD557">
        <f t="shared" si="64"/>
        <v>0</v>
      </c>
      <c r="AE557" s="351">
        <f t="shared" si="66"/>
        <v>0</v>
      </c>
    </row>
    <row r="558" spans="1:31">
      <c r="A558" s="165">
        <f>'Conveyor Downtime (new)'!A575</f>
        <v>0</v>
      </c>
      <c r="AD558">
        <f t="shared" si="64"/>
        <v>0</v>
      </c>
      <c r="AE558" s="351">
        <f t="shared" si="66"/>
        <v>0</v>
      </c>
    </row>
    <row r="559" spans="1:31">
      <c r="A559" s="165">
        <f>'Conveyor Downtime (new)'!A576</f>
        <v>0</v>
      </c>
      <c r="B559" s="346"/>
      <c r="C559" s="346"/>
      <c r="D559" s="346"/>
      <c r="E559" s="346"/>
      <c r="F559" s="346"/>
      <c r="G559" s="346"/>
      <c r="H559" s="346"/>
      <c r="I559" s="346"/>
      <c r="J559" s="346"/>
      <c r="K559" s="346"/>
      <c r="L559" s="346"/>
      <c r="M559" s="346"/>
      <c r="N559" s="346"/>
      <c r="O559" s="346"/>
      <c r="P559" s="346"/>
      <c r="Q559" s="346"/>
      <c r="R559" s="346"/>
      <c r="S559" s="346"/>
      <c r="T559" s="346"/>
      <c r="U559" s="346"/>
      <c r="V559" s="346"/>
      <c r="W559" s="346"/>
      <c r="X559" s="346"/>
      <c r="Y559" s="346"/>
      <c r="Z559" s="346"/>
      <c r="AA559" s="346"/>
      <c r="AB559" s="346"/>
      <c r="AC559" s="346"/>
      <c r="AD559">
        <f t="shared" si="64"/>
        <v>0</v>
      </c>
      <c r="AE559" s="351">
        <f t="shared" si="66"/>
        <v>0</v>
      </c>
    </row>
    <row r="560" spans="1:31">
      <c r="A560" s="165">
        <f>'Conveyor Downtime (new)'!A577</f>
        <v>0</v>
      </c>
      <c r="AD560">
        <f t="shared" si="64"/>
        <v>0</v>
      </c>
      <c r="AE560" s="351">
        <f t="shared" si="66"/>
        <v>0</v>
      </c>
    </row>
    <row r="561" spans="1:31">
      <c r="A561" s="165">
        <f>'Conveyor Downtime (new)'!A578</f>
        <v>0</v>
      </c>
      <c r="B561" s="346"/>
      <c r="C561" s="346"/>
      <c r="D561" s="346"/>
      <c r="E561" s="346"/>
      <c r="F561" s="346"/>
      <c r="G561" s="346"/>
      <c r="H561" s="346"/>
      <c r="I561" s="346"/>
      <c r="J561" s="346"/>
      <c r="K561" s="346"/>
      <c r="L561" s="346"/>
      <c r="M561" s="346"/>
      <c r="N561" s="346"/>
      <c r="O561" s="346"/>
      <c r="P561" s="346"/>
      <c r="Q561" s="346"/>
      <c r="R561" s="346"/>
      <c r="S561" s="346"/>
      <c r="T561" s="346"/>
      <c r="U561" s="346"/>
      <c r="V561" s="346"/>
      <c r="W561" s="346"/>
      <c r="X561" s="346"/>
      <c r="Y561" s="346"/>
      <c r="Z561" s="346"/>
      <c r="AA561" s="346"/>
      <c r="AB561" s="346"/>
      <c r="AC561" s="346"/>
      <c r="AD561">
        <f t="shared" si="64"/>
        <v>0</v>
      </c>
      <c r="AE561" s="351">
        <f t="shared" si="66"/>
        <v>0</v>
      </c>
    </row>
    <row r="562" spans="1:31">
      <c r="A562" s="165">
        <f>'Conveyor Downtime (new)'!A579</f>
        <v>0</v>
      </c>
      <c r="AD562">
        <f t="shared" si="64"/>
        <v>0</v>
      </c>
      <c r="AE562" s="351">
        <f t="shared" si="66"/>
        <v>0</v>
      </c>
    </row>
    <row r="563" spans="1:31">
      <c r="A563" s="165">
        <f>'Conveyor Downtime (new)'!A580</f>
        <v>0</v>
      </c>
      <c r="B563" s="346"/>
      <c r="C563" s="346"/>
      <c r="D563" s="346"/>
      <c r="E563" s="346"/>
      <c r="F563" s="346"/>
      <c r="G563" s="346"/>
      <c r="H563" s="346"/>
      <c r="I563" s="346"/>
      <c r="J563" s="346"/>
      <c r="K563" s="346"/>
      <c r="L563" s="346"/>
      <c r="M563" s="346"/>
      <c r="N563" s="346"/>
      <c r="O563" s="346"/>
      <c r="P563" s="346"/>
      <c r="Q563" s="346"/>
      <c r="R563" s="346"/>
      <c r="S563" s="346"/>
      <c r="T563" s="346"/>
      <c r="U563" s="346"/>
      <c r="V563" s="346"/>
      <c r="W563" s="346"/>
      <c r="X563" s="346"/>
      <c r="Y563" s="346"/>
      <c r="Z563" s="346"/>
      <c r="AA563" s="346"/>
      <c r="AB563" s="346"/>
      <c r="AC563" s="346"/>
      <c r="AD563">
        <f t="shared" si="64"/>
        <v>0</v>
      </c>
      <c r="AE563" s="351">
        <f t="shared" si="66"/>
        <v>0</v>
      </c>
    </row>
    <row r="564" spans="1:31">
      <c r="A564" s="165">
        <f>'Conveyor Downtime (new)'!A581</f>
        <v>0</v>
      </c>
      <c r="AD564">
        <f t="shared" si="64"/>
        <v>0</v>
      </c>
      <c r="AE564" s="351">
        <f t="shared" si="66"/>
        <v>0</v>
      </c>
    </row>
    <row r="565" spans="1:31">
      <c r="A565" s="165">
        <f>'Conveyor Downtime (new)'!A582</f>
        <v>0</v>
      </c>
      <c r="B565" s="346"/>
      <c r="C565" s="346"/>
      <c r="D565" s="346"/>
      <c r="E565" s="346"/>
      <c r="F565" s="346"/>
      <c r="G565" s="346"/>
      <c r="H565" s="346"/>
      <c r="I565" s="346"/>
      <c r="J565" s="346"/>
      <c r="K565" s="346"/>
      <c r="L565" s="346"/>
      <c r="M565" s="346"/>
      <c r="N565" s="346"/>
      <c r="O565" s="346"/>
      <c r="P565" s="346"/>
      <c r="Q565" s="346"/>
      <c r="R565" s="346"/>
      <c r="S565" s="346"/>
      <c r="T565" s="346"/>
      <c r="U565" s="346"/>
      <c r="V565" s="346"/>
      <c r="W565" s="346"/>
      <c r="X565" s="346"/>
      <c r="Y565" s="346"/>
      <c r="Z565" s="346"/>
      <c r="AA565" s="346"/>
      <c r="AB565" s="346"/>
      <c r="AC565" s="346"/>
      <c r="AD565">
        <f t="shared" si="64"/>
        <v>0</v>
      </c>
      <c r="AE565" s="351">
        <f t="shared" si="66"/>
        <v>0</v>
      </c>
    </row>
    <row r="566" spans="1:31">
      <c r="A566" s="165">
        <f>'Conveyor Downtime (new)'!A583</f>
        <v>0</v>
      </c>
      <c r="AD566">
        <f t="shared" si="64"/>
        <v>0</v>
      </c>
      <c r="AE566" s="351">
        <f t="shared" si="66"/>
        <v>0</v>
      </c>
    </row>
    <row r="567" spans="1:31">
      <c r="A567" s="165">
        <f>'Conveyor Downtime (new)'!A584</f>
        <v>0</v>
      </c>
      <c r="B567" s="346"/>
      <c r="C567" s="346"/>
      <c r="D567" s="346"/>
      <c r="E567" s="346"/>
      <c r="F567" s="346"/>
      <c r="G567" s="346"/>
      <c r="H567" s="346"/>
      <c r="I567" s="346"/>
      <c r="J567" s="346"/>
      <c r="K567" s="346"/>
      <c r="L567" s="346"/>
      <c r="M567" s="346"/>
      <c r="N567" s="346"/>
      <c r="O567" s="346"/>
      <c r="P567" s="346"/>
      <c r="Q567" s="346"/>
      <c r="R567" s="346"/>
      <c r="S567" s="346"/>
      <c r="T567" s="346"/>
      <c r="U567" s="346"/>
      <c r="V567" s="346"/>
      <c r="W567" s="346"/>
      <c r="X567" s="346"/>
      <c r="Y567" s="346"/>
      <c r="Z567" s="346"/>
      <c r="AA567" s="346"/>
      <c r="AB567" s="346"/>
      <c r="AC567" s="346"/>
      <c r="AD567">
        <f t="shared" si="64"/>
        <v>0</v>
      </c>
      <c r="AE567" s="351">
        <f t="shared" si="66"/>
        <v>0</v>
      </c>
    </row>
    <row r="568" spans="1:31">
      <c r="A568" s="165">
        <f>'Conveyor Downtime (new)'!A585</f>
        <v>0</v>
      </c>
      <c r="AD568">
        <f t="shared" si="64"/>
        <v>0</v>
      </c>
      <c r="AE568" s="351">
        <f t="shared" si="66"/>
        <v>0</v>
      </c>
    </row>
    <row r="569" spans="1:31">
      <c r="A569" s="165">
        <f>'Conveyor Downtime (new)'!A586</f>
        <v>0</v>
      </c>
      <c r="B569" s="346"/>
      <c r="C569" s="346"/>
      <c r="D569" s="346"/>
      <c r="E569" s="346"/>
      <c r="F569" s="346"/>
      <c r="G569" s="346"/>
      <c r="H569" s="346"/>
      <c r="I569" s="346"/>
      <c r="J569" s="346"/>
      <c r="K569" s="346"/>
      <c r="L569" s="346"/>
      <c r="M569" s="346"/>
      <c r="N569" s="346"/>
      <c r="O569" s="346"/>
      <c r="P569" s="346"/>
      <c r="Q569" s="346"/>
      <c r="R569" s="346"/>
      <c r="S569" s="346"/>
      <c r="T569" s="346"/>
      <c r="U569" s="346"/>
      <c r="V569" s="346"/>
      <c r="W569" s="346"/>
      <c r="X569" s="346"/>
      <c r="Y569" s="346"/>
      <c r="Z569" s="346"/>
      <c r="AA569" s="346"/>
      <c r="AB569" s="346"/>
      <c r="AC569" s="346"/>
      <c r="AD569">
        <f t="shared" si="64"/>
        <v>0</v>
      </c>
      <c r="AE569" s="351">
        <f t="shared" si="66"/>
        <v>0</v>
      </c>
    </row>
    <row r="570" spans="1:31">
      <c r="A570" s="165">
        <f>'Conveyor Downtime (new)'!A587</f>
        <v>0</v>
      </c>
      <c r="AD570">
        <f t="shared" si="64"/>
        <v>0</v>
      </c>
      <c r="AE570" s="351">
        <f t="shared" si="66"/>
        <v>0</v>
      </c>
    </row>
    <row r="571" spans="1:31">
      <c r="A571" s="165">
        <f>'Conveyor Downtime (new)'!A588</f>
        <v>0</v>
      </c>
      <c r="B571" s="346"/>
      <c r="C571" s="346"/>
      <c r="D571" s="346"/>
      <c r="E571" s="346"/>
      <c r="F571" s="346"/>
      <c r="G571" s="346"/>
      <c r="H571" s="346"/>
      <c r="I571" s="346"/>
      <c r="J571" s="346"/>
      <c r="K571" s="346"/>
      <c r="L571" s="346"/>
      <c r="M571" s="346"/>
      <c r="N571" s="346"/>
      <c r="O571" s="346"/>
      <c r="P571" s="346"/>
      <c r="Q571" s="346"/>
      <c r="R571" s="346"/>
      <c r="S571" s="346"/>
      <c r="T571" s="346"/>
      <c r="U571" s="346"/>
      <c r="V571" s="346"/>
      <c r="W571" s="346"/>
      <c r="X571" s="346"/>
      <c r="Y571" s="346"/>
      <c r="Z571" s="346"/>
      <c r="AA571" s="346"/>
      <c r="AB571" s="346"/>
      <c r="AC571" s="346"/>
      <c r="AD571">
        <f t="shared" si="64"/>
        <v>0</v>
      </c>
      <c r="AE571" s="351">
        <f t="shared" si="66"/>
        <v>0</v>
      </c>
    </row>
    <row r="572" spans="1:31">
      <c r="A572" s="165">
        <f>'Conveyor Downtime (new)'!A589</f>
        <v>0</v>
      </c>
      <c r="AD572">
        <f t="shared" si="64"/>
        <v>0</v>
      </c>
      <c r="AE572" s="351">
        <f t="shared" si="66"/>
        <v>0</v>
      </c>
    </row>
    <row r="573" spans="1:31">
      <c r="A573" s="165">
        <f>'Conveyor Downtime (new)'!A590</f>
        <v>0</v>
      </c>
      <c r="B573" s="346"/>
      <c r="C573" s="346"/>
      <c r="D573" s="346"/>
      <c r="E573" s="346"/>
      <c r="F573" s="346"/>
      <c r="G573" s="346"/>
      <c r="H573" s="346"/>
      <c r="I573" s="346"/>
      <c r="J573" s="346"/>
      <c r="K573" s="346"/>
      <c r="L573" s="346"/>
      <c r="M573" s="346"/>
      <c r="N573" s="346"/>
      <c r="O573" s="346"/>
      <c r="P573" s="346"/>
      <c r="Q573" s="346"/>
      <c r="R573" s="346"/>
      <c r="S573" s="346"/>
      <c r="T573" s="346"/>
      <c r="U573" s="346"/>
      <c r="V573" s="346"/>
      <c r="W573" s="346"/>
      <c r="X573" s="346"/>
      <c r="Y573" s="346"/>
      <c r="Z573" s="346"/>
      <c r="AA573" s="346"/>
      <c r="AB573" s="346"/>
      <c r="AC573" s="346"/>
      <c r="AD573">
        <f t="shared" si="64"/>
        <v>0</v>
      </c>
      <c r="AE573" s="351">
        <f t="shared" si="66"/>
        <v>0</v>
      </c>
    </row>
    <row r="574" spans="1:31">
      <c r="A574" s="165">
        <f>'Conveyor Downtime (new)'!A591</f>
        <v>0</v>
      </c>
      <c r="AD574">
        <f t="shared" si="64"/>
        <v>0</v>
      </c>
      <c r="AE574" s="351">
        <f t="shared" ref="AE574:AE586" si="67">AD574/$AD$182</f>
        <v>0</v>
      </c>
    </row>
    <row r="575" spans="1:31">
      <c r="A575" s="165">
        <f>'Conveyor Downtime (new)'!A592</f>
        <v>0</v>
      </c>
      <c r="B575" s="346"/>
      <c r="C575" s="346"/>
      <c r="D575" s="346"/>
      <c r="E575" s="346"/>
      <c r="F575" s="346"/>
      <c r="G575" s="346"/>
      <c r="H575" s="346"/>
      <c r="I575" s="346"/>
      <c r="J575" s="346"/>
      <c r="K575" s="346"/>
      <c r="L575" s="346"/>
      <c r="M575" s="346"/>
      <c r="N575" s="346"/>
      <c r="O575" s="346"/>
      <c r="P575" s="346"/>
      <c r="Q575" s="346"/>
      <c r="R575" s="346"/>
      <c r="S575" s="346"/>
      <c r="T575" s="346"/>
      <c r="U575" s="346"/>
      <c r="V575" s="346"/>
      <c r="W575" s="346"/>
      <c r="X575" s="346"/>
      <c r="Y575" s="346"/>
      <c r="Z575" s="346"/>
      <c r="AA575" s="346"/>
      <c r="AB575" s="346"/>
      <c r="AC575" s="346"/>
      <c r="AD575">
        <f t="shared" si="64"/>
        <v>0</v>
      </c>
      <c r="AE575" s="351">
        <f t="shared" si="67"/>
        <v>0</v>
      </c>
    </row>
    <row r="576" spans="1:31">
      <c r="A576" s="165">
        <f>'Conveyor Downtime (new)'!A593</f>
        <v>0</v>
      </c>
      <c r="AD576">
        <f t="shared" si="64"/>
        <v>0</v>
      </c>
      <c r="AE576" s="351">
        <f t="shared" si="67"/>
        <v>0</v>
      </c>
    </row>
    <row r="577" spans="1:31">
      <c r="A577" s="165">
        <f>'Conveyor Downtime (new)'!A594</f>
        <v>0</v>
      </c>
      <c r="B577" s="346"/>
      <c r="C577" s="346"/>
      <c r="D577" s="346"/>
      <c r="E577" s="346"/>
      <c r="F577" s="346"/>
      <c r="G577" s="346"/>
      <c r="H577" s="346"/>
      <c r="I577" s="346"/>
      <c r="J577" s="346"/>
      <c r="K577" s="346"/>
      <c r="L577" s="346"/>
      <c r="M577" s="346"/>
      <c r="N577" s="346"/>
      <c r="O577" s="346"/>
      <c r="P577" s="346"/>
      <c r="Q577" s="346"/>
      <c r="R577" s="346"/>
      <c r="S577" s="346"/>
      <c r="T577" s="346"/>
      <c r="U577" s="346"/>
      <c r="V577" s="346"/>
      <c r="W577" s="346"/>
      <c r="X577" s="346"/>
      <c r="Y577" s="346"/>
      <c r="Z577" s="346"/>
      <c r="AA577" s="346"/>
      <c r="AB577" s="346"/>
      <c r="AC577" s="346"/>
      <c r="AD577">
        <f t="shared" si="64"/>
        <v>0</v>
      </c>
      <c r="AE577" s="351">
        <f t="shared" si="67"/>
        <v>0</v>
      </c>
    </row>
    <row r="578" spans="1:31">
      <c r="A578" s="165">
        <f>'Conveyor Downtime (new)'!A595</f>
        <v>0</v>
      </c>
      <c r="AD578">
        <f t="shared" si="64"/>
        <v>0</v>
      </c>
      <c r="AE578" s="351">
        <f t="shared" si="67"/>
        <v>0</v>
      </c>
    </row>
    <row r="579" spans="1:31">
      <c r="A579" s="165">
        <f>'Conveyor Downtime (new)'!A596</f>
        <v>0</v>
      </c>
      <c r="B579" s="346"/>
      <c r="C579" s="346"/>
      <c r="D579" s="346"/>
      <c r="E579" s="346"/>
      <c r="F579" s="346"/>
      <c r="G579" s="346"/>
      <c r="H579" s="346"/>
      <c r="I579" s="346"/>
      <c r="J579" s="346"/>
      <c r="K579" s="346"/>
      <c r="L579" s="346"/>
      <c r="M579" s="346"/>
      <c r="N579" s="346"/>
      <c r="O579" s="346"/>
      <c r="P579" s="346"/>
      <c r="Q579" s="346"/>
      <c r="R579" s="346"/>
      <c r="S579" s="346"/>
      <c r="T579" s="346"/>
      <c r="U579" s="346"/>
      <c r="V579" s="346"/>
      <c r="W579" s="346"/>
      <c r="X579" s="346"/>
      <c r="Y579" s="346"/>
      <c r="Z579" s="346"/>
      <c r="AA579" s="346"/>
      <c r="AB579" s="346"/>
      <c r="AC579" s="346"/>
      <c r="AD579">
        <f t="shared" si="64"/>
        <v>0</v>
      </c>
      <c r="AE579" s="351">
        <f t="shared" si="67"/>
        <v>0</v>
      </c>
    </row>
    <row r="580" spans="1:31">
      <c r="A580" s="165">
        <f>'Conveyor Downtime (new)'!A597</f>
        <v>0</v>
      </c>
      <c r="AD580">
        <f t="shared" si="64"/>
        <v>0</v>
      </c>
      <c r="AE580" s="351">
        <f t="shared" si="67"/>
        <v>0</v>
      </c>
    </row>
    <row r="581" spans="1:31">
      <c r="A581" s="165">
        <f>'Conveyor Downtime (new)'!A598</f>
        <v>0</v>
      </c>
      <c r="B581" s="346"/>
      <c r="C581" s="346"/>
      <c r="D581" s="346"/>
      <c r="E581" s="346"/>
      <c r="F581" s="346"/>
      <c r="G581" s="346"/>
      <c r="H581" s="346"/>
      <c r="I581" s="346"/>
      <c r="J581" s="346"/>
      <c r="K581" s="346"/>
      <c r="L581" s="346"/>
      <c r="M581" s="346"/>
      <c r="N581" s="346"/>
      <c r="O581" s="346"/>
      <c r="P581" s="346"/>
      <c r="Q581" s="346"/>
      <c r="R581" s="346"/>
      <c r="S581" s="346"/>
      <c r="T581" s="346"/>
      <c r="U581" s="346"/>
      <c r="V581" s="346"/>
      <c r="W581" s="346"/>
      <c r="X581" s="346"/>
      <c r="Y581" s="346"/>
      <c r="Z581" s="346"/>
      <c r="AA581" s="346"/>
      <c r="AB581" s="346"/>
      <c r="AC581" s="346"/>
      <c r="AD581">
        <f t="shared" si="64"/>
        <v>0</v>
      </c>
      <c r="AE581" s="351">
        <f t="shared" si="67"/>
        <v>0</v>
      </c>
    </row>
    <row r="582" spans="1:31">
      <c r="A582" s="165">
        <f>'Conveyor Downtime (new)'!A599</f>
        <v>0</v>
      </c>
      <c r="AD582">
        <f t="shared" si="64"/>
        <v>0</v>
      </c>
      <c r="AE582" s="351">
        <f t="shared" si="67"/>
        <v>0</v>
      </c>
    </row>
    <row r="583" spans="1:31">
      <c r="A583" s="165">
        <f>'Conveyor Downtime (new)'!A600</f>
        <v>0</v>
      </c>
      <c r="B583" s="346"/>
      <c r="C583" s="346"/>
      <c r="D583" s="346"/>
      <c r="E583" s="346"/>
      <c r="F583" s="346"/>
      <c r="G583" s="346"/>
      <c r="H583" s="346"/>
      <c r="I583" s="346"/>
      <c r="J583" s="346"/>
      <c r="K583" s="346"/>
      <c r="L583" s="346"/>
      <c r="M583" s="346"/>
      <c r="N583" s="346"/>
      <c r="O583" s="346"/>
      <c r="P583" s="346"/>
      <c r="Q583" s="346"/>
      <c r="R583" s="346"/>
      <c r="S583" s="346"/>
      <c r="T583" s="346"/>
      <c r="U583" s="346"/>
      <c r="V583" s="346"/>
      <c r="W583" s="346"/>
      <c r="X583" s="346"/>
      <c r="Y583" s="346"/>
      <c r="Z583" s="346"/>
      <c r="AA583" s="346"/>
      <c r="AB583" s="346"/>
      <c r="AC583" s="346"/>
      <c r="AD583">
        <f t="shared" si="64"/>
        <v>0</v>
      </c>
      <c r="AE583" s="351">
        <f t="shared" si="67"/>
        <v>0</v>
      </c>
    </row>
    <row r="584" spans="1:31">
      <c r="A584" s="165">
        <f>'Conveyor Downtime (new)'!A601</f>
        <v>0</v>
      </c>
      <c r="AD584">
        <f t="shared" si="64"/>
        <v>0</v>
      </c>
      <c r="AE584" s="351">
        <f t="shared" si="67"/>
        <v>0</v>
      </c>
    </row>
    <row r="585" spans="1:31">
      <c r="A585" s="165">
        <f>'Conveyor Downtime (new)'!A602</f>
        <v>0</v>
      </c>
      <c r="B585" s="346"/>
      <c r="C585" s="346"/>
      <c r="D585" s="346"/>
      <c r="E585" s="346"/>
      <c r="F585" s="346"/>
      <c r="G585" s="346"/>
      <c r="H585" s="346"/>
      <c r="I585" s="346"/>
      <c r="J585" s="346"/>
      <c r="K585" s="346"/>
      <c r="L585" s="346"/>
      <c r="M585" s="346"/>
      <c r="N585" s="346"/>
      <c r="O585" s="346"/>
      <c r="P585" s="346"/>
      <c r="Q585" s="346"/>
      <c r="R585" s="346"/>
      <c r="S585" s="346"/>
      <c r="T585" s="346"/>
      <c r="U585" s="346"/>
      <c r="V585" s="346"/>
      <c r="W585" s="346"/>
      <c r="X585" s="346"/>
      <c r="Y585" s="346"/>
      <c r="Z585" s="346"/>
      <c r="AA585" s="346"/>
      <c r="AB585" s="346"/>
      <c r="AC585" s="346"/>
      <c r="AD585">
        <f t="shared" si="64"/>
        <v>0</v>
      </c>
      <c r="AE585" s="351">
        <f t="shared" si="67"/>
        <v>0</v>
      </c>
    </row>
    <row r="586" spans="1:31">
      <c r="A586" s="165">
        <f>'Conveyor Downtime (new)'!A603</f>
        <v>0</v>
      </c>
      <c r="AD586">
        <f t="shared" si="64"/>
        <v>0</v>
      </c>
      <c r="AE586" s="351">
        <f t="shared" si="67"/>
        <v>0</v>
      </c>
    </row>
    <row r="587" spans="1:31">
      <c r="A587" s="165">
        <f>'Conveyor Downtime (new)'!A604</f>
        <v>0</v>
      </c>
      <c r="B587" s="346"/>
      <c r="C587" s="346"/>
      <c r="D587" s="346"/>
      <c r="E587" s="346"/>
      <c r="F587" s="346"/>
      <c r="G587" s="346"/>
      <c r="H587" s="346"/>
      <c r="I587" s="346"/>
      <c r="J587" s="346"/>
      <c r="K587" s="346"/>
      <c r="L587" s="346"/>
      <c r="M587" s="346"/>
      <c r="N587" s="346"/>
      <c r="O587" s="346"/>
      <c r="P587" s="346"/>
      <c r="Q587" s="346"/>
      <c r="R587" s="346"/>
      <c r="S587" s="346"/>
      <c r="T587" s="346"/>
      <c r="U587" s="346"/>
      <c r="V587" s="346"/>
      <c r="W587" s="346"/>
      <c r="X587" s="346"/>
      <c r="Y587" s="346"/>
      <c r="Z587" s="346"/>
      <c r="AA587" s="346"/>
      <c r="AB587" s="346"/>
      <c r="AC587" s="346"/>
      <c r="AD587">
        <f t="shared" ref="AD587:AD595" si="68">SUM(B587:AC587)</f>
        <v>0</v>
      </c>
      <c r="AE587" s="351">
        <f t="shared" ref="AE587:AE595" si="69">AD587/$AD$182</f>
        <v>0</v>
      </c>
    </row>
    <row r="588" spans="1:31">
      <c r="A588" s="165">
        <f>'Conveyor Downtime (new)'!A605</f>
        <v>0</v>
      </c>
      <c r="AD588">
        <f t="shared" si="68"/>
        <v>0</v>
      </c>
      <c r="AE588" s="351">
        <f t="shared" si="69"/>
        <v>0</v>
      </c>
    </row>
    <row r="589" spans="1:31">
      <c r="A589" s="165">
        <f>'Conveyor Downtime (new)'!A606</f>
        <v>0</v>
      </c>
      <c r="B589" s="346"/>
      <c r="C589" s="346"/>
      <c r="D589" s="346"/>
      <c r="E589" s="346"/>
      <c r="F589" s="346"/>
      <c r="G589" s="346"/>
      <c r="H589" s="346"/>
      <c r="I589" s="346"/>
      <c r="J589" s="346"/>
      <c r="K589" s="346"/>
      <c r="L589" s="346"/>
      <c r="M589" s="346"/>
      <c r="N589" s="346"/>
      <c r="O589" s="346"/>
      <c r="P589" s="346"/>
      <c r="Q589" s="346"/>
      <c r="R589" s="346"/>
      <c r="S589" s="346"/>
      <c r="T589" s="346"/>
      <c r="U589" s="346"/>
      <c r="V589" s="346"/>
      <c r="W589" s="346"/>
      <c r="X589" s="346"/>
      <c r="Y589" s="346"/>
      <c r="Z589" s="346"/>
      <c r="AA589" s="346"/>
      <c r="AB589" s="346"/>
      <c r="AC589" s="346"/>
      <c r="AD589">
        <f t="shared" si="68"/>
        <v>0</v>
      </c>
      <c r="AE589" s="351">
        <f t="shared" si="69"/>
        <v>0</v>
      </c>
    </row>
    <row r="590" spans="1:31">
      <c r="A590" s="165">
        <f>'Conveyor Downtime (new)'!A607</f>
        <v>0</v>
      </c>
      <c r="AD590">
        <f t="shared" si="68"/>
        <v>0</v>
      </c>
      <c r="AE590" s="351">
        <f t="shared" si="69"/>
        <v>0</v>
      </c>
    </row>
    <row r="591" spans="1:31">
      <c r="A591" s="165">
        <f>'Conveyor Downtime (new)'!A608</f>
        <v>0</v>
      </c>
      <c r="B591" s="346"/>
      <c r="C591" s="346"/>
      <c r="D591" s="346"/>
      <c r="E591" s="346"/>
      <c r="F591" s="346"/>
      <c r="G591" s="346"/>
      <c r="H591" s="346"/>
      <c r="I591" s="346"/>
      <c r="J591" s="346"/>
      <c r="K591" s="346"/>
      <c r="L591" s="346"/>
      <c r="M591" s="346"/>
      <c r="N591" s="346"/>
      <c r="O591" s="346"/>
      <c r="P591" s="346"/>
      <c r="Q591" s="346"/>
      <c r="R591" s="346"/>
      <c r="S591" s="346"/>
      <c r="T591" s="346"/>
      <c r="U591" s="346"/>
      <c r="V591" s="346"/>
      <c r="W591" s="346"/>
      <c r="X591" s="346"/>
      <c r="Y591" s="346"/>
      <c r="Z591" s="346"/>
      <c r="AA591" s="346"/>
      <c r="AB591" s="346"/>
      <c r="AC591" s="346"/>
      <c r="AD591">
        <f t="shared" si="68"/>
        <v>0</v>
      </c>
      <c r="AE591" s="351">
        <f t="shared" si="69"/>
        <v>0</v>
      </c>
    </row>
    <row r="592" spans="1:31">
      <c r="A592" s="165">
        <f>'Conveyor Downtime (new)'!A609</f>
        <v>0</v>
      </c>
      <c r="AD592">
        <f t="shared" si="68"/>
        <v>0</v>
      </c>
      <c r="AE592" s="351">
        <f t="shared" si="69"/>
        <v>0</v>
      </c>
    </row>
    <row r="593" spans="1:31">
      <c r="A593" s="165">
        <f>'Conveyor Downtime (new)'!A610</f>
        <v>0</v>
      </c>
      <c r="B593" s="346"/>
      <c r="C593" s="346"/>
      <c r="D593" s="346"/>
      <c r="E593" s="346"/>
      <c r="F593" s="346"/>
      <c r="G593" s="346"/>
      <c r="H593" s="346"/>
      <c r="I593" s="346"/>
      <c r="J593" s="346"/>
      <c r="K593" s="346"/>
      <c r="L593" s="346"/>
      <c r="M593" s="346"/>
      <c r="N593" s="346"/>
      <c r="O593" s="346"/>
      <c r="P593" s="346"/>
      <c r="Q593" s="346"/>
      <c r="R593" s="346"/>
      <c r="S593" s="346"/>
      <c r="T593" s="346"/>
      <c r="U593" s="346"/>
      <c r="V593" s="346"/>
      <c r="W593" s="346"/>
      <c r="X593" s="346"/>
      <c r="Y593" s="346"/>
      <c r="Z593" s="346"/>
      <c r="AA593" s="346"/>
      <c r="AB593" s="346"/>
      <c r="AC593" s="346"/>
      <c r="AD593">
        <f t="shared" si="68"/>
        <v>0</v>
      </c>
      <c r="AE593" s="351">
        <f t="shared" si="69"/>
        <v>0</v>
      </c>
    </row>
    <row r="594" spans="1:31">
      <c r="A594" s="165"/>
      <c r="AD594">
        <f t="shared" si="68"/>
        <v>0</v>
      </c>
      <c r="AE594" s="351">
        <f t="shared" si="69"/>
        <v>0</v>
      </c>
    </row>
    <row r="595" spans="1:31">
      <c r="A595" s="165"/>
      <c r="B595" s="346"/>
      <c r="C595" s="346"/>
      <c r="D595" s="346"/>
      <c r="E595" s="346"/>
      <c r="F595" s="346"/>
      <c r="G595" s="346"/>
      <c r="H595" s="346"/>
      <c r="I595" s="346"/>
      <c r="J595" s="346"/>
      <c r="K595" s="346"/>
      <c r="L595" s="346"/>
      <c r="M595" s="346"/>
      <c r="N595" s="346"/>
      <c r="O595" s="346"/>
      <c r="P595" s="346"/>
      <c r="Q595" s="346"/>
      <c r="R595" s="346"/>
      <c r="S595" s="346"/>
      <c r="T595" s="346"/>
      <c r="U595" s="346"/>
      <c r="V595" s="346"/>
      <c r="W595" s="346"/>
      <c r="X595" s="346"/>
      <c r="Y595" s="346"/>
      <c r="Z595" s="346"/>
      <c r="AA595" s="346"/>
      <c r="AB595" s="346"/>
      <c r="AC595" s="346"/>
      <c r="AD595">
        <f t="shared" si="68"/>
        <v>0</v>
      </c>
      <c r="AE595" s="351">
        <f t="shared" si="69"/>
        <v>0</v>
      </c>
    </row>
    <row r="596" spans="1:31" ht="15">
      <c r="A596" s="347" t="s">
        <v>173</v>
      </c>
      <c r="B596" s="347">
        <f>SUM(B539:B595)</f>
        <v>0</v>
      </c>
      <c r="C596" s="347">
        <f t="shared" ref="C596:AD596" si="70">SUM(C539:C595)</f>
        <v>0</v>
      </c>
      <c r="D596" s="347">
        <f t="shared" si="70"/>
        <v>0</v>
      </c>
      <c r="E596" s="347">
        <f t="shared" si="70"/>
        <v>0</v>
      </c>
      <c r="F596" s="347">
        <f t="shared" si="70"/>
        <v>0</v>
      </c>
      <c r="G596" s="347">
        <f t="shared" si="70"/>
        <v>0</v>
      </c>
      <c r="H596" s="347">
        <f t="shared" si="70"/>
        <v>0</v>
      </c>
      <c r="I596" s="347">
        <f t="shared" si="70"/>
        <v>0</v>
      </c>
      <c r="J596" s="347">
        <f t="shared" si="70"/>
        <v>0</v>
      </c>
      <c r="K596" s="347">
        <f t="shared" si="70"/>
        <v>0</v>
      </c>
      <c r="L596" s="347">
        <f t="shared" si="70"/>
        <v>0</v>
      </c>
      <c r="M596" s="347">
        <f t="shared" si="70"/>
        <v>0</v>
      </c>
      <c r="N596" s="347">
        <f t="shared" si="70"/>
        <v>0</v>
      </c>
      <c r="O596" s="347">
        <f t="shared" si="70"/>
        <v>0</v>
      </c>
      <c r="P596" s="347">
        <f t="shared" si="70"/>
        <v>0</v>
      </c>
      <c r="Q596" s="347">
        <f t="shared" si="70"/>
        <v>0</v>
      </c>
      <c r="R596" s="347">
        <f t="shared" si="70"/>
        <v>0</v>
      </c>
      <c r="S596" s="347">
        <f t="shared" si="70"/>
        <v>0</v>
      </c>
      <c r="T596" s="347">
        <f t="shared" si="70"/>
        <v>0</v>
      </c>
      <c r="U596" s="347">
        <f t="shared" si="70"/>
        <v>0</v>
      </c>
      <c r="V596" s="347">
        <f t="shared" si="70"/>
        <v>0</v>
      </c>
      <c r="W596" s="347">
        <f t="shared" si="70"/>
        <v>0</v>
      </c>
      <c r="X596" s="347">
        <f t="shared" si="70"/>
        <v>0</v>
      </c>
      <c r="Y596" s="347">
        <f t="shared" si="70"/>
        <v>0</v>
      </c>
      <c r="Z596" s="347">
        <f t="shared" si="70"/>
        <v>0</v>
      </c>
      <c r="AA596" s="347">
        <f t="shared" si="70"/>
        <v>0</v>
      </c>
      <c r="AB596" s="347">
        <f t="shared" si="70"/>
        <v>0</v>
      </c>
      <c r="AC596" s="347">
        <f t="shared" si="70"/>
        <v>0</v>
      </c>
      <c r="AD596" s="347">
        <f t="shared" si="70"/>
        <v>0</v>
      </c>
    </row>
    <row r="597" spans="1:31" ht="15.75" thickBot="1">
      <c r="A597" s="348" t="s">
        <v>174</v>
      </c>
      <c r="B597" s="348" t="e">
        <f t="shared" ref="B597" si="71">B596/$AD596</f>
        <v>#DIV/0!</v>
      </c>
      <c r="C597" s="348" t="e">
        <f t="shared" ref="C597:AC597" si="72">C596/$AD596</f>
        <v>#DIV/0!</v>
      </c>
      <c r="D597" s="348" t="e">
        <f t="shared" si="72"/>
        <v>#DIV/0!</v>
      </c>
      <c r="E597" s="348" t="e">
        <f t="shared" si="72"/>
        <v>#DIV/0!</v>
      </c>
      <c r="F597" s="348" t="e">
        <f t="shared" si="72"/>
        <v>#DIV/0!</v>
      </c>
      <c r="G597" s="348" t="e">
        <f t="shared" si="72"/>
        <v>#DIV/0!</v>
      </c>
      <c r="H597" s="348" t="e">
        <f t="shared" si="72"/>
        <v>#DIV/0!</v>
      </c>
      <c r="I597" s="348" t="e">
        <f t="shared" si="72"/>
        <v>#DIV/0!</v>
      </c>
      <c r="J597" s="348" t="e">
        <f t="shared" si="72"/>
        <v>#DIV/0!</v>
      </c>
      <c r="K597" s="348" t="e">
        <f t="shared" si="72"/>
        <v>#DIV/0!</v>
      </c>
      <c r="L597" s="348" t="e">
        <f t="shared" si="72"/>
        <v>#DIV/0!</v>
      </c>
      <c r="M597" s="348" t="e">
        <f t="shared" si="72"/>
        <v>#DIV/0!</v>
      </c>
      <c r="N597" s="348" t="e">
        <f t="shared" si="72"/>
        <v>#DIV/0!</v>
      </c>
      <c r="O597" s="348" t="e">
        <f t="shared" si="72"/>
        <v>#DIV/0!</v>
      </c>
      <c r="P597" s="348" t="e">
        <f t="shared" si="72"/>
        <v>#DIV/0!</v>
      </c>
      <c r="Q597" s="348" t="e">
        <f t="shared" si="72"/>
        <v>#DIV/0!</v>
      </c>
      <c r="R597" s="348" t="e">
        <f t="shared" si="72"/>
        <v>#DIV/0!</v>
      </c>
      <c r="S597" s="348" t="e">
        <f t="shared" si="72"/>
        <v>#DIV/0!</v>
      </c>
      <c r="T597" s="348" t="e">
        <f t="shared" si="72"/>
        <v>#DIV/0!</v>
      </c>
      <c r="U597" s="348" t="e">
        <f t="shared" si="72"/>
        <v>#DIV/0!</v>
      </c>
      <c r="V597" s="348" t="e">
        <f t="shared" si="72"/>
        <v>#DIV/0!</v>
      </c>
      <c r="W597" s="348" t="e">
        <f t="shared" si="72"/>
        <v>#DIV/0!</v>
      </c>
      <c r="X597" s="348" t="e">
        <f t="shared" si="72"/>
        <v>#DIV/0!</v>
      </c>
      <c r="Y597" s="348" t="e">
        <f t="shared" si="72"/>
        <v>#DIV/0!</v>
      </c>
      <c r="Z597" s="348" t="e">
        <f t="shared" si="72"/>
        <v>#DIV/0!</v>
      </c>
      <c r="AA597" s="348" t="e">
        <f t="shared" si="72"/>
        <v>#DIV/0!</v>
      </c>
      <c r="AB597" s="348" t="e">
        <f t="shared" si="72"/>
        <v>#DIV/0!</v>
      </c>
      <c r="AC597" s="348" t="e">
        <f t="shared" si="72"/>
        <v>#DIV/0!</v>
      </c>
      <c r="AD597" s="351"/>
    </row>
    <row r="601" spans="1:31">
      <c r="A601" s="165">
        <f>'Conveyor Downtime (new)'!A617</f>
        <v>0</v>
      </c>
      <c r="B601" s="346"/>
      <c r="C601" s="346"/>
      <c r="D601" s="346"/>
      <c r="E601" s="346"/>
      <c r="F601" s="346"/>
      <c r="G601" s="346"/>
      <c r="H601" s="346"/>
      <c r="I601" s="346"/>
      <c r="J601" s="346"/>
      <c r="K601" s="346"/>
      <c r="L601" s="346"/>
      <c r="M601" s="346"/>
      <c r="N601" s="346"/>
      <c r="O601" s="346"/>
      <c r="P601" s="346"/>
      <c r="Q601" s="346"/>
      <c r="R601" s="346"/>
      <c r="S601" s="346"/>
      <c r="T601" s="346"/>
      <c r="U601" s="346"/>
      <c r="V601" s="346"/>
      <c r="W601" s="346"/>
      <c r="X601" s="346"/>
      <c r="Y601" s="346"/>
      <c r="Z601" s="346"/>
      <c r="AA601" s="346"/>
      <c r="AB601" s="346"/>
      <c r="AC601" s="346"/>
      <c r="AD601">
        <f t="shared" ref="AD601" si="73">SUM(B601:AC601)</f>
        <v>0</v>
      </c>
      <c r="AE601" s="351">
        <f>AD601/$AD$182</f>
        <v>0</v>
      </c>
    </row>
    <row r="602" spans="1:31">
      <c r="A602" s="165">
        <f>'Conveyor Downtime (new)'!A618</f>
        <v>0</v>
      </c>
      <c r="AD602">
        <f t="shared" ref="AD602:AD619" si="74">SUM(B602:AC602)</f>
        <v>0</v>
      </c>
      <c r="AE602" s="351">
        <f t="shared" ref="AE602:AE654" si="75">AD602/$AD$182</f>
        <v>0</v>
      </c>
    </row>
    <row r="603" spans="1:31">
      <c r="A603" s="165">
        <f>'Conveyor Downtime (new)'!A619</f>
        <v>0</v>
      </c>
      <c r="B603" s="346"/>
      <c r="C603" s="346"/>
      <c r="D603" s="346"/>
      <c r="E603" s="346"/>
      <c r="F603" s="346"/>
      <c r="G603" s="346"/>
      <c r="H603" s="346"/>
      <c r="I603" s="346"/>
      <c r="J603" s="346"/>
      <c r="K603" s="346"/>
      <c r="L603" s="346"/>
      <c r="M603" s="346"/>
      <c r="N603" s="346"/>
      <c r="O603" s="346"/>
      <c r="P603" s="346"/>
      <c r="Q603" s="346"/>
      <c r="R603" s="346"/>
      <c r="S603" s="346"/>
      <c r="T603" s="346"/>
      <c r="U603" s="346"/>
      <c r="V603" s="346"/>
      <c r="W603" s="346"/>
      <c r="X603" s="346"/>
      <c r="Y603" s="346"/>
      <c r="Z603" s="346"/>
      <c r="AA603" s="346"/>
      <c r="AB603" s="346"/>
      <c r="AC603" s="346"/>
      <c r="AD603">
        <f t="shared" si="74"/>
        <v>0</v>
      </c>
      <c r="AE603" s="351">
        <f t="shared" si="75"/>
        <v>0</v>
      </c>
    </row>
    <row r="604" spans="1:31">
      <c r="A604" s="165">
        <f>'Conveyor Downtime (new)'!A620</f>
        <v>0</v>
      </c>
      <c r="AD604">
        <f t="shared" si="74"/>
        <v>0</v>
      </c>
      <c r="AE604" s="351">
        <f t="shared" si="75"/>
        <v>0</v>
      </c>
    </row>
    <row r="605" spans="1:31">
      <c r="A605" s="165">
        <f>'Conveyor Downtime (new)'!A621</f>
        <v>0</v>
      </c>
      <c r="B605" s="346"/>
      <c r="C605" s="346"/>
      <c r="D605" s="346"/>
      <c r="E605" s="346"/>
      <c r="F605" s="346"/>
      <c r="G605" s="346"/>
      <c r="H605" s="346"/>
      <c r="I605" s="346"/>
      <c r="J605" s="346"/>
      <c r="K605" s="346"/>
      <c r="L605" s="346"/>
      <c r="M605" s="346"/>
      <c r="N605" s="346"/>
      <c r="O605" s="346"/>
      <c r="P605" s="346"/>
      <c r="Q605" s="346"/>
      <c r="R605" s="346"/>
      <c r="S605" s="346"/>
      <c r="T605" s="346"/>
      <c r="U605" s="346"/>
      <c r="V605" s="346"/>
      <c r="W605" s="346"/>
      <c r="X605" s="346"/>
      <c r="Y605" s="346"/>
      <c r="Z605" s="346"/>
      <c r="AA605" s="346"/>
      <c r="AB605" s="346"/>
      <c r="AC605" s="346"/>
      <c r="AD605">
        <f t="shared" si="74"/>
        <v>0</v>
      </c>
      <c r="AE605" s="351">
        <f t="shared" si="75"/>
        <v>0</v>
      </c>
    </row>
    <row r="606" spans="1:31">
      <c r="A606" s="165">
        <f>'Conveyor Downtime (new)'!A622</f>
        <v>0</v>
      </c>
      <c r="AD606">
        <f t="shared" si="74"/>
        <v>0</v>
      </c>
      <c r="AE606" s="351">
        <f t="shared" si="75"/>
        <v>0</v>
      </c>
    </row>
    <row r="607" spans="1:31">
      <c r="A607" s="165">
        <f>'Conveyor Downtime (new)'!A623</f>
        <v>0</v>
      </c>
      <c r="B607" s="346"/>
      <c r="C607" s="346"/>
      <c r="D607" s="346"/>
      <c r="E607" s="346"/>
      <c r="F607" s="346"/>
      <c r="G607" s="346"/>
      <c r="H607" s="346"/>
      <c r="I607" s="346"/>
      <c r="J607" s="346"/>
      <c r="K607" s="346"/>
      <c r="L607" s="346"/>
      <c r="M607" s="346"/>
      <c r="N607" s="346"/>
      <c r="O607" s="346"/>
      <c r="P607" s="346"/>
      <c r="Q607" s="346"/>
      <c r="R607" s="346"/>
      <c r="S607" s="346"/>
      <c r="T607" s="346"/>
      <c r="U607" s="346"/>
      <c r="V607" s="346"/>
      <c r="W607" s="346"/>
      <c r="X607" s="346"/>
      <c r="Y607" s="346"/>
      <c r="Z607" s="346"/>
      <c r="AA607" s="346"/>
      <c r="AB607" s="346"/>
      <c r="AC607" s="346"/>
      <c r="AD607">
        <f t="shared" si="74"/>
        <v>0</v>
      </c>
      <c r="AE607" s="351">
        <f t="shared" si="75"/>
        <v>0</v>
      </c>
    </row>
    <row r="608" spans="1:31">
      <c r="A608" s="165">
        <f>'Conveyor Downtime (new)'!A624</f>
        <v>0</v>
      </c>
      <c r="AD608">
        <f t="shared" si="74"/>
        <v>0</v>
      </c>
      <c r="AE608" s="351">
        <f t="shared" si="75"/>
        <v>0</v>
      </c>
    </row>
    <row r="609" spans="1:31">
      <c r="A609" s="165">
        <f>'Conveyor Downtime (new)'!A625</f>
        <v>0</v>
      </c>
      <c r="B609" s="346"/>
      <c r="C609" s="346"/>
      <c r="D609" s="346"/>
      <c r="E609" s="346"/>
      <c r="F609" s="346"/>
      <c r="G609" s="346"/>
      <c r="H609" s="346"/>
      <c r="I609" s="346"/>
      <c r="J609" s="346"/>
      <c r="K609" s="346"/>
      <c r="L609" s="346"/>
      <c r="M609" s="346"/>
      <c r="N609" s="346"/>
      <c r="O609" s="346"/>
      <c r="P609" s="346"/>
      <c r="Q609" s="346"/>
      <c r="R609" s="346"/>
      <c r="S609" s="346"/>
      <c r="T609" s="346"/>
      <c r="U609" s="346"/>
      <c r="V609" s="346"/>
      <c r="W609" s="346"/>
      <c r="X609" s="346"/>
      <c r="Y609" s="346"/>
      <c r="Z609" s="346"/>
      <c r="AA609" s="346"/>
      <c r="AB609" s="346"/>
      <c r="AC609" s="346"/>
      <c r="AD609">
        <f t="shared" si="74"/>
        <v>0</v>
      </c>
      <c r="AE609" s="351">
        <f t="shared" si="75"/>
        <v>0</v>
      </c>
    </row>
    <row r="610" spans="1:31">
      <c r="A610" s="165">
        <f>'Conveyor Downtime (new)'!A626</f>
        <v>0</v>
      </c>
      <c r="AD610">
        <f t="shared" si="74"/>
        <v>0</v>
      </c>
      <c r="AE610" s="351">
        <f t="shared" si="75"/>
        <v>0</v>
      </c>
    </row>
    <row r="611" spans="1:31">
      <c r="A611" s="165">
        <f>'Conveyor Downtime (new)'!A627</f>
        <v>0</v>
      </c>
      <c r="B611" s="346"/>
      <c r="C611" s="346"/>
      <c r="D611" s="346"/>
      <c r="E611" s="346"/>
      <c r="F611" s="346"/>
      <c r="G611" s="346"/>
      <c r="H611" s="346"/>
      <c r="I611" s="346"/>
      <c r="J611" s="346"/>
      <c r="K611" s="346"/>
      <c r="L611" s="346"/>
      <c r="M611" s="346"/>
      <c r="N611" s="346"/>
      <c r="O611" s="346"/>
      <c r="P611" s="346"/>
      <c r="Q611" s="346"/>
      <c r="R611" s="346"/>
      <c r="S611" s="346"/>
      <c r="T611" s="346"/>
      <c r="U611" s="346"/>
      <c r="V611" s="346"/>
      <c r="W611" s="346"/>
      <c r="X611" s="346"/>
      <c r="Y611" s="346"/>
      <c r="Z611" s="346"/>
      <c r="AA611" s="346"/>
      <c r="AB611" s="346"/>
      <c r="AC611" s="346"/>
      <c r="AD611">
        <f t="shared" si="74"/>
        <v>0</v>
      </c>
      <c r="AE611" s="351">
        <f t="shared" si="75"/>
        <v>0</v>
      </c>
    </row>
    <row r="612" spans="1:31">
      <c r="A612" s="165">
        <f>'Conveyor Downtime (new)'!A628</f>
        <v>0</v>
      </c>
      <c r="AD612">
        <f t="shared" si="74"/>
        <v>0</v>
      </c>
      <c r="AE612" s="351">
        <f t="shared" si="75"/>
        <v>0</v>
      </c>
    </row>
    <row r="613" spans="1:31">
      <c r="A613" s="165">
        <f>'Conveyor Downtime (new)'!A629</f>
        <v>0</v>
      </c>
      <c r="B613" s="346"/>
      <c r="C613" s="346"/>
      <c r="D613" s="346"/>
      <c r="E613" s="346"/>
      <c r="F613" s="346"/>
      <c r="G613" s="346"/>
      <c r="H613" s="346"/>
      <c r="I613" s="346"/>
      <c r="J613" s="346"/>
      <c r="K613" s="346"/>
      <c r="L613" s="346"/>
      <c r="M613" s="346"/>
      <c r="N613" s="346"/>
      <c r="O613" s="346"/>
      <c r="P613" s="346"/>
      <c r="Q613" s="346"/>
      <c r="R613" s="346"/>
      <c r="S613" s="346"/>
      <c r="T613" s="346"/>
      <c r="U613" s="346"/>
      <c r="V613" s="346"/>
      <c r="W613" s="346"/>
      <c r="X613" s="346"/>
      <c r="Y613" s="346"/>
      <c r="Z613" s="346"/>
      <c r="AA613" s="346"/>
      <c r="AB613" s="346"/>
      <c r="AC613" s="346"/>
      <c r="AD613">
        <f t="shared" si="74"/>
        <v>0</v>
      </c>
      <c r="AE613" s="351">
        <f t="shared" si="75"/>
        <v>0</v>
      </c>
    </row>
    <row r="614" spans="1:31">
      <c r="A614" s="165">
        <f>'Conveyor Downtime (new)'!A630</f>
        <v>0</v>
      </c>
      <c r="AD614">
        <f t="shared" si="74"/>
        <v>0</v>
      </c>
      <c r="AE614" s="351">
        <f t="shared" si="75"/>
        <v>0</v>
      </c>
    </row>
    <row r="615" spans="1:31">
      <c r="A615" s="165">
        <f>'Conveyor Downtime (new)'!A631</f>
        <v>0</v>
      </c>
      <c r="B615" s="346"/>
      <c r="C615" s="346"/>
      <c r="D615" s="346"/>
      <c r="E615" s="346"/>
      <c r="F615" s="346"/>
      <c r="G615" s="346"/>
      <c r="H615" s="346"/>
      <c r="I615" s="346"/>
      <c r="J615" s="346"/>
      <c r="K615" s="346"/>
      <c r="L615" s="346"/>
      <c r="M615" s="346"/>
      <c r="N615" s="346"/>
      <c r="O615" s="346"/>
      <c r="P615" s="346"/>
      <c r="Q615" s="346"/>
      <c r="R615" s="346"/>
      <c r="S615" s="346"/>
      <c r="T615" s="346"/>
      <c r="U615" s="346"/>
      <c r="V615" s="346"/>
      <c r="W615" s="346"/>
      <c r="X615" s="346"/>
      <c r="Y615" s="346"/>
      <c r="Z615" s="346"/>
      <c r="AA615" s="346"/>
      <c r="AB615" s="346"/>
      <c r="AC615" s="346"/>
      <c r="AD615">
        <f t="shared" si="74"/>
        <v>0</v>
      </c>
      <c r="AE615" s="351">
        <f t="shared" si="75"/>
        <v>0</v>
      </c>
    </row>
    <row r="616" spans="1:31">
      <c r="A616" s="165">
        <f>'Conveyor Downtime (new)'!A632</f>
        <v>0</v>
      </c>
      <c r="AD616">
        <f t="shared" si="74"/>
        <v>0</v>
      </c>
      <c r="AE616" s="351">
        <f t="shared" si="75"/>
        <v>0</v>
      </c>
    </row>
    <row r="617" spans="1:31">
      <c r="A617" s="165">
        <f>'Conveyor Downtime (new)'!A633</f>
        <v>0</v>
      </c>
      <c r="B617" s="346"/>
      <c r="C617" s="346"/>
      <c r="D617" s="346"/>
      <c r="E617" s="346"/>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f t="shared" si="74"/>
        <v>0</v>
      </c>
      <c r="AE617" s="351">
        <f t="shared" si="75"/>
        <v>0</v>
      </c>
    </row>
    <row r="618" spans="1:31">
      <c r="A618" s="165">
        <f>'Conveyor Downtime (new)'!A634</f>
        <v>0</v>
      </c>
      <c r="AD618">
        <f t="shared" si="74"/>
        <v>0</v>
      </c>
      <c r="AE618" s="351">
        <f t="shared" si="75"/>
        <v>0</v>
      </c>
    </row>
    <row r="619" spans="1:31">
      <c r="A619" s="165">
        <f>'Conveyor Downtime (new)'!A635</f>
        <v>0</v>
      </c>
      <c r="B619" s="346"/>
      <c r="C619" s="346"/>
      <c r="D619" s="346"/>
      <c r="E619" s="346"/>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f t="shared" si="74"/>
        <v>0</v>
      </c>
      <c r="AE619" s="351">
        <f t="shared" si="75"/>
        <v>0</v>
      </c>
    </row>
    <row r="620" spans="1:31">
      <c r="A620" s="165">
        <f>'Conveyor Downtime (new)'!A636</f>
        <v>0</v>
      </c>
      <c r="AD620">
        <f t="shared" ref="AD620:AD654" si="76">SUM(B620:AC620)</f>
        <v>0</v>
      </c>
      <c r="AE620" s="351">
        <f t="shared" si="75"/>
        <v>0</v>
      </c>
    </row>
    <row r="621" spans="1:31">
      <c r="A621" s="165">
        <f>'Conveyor Downtime (new)'!A637</f>
        <v>0</v>
      </c>
      <c r="B621" s="346"/>
      <c r="C621" s="346"/>
      <c r="D621" s="346"/>
      <c r="E621" s="346"/>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f t="shared" si="76"/>
        <v>0</v>
      </c>
      <c r="AE621" s="351">
        <f t="shared" si="75"/>
        <v>0</v>
      </c>
    </row>
    <row r="622" spans="1:31">
      <c r="A622" s="165">
        <f>'Conveyor Downtime (new)'!A638</f>
        <v>0</v>
      </c>
      <c r="AD622">
        <f t="shared" si="76"/>
        <v>0</v>
      </c>
      <c r="AE622" s="351">
        <f t="shared" si="75"/>
        <v>0</v>
      </c>
    </row>
    <row r="623" spans="1:31">
      <c r="A623" s="165">
        <f>'Conveyor Downtime (new)'!A639</f>
        <v>0</v>
      </c>
      <c r="B623" s="346"/>
      <c r="C623" s="346"/>
      <c r="D623" s="346"/>
      <c r="E623" s="346"/>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f t="shared" si="76"/>
        <v>0</v>
      </c>
      <c r="AE623" s="351">
        <f t="shared" si="75"/>
        <v>0</v>
      </c>
    </row>
    <row r="624" spans="1:31">
      <c r="A624" s="165">
        <f>'Conveyor Downtime (new)'!A640</f>
        <v>0</v>
      </c>
      <c r="AD624">
        <f t="shared" si="76"/>
        <v>0</v>
      </c>
      <c r="AE624" s="351">
        <f t="shared" si="75"/>
        <v>0</v>
      </c>
    </row>
    <row r="625" spans="1:31">
      <c r="A625" s="165">
        <f>'Conveyor Downtime (new)'!A641</f>
        <v>0</v>
      </c>
      <c r="B625" s="346"/>
      <c r="C625" s="346"/>
      <c r="D625" s="346"/>
      <c r="E625" s="346"/>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f t="shared" si="76"/>
        <v>0</v>
      </c>
      <c r="AE625" s="351">
        <f t="shared" si="75"/>
        <v>0</v>
      </c>
    </row>
    <row r="626" spans="1:31">
      <c r="A626" s="165">
        <f>'Conveyor Downtime (new)'!A642</f>
        <v>0</v>
      </c>
      <c r="AD626">
        <f t="shared" si="76"/>
        <v>0</v>
      </c>
      <c r="AE626" s="351">
        <f t="shared" si="75"/>
        <v>0</v>
      </c>
    </row>
    <row r="627" spans="1:31">
      <c r="A627" s="165">
        <f>'Conveyor Downtime (new)'!A643</f>
        <v>0</v>
      </c>
      <c r="B627" s="346"/>
      <c r="C627" s="346"/>
      <c r="D627" s="346"/>
      <c r="E627" s="346"/>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f t="shared" si="76"/>
        <v>0</v>
      </c>
      <c r="AE627" s="351">
        <f t="shared" si="75"/>
        <v>0</v>
      </c>
    </row>
    <row r="628" spans="1:31">
      <c r="A628" s="165">
        <f>'Conveyor Downtime (new)'!A644</f>
        <v>0</v>
      </c>
      <c r="AD628">
        <f t="shared" si="76"/>
        <v>0</v>
      </c>
      <c r="AE628" s="351">
        <f t="shared" si="75"/>
        <v>0</v>
      </c>
    </row>
    <row r="629" spans="1:31">
      <c r="A629" s="165">
        <f>'Conveyor Downtime (new)'!A645</f>
        <v>0</v>
      </c>
      <c r="B629" s="346"/>
      <c r="C629" s="346"/>
      <c r="D629" s="346"/>
      <c r="E629" s="346"/>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f t="shared" si="76"/>
        <v>0</v>
      </c>
      <c r="AE629" s="351">
        <f t="shared" si="75"/>
        <v>0</v>
      </c>
    </row>
    <row r="630" spans="1:31">
      <c r="A630" s="165">
        <f>'Conveyor Downtime (new)'!A646</f>
        <v>0</v>
      </c>
      <c r="AD630">
        <f t="shared" si="76"/>
        <v>0</v>
      </c>
      <c r="AE630" s="351">
        <f t="shared" si="75"/>
        <v>0</v>
      </c>
    </row>
    <row r="631" spans="1:31">
      <c r="A631" s="165">
        <f>'Conveyor Downtime (new)'!A647</f>
        <v>0</v>
      </c>
      <c r="B631" s="346"/>
      <c r="C631" s="346"/>
      <c r="D631" s="346"/>
      <c r="E631" s="346"/>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f t="shared" si="76"/>
        <v>0</v>
      </c>
      <c r="AE631" s="351">
        <f t="shared" si="75"/>
        <v>0</v>
      </c>
    </row>
    <row r="632" spans="1:31">
      <c r="A632" s="165">
        <f>'Conveyor Downtime (new)'!A648</f>
        <v>0</v>
      </c>
      <c r="AD632">
        <f t="shared" si="76"/>
        <v>0</v>
      </c>
      <c r="AE632" s="351">
        <f t="shared" si="75"/>
        <v>0</v>
      </c>
    </row>
    <row r="633" spans="1:31">
      <c r="A633" s="165">
        <f>'Conveyor Downtime (new)'!A649</f>
        <v>0</v>
      </c>
      <c r="B633" s="346"/>
      <c r="C633" s="346"/>
      <c r="D633" s="346"/>
      <c r="E633" s="346"/>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f t="shared" si="76"/>
        <v>0</v>
      </c>
      <c r="AE633" s="351">
        <f t="shared" si="75"/>
        <v>0</v>
      </c>
    </row>
    <row r="634" spans="1:31">
      <c r="A634" s="165">
        <f>'Conveyor Downtime (new)'!A650</f>
        <v>0</v>
      </c>
      <c r="AD634">
        <f t="shared" si="76"/>
        <v>0</v>
      </c>
      <c r="AE634" s="351">
        <f t="shared" si="75"/>
        <v>0</v>
      </c>
    </row>
    <row r="635" spans="1:31">
      <c r="A635" s="165">
        <f>'Conveyor Downtime (new)'!A651</f>
        <v>0</v>
      </c>
      <c r="B635" s="346"/>
      <c r="C635" s="346"/>
      <c r="D635" s="346"/>
      <c r="E635" s="346"/>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f t="shared" si="76"/>
        <v>0</v>
      </c>
      <c r="AE635" s="351">
        <f t="shared" si="75"/>
        <v>0</v>
      </c>
    </row>
    <row r="636" spans="1:31">
      <c r="A636" s="165">
        <f>'Conveyor Downtime (new)'!A652</f>
        <v>0</v>
      </c>
      <c r="AD636">
        <f t="shared" si="76"/>
        <v>0</v>
      </c>
      <c r="AE636" s="351">
        <f t="shared" si="75"/>
        <v>0</v>
      </c>
    </row>
    <row r="637" spans="1:31">
      <c r="A637" s="165">
        <f>'Conveyor Downtime (new)'!A653</f>
        <v>0</v>
      </c>
      <c r="B637" s="346"/>
      <c r="C637" s="346"/>
      <c r="D637" s="346"/>
      <c r="E637" s="346"/>
      <c r="F637" s="346"/>
      <c r="G637" s="346"/>
      <c r="H637" s="346"/>
      <c r="I637" s="346"/>
      <c r="J637" s="346"/>
      <c r="K637" s="346"/>
      <c r="L637" s="346"/>
      <c r="M637" s="346"/>
      <c r="N637" s="346"/>
      <c r="O637" s="346"/>
      <c r="P637" s="346"/>
      <c r="Q637" s="346"/>
      <c r="R637" s="346"/>
      <c r="S637" s="346"/>
      <c r="T637" s="346"/>
      <c r="U637" s="346"/>
      <c r="V637" s="346"/>
      <c r="W637" s="346"/>
      <c r="X637" s="346"/>
      <c r="Y637" s="346"/>
      <c r="Z637" s="346"/>
      <c r="AA637" s="346"/>
      <c r="AB637" s="346"/>
      <c r="AC637" s="346"/>
      <c r="AD637">
        <f t="shared" si="76"/>
        <v>0</v>
      </c>
      <c r="AE637" s="351">
        <f t="shared" si="75"/>
        <v>0</v>
      </c>
    </row>
    <row r="638" spans="1:31">
      <c r="A638" s="165">
        <f>'Conveyor Downtime (new)'!A654</f>
        <v>0</v>
      </c>
      <c r="AD638">
        <f t="shared" si="76"/>
        <v>0</v>
      </c>
      <c r="AE638" s="351">
        <f t="shared" si="75"/>
        <v>0</v>
      </c>
    </row>
    <row r="639" spans="1:31">
      <c r="A639" s="165">
        <f>'Conveyor Downtime (new)'!A655</f>
        <v>0</v>
      </c>
      <c r="B639" s="346"/>
      <c r="C639" s="346"/>
      <c r="D639" s="346"/>
      <c r="E639" s="346"/>
      <c r="F639" s="346"/>
      <c r="G639" s="346"/>
      <c r="H639" s="346"/>
      <c r="I639" s="346"/>
      <c r="J639" s="346"/>
      <c r="K639" s="346"/>
      <c r="L639" s="346"/>
      <c r="M639" s="346"/>
      <c r="N639" s="346"/>
      <c r="O639" s="346"/>
      <c r="P639" s="346"/>
      <c r="Q639" s="346"/>
      <c r="R639" s="346"/>
      <c r="S639" s="346"/>
      <c r="T639" s="346"/>
      <c r="U639" s="346"/>
      <c r="V639" s="346"/>
      <c r="W639" s="346"/>
      <c r="X639" s="346"/>
      <c r="Y639" s="346"/>
      <c r="Z639" s="346"/>
      <c r="AA639" s="346"/>
      <c r="AB639" s="346"/>
      <c r="AC639" s="346"/>
      <c r="AD639">
        <f t="shared" si="76"/>
        <v>0</v>
      </c>
      <c r="AE639" s="351">
        <f t="shared" si="75"/>
        <v>0</v>
      </c>
    </row>
    <row r="640" spans="1:31">
      <c r="A640" s="165">
        <f>'Conveyor Downtime (new)'!A656</f>
        <v>0</v>
      </c>
      <c r="AD640">
        <f t="shared" si="76"/>
        <v>0</v>
      </c>
      <c r="AE640" s="351">
        <f t="shared" si="75"/>
        <v>0</v>
      </c>
    </row>
    <row r="641" spans="1:31">
      <c r="A641" s="165">
        <f>'Conveyor Downtime (new)'!A657</f>
        <v>0</v>
      </c>
      <c r="B641" s="346"/>
      <c r="C641" s="346"/>
      <c r="D641" s="346"/>
      <c r="E641" s="346"/>
      <c r="F641" s="346"/>
      <c r="G641" s="346"/>
      <c r="H641" s="346"/>
      <c r="I641" s="346"/>
      <c r="J641" s="346"/>
      <c r="K641" s="346"/>
      <c r="L641" s="346"/>
      <c r="M641" s="346"/>
      <c r="N641" s="346"/>
      <c r="O641" s="346"/>
      <c r="P641" s="346"/>
      <c r="Q641" s="346"/>
      <c r="R641" s="346"/>
      <c r="S641" s="346"/>
      <c r="T641" s="346"/>
      <c r="U641" s="346"/>
      <c r="V641" s="346"/>
      <c r="W641" s="346"/>
      <c r="X641" s="346"/>
      <c r="Y641" s="346"/>
      <c r="Z641" s="346"/>
      <c r="AA641" s="346"/>
      <c r="AB641" s="346"/>
      <c r="AC641" s="346"/>
      <c r="AD641">
        <f t="shared" si="76"/>
        <v>0</v>
      </c>
      <c r="AE641" s="351">
        <f t="shared" si="75"/>
        <v>0</v>
      </c>
    </row>
    <row r="642" spans="1:31">
      <c r="A642" s="165">
        <f>'Conveyor Downtime (new)'!A658</f>
        <v>0</v>
      </c>
      <c r="AD642">
        <f t="shared" si="76"/>
        <v>0</v>
      </c>
      <c r="AE642" s="351">
        <f t="shared" si="75"/>
        <v>0</v>
      </c>
    </row>
    <row r="643" spans="1:31">
      <c r="A643" s="165">
        <f>'Conveyor Downtime (new)'!A659</f>
        <v>0</v>
      </c>
      <c r="B643" s="346"/>
      <c r="C643" s="346"/>
      <c r="D643" s="346"/>
      <c r="E643" s="346"/>
      <c r="F643" s="346"/>
      <c r="G643" s="346"/>
      <c r="H643" s="346"/>
      <c r="I643" s="346"/>
      <c r="J643" s="346"/>
      <c r="K643" s="346"/>
      <c r="L643" s="346"/>
      <c r="M643" s="346"/>
      <c r="N643" s="346"/>
      <c r="O643" s="346"/>
      <c r="P643" s="346"/>
      <c r="Q643" s="346"/>
      <c r="R643" s="346"/>
      <c r="S643" s="346"/>
      <c r="T643" s="346"/>
      <c r="U643" s="346"/>
      <c r="V643" s="346"/>
      <c r="W643" s="346"/>
      <c r="X643" s="346"/>
      <c r="Y643" s="346"/>
      <c r="Z643" s="346"/>
      <c r="AA643" s="346"/>
      <c r="AB643" s="346"/>
      <c r="AC643" s="346"/>
      <c r="AD643">
        <f t="shared" si="76"/>
        <v>0</v>
      </c>
      <c r="AE643" s="351">
        <f t="shared" si="75"/>
        <v>0</v>
      </c>
    </row>
    <row r="644" spans="1:31">
      <c r="A644" s="165">
        <f>'Conveyor Downtime (new)'!A660</f>
        <v>0</v>
      </c>
      <c r="AD644">
        <f t="shared" si="76"/>
        <v>0</v>
      </c>
      <c r="AE644" s="351">
        <f t="shared" si="75"/>
        <v>0</v>
      </c>
    </row>
    <row r="645" spans="1:31">
      <c r="A645" s="165">
        <f>'Conveyor Downtime (new)'!A661</f>
        <v>0</v>
      </c>
      <c r="B645" s="346"/>
      <c r="C645" s="346"/>
      <c r="D645" s="346"/>
      <c r="E645" s="346"/>
      <c r="F645" s="346"/>
      <c r="G645" s="346"/>
      <c r="H645" s="346"/>
      <c r="I645" s="346"/>
      <c r="J645" s="346"/>
      <c r="K645" s="346"/>
      <c r="L645" s="346"/>
      <c r="M645" s="346"/>
      <c r="N645" s="346"/>
      <c r="O645" s="346"/>
      <c r="P645" s="346"/>
      <c r="Q645" s="346"/>
      <c r="R645" s="346"/>
      <c r="S645" s="346"/>
      <c r="T645" s="346"/>
      <c r="U645" s="346"/>
      <c r="V645" s="346"/>
      <c r="W645" s="346"/>
      <c r="X645" s="346"/>
      <c r="Y645" s="346"/>
      <c r="Z645" s="346"/>
      <c r="AA645" s="346"/>
      <c r="AB645" s="346"/>
      <c r="AC645" s="346"/>
      <c r="AD645">
        <f t="shared" si="76"/>
        <v>0</v>
      </c>
      <c r="AE645" s="351">
        <f t="shared" si="75"/>
        <v>0</v>
      </c>
    </row>
    <row r="646" spans="1:31">
      <c r="A646" s="165">
        <f>'Conveyor Downtime (new)'!A662</f>
        <v>0</v>
      </c>
      <c r="AD646">
        <f t="shared" si="76"/>
        <v>0</v>
      </c>
      <c r="AE646" s="351">
        <f t="shared" si="75"/>
        <v>0</v>
      </c>
    </row>
    <row r="647" spans="1:31">
      <c r="A647" s="165">
        <f>'Conveyor Downtime (new)'!A663</f>
        <v>0</v>
      </c>
      <c r="B647" s="346"/>
      <c r="C647" s="346"/>
      <c r="D647" s="346"/>
      <c r="E647" s="346"/>
      <c r="F647" s="346"/>
      <c r="G647" s="346"/>
      <c r="H647" s="346"/>
      <c r="I647" s="346"/>
      <c r="J647" s="346"/>
      <c r="K647" s="346"/>
      <c r="L647" s="346"/>
      <c r="M647" s="346"/>
      <c r="N647" s="346"/>
      <c r="O647" s="346"/>
      <c r="P647" s="346"/>
      <c r="Q647" s="346"/>
      <c r="R647" s="346"/>
      <c r="S647" s="346"/>
      <c r="T647" s="346"/>
      <c r="U647" s="346"/>
      <c r="V647" s="346"/>
      <c r="W647" s="346"/>
      <c r="X647" s="346"/>
      <c r="Y647" s="346"/>
      <c r="Z647" s="346"/>
      <c r="AA647" s="346"/>
      <c r="AB647" s="346"/>
      <c r="AC647" s="346"/>
      <c r="AD647">
        <f t="shared" si="76"/>
        <v>0</v>
      </c>
      <c r="AE647" s="351">
        <f t="shared" si="75"/>
        <v>0</v>
      </c>
    </row>
    <row r="648" spans="1:31">
      <c r="A648" s="165">
        <f>'Conveyor Downtime (new)'!A664</f>
        <v>0</v>
      </c>
      <c r="AD648">
        <f t="shared" si="76"/>
        <v>0</v>
      </c>
      <c r="AE648" s="351">
        <f t="shared" si="75"/>
        <v>0</v>
      </c>
    </row>
    <row r="649" spans="1:31">
      <c r="A649" s="165">
        <f>'Conveyor Downtime (new)'!A665</f>
        <v>0</v>
      </c>
      <c r="B649" s="346"/>
      <c r="C649" s="346"/>
      <c r="D649" s="346"/>
      <c r="E649" s="346"/>
      <c r="F649" s="346"/>
      <c r="G649" s="346"/>
      <c r="H649" s="346"/>
      <c r="I649" s="346"/>
      <c r="J649" s="346"/>
      <c r="K649" s="346"/>
      <c r="L649" s="346"/>
      <c r="M649" s="346"/>
      <c r="N649" s="346"/>
      <c r="O649" s="346"/>
      <c r="P649" s="346"/>
      <c r="Q649" s="346"/>
      <c r="R649" s="346"/>
      <c r="S649" s="346"/>
      <c r="T649" s="346"/>
      <c r="U649" s="346"/>
      <c r="V649" s="346"/>
      <c r="W649" s="346"/>
      <c r="X649" s="346"/>
      <c r="Y649" s="346"/>
      <c r="Z649" s="346"/>
      <c r="AA649" s="346"/>
      <c r="AB649" s="346"/>
      <c r="AC649" s="346"/>
      <c r="AD649">
        <f t="shared" si="76"/>
        <v>0</v>
      </c>
      <c r="AE649" s="351">
        <f t="shared" si="75"/>
        <v>0</v>
      </c>
    </row>
    <row r="650" spans="1:31">
      <c r="A650" s="165">
        <f>'Conveyor Downtime (new)'!A666</f>
        <v>0</v>
      </c>
      <c r="AD650">
        <f t="shared" si="76"/>
        <v>0</v>
      </c>
      <c r="AE650" s="351">
        <f t="shared" si="75"/>
        <v>0</v>
      </c>
    </row>
    <row r="651" spans="1:31">
      <c r="A651" s="165">
        <f>'Conveyor Downtime (new)'!A667</f>
        <v>0</v>
      </c>
      <c r="B651" s="346"/>
      <c r="C651" s="346"/>
      <c r="D651" s="346"/>
      <c r="E651" s="346"/>
      <c r="F651" s="346"/>
      <c r="G651" s="346"/>
      <c r="H651" s="346"/>
      <c r="I651" s="346"/>
      <c r="J651" s="346"/>
      <c r="K651" s="346"/>
      <c r="L651" s="346"/>
      <c r="M651" s="346"/>
      <c r="N651" s="346"/>
      <c r="O651" s="346"/>
      <c r="P651" s="346"/>
      <c r="Q651" s="346"/>
      <c r="R651" s="346"/>
      <c r="S651" s="346"/>
      <c r="T651" s="346"/>
      <c r="U651" s="346"/>
      <c r="V651" s="346"/>
      <c r="W651" s="346"/>
      <c r="X651" s="346"/>
      <c r="Y651" s="346"/>
      <c r="Z651" s="346"/>
      <c r="AA651" s="346"/>
      <c r="AB651" s="346"/>
      <c r="AC651" s="346"/>
      <c r="AD651">
        <f t="shared" si="76"/>
        <v>0</v>
      </c>
      <c r="AE651" s="351">
        <f t="shared" si="75"/>
        <v>0</v>
      </c>
    </row>
    <row r="652" spans="1:31">
      <c r="A652" s="165">
        <f>'Conveyor Downtime (new)'!A668</f>
        <v>0</v>
      </c>
      <c r="AD652">
        <f t="shared" si="76"/>
        <v>0</v>
      </c>
      <c r="AE652" s="351">
        <f t="shared" si="75"/>
        <v>0</v>
      </c>
    </row>
    <row r="653" spans="1:31">
      <c r="A653" s="165">
        <f>'Conveyor Downtime (new)'!A669</f>
        <v>0</v>
      </c>
      <c r="B653" s="346"/>
      <c r="C653" s="346"/>
      <c r="D653" s="346"/>
      <c r="E653" s="346"/>
      <c r="F653" s="346"/>
      <c r="G653" s="346"/>
      <c r="H653" s="346"/>
      <c r="I653" s="346"/>
      <c r="J653" s="346"/>
      <c r="K653" s="346"/>
      <c r="L653" s="346"/>
      <c r="M653" s="346"/>
      <c r="N653" s="346"/>
      <c r="O653" s="346"/>
      <c r="P653" s="346"/>
      <c r="Q653" s="346"/>
      <c r="R653" s="346"/>
      <c r="S653" s="346"/>
      <c r="T653" s="346"/>
      <c r="U653" s="346"/>
      <c r="V653" s="346"/>
      <c r="W653" s="346"/>
      <c r="X653" s="346"/>
      <c r="Y653" s="346"/>
      <c r="Z653" s="346"/>
      <c r="AA653" s="346"/>
      <c r="AB653" s="346"/>
      <c r="AC653" s="346"/>
      <c r="AD653">
        <f t="shared" si="76"/>
        <v>0</v>
      </c>
      <c r="AE653" s="351">
        <f t="shared" si="75"/>
        <v>0</v>
      </c>
    </row>
    <row r="654" spans="1:31">
      <c r="A654" s="165"/>
      <c r="AD654">
        <f t="shared" si="76"/>
        <v>0</v>
      </c>
      <c r="AE654" s="351">
        <f t="shared" si="75"/>
        <v>0</v>
      </c>
    </row>
    <row r="655" spans="1:31" ht="15">
      <c r="A655" s="347" t="s">
        <v>173</v>
      </c>
      <c r="B655" s="347">
        <f t="shared" ref="B655:AC655" si="77">SUM(B600:B654)</f>
        <v>0</v>
      </c>
      <c r="C655" s="347">
        <f t="shared" si="77"/>
        <v>0</v>
      </c>
      <c r="D655" s="347">
        <f t="shared" si="77"/>
        <v>0</v>
      </c>
      <c r="E655" s="347">
        <f t="shared" si="77"/>
        <v>0</v>
      </c>
      <c r="F655" s="347">
        <f t="shared" si="77"/>
        <v>0</v>
      </c>
      <c r="G655" s="347">
        <f t="shared" si="77"/>
        <v>0</v>
      </c>
      <c r="H655" s="347">
        <f t="shared" si="77"/>
        <v>0</v>
      </c>
      <c r="I655" s="347">
        <f t="shared" si="77"/>
        <v>0</v>
      </c>
      <c r="J655" s="347">
        <f t="shared" si="77"/>
        <v>0</v>
      </c>
      <c r="K655" s="347">
        <f t="shared" si="77"/>
        <v>0</v>
      </c>
      <c r="L655" s="347">
        <f t="shared" si="77"/>
        <v>0</v>
      </c>
      <c r="M655" s="347">
        <f t="shared" si="77"/>
        <v>0</v>
      </c>
      <c r="N655" s="347">
        <f t="shared" si="77"/>
        <v>0</v>
      </c>
      <c r="O655" s="347">
        <f t="shared" si="77"/>
        <v>0</v>
      </c>
      <c r="P655" s="347">
        <f t="shared" si="77"/>
        <v>0</v>
      </c>
      <c r="Q655" s="347">
        <f t="shared" si="77"/>
        <v>0</v>
      </c>
      <c r="R655" s="347">
        <f t="shared" si="77"/>
        <v>0</v>
      </c>
      <c r="S655" s="347">
        <f t="shared" si="77"/>
        <v>0</v>
      </c>
      <c r="T655" s="347">
        <f t="shared" si="77"/>
        <v>0</v>
      </c>
      <c r="U655" s="347">
        <f t="shared" si="77"/>
        <v>0</v>
      </c>
      <c r="V655" s="347">
        <f t="shared" si="77"/>
        <v>0</v>
      </c>
      <c r="W655" s="347">
        <f t="shared" si="77"/>
        <v>0</v>
      </c>
      <c r="X655" s="347">
        <f t="shared" si="77"/>
        <v>0</v>
      </c>
      <c r="Y655" s="347">
        <f t="shared" si="77"/>
        <v>0</v>
      </c>
      <c r="Z655" s="347">
        <f t="shared" si="77"/>
        <v>0</v>
      </c>
      <c r="AA655" s="347">
        <f t="shared" si="77"/>
        <v>0</v>
      </c>
      <c r="AB655" s="347">
        <f t="shared" si="77"/>
        <v>0</v>
      </c>
      <c r="AC655" s="347">
        <f t="shared" si="77"/>
        <v>0</v>
      </c>
      <c r="AD655" s="347">
        <f>SUM(AD600:AD654)</f>
        <v>0</v>
      </c>
    </row>
    <row r="656" spans="1:31" ht="15.75" thickBot="1">
      <c r="A656" s="348" t="s">
        <v>174</v>
      </c>
      <c r="B656" s="348" t="e">
        <f t="shared" ref="B656:AB656" si="78">B655/$AD655</f>
        <v>#DIV/0!</v>
      </c>
      <c r="C656" s="348" t="e">
        <f t="shared" si="78"/>
        <v>#DIV/0!</v>
      </c>
      <c r="D656" s="348" t="e">
        <f t="shared" si="78"/>
        <v>#DIV/0!</v>
      </c>
      <c r="E656" s="348" t="e">
        <f t="shared" si="78"/>
        <v>#DIV/0!</v>
      </c>
      <c r="F656" s="348" t="e">
        <f t="shared" si="78"/>
        <v>#DIV/0!</v>
      </c>
      <c r="G656" s="348" t="e">
        <f t="shared" si="78"/>
        <v>#DIV/0!</v>
      </c>
      <c r="H656" s="348" t="e">
        <f t="shared" si="78"/>
        <v>#DIV/0!</v>
      </c>
      <c r="I656" s="348" t="e">
        <f t="shared" si="78"/>
        <v>#DIV/0!</v>
      </c>
      <c r="J656" s="348" t="e">
        <f t="shared" si="78"/>
        <v>#DIV/0!</v>
      </c>
      <c r="K656" s="348" t="e">
        <f t="shared" si="78"/>
        <v>#DIV/0!</v>
      </c>
      <c r="L656" s="348" t="e">
        <f t="shared" si="78"/>
        <v>#DIV/0!</v>
      </c>
      <c r="M656" s="348" t="e">
        <f t="shared" si="78"/>
        <v>#DIV/0!</v>
      </c>
      <c r="N656" s="348" t="e">
        <f t="shared" si="78"/>
        <v>#DIV/0!</v>
      </c>
      <c r="O656" s="348" t="e">
        <f t="shared" si="78"/>
        <v>#DIV/0!</v>
      </c>
      <c r="P656" s="348" t="e">
        <f t="shared" si="78"/>
        <v>#DIV/0!</v>
      </c>
      <c r="Q656" s="348" t="e">
        <f t="shared" si="78"/>
        <v>#DIV/0!</v>
      </c>
      <c r="R656" s="348" t="e">
        <f t="shared" si="78"/>
        <v>#DIV/0!</v>
      </c>
      <c r="S656" s="348" t="e">
        <f t="shared" si="78"/>
        <v>#DIV/0!</v>
      </c>
      <c r="T656" s="348" t="e">
        <f t="shared" si="78"/>
        <v>#DIV/0!</v>
      </c>
      <c r="U656" s="348" t="e">
        <f t="shared" si="78"/>
        <v>#DIV/0!</v>
      </c>
      <c r="V656" s="348" t="e">
        <f t="shared" si="78"/>
        <v>#DIV/0!</v>
      </c>
      <c r="W656" s="348" t="e">
        <f t="shared" si="78"/>
        <v>#DIV/0!</v>
      </c>
      <c r="X656" s="348" t="e">
        <f t="shared" si="78"/>
        <v>#DIV/0!</v>
      </c>
      <c r="Y656" s="348" t="e">
        <f t="shared" si="78"/>
        <v>#DIV/0!</v>
      </c>
      <c r="Z656" s="348" t="e">
        <f t="shared" si="78"/>
        <v>#DIV/0!</v>
      </c>
      <c r="AA656" s="348" t="e">
        <f t="shared" si="78"/>
        <v>#DIV/0!</v>
      </c>
      <c r="AB656" s="348" t="e">
        <f t="shared" si="78"/>
        <v>#DIV/0!</v>
      </c>
      <c r="AC656" s="348" t="e">
        <f>AC655/$AD655</f>
        <v>#DIV/0!</v>
      </c>
      <c r="AD656" s="351"/>
    </row>
    <row r="660" spans="1:31">
      <c r="A660" s="165">
        <f>'Conveyor Downtime (new)'!A678</f>
        <v>0</v>
      </c>
      <c r="AD660">
        <f t="shared" ref="AD660:AD695" si="79">SUM(B660:AC660)</f>
        <v>0</v>
      </c>
      <c r="AE660" s="351">
        <f t="shared" ref="AE660:AE695" si="80">AD660/$AD$182</f>
        <v>0</v>
      </c>
    </row>
    <row r="661" spans="1:31">
      <c r="A661" s="165">
        <f>'Conveyor Downtime (new)'!A679</f>
        <v>0</v>
      </c>
      <c r="B661" s="346"/>
      <c r="C661" s="346"/>
      <c r="D661" s="346"/>
      <c r="E661" s="346"/>
      <c r="F661" s="346"/>
      <c r="G661" s="346"/>
      <c r="H661" s="346"/>
      <c r="I661" s="346"/>
      <c r="J661" s="346"/>
      <c r="K661" s="346"/>
      <c r="L661" s="346"/>
      <c r="M661" s="346"/>
      <c r="N661" s="346"/>
      <c r="O661" s="346"/>
      <c r="P661" s="346"/>
      <c r="Q661" s="346"/>
      <c r="R661" s="346"/>
      <c r="S661" s="346"/>
      <c r="T661" s="346"/>
      <c r="U661" s="346"/>
      <c r="V661" s="346"/>
      <c r="W661" s="346"/>
      <c r="X661" s="346"/>
      <c r="Y661" s="346"/>
      <c r="Z661" s="346"/>
      <c r="AA661" s="346"/>
      <c r="AB661" s="346"/>
      <c r="AC661" s="346"/>
      <c r="AD661">
        <f t="shared" si="79"/>
        <v>0</v>
      </c>
      <c r="AE661" s="351">
        <f t="shared" si="80"/>
        <v>0</v>
      </c>
    </row>
    <row r="662" spans="1:31">
      <c r="A662" s="165">
        <f>'Conveyor Downtime (new)'!A680</f>
        <v>0</v>
      </c>
      <c r="AD662">
        <f t="shared" si="79"/>
        <v>0</v>
      </c>
      <c r="AE662" s="351">
        <f t="shared" si="80"/>
        <v>0</v>
      </c>
    </row>
    <row r="663" spans="1:31">
      <c r="A663" s="165">
        <f>'Conveyor Downtime (new)'!A681</f>
        <v>0</v>
      </c>
      <c r="B663" s="346"/>
      <c r="C663" s="346"/>
      <c r="D663" s="346"/>
      <c r="E663" s="346"/>
      <c r="F663" s="346"/>
      <c r="G663" s="346"/>
      <c r="H663" s="346"/>
      <c r="I663" s="346"/>
      <c r="J663" s="346"/>
      <c r="K663" s="346"/>
      <c r="L663" s="346"/>
      <c r="M663" s="346"/>
      <c r="N663" s="346"/>
      <c r="O663" s="346"/>
      <c r="P663" s="346"/>
      <c r="Q663" s="346"/>
      <c r="R663" s="346"/>
      <c r="S663" s="346"/>
      <c r="T663" s="346"/>
      <c r="U663" s="346"/>
      <c r="V663" s="346"/>
      <c r="W663" s="346"/>
      <c r="X663" s="346"/>
      <c r="Y663" s="346"/>
      <c r="Z663" s="346"/>
      <c r="AA663" s="346"/>
      <c r="AB663" s="346"/>
      <c r="AC663" s="346"/>
      <c r="AD663">
        <f t="shared" si="79"/>
        <v>0</v>
      </c>
      <c r="AE663" s="351">
        <f t="shared" si="80"/>
        <v>0</v>
      </c>
    </row>
    <row r="664" spans="1:31">
      <c r="A664" s="165">
        <f>'Conveyor Downtime (new)'!A682</f>
        <v>0</v>
      </c>
      <c r="AD664">
        <f t="shared" si="79"/>
        <v>0</v>
      </c>
      <c r="AE664" s="351">
        <f t="shared" si="80"/>
        <v>0</v>
      </c>
    </row>
    <row r="665" spans="1:31">
      <c r="A665" s="165">
        <f>'[1]Conveyor Downtime (new)'!A681</f>
        <v>45995</v>
      </c>
      <c r="B665" s="346"/>
      <c r="C665" s="346"/>
      <c r="D665" s="346"/>
      <c r="E665" s="346"/>
      <c r="F665" s="346"/>
      <c r="G665" s="346"/>
      <c r="H665" s="346"/>
      <c r="I665" s="346"/>
      <c r="J665" s="346"/>
      <c r="K665" s="346"/>
      <c r="L665" s="346"/>
      <c r="M665" s="346"/>
      <c r="N665" s="346"/>
      <c r="O665" s="346"/>
      <c r="P665" s="346"/>
      <c r="Q665" s="346"/>
      <c r="R665" s="346"/>
      <c r="S665" s="346"/>
      <c r="T665" s="346"/>
      <c r="U665" s="346"/>
      <c r="V665" s="346"/>
      <c r="W665" s="346"/>
      <c r="X665" s="346"/>
      <c r="Y665" s="346"/>
      <c r="Z665" s="346"/>
      <c r="AA665" s="346"/>
      <c r="AB665" s="346"/>
      <c r="AC665" s="346"/>
      <c r="AD665">
        <f t="shared" si="79"/>
        <v>0</v>
      </c>
      <c r="AE665" s="351">
        <f t="shared" si="80"/>
        <v>0</v>
      </c>
    </row>
    <row r="666" spans="1:31">
      <c r="A666" s="165">
        <f>'[1]Conveyor Downtime (new)'!A682</f>
        <v>45995</v>
      </c>
      <c r="AD666">
        <f t="shared" si="79"/>
        <v>0</v>
      </c>
      <c r="AE666" s="351">
        <f t="shared" si="80"/>
        <v>0</v>
      </c>
    </row>
    <row r="667" spans="1:31">
      <c r="A667" s="165">
        <f>'[1]Conveyor Downtime (new)'!A683</f>
        <v>45995</v>
      </c>
      <c r="B667" s="346"/>
      <c r="C667" s="346"/>
      <c r="D667" s="346"/>
      <c r="E667" s="346"/>
      <c r="F667" s="346"/>
      <c r="G667" s="346"/>
      <c r="H667" s="346"/>
      <c r="I667" s="346"/>
      <c r="J667" s="346"/>
      <c r="K667" s="346"/>
      <c r="L667" s="346"/>
      <c r="M667" s="346"/>
      <c r="N667" s="346"/>
      <c r="O667" s="346"/>
      <c r="P667" s="346"/>
      <c r="Q667" s="346"/>
      <c r="R667" s="346"/>
      <c r="S667" s="346"/>
      <c r="T667" s="346"/>
      <c r="U667" s="346"/>
      <c r="V667" s="346"/>
      <c r="W667" s="346"/>
      <c r="X667" s="346"/>
      <c r="Y667" s="346"/>
      <c r="Z667" s="346"/>
      <c r="AA667" s="346"/>
      <c r="AB667" s="346"/>
      <c r="AC667" s="346"/>
      <c r="AD667">
        <f t="shared" si="79"/>
        <v>0</v>
      </c>
      <c r="AE667" s="351">
        <f t="shared" si="80"/>
        <v>0</v>
      </c>
    </row>
    <row r="668" spans="1:31">
      <c r="A668" s="165">
        <f>'[1]Conveyor Downtime (new)'!A684</f>
        <v>45996</v>
      </c>
      <c r="AD668">
        <f t="shared" si="79"/>
        <v>0</v>
      </c>
      <c r="AE668" s="351">
        <f t="shared" si="80"/>
        <v>0</v>
      </c>
    </row>
    <row r="669" spans="1:31">
      <c r="A669" s="165">
        <f>'Conveyor Downtime (new)'!A687</f>
        <v>0</v>
      </c>
      <c r="B669" s="346"/>
      <c r="C669" s="346"/>
      <c r="D669" s="346"/>
      <c r="E669" s="346"/>
      <c r="F669" s="346"/>
      <c r="G669" s="346"/>
      <c r="H669" s="346"/>
      <c r="I669" s="346"/>
      <c r="J669" s="346"/>
      <c r="K669" s="346"/>
      <c r="L669" s="346"/>
      <c r="M669" s="346"/>
      <c r="N669" s="346"/>
      <c r="O669" s="346"/>
      <c r="P669" s="346"/>
      <c r="Q669" s="346"/>
      <c r="R669" s="346"/>
      <c r="S669" s="346"/>
      <c r="T669" s="346"/>
      <c r="U669" s="346"/>
      <c r="V669" s="346"/>
      <c r="W669" s="346"/>
      <c r="X669" s="346"/>
      <c r="Y669" s="346"/>
      <c r="Z669" s="346"/>
      <c r="AA669" s="346"/>
      <c r="AB669" s="346"/>
      <c r="AC669" s="346"/>
      <c r="AD669">
        <f t="shared" si="79"/>
        <v>0</v>
      </c>
      <c r="AE669" s="351">
        <f t="shared" si="80"/>
        <v>0</v>
      </c>
    </row>
    <row r="670" spans="1:31">
      <c r="A670" s="165">
        <f>'Conveyor Downtime (new)'!A688</f>
        <v>0</v>
      </c>
      <c r="AD670">
        <f t="shared" si="79"/>
        <v>0</v>
      </c>
      <c r="AE670" s="351">
        <f t="shared" si="80"/>
        <v>0</v>
      </c>
    </row>
    <row r="671" spans="1:31">
      <c r="A671" s="165">
        <f>'Conveyor Downtime (new)'!A689</f>
        <v>0</v>
      </c>
      <c r="B671" s="346"/>
      <c r="C671" s="346"/>
      <c r="D671" s="346"/>
      <c r="E671" s="346"/>
      <c r="F671" s="346"/>
      <c r="G671" s="346"/>
      <c r="H671" s="346"/>
      <c r="I671" s="346"/>
      <c r="J671" s="346"/>
      <c r="K671" s="346"/>
      <c r="L671" s="346"/>
      <c r="M671" s="346"/>
      <c r="N671" s="346"/>
      <c r="O671" s="346"/>
      <c r="P671" s="346"/>
      <c r="Q671" s="346"/>
      <c r="R671" s="346"/>
      <c r="S671" s="346"/>
      <c r="T671" s="346"/>
      <c r="U671" s="346"/>
      <c r="V671" s="346"/>
      <c r="W671" s="346"/>
      <c r="X671" s="346"/>
      <c r="Y671" s="346"/>
      <c r="Z671" s="346"/>
      <c r="AA671" s="346"/>
      <c r="AB671" s="346"/>
      <c r="AC671" s="346"/>
      <c r="AD671">
        <f t="shared" si="79"/>
        <v>0</v>
      </c>
      <c r="AE671" s="351">
        <f t="shared" si="80"/>
        <v>0</v>
      </c>
    </row>
    <row r="672" spans="1:31">
      <c r="A672" s="165">
        <f>'Conveyor Downtime (new)'!A690</f>
        <v>0</v>
      </c>
      <c r="AD672">
        <f t="shared" si="79"/>
        <v>0</v>
      </c>
      <c r="AE672" s="351">
        <f t="shared" si="80"/>
        <v>0</v>
      </c>
    </row>
    <row r="673" spans="1:31">
      <c r="A673" s="165">
        <f>'Conveyor Downtime (new)'!A691</f>
        <v>0</v>
      </c>
      <c r="B673" s="346"/>
      <c r="C673" s="346"/>
      <c r="D673" s="346"/>
      <c r="E673" s="346"/>
      <c r="F673" s="346"/>
      <c r="G673" s="346"/>
      <c r="H673" s="346"/>
      <c r="I673" s="346"/>
      <c r="J673" s="346"/>
      <c r="K673" s="346"/>
      <c r="L673" s="346"/>
      <c r="M673" s="346"/>
      <c r="N673" s="346"/>
      <c r="O673" s="346"/>
      <c r="P673" s="346"/>
      <c r="Q673" s="346"/>
      <c r="R673" s="346"/>
      <c r="S673" s="346"/>
      <c r="T673" s="346"/>
      <c r="U673" s="346"/>
      <c r="V673" s="346"/>
      <c r="W673" s="346"/>
      <c r="X673" s="346"/>
      <c r="Y673" s="346"/>
      <c r="Z673" s="346"/>
      <c r="AA673" s="346"/>
      <c r="AB673" s="346"/>
      <c r="AC673" s="346"/>
      <c r="AD673">
        <f t="shared" si="79"/>
        <v>0</v>
      </c>
      <c r="AE673" s="351">
        <f t="shared" si="80"/>
        <v>0</v>
      </c>
    </row>
    <row r="674" spans="1:31">
      <c r="A674" s="165">
        <f>'Conveyor Downtime (new)'!A692</f>
        <v>0</v>
      </c>
      <c r="AD674">
        <f t="shared" si="79"/>
        <v>0</v>
      </c>
      <c r="AE674" s="351">
        <f t="shared" si="80"/>
        <v>0</v>
      </c>
    </row>
    <row r="675" spans="1:31">
      <c r="A675" s="165">
        <f>'Conveyor Downtime (new)'!A693</f>
        <v>0</v>
      </c>
      <c r="B675" s="346"/>
      <c r="C675" s="346"/>
      <c r="D675" s="346"/>
      <c r="E675" s="346"/>
      <c r="F675" s="346"/>
      <c r="G675" s="346"/>
      <c r="H675" s="346"/>
      <c r="I675" s="346"/>
      <c r="J675" s="346"/>
      <c r="K675" s="346"/>
      <c r="L675" s="346"/>
      <c r="M675" s="346"/>
      <c r="N675" s="346"/>
      <c r="O675" s="346"/>
      <c r="P675" s="346"/>
      <c r="Q675" s="346"/>
      <c r="R675" s="346"/>
      <c r="S675" s="346"/>
      <c r="T675" s="346"/>
      <c r="U675" s="346"/>
      <c r="V675" s="346"/>
      <c r="W675" s="346"/>
      <c r="X675" s="346"/>
      <c r="Y675" s="346"/>
      <c r="Z675" s="346"/>
      <c r="AA675" s="346"/>
      <c r="AB675" s="346"/>
      <c r="AC675" s="346"/>
      <c r="AD675">
        <f t="shared" si="79"/>
        <v>0</v>
      </c>
      <c r="AE675" s="351">
        <f t="shared" si="80"/>
        <v>0</v>
      </c>
    </row>
    <row r="676" spans="1:31">
      <c r="A676" s="165">
        <f>'Conveyor Downtime (new)'!A694</f>
        <v>0</v>
      </c>
      <c r="AD676">
        <f t="shared" si="79"/>
        <v>0</v>
      </c>
      <c r="AE676" s="351">
        <f t="shared" si="80"/>
        <v>0</v>
      </c>
    </row>
    <row r="677" spans="1:31">
      <c r="A677" s="165">
        <f>'Conveyor Downtime (new)'!A695</f>
        <v>0</v>
      </c>
      <c r="B677" s="346"/>
      <c r="C677" s="346"/>
      <c r="D677" s="346"/>
      <c r="E677" s="346"/>
      <c r="F677" s="346"/>
      <c r="G677" s="346"/>
      <c r="H677" s="346"/>
      <c r="I677" s="346"/>
      <c r="J677" s="346"/>
      <c r="K677" s="346"/>
      <c r="L677" s="346"/>
      <c r="M677" s="346"/>
      <c r="N677" s="346"/>
      <c r="O677" s="346"/>
      <c r="P677" s="346"/>
      <c r="Q677" s="346"/>
      <c r="R677" s="346"/>
      <c r="S677" s="346"/>
      <c r="T677" s="346"/>
      <c r="U677" s="346"/>
      <c r="V677" s="346"/>
      <c r="W677" s="346"/>
      <c r="X677" s="346"/>
      <c r="Y677" s="346"/>
      <c r="Z677" s="346"/>
      <c r="AA677" s="346"/>
      <c r="AB677" s="346"/>
      <c r="AC677" s="346"/>
      <c r="AD677">
        <f t="shared" si="79"/>
        <v>0</v>
      </c>
      <c r="AE677" s="351">
        <f t="shared" si="80"/>
        <v>0</v>
      </c>
    </row>
    <row r="678" spans="1:31">
      <c r="A678" s="165">
        <f>'Conveyor Downtime (new)'!A696</f>
        <v>0</v>
      </c>
      <c r="AD678">
        <f t="shared" si="79"/>
        <v>0</v>
      </c>
      <c r="AE678" s="351">
        <f t="shared" si="80"/>
        <v>0</v>
      </c>
    </row>
    <row r="679" spans="1:31">
      <c r="A679" s="165">
        <f>'Conveyor Downtime (new)'!A697</f>
        <v>0</v>
      </c>
      <c r="B679" s="346"/>
      <c r="C679" s="346"/>
      <c r="D679" s="346"/>
      <c r="E679" s="77"/>
      <c r="F679" s="346"/>
      <c r="G679" s="346"/>
      <c r="H679" s="346"/>
      <c r="I679" s="346"/>
      <c r="J679" s="346"/>
      <c r="K679" s="346"/>
      <c r="L679" s="346"/>
      <c r="M679" s="346"/>
      <c r="N679" s="346"/>
      <c r="O679" s="346"/>
      <c r="P679" s="346"/>
      <c r="Q679" s="346"/>
      <c r="R679" s="346"/>
      <c r="S679" s="346"/>
      <c r="T679" s="346"/>
      <c r="U679" s="346"/>
      <c r="V679" s="346"/>
      <c r="W679" s="346"/>
      <c r="X679" s="346"/>
      <c r="Y679" s="346"/>
      <c r="Z679" s="346"/>
      <c r="AA679" s="346"/>
      <c r="AB679" s="346"/>
      <c r="AC679" s="346"/>
      <c r="AD679">
        <f t="shared" si="79"/>
        <v>0</v>
      </c>
      <c r="AE679" s="351">
        <f t="shared" si="80"/>
        <v>0</v>
      </c>
    </row>
    <row r="680" spans="1:31">
      <c r="A680" s="165">
        <f>'Conveyor Downtime (new)'!A698</f>
        <v>0</v>
      </c>
      <c r="AD680">
        <f t="shared" si="79"/>
        <v>0</v>
      </c>
      <c r="AE680" s="351">
        <f t="shared" si="80"/>
        <v>0</v>
      </c>
    </row>
    <row r="681" spans="1:31">
      <c r="A681" s="165">
        <f>'Conveyor Downtime (new)'!A699</f>
        <v>0</v>
      </c>
      <c r="B681" s="346"/>
      <c r="C681" s="346"/>
      <c r="D681" s="346"/>
      <c r="E681" s="346"/>
      <c r="F681" s="346"/>
      <c r="G681" s="346"/>
      <c r="H681" s="346"/>
      <c r="I681" s="346"/>
      <c r="J681" s="346"/>
      <c r="K681" s="346"/>
      <c r="L681" s="346"/>
      <c r="M681" s="346"/>
      <c r="N681" s="346"/>
      <c r="O681" s="346"/>
      <c r="P681" s="346"/>
      <c r="Q681" s="346"/>
      <c r="R681" s="346"/>
      <c r="S681" s="346"/>
      <c r="T681" s="346"/>
      <c r="U681" s="346"/>
      <c r="V681" s="346"/>
      <c r="W681" s="346"/>
      <c r="X681" s="346"/>
      <c r="Y681" s="346"/>
      <c r="Z681" s="346"/>
      <c r="AA681" s="346"/>
      <c r="AB681" s="346"/>
      <c r="AC681" s="346"/>
      <c r="AD681">
        <f t="shared" si="79"/>
        <v>0</v>
      </c>
      <c r="AE681" s="351">
        <f t="shared" si="80"/>
        <v>0</v>
      </c>
    </row>
    <row r="682" spans="1:31">
      <c r="A682" s="165">
        <f>'Conveyor Downtime (new)'!A700</f>
        <v>0</v>
      </c>
      <c r="AD682">
        <f t="shared" si="79"/>
        <v>0</v>
      </c>
      <c r="AE682" s="351">
        <f t="shared" si="80"/>
        <v>0</v>
      </c>
    </row>
    <row r="683" spans="1:31">
      <c r="A683" s="165">
        <f>'Conveyor Downtime (new)'!A701</f>
        <v>0</v>
      </c>
      <c r="B683" s="346"/>
      <c r="C683" s="346"/>
      <c r="D683" s="346"/>
      <c r="E683" s="346"/>
      <c r="F683" s="346"/>
      <c r="G683" s="346"/>
      <c r="H683" s="346"/>
      <c r="I683" s="346"/>
      <c r="J683" s="346"/>
      <c r="K683" s="346"/>
      <c r="L683" s="346"/>
      <c r="M683" s="346"/>
      <c r="N683" s="346"/>
      <c r="O683" s="346"/>
      <c r="P683" s="346"/>
      <c r="Q683" s="346"/>
      <c r="R683" s="346"/>
      <c r="S683" s="346"/>
      <c r="T683" s="346"/>
      <c r="U683" s="346"/>
      <c r="V683" s="346"/>
      <c r="W683" s="346"/>
      <c r="X683" s="346"/>
      <c r="Y683" s="346"/>
      <c r="Z683" s="346"/>
      <c r="AA683" s="346"/>
      <c r="AB683" s="346"/>
      <c r="AC683" s="346"/>
      <c r="AD683">
        <f t="shared" si="79"/>
        <v>0</v>
      </c>
      <c r="AE683" s="351">
        <f t="shared" si="80"/>
        <v>0</v>
      </c>
    </row>
    <row r="684" spans="1:31">
      <c r="A684" s="165">
        <f>'Conveyor Downtime (new)'!A702</f>
        <v>0</v>
      </c>
      <c r="AD684">
        <f t="shared" si="79"/>
        <v>0</v>
      </c>
      <c r="AE684" s="351">
        <f t="shared" si="80"/>
        <v>0</v>
      </c>
    </row>
    <row r="685" spans="1:31">
      <c r="A685" s="165">
        <f>'Conveyor Downtime (new)'!A703</f>
        <v>0</v>
      </c>
      <c r="B685" s="346"/>
      <c r="C685" s="346"/>
      <c r="D685" s="346"/>
      <c r="E685" s="346"/>
      <c r="F685" s="346"/>
      <c r="G685" s="346"/>
      <c r="H685" s="346"/>
      <c r="I685" s="346"/>
      <c r="J685" s="346"/>
      <c r="K685" s="346"/>
      <c r="L685" s="346"/>
      <c r="M685" s="346"/>
      <c r="N685" s="346"/>
      <c r="O685" s="346"/>
      <c r="P685" s="346"/>
      <c r="Q685" s="346"/>
      <c r="R685" s="346"/>
      <c r="S685" s="346"/>
      <c r="T685" s="346"/>
      <c r="U685" s="346"/>
      <c r="V685" s="346"/>
      <c r="W685" s="346"/>
      <c r="X685" s="346"/>
      <c r="Y685" s="346"/>
      <c r="Z685" s="346"/>
      <c r="AA685" s="346"/>
      <c r="AB685" s="346"/>
      <c r="AC685" s="346"/>
      <c r="AD685">
        <f t="shared" si="79"/>
        <v>0</v>
      </c>
      <c r="AE685" s="351">
        <f t="shared" si="80"/>
        <v>0</v>
      </c>
    </row>
    <row r="686" spans="1:31">
      <c r="A686" s="165">
        <f>'Conveyor Downtime (new)'!A704</f>
        <v>0</v>
      </c>
      <c r="AD686">
        <f t="shared" si="79"/>
        <v>0</v>
      </c>
      <c r="AE686" s="351">
        <f t="shared" si="80"/>
        <v>0</v>
      </c>
    </row>
    <row r="687" spans="1:31">
      <c r="A687" s="165">
        <f>'Conveyor Downtime (new)'!A705</f>
        <v>0</v>
      </c>
      <c r="B687" s="346"/>
      <c r="C687" s="346"/>
      <c r="D687" s="346"/>
      <c r="E687" s="346"/>
      <c r="F687" s="346"/>
      <c r="G687" s="346"/>
      <c r="H687" s="346"/>
      <c r="I687" s="346"/>
      <c r="J687" s="346"/>
      <c r="K687" s="346"/>
      <c r="L687" s="346"/>
      <c r="M687" s="346"/>
      <c r="N687" s="346"/>
      <c r="O687" s="346"/>
      <c r="P687" s="346"/>
      <c r="Q687" s="346"/>
      <c r="R687" s="346"/>
      <c r="S687" s="346"/>
      <c r="T687" s="346"/>
      <c r="U687" s="346"/>
      <c r="V687" s="346"/>
      <c r="W687" s="346"/>
      <c r="X687" s="346"/>
      <c r="Y687" s="346"/>
      <c r="Z687" s="346"/>
      <c r="AA687" s="346"/>
      <c r="AB687" s="346"/>
      <c r="AC687" s="346"/>
      <c r="AD687">
        <f t="shared" si="79"/>
        <v>0</v>
      </c>
      <c r="AE687" s="351">
        <f t="shared" si="80"/>
        <v>0</v>
      </c>
    </row>
    <row r="688" spans="1:31">
      <c r="A688" s="165">
        <f>'Conveyor Downtime (new)'!A706</f>
        <v>0</v>
      </c>
      <c r="J688" s="77"/>
      <c r="AD688">
        <f t="shared" si="79"/>
        <v>0</v>
      </c>
      <c r="AE688" s="351">
        <f t="shared" si="80"/>
        <v>0</v>
      </c>
    </row>
    <row r="689" spans="1:31">
      <c r="A689" s="165">
        <f>'Conveyor Downtime (new)'!A707</f>
        <v>0</v>
      </c>
      <c r="B689" s="346"/>
      <c r="C689" s="346"/>
      <c r="D689" s="346"/>
      <c r="E689" s="346"/>
      <c r="F689" s="346"/>
      <c r="G689" s="346"/>
      <c r="H689" s="346"/>
      <c r="I689" s="346"/>
      <c r="J689" s="346"/>
      <c r="K689" s="346"/>
      <c r="L689" s="346"/>
      <c r="M689" s="346"/>
      <c r="N689" s="346"/>
      <c r="O689" s="346"/>
      <c r="P689" s="346"/>
      <c r="Q689" s="346"/>
      <c r="R689" s="346"/>
      <c r="S689" s="346"/>
      <c r="T689" s="346"/>
      <c r="U689" s="346"/>
      <c r="V689" s="346"/>
      <c r="W689" s="346"/>
      <c r="X689" s="346"/>
      <c r="Y689" s="346"/>
      <c r="Z689" s="346"/>
      <c r="AA689" s="346"/>
      <c r="AB689" s="346"/>
      <c r="AC689" s="346"/>
      <c r="AD689">
        <f t="shared" si="79"/>
        <v>0</v>
      </c>
      <c r="AE689" s="351">
        <f t="shared" si="80"/>
        <v>0</v>
      </c>
    </row>
    <row r="690" spans="1:31">
      <c r="A690" s="165">
        <f>'Conveyor Downtime (new)'!A708</f>
        <v>0</v>
      </c>
      <c r="AD690">
        <f t="shared" si="79"/>
        <v>0</v>
      </c>
      <c r="AE690" s="351">
        <f t="shared" si="80"/>
        <v>0</v>
      </c>
    </row>
    <row r="691" spans="1:31">
      <c r="A691" s="165">
        <f>'Conveyor Downtime (new)'!A709</f>
        <v>0</v>
      </c>
      <c r="B691" s="346"/>
      <c r="C691" s="346"/>
      <c r="D691" s="346"/>
      <c r="E691" s="346"/>
      <c r="F691" s="346"/>
      <c r="G691" s="346"/>
      <c r="H691" s="346"/>
      <c r="I691" s="346"/>
      <c r="J691" s="346"/>
      <c r="K691" s="346"/>
      <c r="L691" s="346"/>
      <c r="M691" s="346"/>
      <c r="N691" s="346"/>
      <c r="O691" s="346"/>
      <c r="P691" s="346"/>
      <c r="Q691" s="346"/>
      <c r="R691" s="346"/>
      <c r="S691" s="346"/>
      <c r="T691" s="346"/>
      <c r="U691" s="346"/>
      <c r="V691" s="346"/>
      <c r="W691" s="346"/>
      <c r="X691" s="346"/>
      <c r="Y691" s="346"/>
      <c r="Z691" s="346"/>
      <c r="AA691" s="346"/>
      <c r="AB691" s="346"/>
      <c r="AC691" s="346"/>
      <c r="AD691">
        <f t="shared" si="79"/>
        <v>0</v>
      </c>
      <c r="AE691" s="351">
        <f t="shared" si="80"/>
        <v>0</v>
      </c>
    </row>
    <row r="692" spans="1:31">
      <c r="A692" s="165">
        <f>'Conveyor Downtime (new)'!A710</f>
        <v>0</v>
      </c>
      <c r="AD692">
        <f t="shared" si="79"/>
        <v>0</v>
      </c>
      <c r="AE692" s="351">
        <f t="shared" si="80"/>
        <v>0</v>
      </c>
    </row>
    <row r="693" spans="1:31">
      <c r="A693" s="165">
        <f>'Conveyor Downtime (new)'!A711</f>
        <v>0</v>
      </c>
      <c r="B693" s="346"/>
      <c r="C693" s="346"/>
      <c r="D693" s="346"/>
      <c r="E693" s="346"/>
      <c r="F693" s="346"/>
      <c r="G693" s="346"/>
      <c r="H693" s="346"/>
      <c r="I693" s="346"/>
      <c r="J693" s="346"/>
      <c r="K693" s="346"/>
      <c r="L693" s="346"/>
      <c r="M693" s="346"/>
      <c r="N693" s="346"/>
      <c r="O693" s="346"/>
      <c r="P693" s="346"/>
      <c r="Q693" s="346"/>
      <c r="R693" s="346"/>
      <c r="S693" s="346"/>
      <c r="T693" s="346"/>
      <c r="U693" s="346"/>
      <c r="V693" s="346"/>
      <c r="W693" s="346"/>
      <c r="X693" s="346"/>
      <c r="Y693" s="346"/>
      <c r="Z693" s="346"/>
      <c r="AA693" s="346"/>
      <c r="AB693" s="346"/>
      <c r="AC693" s="346"/>
      <c r="AD693">
        <f t="shared" si="79"/>
        <v>0</v>
      </c>
      <c r="AE693" s="351">
        <f t="shared" si="80"/>
        <v>0</v>
      </c>
    </row>
    <row r="694" spans="1:31">
      <c r="A694" s="165">
        <f>'Conveyor Downtime (new)'!A712</f>
        <v>0</v>
      </c>
      <c r="AD694">
        <f t="shared" si="79"/>
        <v>0</v>
      </c>
      <c r="AE694" s="351">
        <f t="shared" si="80"/>
        <v>0</v>
      </c>
    </row>
    <row r="695" spans="1:31">
      <c r="A695" s="165">
        <f>'Conveyor Downtime (new)'!A713</f>
        <v>0</v>
      </c>
      <c r="B695" s="346"/>
      <c r="C695" s="346"/>
      <c r="D695" s="346"/>
      <c r="E695" s="346"/>
      <c r="F695" s="346"/>
      <c r="G695" s="346"/>
      <c r="H695" s="346"/>
      <c r="I695" s="346"/>
      <c r="J695" s="346"/>
      <c r="K695" s="346"/>
      <c r="L695" s="346"/>
      <c r="M695" s="346"/>
      <c r="N695" s="346"/>
      <c r="O695" s="346"/>
      <c r="P695" s="346"/>
      <c r="Q695" s="346"/>
      <c r="R695" s="346"/>
      <c r="S695" s="346"/>
      <c r="T695" s="346"/>
      <c r="U695" s="346"/>
      <c r="V695" s="346"/>
      <c r="W695" s="346"/>
      <c r="X695" s="346"/>
      <c r="Y695" s="346"/>
      <c r="Z695" s="346"/>
      <c r="AA695" s="346"/>
      <c r="AB695" s="346"/>
      <c r="AC695" s="346"/>
      <c r="AD695">
        <f t="shared" si="79"/>
        <v>0</v>
      </c>
      <c r="AE695" s="351">
        <f t="shared" si="80"/>
        <v>0</v>
      </c>
    </row>
    <row r="696" spans="1:31">
      <c r="A696" s="165">
        <f>'Conveyor Downtime (new)'!A714</f>
        <v>0</v>
      </c>
      <c r="AD696">
        <f t="shared" ref="AD696:AD722" si="81">SUM(B696:AC696)</f>
        <v>0</v>
      </c>
      <c r="AE696" s="351">
        <f t="shared" ref="AE696:AE722" si="82">AD696/$AD$182</f>
        <v>0</v>
      </c>
    </row>
    <row r="697" spans="1:31">
      <c r="A697" s="165">
        <f>'Conveyor Downtime (new)'!A715</f>
        <v>0</v>
      </c>
      <c r="B697" s="346"/>
      <c r="C697" s="346"/>
      <c r="D697" s="346"/>
      <c r="E697" s="346"/>
      <c r="F697" s="346"/>
      <c r="G697" s="346"/>
      <c r="H697" s="346"/>
      <c r="I697" s="346"/>
      <c r="J697" s="346"/>
      <c r="K697" s="346"/>
      <c r="L697" s="346"/>
      <c r="M697" s="346"/>
      <c r="N697" s="346"/>
      <c r="O697" s="346"/>
      <c r="P697" s="346"/>
      <c r="Q697" s="346"/>
      <c r="R697" s="346"/>
      <c r="S697" s="346"/>
      <c r="T697" s="346"/>
      <c r="U697" s="346"/>
      <c r="V697" s="346"/>
      <c r="W697" s="346"/>
      <c r="X697" s="346"/>
      <c r="Y697" s="346"/>
      <c r="Z697" s="346"/>
      <c r="AA697" s="346"/>
      <c r="AB697" s="346"/>
      <c r="AC697" s="346"/>
      <c r="AD697">
        <f t="shared" si="81"/>
        <v>0</v>
      </c>
      <c r="AE697" s="351">
        <f t="shared" si="82"/>
        <v>0</v>
      </c>
    </row>
    <row r="698" spans="1:31">
      <c r="A698" s="165">
        <f>'Conveyor Downtime (new)'!A716</f>
        <v>0</v>
      </c>
      <c r="AD698">
        <f t="shared" si="81"/>
        <v>0</v>
      </c>
      <c r="AE698" s="351">
        <f t="shared" si="82"/>
        <v>0</v>
      </c>
    </row>
    <row r="699" spans="1:31">
      <c r="A699" s="165">
        <f>'Conveyor Downtime (new)'!A717</f>
        <v>0</v>
      </c>
      <c r="B699" s="346"/>
      <c r="C699" s="346"/>
      <c r="D699" s="346"/>
      <c r="E699" s="346"/>
      <c r="F699" s="346"/>
      <c r="G699" s="346"/>
      <c r="H699" s="346"/>
      <c r="I699" s="346"/>
      <c r="J699" s="346"/>
      <c r="K699" s="346"/>
      <c r="L699" s="346"/>
      <c r="M699" s="346"/>
      <c r="N699" s="346"/>
      <c r="O699" s="346"/>
      <c r="P699" s="346"/>
      <c r="Q699" s="346"/>
      <c r="R699" s="346"/>
      <c r="S699" s="346"/>
      <c r="T699" s="346"/>
      <c r="U699" s="346"/>
      <c r="V699" s="346"/>
      <c r="W699" s="346"/>
      <c r="X699" s="346"/>
      <c r="Y699" s="346"/>
      <c r="Z699" s="346"/>
      <c r="AA699" s="346"/>
      <c r="AB699" s="346"/>
      <c r="AC699" s="346"/>
      <c r="AD699">
        <f t="shared" si="81"/>
        <v>0</v>
      </c>
      <c r="AE699" s="351">
        <f t="shared" si="82"/>
        <v>0</v>
      </c>
    </row>
    <row r="700" spans="1:31">
      <c r="A700" s="165">
        <f>'Conveyor Downtime (new)'!A718</f>
        <v>0</v>
      </c>
      <c r="AD700">
        <f t="shared" si="81"/>
        <v>0</v>
      </c>
      <c r="AE700" s="351">
        <f t="shared" si="82"/>
        <v>0</v>
      </c>
    </row>
    <row r="701" spans="1:31">
      <c r="A701" s="165">
        <f>'Conveyor Downtime (new)'!A719</f>
        <v>0</v>
      </c>
      <c r="B701" s="346"/>
      <c r="C701" s="346"/>
      <c r="D701" s="346"/>
      <c r="E701" s="346"/>
      <c r="F701" s="346"/>
      <c r="G701" s="346"/>
      <c r="H701" s="346"/>
      <c r="I701" s="346"/>
      <c r="J701" s="346"/>
      <c r="K701" s="346"/>
      <c r="L701" s="346"/>
      <c r="M701" s="346"/>
      <c r="N701" s="346"/>
      <c r="O701" s="346"/>
      <c r="P701" s="346"/>
      <c r="Q701" s="346"/>
      <c r="R701" s="346"/>
      <c r="S701" s="346"/>
      <c r="T701" s="346"/>
      <c r="U701" s="346"/>
      <c r="V701" s="346"/>
      <c r="W701" s="346"/>
      <c r="X701" s="346"/>
      <c r="Y701" s="346"/>
      <c r="Z701" s="346"/>
      <c r="AA701" s="346"/>
      <c r="AB701" s="346"/>
      <c r="AC701" s="346"/>
      <c r="AD701">
        <f t="shared" si="81"/>
        <v>0</v>
      </c>
      <c r="AE701" s="351">
        <f t="shared" si="82"/>
        <v>0</v>
      </c>
    </row>
    <row r="702" spans="1:31">
      <c r="A702" s="165">
        <f>'Conveyor Downtime (new)'!A720</f>
        <v>0</v>
      </c>
      <c r="AD702">
        <f t="shared" si="81"/>
        <v>0</v>
      </c>
      <c r="AE702" s="351">
        <f t="shared" si="82"/>
        <v>0</v>
      </c>
    </row>
    <row r="703" spans="1:31">
      <c r="A703" s="165">
        <f>'Conveyor Downtime (new)'!A721</f>
        <v>0</v>
      </c>
      <c r="B703" s="346"/>
      <c r="C703" s="346"/>
      <c r="D703" s="346"/>
      <c r="E703" s="346"/>
      <c r="F703" s="346"/>
      <c r="G703" s="346"/>
      <c r="H703" s="346"/>
      <c r="I703" s="346"/>
      <c r="J703" s="346"/>
      <c r="K703" s="346"/>
      <c r="L703" s="346"/>
      <c r="M703" s="346"/>
      <c r="N703" s="346"/>
      <c r="O703" s="346"/>
      <c r="P703" s="346"/>
      <c r="Q703" s="346"/>
      <c r="R703" s="346"/>
      <c r="S703" s="346"/>
      <c r="T703" s="346"/>
      <c r="U703" s="346"/>
      <c r="V703" s="346"/>
      <c r="W703" s="346"/>
      <c r="X703" s="346"/>
      <c r="Y703" s="346"/>
      <c r="Z703" s="346"/>
      <c r="AA703" s="346"/>
      <c r="AB703" s="346"/>
      <c r="AC703" s="346"/>
      <c r="AD703">
        <f t="shared" si="81"/>
        <v>0</v>
      </c>
      <c r="AE703" s="351">
        <f t="shared" si="82"/>
        <v>0</v>
      </c>
    </row>
    <row r="704" spans="1:31">
      <c r="A704" s="165">
        <f>'Conveyor Downtime (new)'!A722</f>
        <v>0</v>
      </c>
      <c r="AD704">
        <f t="shared" si="81"/>
        <v>0</v>
      </c>
      <c r="AE704" s="351">
        <f t="shared" si="82"/>
        <v>0</v>
      </c>
    </row>
    <row r="705" spans="1:31">
      <c r="A705" s="165">
        <f>'Conveyor Downtime (new)'!A723</f>
        <v>0</v>
      </c>
      <c r="B705" s="346"/>
      <c r="C705" s="346"/>
      <c r="D705" s="346"/>
      <c r="E705" s="346"/>
      <c r="F705" s="346"/>
      <c r="G705" s="346"/>
      <c r="H705" s="346"/>
      <c r="I705" s="346"/>
      <c r="J705" s="346"/>
      <c r="K705" s="346"/>
      <c r="L705" s="346"/>
      <c r="M705" s="346"/>
      <c r="N705" s="346"/>
      <c r="O705" s="346"/>
      <c r="P705" s="346"/>
      <c r="Q705" s="346"/>
      <c r="R705" s="346"/>
      <c r="S705" s="346"/>
      <c r="T705" s="346"/>
      <c r="U705" s="346"/>
      <c r="V705" s="346"/>
      <c r="W705" s="346"/>
      <c r="X705" s="346"/>
      <c r="Y705" s="346"/>
      <c r="Z705" s="346"/>
      <c r="AA705" s="346"/>
      <c r="AB705" s="346"/>
      <c r="AC705" s="346"/>
      <c r="AD705">
        <f t="shared" si="81"/>
        <v>0</v>
      </c>
      <c r="AE705" s="351">
        <f t="shared" si="82"/>
        <v>0</v>
      </c>
    </row>
    <row r="706" spans="1:31">
      <c r="A706" s="165">
        <f>'Conveyor Downtime (new)'!A724</f>
        <v>0</v>
      </c>
      <c r="AD706">
        <f t="shared" si="81"/>
        <v>0</v>
      </c>
      <c r="AE706" s="351">
        <f t="shared" si="82"/>
        <v>0</v>
      </c>
    </row>
    <row r="707" spans="1:31">
      <c r="A707" s="165">
        <f>'Conveyor Downtime (new)'!A725</f>
        <v>0</v>
      </c>
      <c r="B707" s="346"/>
      <c r="C707" s="346"/>
      <c r="D707" s="346"/>
      <c r="E707" s="346"/>
      <c r="F707" s="346"/>
      <c r="G707" s="346"/>
      <c r="H707" s="346"/>
      <c r="I707" s="346"/>
      <c r="J707" s="346"/>
      <c r="K707" s="346"/>
      <c r="L707" s="346"/>
      <c r="M707" s="346"/>
      <c r="N707" s="346"/>
      <c r="O707" s="346"/>
      <c r="P707" s="346"/>
      <c r="Q707" s="346"/>
      <c r="R707" s="346"/>
      <c r="S707" s="346"/>
      <c r="T707" s="346"/>
      <c r="U707" s="346"/>
      <c r="V707" s="346"/>
      <c r="W707" s="346"/>
      <c r="X707" s="346"/>
      <c r="Y707" s="346"/>
      <c r="Z707" s="346"/>
      <c r="AA707" s="346"/>
      <c r="AB707" s="346"/>
      <c r="AC707" s="346"/>
      <c r="AD707">
        <f t="shared" si="81"/>
        <v>0</v>
      </c>
      <c r="AE707" s="351">
        <f t="shared" si="82"/>
        <v>0</v>
      </c>
    </row>
    <row r="708" spans="1:31">
      <c r="A708" s="165">
        <f>'Conveyor Downtime (new)'!A726</f>
        <v>0</v>
      </c>
      <c r="AD708">
        <f t="shared" si="81"/>
        <v>0</v>
      </c>
      <c r="AE708" s="351">
        <f t="shared" si="82"/>
        <v>0</v>
      </c>
    </row>
    <row r="709" spans="1:31">
      <c r="A709" s="165">
        <f>'Conveyor Downtime (new)'!A727</f>
        <v>0</v>
      </c>
      <c r="B709" s="346"/>
      <c r="C709" s="346"/>
      <c r="D709" s="346"/>
      <c r="E709" s="346"/>
      <c r="F709" s="346"/>
      <c r="G709" s="346"/>
      <c r="H709" s="346"/>
      <c r="I709" s="346"/>
      <c r="J709" s="346"/>
      <c r="K709" s="346"/>
      <c r="L709" s="346"/>
      <c r="M709" s="346"/>
      <c r="N709" s="346"/>
      <c r="O709" s="346"/>
      <c r="P709" s="346"/>
      <c r="Q709" s="346"/>
      <c r="R709" s="346"/>
      <c r="S709" s="346"/>
      <c r="T709" s="346"/>
      <c r="U709" s="346"/>
      <c r="V709" s="346"/>
      <c r="W709" s="346"/>
      <c r="X709" s="346"/>
      <c r="Y709" s="346"/>
      <c r="Z709" s="346"/>
      <c r="AA709" s="346"/>
      <c r="AB709" s="346"/>
      <c r="AC709" s="346"/>
      <c r="AD709">
        <f t="shared" si="81"/>
        <v>0</v>
      </c>
      <c r="AE709" s="351">
        <f t="shared" si="82"/>
        <v>0</v>
      </c>
    </row>
    <row r="710" spans="1:31">
      <c r="A710" s="165">
        <f>'Conveyor Downtime (new)'!A728</f>
        <v>0</v>
      </c>
      <c r="AD710">
        <f t="shared" si="81"/>
        <v>0</v>
      </c>
      <c r="AE710" s="351">
        <f t="shared" si="82"/>
        <v>0</v>
      </c>
    </row>
    <row r="711" spans="1:31">
      <c r="A711" s="165">
        <f>'Conveyor Downtime (new)'!A729</f>
        <v>0</v>
      </c>
      <c r="B711" s="346"/>
      <c r="C711" s="346"/>
      <c r="D711" s="346"/>
      <c r="E711" s="346"/>
      <c r="F711" s="346"/>
      <c r="G711" s="346"/>
      <c r="H711" s="346"/>
      <c r="I711" s="346"/>
      <c r="J711" s="346"/>
      <c r="K711" s="346"/>
      <c r="L711" s="346"/>
      <c r="M711" s="346"/>
      <c r="N711" s="346"/>
      <c r="O711" s="346"/>
      <c r="P711" s="346"/>
      <c r="Q711" s="346"/>
      <c r="R711" s="346"/>
      <c r="S711" s="346"/>
      <c r="T711" s="346"/>
      <c r="U711" s="346"/>
      <c r="V711" s="346"/>
      <c r="W711" s="346"/>
      <c r="X711" s="346"/>
      <c r="Y711" s="346"/>
      <c r="Z711" s="346"/>
      <c r="AA711" s="346"/>
      <c r="AB711" s="346"/>
      <c r="AC711" s="346"/>
      <c r="AD711">
        <f t="shared" si="81"/>
        <v>0</v>
      </c>
      <c r="AE711" s="351">
        <f t="shared" si="82"/>
        <v>0</v>
      </c>
    </row>
    <row r="712" spans="1:31">
      <c r="A712" s="165">
        <f>'Conveyor Downtime (new)'!A730</f>
        <v>0</v>
      </c>
      <c r="AD712">
        <f t="shared" si="81"/>
        <v>0</v>
      </c>
      <c r="AE712" s="351">
        <f t="shared" si="82"/>
        <v>0</v>
      </c>
    </row>
    <row r="713" spans="1:31">
      <c r="A713" s="165">
        <f>'Conveyor Downtime (new)'!A731</f>
        <v>0</v>
      </c>
      <c r="B713" s="346"/>
      <c r="C713" s="346"/>
      <c r="D713" s="346"/>
      <c r="E713" s="346"/>
      <c r="F713" s="346"/>
      <c r="G713" s="346"/>
      <c r="H713" s="346"/>
      <c r="I713" s="346"/>
      <c r="J713" s="346"/>
      <c r="K713" s="346"/>
      <c r="L713" s="346"/>
      <c r="M713" s="346"/>
      <c r="N713" s="346"/>
      <c r="O713" s="346"/>
      <c r="P713" s="346"/>
      <c r="Q713" s="346"/>
      <c r="R713" s="346"/>
      <c r="S713" s="346"/>
      <c r="T713" s="346"/>
      <c r="U713" s="346"/>
      <c r="V713" s="346"/>
      <c r="W713" s="346"/>
      <c r="X713" s="346"/>
      <c r="Y713" s="346"/>
      <c r="Z713" s="346"/>
      <c r="AA713" s="346"/>
      <c r="AB713" s="346"/>
      <c r="AC713" s="346"/>
      <c r="AD713">
        <f t="shared" si="81"/>
        <v>0</v>
      </c>
      <c r="AE713" s="351">
        <f t="shared" si="82"/>
        <v>0</v>
      </c>
    </row>
    <row r="714" spans="1:31">
      <c r="A714" s="165">
        <f>'Conveyor Downtime (new)'!A732</f>
        <v>0</v>
      </c>
      <c r="AD714">
        <f t="shared" si="81"/>
        <v>0</v>
      </c>
      <c r="AE714" s="351">
        <f t="shared" si="82"/>
        <v>0</v>
      </c>
    </row>
    <row r="715" spans="1:31">
      <c r="A715" s="165"/>
      <c r="B715" s="346"/>
      <c r="C715" s="346"/>
      <c r="D715" s="346"/>
      <c r="E715" s="346"/>
      <c r="F715" s="346"/>
      <c r="G715" s="346"/>
      <c r="H715" s="346"/>
      <c r="I715" s="346"/>
      <c r="J715" s="346"/>
      <c r="K715" s="346"/>
      <c r="L715" s="346"/>
      <c r="M715" s="346"/>
      <c r="N715" s="346"/>
      <c r="O715" s="346"/>
      <c r="P715" s="346"/>
      <c r="Q715" s="346"/>
      <c r="R715" s="346"/>
      <c r="S715" s="346"/>
      <c r="T715" s="346"/>
      <c r="U715" s="346"/>
      <c r="V715" s="346"/>
      <c r="W715" s="346"/>
      <c r="X715" s="346"/>
      <c r="Y715" s="346"/>
      <c r="Z715" s="346"/>
      <c r="AA715" s="346"/>
      <c r="AB715" s="346"/>
      <c r="AC715" s="346"/>
      <c r="AD715">
        <f t="shared" si="81"/>
        <v>0</v>
      </c>
      <c r="AE715" s="351">
        <f t="shared" si="82"/>
        <v>0</v>
      </c>
    </row>
    <row r="716" spans="1:31">
      <c r="A716" s="165"/>
      <c r="AD716">
        <f t="shared" si="81"/>
        <v>0</v>
      </c>
      <c r="AE716" s="351">
        <f t="shared" si="82"/>
        <v>0</v>
      </c>
    </row>
    <row r="717" spans="1:31">
      <c r="A717" s="165"/>
      <c r="B717" s="346"/>
      <c r="C717" s="346"/>
      <c r="D717" s="346"/>
      <c r="E717" s="346"/>
      <c r="F717" s="346"/>
      <c r="G717" s="346"/>
      <c r="H717" s="346"/>
      <c r="I717" s="346"/>
      <c r="J717" s="346"/>
      <c r="K717" s="346"/>
      <c r="L717" s="346"/>
      <c r="M717" s="346"/>
      <c r="N717" s="346"/>
      <c r="O717" s="346"/>
      <c r="P717" s="346"/>
      <c r="Q717" s="346"/>
      <c r="R717" s="346"/>
      <c r="S717" s="346"/>
      <c r="T717" s="346"/>
      <c r="U717" s="346"/>
      <c r="V717" s="346"/>
      <c r="W717" s="346"/>
      <c r="X717" s="346"/>
      <c r="Y717" s="346"/>
      <c r="Z717" s="346"/>
      <c r="AA717" s="346"/>
      <c r="AB717" s="346"/>
      <c r="AC717" s="346"/>
      <c r="AD717">
        <f t="shared" si="81"/>
        <v>0</v>
      </c>
      <c r="AE717" s="351">
        <f t="shared" si="82"/>
        <v>0</v>
      </c>
    </row>
    <row r="718" spans="1:31">
      <c r="A718" s="165"/>
      <c r="AD718">
        <f t="shared" si="81"/>
        <v>0</v>
      </c>
      <c r="AE718" s="351">
        <f t="shared" si="82"/>
        <v>0</v>
      </c>
    </row>
    <row r="719" spans="1:31">
      <c r="A719" s="165"/>
      <c r="B719" s="346"/>
      <c r="C719" s="346"/>
      <c r="D719" s="346"/>
      <c r="E719" s="346"/>
      <c r="F719" s="346"/>
      <c r="G719" s="346"/>
      <c r="H719" s="346"/>
      <c r="I719" s="346"/>
      <c r="J719" s="346"/>
      <c r="K719" s="346"/>
      <c r="L719" s="346"/>
      <c r="M719" s="346"/>
      <c r="N719" s="346"/>
      <c r="O719" s="346"/>
      <c r="P719" s="346"/>
      <c r="Q719" s="346"/>
      <c r="R719" s="346"/>
      <c r="S719" s="346"/>
      <c r="T719" s="346"/>
      <c r="U719" s="346"/>
      <c r="V719" s="346"/>
      <c r="W719" s="346"/>
      <c r="X719" s="346"/>
      <c r="Y719" s="346"/>
      <c r="Z719" s="346"/>
      <c r="AA719" s="346"/>
      <c r="AB719" s="346"/>
      <c r="AC719" s="346"/>
      <c r="AD719">
        <f t="shared" si="81"/>
        <v>0</v>
      </c>
      <c r="AE719" s="351">
        <f t="shared" si="82"/>
        <v>0</v>
      </c>
    </row>
    <row r="720" spans="1:31">
      <c r="A720" s="165"/>
      <c r="AD720">
        <f t="shared" si="81"/>
        <v>0</v>
      </c>
      <c r="AE720" s="351">
        <f t="shared" si="82"/>
        <v>0</v>
      </c>
    </row>
    <row r="721" spans="1:31">
      <c r="A721" s="165"/>
      <c r="B721" s="346"/>
      <c r="C721" s="346"/>
      <c r="D721" s="346"/>
      <c r="E721" s="346"/>
      <c r="F721" s="346"/>
      <c r="G721" s="346"/>
      <c r="H721" s="346"/>
      <c r="I721" s="346"/>
      <c r="J721" s="346"/>
      <c r="K721" s="346"/>
      <c r="L721" s="346"/>
      <c r="M721" s="346"/>
      <c r="N721" s="346"/>
      <c r="O721" s="346"/>
      <c r="P721" s="346"/>
      <c r="Q721" s="346"/>
      <c r="R721" s="346"/>
      <c r="S721" s="346"/>
      <c r="T721" s="346"/>
      <c r="U721" s="346"/>
      <c r="V721" s="346"/>
      <c r="W721" s="346"/>
      <c r="X721" s="346"/>
      <c r="Y721" s="346"/>
      <c r="Z721" s="346"/>
      <c r="AA721" s="346"/>
      <c r="AB721" s="346"/>
      <c r="AC721" s="346"/>
      <c r="AD721">
        <f t="shared" si="81"/>
        <v>0</v>
      </c>
      <c r="AE721" s="351">
        <f t="shared" si="82"/>
        <v>0</v>
      </c>
    </row>
    <row r="722" spans="1:31">
      <c r="A722" s="165"/>
      <c r="AD722">
        <f t="shared" si="81"/>
        <v>0</v>
      </c>
      <c r="AE722" s="351">
        <f t="shared" si="82"/>
        <v>0</v>
      </c>
    </row>
    <row r="723" spans="1:31" ht="15">
      <c r="A723" s="347" t="s">
        <v>173</v>
      </c>
      <c r="B723" s="347">
        <f t="shared" ref="B723:AC723" si="83">SUM(B659:B722)</f>
        <v>0</v>
      </c>
      <c r="C723" s="347">
        <f t="shared" si="83"/>
        <v>0</v>
      </c>
      <c r="D723" s="347">
        <f t="shared" si="83"/>
        <v>0</v>
      </c>
      <c r="E723" s="347">
        <f t="shared" si="83"/>
        <v>0</v>
      </c>
      <c r="F723" s="347">
        <f t="shared" si="83"/>
        <v>0</v>
      </c>
      <c r="G723" s="347">
        <f t="shared" si="83"/>
        <v>0</v>
      </c>
      <c r="H723" s="347">
        <f t="shared" si="83"/>
        <v>0</v>
      </c>
      <c r="I723" s="347">
        <f t="shared" si="83"/>
        <v>0</v>
      </c>
      <c r="J723" s="347">
        <f t="shared" si="83"/>
        <v>0</v>
      </c>
      <c r="K723" s="347">
        <f t="shared" si="83"/>
        <v>0</v>
      </c>
      <c r="L723" s="347">
        <f t="shared" si="83"/>
        <v>0</v>
      </c>
      <c r="M723" s="347">
        <f t="shared" si="83"/>
        <v>0</v>
      </c>
      <c r="N723" s="347">
        <f t="shared" si="83"/>
        <v>0</v>
      </c>
      <c r="O723" s="347">
        <f t="shared" si="83"/>
        <v>0</v>
      </c>
      <c r="P723" s="347">
        <f t="shared" si="83"/>
        <v>0</v>
      </c>
      <c r="Q723" s="347">
        <f t="shared" si="83"/>
        <v>0</v>
      </c>
      <c r="R723" s="347">
        <f t="shared" si="83"/>
        <v>0</v>
      </c>
      <c r="S723" s="347">
        <f t="shared" si="83"/>
        <v>0</v>
      </c>
      <c r="T723" s="347">
        <f t="shared" si="83"/>
        <v>0</v>
      </c>
      <c r="U723" s="347">
        <f t="shared" si="83"/>
        <v>0</v>
      </c>
      <c r="V723" s="347">
        <f t="shared" si="83"/>
        <v>0</v>
      </c>
      <c r="W723" s="347">
        <f t="shared" si="83"/>
        <v>0</v>
      </c>
      <c r="X723" s="347">
        <f t="shared" si="83"/>
        <v>0</v>
      </c>
      <c r="Y723" s="347">
        <f t="shared" si="83"/>
        <v>0</v>
      </c>
      <c r="Z723" s="347">
        <f t="shared" si="83"/>
        <v>0</v>
      </c>
      <c r="AA723" s="347">
        <f t="shared" si="83"/>
        <v>0</v>
      </c>
      <c r="AB723" s="347">
        <f t="shared" si="83"/>
        <v>0</v>
      </c>
      <c r="AC723" s="347">
        <f t="shared" si="83"/>
        <v>0</v>
      </c>
      <c r="AD723" s="347">
        <f>SUM(AD659:AD722)</f>
        <v>0</v>
      </c>
    </row>
    <row r="724" spans="1:31" ht="15.75" thickBot="1">
      <c r="A724" s="348" t="s">
        <v>174</v>
      </c>
      <c r="B724" s="348" t="e">
        <f>B723/$AD723</f>
        <v>#DIV/0!</v>
      </c>
      <c r="C724" s="348" t="e">
        <f t="shared" ref="C724:AC724" si="84">C723/$AD723</f>
        <v>#DIV/0!</v>
      </c>
      <c r="D724" s="348" t="e">
        <f t="shared" si="84"/>
        <v>#DIV/0!</v>
      </c>
      <c r="E724" s="348" t="e">
        <f t="shared" si="84"/>
        <v>#DIV/0!</v>
      </c>
      <c r="F724" s="348" t="e">
        <f t="shared" ref="F724:Q724" si="85">F723/$AD723</f>
        <v>#DIV/0!</v>
      </c>
      <c r="G724" s="348" t="e">
        <f t="shared" si="85"/>
        <v>#DIV/0!</v>
      </c>
      <c r="H724" s="348" t="e">
        <f t="shared" si="85"/>
        <v>#DIV/0!</v>
      </c>
      <c r="I724" s="348" t="e">
        <f t="shared" si="85"/>
        <v>#DIV/0!</v>
      </c>
      <c r="J724" s="348" t="e">
        <f t="shared" si="85"/>
        <v>#DIV/0!</v>
      </c>
      <c r="K724" s="348" t="e">
        <f t="shared" si="85"/>
        <v>#DIV/0!</v>
      </c>
      <c r="L724" s="348" t="e">
        <f t="shared" si="85"/>
        <v>#DIV/0!</v>
      </c>
      <c r="M724" s="348" t="e">
        <f t="shared" si="85"/>
        <v>#DIV/0!</v>
      </c>
      <c r="N724" s="348" t="e">
        <f t="shared" si="85"/>
        <v>#DIV/0!</v>
      </c>
      <c r="O724" s="348" t="e">
        <f t="shared" si="85"/>
        <v>#DIV/0!</v>
      </c>
      <c r="P724" s="348" t="e">
        <f t="shared" si="85"/>
        <v>#DIV/0!</v>
      </c>
      <c r="Q724" s="348" t="e">
        <f t="shared" si="85"/>
        <v>#DIV/0!</v>
      </c>
      <c r="R724" s="348" t="e">
        <f t="shared" si="84"/>
        <v>#DIV/0!</v>
      </c>
      <c r="S724" s="348" t="e">
        <f t="shared" si="84"/>
        <v>#DIV/0!</v>
      </c>
      <c r="T724" s="348" t="e">
        <f t="shared" si="84"/>
        <v>#DIV/0!</v>
      </c>
      <c r="U724" s="348" t="e">
        <f t="shared" si="84"/>
        <v>#DIV/0!</v>
      </c>
      <c r="V724" s="348" t="e">
        <f t="shared" si="84"/>
        <v>#DIV/0!</v>
      </c>
      <c r="W724" s="348" t="e">
        <f t="shared" si="84"/>
        <v>#DIV/0!</v>
      </c>
      <c r="X724" s="348" t="e">
        <f t="shared" si="84"/>
        <v>#DIV/0!</v>
      </c>
      <c r="Y724" s="348" t="e">
        <f t="shared" si="84"/>
        <v>#DIV/0!</v>
      </c>
      <c r="Z724" s="348" t="e">
        <f>Z723/$AD723</f>
        <v>#DIV/0!</v>
      </c>
      <c r="AA724" s="348" t="e">
        <f t="shared" si="84"/>
        <v>#DIV/0!</v>
      </c>
      <c r="AB724" s="348" t="e">
        <f t="shared" si="84"/>
        <v>#DIV/0!</v>
      </c>
      <c r="AC724" s="348" t="e">
        <f t="shared" si="84"/>
        <v>#DIV/0!</v>
      </c>
      <c r="AD724" s="351"/>
    </row>
    <row r="728" spans="1:31" s="184" customFormat="1" ht="15">
      <c r="A728" s="519" t="s">
        <v>173</v>
      </c>
      <c r="B728" s="519">
        <f t="shared" ref="B728:AD728" si="86">SUM(B723,B655,B596,B534,B479,B423,B365,B302,B242,B182,B120,B65)</f>
        <v>370</v>
      </c>
      <c r="C728" s="519">
        <f t="shared" si="86"/>
        <v>194</v>
      </c>
      <c r="D728" s="519">
        <f t="shared" si="86"/>
        <v>886</v>
      </c>
      <c r="E728" s="519">
        <f t="shared" si="86"/>
        <v>398</v>
      </c>
      <c r="F728" s="519">
        <f t="shared" si="86"/>
        <v>110</v>
      </c>
      <c r="G728" s="519">
        <f t="shared" si="86"/>
        <v>0</v>
      </c>
      <c r="H728" s="519">
        <f t="shared" si="86"/>
        <v>0</v>
      </c>
      <c r="I728" s="519">
        <f t="shared" si="86"/>
        <v>0</v>
      </c>
      <c r="J728" s="519">
        <f t="shared" si="86"/>
        <v>88</v>
      </c>
      <c r="K728" s="519">
        <f t="shared" si="86"/>
        <v>111</v>
      </c>
      <c r="L728" s="519">
        <f t="shared" si="86"/>
        <v>9</v>
      </c>
      <c r="M728" s="519">
        <f t="shared" si="86"/>
        <v>5</v>
      </c>
      <c r="N728" s="519">
        <f t="shared" si="86"/>
        <v>29</v>
      </c>
      <c r="O728" s="519">
        <f t="shared" si="86"/>
        <v>8</v>
      </c>
      <c r="P728" s="519">
        <f t="shared" si="86"/>
        <v>0</v>
      </c>
      <c r="Q728" s="519">
        <f t="shared" si="86"/>
        <v>64</v>
      </c>
      <c r="R728" s="519">
        <f t="shared" si="86"/>
        <v>0</v>
      </c>
      <c r="S728" s="519">
        <f t="shared" si="86"/>
        <v>0</v>
      </c>
      <c r="T728" s="519">
        <f t="shared" si="86"/>
        <v>48</v>
      </c>
      <c r="U728" s="519">
        <f t="shared" si="86"/>
        <v>0</v>
      </c>
      <c r="V728" s="519">
        <f t="shared" si="86"/>
        <v>2</v>
      </c>
      <c r="W728" s="519">
        <f t="shared" si="86"/>
        <v>13</v>
      </c>
      <c r="X728" s="519">
        <f t="shared" si="86"/>
        <v>0</v>
      </c>
      <c r="Y728" s="519">
        <f t="shared" si="86"/>
        <v>7</v>
      </c>
      <c r="Z728" s="519">
        <f t="shared" si="86"/>
        <v>0</v>
      </c>
      <c r="AA728" s="519">
        <f t="shared" si="86"/>
        <v>0</v>
      </c>
      <c r="AB728" s="519">
        <f t="shared" si="86"/>
        <v>37</v>
      </c>
      <c r="AC728" s="519">
        <f t="shared" si="86"/>
        <v>208</v>
      </c>
      <c r="AD728" s="519">
        <f t="shared" si="86"/>
        <v>2587</v>
      </c>
    </row>
    <row r="729" spans="1:31" s="184" customFormat="1" ht="15.75" thickBot="1">
      <c r="A729" s="521" t="s">
        <v>174</v>
      </c>
      <c r="B729" s="521">
        <f>B728/$AD728</f>
        <v>0.14302280633938924</v>
      </c>
      <c r="C729" s="521">
        <f t="shared" ref="C729:Y729" si="87">C728/$AD728</f>
        <v>7.4990336296868965E-2</v>
      </c>
      <c r="D729" s="521">
        <f t="shared" si="87"/>
        <v>0.34248163896405104</v>
      </c>
      <c r="E729" s="521">
        <f t="shared" si="87"/>
        <v>0.15384615384615385</v>
      </c>
      <c r="F729" s="521">
        <f t="shared" si="87"/>
        <v>4.2520293776575187E-2</v>
      </c>
      <c r="G729" s="521">
        <f t="shared" si="87"/>
        <v>0</v>
      </c>
      <c r="H729" s="521">
        <f t="shared" si="87"/>
        <v>0</v>
      </c>
      <c r="I729" s="521">
        <f t="shared" si="87"/>
        <v>0</v>
      </c>
      <c r="J729" s="521">
        <f t="shared" si="87"/>
        <v>3.4016235021260145E-2</v>
      </c>
      <c r="K729" s="521">
        <f t="shared" si="87"/>
        <v>4.2906841901816775E-2</v>
      </c>
      <c r="L729" s="521">
        <f t="shared" si="87"/>
        <v>3.4789331271743332E-3</v>
      </c>
      <c r="M729" s="521">
        <f t="shared" si="87"/>
        <v>1.9327406262079629E-3</v>
      </c>
      <c r="N729" s="521">
        <f t="shared" si="87"/>
        <v>1.1209895632006184E-2</v>
      </c>
      <c r="O729" s="521">
        <f t="shared" si="87"/>
        <v>3.0923850019327404E-3</v>
      </c>
      <c r="P729" s="521">
        <f t="shared" si="87"/>
        <v>0</v>
      </c>
      <c r="Q729" s="521">
        <f t="shared" si="87"/>
        <v>2.4739080015461924E-2</v>
      </c>
      <c r="R729" s="521">
        <f t="shared" si="87"/>
        <v>0</v>
      </c>
      <c r="S729" s="521">
        <f t="shared" si="87"/>
        <v>0</v>
      </c>
      <c r="T729" s="521">
        <f t="shared" si="87"/>
        <v>1.8554310011596443E-2</v>
      </c>
      <c r="U729" s="521">
        <f t="shared" si="87"/>
        <v>0</v>
      </c>
      <c r="V729" s="521">
        <f t="shared" si="87"/>
        <v>7.7309625048318511E-4</v>
      </c>
      <c r="W729" s="521">
        <f t="shared" si="87"/>
        <v>5.0251256281407036E-3</v>
      </c>
      <c r="X729" s="521">
        <f t="shared" si="87"/>
        <v>0</v>
      </c>
      <c r="Y729" s="521">
        <f t="shared" si="87"/>
        <v>2.7058368766911482E-3</v>
      </c>
      <c r="Z729" s="521">
        <f>Z728/$AD728</f>
        <v>0</v>
      </c>
      <c r="AA729" s="521">
        <f t="shared" ref="AA729:AC729" si="88">AA728/$AD728</f>
        <v>0</v>
      </c>
      <c r="AB729" s="521">
        <f t="shared" si="88"/>
        <v>1.4302280633938926E-2</v>
      </c>
      <c r="AC729" s="521">
        <f t="shared" si="88"/>
        <v>8.0402010050251257E-2</v>
      </c>
      <c r="AD729" s="520"/>
    </row>
  </sheetData>
  <mergeCells count="1">
    <mergeCell ref="B3:AC3"/>
  </mergeCell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DE0AA6"/>
  </sheetPr>
  <dimension ref="A2:Q721"/>
  <sheetViews>
    <sheetView zoomScale="90" zoomScaleNormal="90" workbookViewId="0">
      <pane xSplit="1" ySplit="3" topLeftCell="B516" activePane="bottomRight" state="frozen"/>
      <selection pane="topRight"/>
      <selection pane="bottomLeft"/>
      <selection pane="bottomRight" activeCell="O510" sqref="O510"/>
    </sheetView>
  </sheetViews>
  <sheetFormatPr defaultColWidth="9.42578125" defaultRowHeight="12.75" outlineLevelCol="1"/>
  <cols>
    <col min="1" max="1" width="11.5703125" style="70" customWidth="1"/>
    <col min="2" max="2" width="11.42578125" style="70" customWidth="1"/>
    <col min="3" max="3" width="12.42578125" style="70" customWidth="1" outlineLevel="1"/>
    <col min="4" max="11" width="14" style="70" customWidth="1" outlineLevel="1"/>
    <col min="12" max="12" width="9.42578125" style="70" customWidth="1" outlineLevel="1"/>
    <col min="13" max="13" width="10.42578125" style="70" customWidth="1" outlineLevel="1"/>
    <col min="14" max="14" width="12" style="70" customWidth="1" outlineLevel="1"/>
    <col min="15" max="15" width="12.42578125" style="70" customWidth="1" outlineLevel="1"/>
    <col min="16" max="16384" width="9.42578125" style="70"/>
  </cols>
  <sheetData>
    <row r="2" spans="1:17" ht="9" customHeight="1">
      <c r="B2" s="343"/>
      <c r="C2" s="343"/>
      <c r="D2" s="343"/>
      <c r="E2" s="343"/>
      <c r="F2" s="343"/>
      <c r="G2" s="343"/>
      <c r="H2" s="343"/>
      <c r="I2" s="343"/>
      <c r="J2" s="343"/>
      <c r="K2" s="343"/>
      <c r="L2" s="343"/>
      <c r="M2" s="343"/>
      <c r="N2" s="343"/>
      <c r="O2" s="343"/>
    </row>
    <row r="3" spans="1:17" ht="26.25">
      <c r="A3" s="279" t="s">
        <v>81</v>
      </c>
      <c r="B3" s="344" t="s">
        <v>270</v>
      </c>
      <c r="C3" s="373" t="s">
        <v>271</v>
      </c>
      <c r="D3" s="344" t="s">
        <v>272</v>
      </c>
      <c r="E3" s="344" t="s">
        <v>273</v>
      </c>
      <c r="F3" s="344" t="s">
        <v>274</v>
      </c>
      <c r="G3" s="344" t="s">
        <v>275</v>
      </c>
      <c r="H3" s="344" t="s">
        <v>276</v>
      </c>
      <c r="I3" s="344" t="s">
        <v>277</v>
      </c>
      <c r="J3" s="344" t="s">
        <v>278</v>
      </c>
      <c r="K3" s="344" t="s">
        <v>279</v>
      </c>
      <c r="L3" s="344" t="s">
        <v>280</v>
      </c>
      <c r="M3" s="344" t="s">
        <v>281</v>
      </c>
      <c r="N3" s="344" t="s">
        <v>282</v>
      </c>
      <c r="O3" s="344" t="s">
        <v>283</v>
      </c>
    </row>
    <row r="4" spans="1:17" s="648" customFormat="1" ht="12.75" customHeight="1">
      <c r="A4" s="648">
        <v>2026</v>
      </c>
    </row>
    <row r="5" spans="1:17" s="648" customFormat="1" ht="12.75" customHeight="1"/>
    <row r="6" spans="1:17">
      <c r="A6" s="165">
        <f>'Conveyor Downtime (new)'!A6</f>
        <v>46024</v>
      </c>
      <c r="B6" s="346"/>
      <c r="C6" s="346"/>
      <c r="D6" s="346"/>
      <c r="E6" s="346"/>
      <c r="F6" s="346"/>
      <c r="G6" s="346"/>
      <c r="H6" s="346"/>
      <c r="I6" s="346"/>
      <c r="J6" s="346"/>
      <c r="K6" s="346"/>
      <c r="L6" s="346"/>
      <c r="M6" s="346"/>
      <c r="N6" s="346"/>
      <c r="O6" s="346"/>
      <c r="P6">
        <f t="shared" ref="P6:P17" si="0">SUM(B6:O6)</f>
        <v>0</v>
      </c>
      <c r="Q6" s="351">
        <f t="shared" ref="Q6:Q50" si="1">P6/$P$52</f>
        <v>0</v>
      </c>
    </row>
    <row r="7" spans="1:17">
      <c r="A7" s="165">
        <f>'Conveyor Downtime (new)'!A7</f>
        <v>46027</v>
      </c>
      <c r="B7"/>
      <c r="C7"/>
      <c r="D7"/>
      <c r="E7"/>
      <c r="F7"/>
      <c r="G7"/>
      <c r="H7"/>
      <c r="I7"/>
      <c r="J7"/>
      <c r="K7"/>
      <c r="L7"/>
      <c r="M7"/>
      <c r="N7"/>
      <c r="O7"/>
      <c r="P7">
        <f t="shared" si="0"/>
        <v>0</v>
      </c>
      <c r="Q7" s="351">
        <f t="shared" si="1"/>
        <v>0</v>
      </c>
    </row>
    <row r="8" spans="1:17">
      <c r="A8" s="165">
        <f>'Conveyor Downtime (new)'!A8</f>
        <v>46028</v>
      </c>
      <c r="B8" s="346"/>
      <c r="C8" s="346"/>
      <c r="D8" s="346"/>
      <c r="E8" s="346"/>
      <c r="F8" s="346"/>
      <c r="G8" s="346"/>
      <c r="H8" s="346"/>
      <c r="I8" s="346"/>
      <c r="J8" s="346"/>
      <c r="K8" s="346"/>
      <c r="L8" s="346"/>
      <c r="M8" s="346"/>
      <c r="N8" s="346"/>
      <c r="O8" s="346"/>
      <c r="P8">
        <f t="shared" si="0"/>
        <v>0</v>
      </c>
      <c r="Q8" s="351">
        <f t="shared" si="1"/>
        <v>0</v>
      </c>
    </row>
    <row r="9" spans="1:17">
      <c r="A9" s="165">
        <f>'Conveyor Downtime (new)'!A9</f>
        <v>46029</v>
      </c>
      <c r="B9"/>
      <c r="C9"/>
      <c r="D9"/>
      <c r="E9"/>
      <c r="F9"/>
      <c r="G9"/>
      <c r="H9"/>
      <c r="I9"/>
      <c r="J9"/>
      <c r="K9"/>
      <c r="L9"/>
      <c r="M9"/>
      <c r="N9"/>
      <c r="O9"/>
      <c r="P9">
        <f t="shared" si="0"/>
        <v>0</v>
      </c>
      <c r="Q9" s="351">
        <f t="shared" si="1"/>
        <v>0</v>
      </c>
    </row>
    <row r="10" spans="1:17">
      <c r="A10" s="165">
        <f>'Conveyor Downtime (new)'!A10</f>
        <v>46030</v>
      </c>
      <c r="B10" s="346"/>
      <c r="C10" s="346"/>
      <c r="D10" s="346"/>
      <c r="E10" s="346"/>
      <c r="F10" s="346"/>
      <c r="G10" s="346"/>
      <c r="H10" s="346"/>
      <c r="I10" s="346"/>
      <c r="J10" s="346"/>
      <c r="K10" s="346"/>
      <c r="L10" s="346"/>
      <c r="M10" s="346"/>
      <c r="N10" s="346"/>
      <c r="O10" s="346"/>
      <c r="P10">
        <f t="shared" si="0"/>
        <v>0</v>
      </c>
      <c r="Q10" s="351">
        <f t="shared" si="1"/>
        <v>0</v>
      </c>
    </row>
    <row r="11" spans="1:17">
      <c r="A11" s="165">
        <f>'Conveyor Downtime (new)'!A11</f>
        <v>46031</v>
      </c>
      <c r="B11"/>
      <c r="C11"/>
      <c r="D11"/>
      <c r="E11"/>
      <c r="F11"/>
      <c r="G11"/>
      <c r="H11"/>
      <c r="I11"/>
      <c r="J11"/>
      <c r="K11"/>
      <c r="L11"/>
      <c r="M11"/>
      <c r="N11"/>
      <c r="O11"/>
      <c r="P11">
        <f t="shared" si="0"/>
        <v>0</v>
      </c>
      <c r="Q11" s="351">
        <f t="shared" si="1"/>
        <v>0</v>
      </c>
    </row>
    <row r="12" spans="1:17">
      <c r="A12" s="165">
        <f>'Conveyor Downtime (new)'!A12</f>
        <v>46031</v>
      </c>
      <c r="B12" s="346"/>
      <c r="C12" s="346"/>
      <c r="D12" s="346"/>
      <c r="E12" s="346"/>
      <c r="F12" s="346"/>
      <c r="G12" s="346"/>
      <c r="H12" s="346"/>
      <c r="I12" s="346"/>
      <c r="J12" s="346"/>
      <c r="K12" s="346"/>
      <c r="L12" s="346"/>
      <c r="M12" s="346"/>
      <c r="N12" s="346"/>
      <c r="O12" s="346"/>
      <c r="P12">
        <f t="shared" si="0"/>
        <v>0</v>
      </c>
      <c r="Q12" s="351">
        <f t="shared" si="1"/>
        <v>0</v>
      </c>
    </row>
    <row r="13" spans="1:17">
      <c r="A13" s="165">
        <f>'Conveyor Downtime (new)'!A13</f>
        <v>46032</v>
      </c>
      <c r="B13"/>
      <c r="C13"/>
      <c r="D13"/>
      <c r="E13"/>
      <c r="F13"/>
      <c r="G13"/>
      <c r="H13"/>
      <c r="I13"/>
      <c r="J13"/>
      <c r="K13"/>
      <c r="L13"/>
      <c r="M13"/>
      <c r="N13"/>
      <c r="O13"/>
      <c r="P13">
        <f t="shared" si="0"/>
        <v>0</v>
      </c>
      <c r="Q13" s="351">
        <f t="shared" si="1"/>
        <v>0</v>
      </c>
    </row>
    <row r="14" spans="1:17">
      <c r="A14" s="165">
        <f>'Conveyor Downtime (new)'!A14</f>
        <v>46034</v>
      </c>
      <c r="B14" s="346"/>
      <c r="C14" s="346"/>
      <c r="D14" s="346"/>
      <c r="E14" s="346"/>
      <c r="F14" s="346"/>
      <c r="G14" s="346"/>
      <c r="H14" s="346"/>
      <c r="I14" s="346"/>
      <c r="J14" s="346"/>
      <c r="K14" s="346"/>
      <c r="L14" s="346"/>
      <c r="M14" s="346"/>
      <c r="N14" s="346"/>
      <c r="O14" s="346"/>
      <c r="P14">
        <f t="shared" si="0"/>
        <v>0</v>
      </c>
      <c r="Q14" s="351">
        <f t="shared" si="1"/>
        <v>0</v>
      </c>
    </row>
    <row r="15" spans="1:17">
      <c r="A15" s="165">
        <f>'Conveyor Downtime (new)'!A15</f>
        <v>46034</v>
      </c>
      <c r="B15"/>
      <c r="C15"/>
      <c r="D15"/>
      <c r="E15"/>
      <c r="F15"/>
      <c r="G15"/>
      <c r="H15"/>
      <c r="I15"/>
      <c r="J15"/>
      <c r="K15"/>
      <c r="L15"/>
      <c r="M15"/>
      <c r="N15"/>
      <c r="O15"/>
      <c r="P15">
        <f t="shared" si="0"/>
        <v>0</v>
      </c>
      <c r="Q15" s="351">
        <f t="shared" si="1"/>
        <v>0</v>
      </c>
    </row>
    <row r="16" spans="1:17">
      <c r="A16" s="165">
        <f>'Conveyor Downtime (new)'!A16</f>
        <v>46034</v>
      </c>
      <c r="B16" s="346"/>
      <c r="C16" s="346"/>
      <c r="D16" s="346"/>
      <c r="E16" s="346"/>
      <c r="F16" s="346"/>
      <c r="G16" s="346"/>
      <c r="H16" s="346"/>
      <c r="I16" s="346"/>
      <c r="J16" s="346"/>
      <c r="K16" s="346"/>
      <c r="L16" s="346"/>
      <c r="M16" s="346"/>
      <c r="N16" s="346"/>
      <c r="O16" s="346"/>
      <c r="P16">
        <f t="shared" si="0"/>
        <v>0</v>
      </c>
      <c r="Q16" s="351">
        <f t="shared" si="1"/>
        <v>0</v>
      </c>
    </row>
    <row r="17" spans="1:17">
      <c r="A17" s="165">
        <f>'Conveyor Downtime (new)'!A17</f>
        <v>46035</v>
      </c>
      <c r="B17"/>
      <c r="C17"/>
      <c r="D17"/>
      <c r="E17"/>
      <c r="F17"/>
      <c r="G17"/>
      <c r="H17"/>
      <c r="I17"/>
      <c r="J17"/>
      <c r="K17"/>
      <c r="L17"/>
      <c r="M17"/>
      <c r="N17"/>
      <c r="O17"/>
      <c r="P17">
        <f t="shared" si="0"/>
        <v>0</v>
      </c>
      <c r="Q17" s="351">
        <f t="shared" si="1"/>
        <v>0</v>
      </c>
    </row>
    <row r="18" spans="1:17">
      <c r="A18" s="165">
        <f>'Conveyor Downtime (new)'!A18</f>
        <v>46035</v>
      </c>
      <c r="B18" s="346"/>
      <c r="C18" s="346"/>
      <c r="D18" s="346"/>
      <c r="E18" s="346"/>
      <c r="F18" s="346"/>
      <c r="G18" s="346"/>
      <c r="H18" s="346"/>
      <c r="I18" s="346"/>
      <c r="J18" s="346"/>
      <c r="K18" s="346"/>
      <c r="L18" s="346"/>
      <c r="M18" s="346"/>
      <c r="N18" s="346"/>
      <c r="O18" s="346"/>
      <c r="P18">
        <f>SUM(C18:O18)</f>
        <v>0</v>
      </c>
      <c r="Q18" s="351">
        <f t="shared" si="1"/>
        <v>0</v>
      </c>
    </row>
    <row r="19" spans="1:17">
      <c r="A19" s="165">
        <f>'Conveyor Downtime (new)'!A19</f>
        <v>46036</v>
      </c>
      <c r="B19"/>
      <c r="C19"/>
      <c r="D19"/>
      <c r="E19"/>
      <c r="F19"/>
      <c r="G19"/>
      <c r="H19"/>
      <c r="I19"/>
      <c r="J19"/>
      <c r="K19"/>
      <c r="L19"/>
      <c r="M19"/>
      <c r="N19"/>
      <c r="O19"/>
      <c r="P19">
        <f t="shared" ref="P19:P50" si="2">SUM(B19:O19)</f>
        <v>0</v>
      </c>
      <c r="Q19" s="351">
        <f t="shared" si="1"/>
        <v>0</v>
      </c>
    </row>
    <row r="20" spans="1:17">
      <c r="A20" s="165">
        <f>'Conveyor Downtime (new)'!A20</f>
        <v>46036</v>
      </c>
      <c r="B20" s="346"/>
      <c r="C20" s="346"/>
      <c r="D20" s="346"/>
      <c r="E20" s="346"/>
      <c r="F20" s="346"/>
      <c r="G20" s="346"/>
      <c r="H20" s="346"/>
      <c r="I20" s="346"/>
      <c r="J20" s="346"/>
      <c r="K20" s="346"/>
      <c r="L20" s="346"/>
      <c r="M20" s="346"/>
      <c r="N20" s="346"/>
      <c r="O20" s="346"/>
      <c r="P20">
        <f t="shared" si="2"/>
        <v>0</v>
      </c>
      <c r="Q20" s="351">
        <f t="shared" si="1"/>
        <v>0</v>
      </c>
    </row>
    <row r="21" spans="1:17">
      <c r="A21" s="165">
        <f>'Conveyor Downtime (new)'!A21</f>
        <v>46037</v>
      </c>
      <c r="B21"/>
      <c r="C21"/>
      <c r="D21"/>
      <c r="E21"/>
      <c r="F21"/>
      <c r="G21"/>
      <c r="H21"/>
      <c r="I21"/>
      <c r="J21"/>
      <c r="K21"/>
      <c r="L21"/>
      <c r="M21"/>
      <c r="N21"/>
      <c r="O21"/>
      <c r="P21">
        <f t="shared" si="2"/>
        <v>0</v>
      </c>
      <c r="Q21" s="351">
        <f t="shared" si="1"/>
        <v>0</v>
      </c>
    </row>
    <row r="22" spans="1:17">
      <c r="A22" s="165">
        <f>'Conveyor Downtime (new)'!A22</f>
        <v>46037</v>
      </c>
      <c r="B22" s="346"/>
      <c r="C22" s="346"/>
      <c r="D22" s="346"/>
      <c r="E22" s="346"/>
      <c r="F22" s="346"/>
      <c r="G22" s="346"/>
      <c r="H22" s="346"/>
      <c r="I22" s="346"/>
      <c r="J22" s="346"/>
      <c r="K22" s="346"/>
      <c r="L22" s="346"/>
      <c r="M22" s="346"/>
      <c r="N22" s="346"/>
      <c r="O22" s="346"/>
      <c r="P22">
        <f t="shared" si="2"/>
        <v>0</v>
      </c>
      <c r="Q22" s="351">
        <f t="shared" si="1"/>
        <v>0</v>
      </c>
    </row>
    <row r="23" spans="1:17">
      <c r="A23" s="165">
        <f>'Conveyor Downtime (new)'!A23</f>
        <v>46038</v>
      </c>
      <c r="B23"/>
      <c r="C23"/>
      <c r="D23"/>
      <c r="E23"/>
      <c r="F23"/>
      <c r="G23"/>
      <c r="H23"/>
      <c r="I23"/>
      <c r="J23"/>
      <c r="K23"/>
      <c r="L23"/>
      <c r="M23"/>
      <c r="N23"/>
      <c r="O23"/>
      <c r="P23">
        <f t="shared" si="2"/>
        <v>0</v>
      </c>
      <c r="Q23" s="351">
        <f t="shared" si="1"/>
        <v>0</v>
      </c>
    </row>
    <row r="24" spans="1:17">
      <c r="A24" s="165">
        <f>'Conveyor Downtime (new)'!A24</f>
        <v>46038</v>
      </c>
      <c r="B24" s="346"/>
      <c r="C24" s="346"/>
      <c r="D24" s="346"/>
      <c r="E24" s="346"/>
      <c r="F24" s="346"/>
      <c r="G24" s="346"/>
      <c r="H24" s="346"/>
      <c r="I24" s="346"/>
      <c r="J24" s="346"/>
      <c r="K24" s="346"/>
      <c r="L24" s="346"/>
      <c r="M24" s="346"/>
      <c r="N24" s="346"/>
      <c r="O24" s="346"/>
      <c r="P24">
        <f t="shared" si="2"/>
        <v>0</v>
      </c>
      <c r="Q24" s="351">
        <f t="shared" si="1"/>
        <v>0</v>
      </c>
    </row>
    <row r="25" spans="1:17" ht="12" customHeight="1">
      <c r="A25" s="165">
        <f>'Conveyor Downtime (new)'!A25</f>
        <v>46041</v>
      </c>
      <c r="B25"/>
      <c r="C25"/>
      <c r="D25"/>
      <c r="E25"/>
      <c r="F25"/>
      <c r="G25"/>
      <c r="H25"/>
      <c r="I25"/>
      <c r="J25"/>
      <c r="K25"/>
      <c r="L25"/>
      <c r="M25"/>
      <c r="N25"/>
      <c r="O25"/>
      <c r="P25">
        <f t="shared" si="2"/>
        <v>0</v>
      </c>
      <c r="Q25" s="351">
        <f t="shared" si="1"/>
        <v>0</v>
      </c>
    </row>
    <row r="26" spans="1:17">
      <c r="A26" s="165">
        <f>'Conveyor Downtime (new)'!A26</f>
        <v>46041</v>
      </c>
      <c r="B26" s="346"/>
      <c r="C26" s="346"/>
      <c r="D26" s="346"/>
      <c r="E26" s="346"/>
      <c r="F26" s="346"/>
      <c r="G26" s="346"/>
      <c r="H26" s="346"/>
      <c r="I26" s="346"/>
      <c r="J26" s="346"/>
      <c r="K26" s="346"/>
      <c r="L26" s="346"/>
      <c r="M26" s="346"/>
      <c r="N26" s="346"/>
      <c r="O26" s="346"/>
      <c r="P26">
        <f t="shared" si="2"/>
        <v>0</v>
      </c>
      <c r="Q26" s="351">
        <f t="shared" si="1"/>
        <v>0</v>
      </c>
    </row>
    <row r="27" spans="1:17">
      <c r="A27" s="165">
        <f>'Conveyor Downtime (new)'!A27</f>
        <v>46042</v>
      </c>
      <c r="B27"/>
      <c r="C27"/>
      <c r="D27"/>
      <c r="E27"/>
      <c r="F27"/>
      <c r="G27"/>
      <c r="H27"/>
      <c r="I27"/>
      <c r="J27"/>
      <c r="K27"/>
      <c r="L27"/>
      <c r="M27"/>
      <c r="N27"/>
      <c r="O27"/>
      <c r="P27">
        <f t="shared" si="2"/>
        <v>0</v>
      </c>
      <c r="Q27" s="351">
        <f t="shared" si="1"/>
        <v>0</v>
      </c>
    </row>
    <row r="28" spans="1:17">
      <c r="A28" s="165">
        <f>'Conveyor Downtime (new)'!A28</f>
        <v>46042</v>
      </c>
      <c r="B28" s="346"/>
      <c r="C28" s="346"/>
      <c r="D28" s="346"/>
      <c r="E28" s="346"/>
      <c r="F28" s="346"/>
      <c r="G28" s="346"/>
      <c r="H28" s="346"/>
      <c r="I28" s="346"/>
      <c r="J28" s="346"/>
      <c r="K28" s="346"/>
      <c r="L28" s="346"/>
      <c r="M28" s="346"/>
      <c r="N28" s="346"/>
      <c r="O28" s="346"/>
      <c r="P28">
        <f t="shared" si="2"/>
        <v>0</v>
      </c>
      <c r="Q28" s="351">
        <f t="shared" si="1"/>
        <v>0</v>
      </c>
    </row>
    <row r="29" spans="1:17">
      <c r="A29" s="165">
        <f>'Conveyor Downtime (new)'!A29</f>
        <v>46043</v>
      </c>
      <c r="B29"/>
      <c r="C29"/>
      <c r="D29"/>
      <c r="E29"/>
      <c r="F29"/>
      <c r="G29"/>
      <c r="H29"/>
      <c r="I29"/>
      <c r="J29"/>
      <c r="K29"/>
      <c r="L29"/>
      <c r="M29"/>
      <c r="N29"/>
      <c r="O29"/>
      <c r="P29">
        <f t="shared" si="2"/>
        <v>0</v>
      </c>
      <c r="Q29" s="351">
        <f t="shared" si="1"/>
        <v>0</v>
      </c>
    </row>
    <row r="30" spans="1:17">
      <c r="A30" s="165">
        <f>'Conveyor Downtime (new)'!A30</f>
        <v>46043</v>
      </c>
      <c r="B30" s="346"/>
      <c r="C30" s="346"/>
      <c r="D30" s="346"/>
      <c r="E30" s="346"/>
      <c r="F30" s="346"/>
      <c r="G30" s="346"/>
      <c r="H30" s="346"/>
      <c r="I30" s="346"/>
      <c r="J30" s="346"/>
      <c r="K30" s="346"/>
      <c r="L30" s="346"/>
      <c r="M30" s="346"/>
      <c r="N30" s="346"/>
      <c r="O30" s="346"/>
      <c r="P30">
        <f t="shared" si="2"/>
        <v>0</v>
      </c>
      <c r="Q30" s="351">
        <f t="shared" si="1"/>
        <v>0</v>
      </c>
    </row>
    <row r="31" spans="1:17">
      <c r="A31" s="165">
        <f>'Conveyor Downtime (new)'!A31</f>
        <v>46043</v>
      </c>
      <c r="B31"/>
      <c r="C31"/>
      <c r="D31"/>
      <c r="E31"/>
      <c r="F31"/>
      <c r="G31"/>
      <c r="H31"/>
      <c r="I31"/>
      <c r="J31"/>
      <c r="K31"/>
      <c r="L31"/>
      <c r="M31"/>
      <c r="N31"/>
      <c r="O31"/>
      <c r="P31">
        <f t="shared" si="2"/>
        <v>0</v>
      </c>
      <c r="Q31" s="351">
        <f t="shared" si="1"/>
        <v>0</v>
      </c>
    </row>
    <row r="32" spans="1:17">
      <c r="A32" s="165">
        <f>'Conveyor Downtime (new)'!A32</f>
        <v>46043</v>
      </c>
      <c r="B32" s="346"/>
      <c r="C32" s="346"/>
      <c r="D32" s="346"/>
      <c r="E32" s="346"/>
      <c r="F32" s="346"/>
      <c r="G32" s="346"/>
      <c r="H32" s="346"/>
      <c r="I32" s="346"/>
      <c r="J32" s="346"/>
      <c r="K32" s="346"/>
      <c r="L32" s="346"/>
      <c r="M32" s="346"/>
      <c r="N32" s="346"/>
      <c r="O32" s="346"/>
      <c r="P32">
        <f t="shared" si="2"/>
        <v>0</v>
      </c>
      <c r="Q32" s="351">
        <f t="shared" si="1"/>
        <v>0</v>
      </c>
    </row>
    <row r="33" spans="1:17">
      <c r="A33" s="165">
        <f>'Conveyor Downtime (new)'!A33</f>
        <v>46044</v>
      </c>
      <c r="B33"/>
      <c r="C33"/>
      <c r="D33"/>
      <c r="E33"/>
      <c r="F33"/>
      <c r="G33"/>
      <c r="H33"/>
      <c r="I33"/>
      <c r="J33"/>
      <c r="K33"/>
      <c r="L33"/>
      <c r="M33"/>
      <c r="N33"/>
      <c r="O33"/>
      <c r="P33">
        <f t="shared" si="2"/>
        <v>0</v>
      </c>
      <c r="Q33" s="351">
        <f t="shared" si="1"/>
        <v>0</v>
      </c>
    </row>
    <row r="34" spans="1:17">
      <c r="A34" s="165">
        <f>'Conveyor Downtime (new)'!A34</f>
        <v>46045</v>
      </c>
      <c r="B34" s="346"/>
      <c r="C34" s="346"/>
      <c r="D34" s="346"/>
      <c r="E34" s="346"/>
      <c r="F34" s="346"/>
      <c r="G34" s="346"/>
      <c r="H34" s="346"/>
      <c r="I34" s="346"/>
      <c r="J34" s="346"/>
      <c r="K34" s="346"/>
      <c r="L34" s="346"/>
      <c r="M34" s="346"/>
      <c r="N34" s="346"/>
      <c r="O34" s="346"/>
      <c r="P34">
        <f t="shared" si="2"/>
        <v>0</v>
      </c>
      <c r="Q34" s="351">
        <f t="shared" si="1"/>
        <v>0</v>
      </c>
    </row>
    <row r="35" spans="1:17">
      <c r="A35" s="165">
        <f>'Conveyor Downtime (new)'!A35</f>
        <v>46045</v>
      </c>
      <c r="B35"/>
      <c r="C35"/>
      <c r="D35"/>
      <c r="E35"/>
      <c r="F35"/>
      <c r="G35"/>
      <c r="H35"/>
      <c r="I35"/>
      <c r="J35"/>
      <c r="K35"/>
      <c r="L35"/>
      <c r="M35"/>
      <c r="N35"/>
      <c r="O35"/>
      <c r="P35">
        <f t="shared" si="2"/>
        <v>0</v>
      </c>
      <c r="Q35" s="351">
        <f t="shared" si="1"/>
        <v>0</v>
      </c>
    </row>
    <row r="36" spans="1:17">
      <c r="A36" s="165">
        <f>'Conveyor Downtime (new)'!A36</f>
        <v>46045</v>
      </c>
      <c r="B36" s="346"/>
      <c r="C36" s="346"/>
      <c r="D36" s="346"/>
      <c r="E36" s="346"/>
      <c r="F36" s="346"/>
      <c r="G36" s="346"/>
      <c r="H36" s="346"/>
      <c r="I36" s="346"/>
      <c r="J36" s="346"/>
      <c r="K36" s="346"/>
      <c r="L36" s="346"/>
      <c r="M36" s="346"/>
      <c r="N36" s="346"/>
      <c r="O36" s="346"/>
      <c r="P36">
        <f t="shared" si="2"/>
        <v>0</v>
      </c>
      <c r="Q36" s="351">
        <f t="shared" si="1"/>
        <v>0</v>
      </c>
    </row>
    <row r="37" spans="1:17">
      <c r="A37" s="165">
        <f>'Conveyor Downtime (new)'!A37</f>
        <v>46045</v>
      </c>
      <c r="B37"/>
      <c r="C37"/>
      <c r="D37"/>
      <c r="E37"/>
      <c r="F37"/>
      <c r="G37"/>
      <c r="H37"/>
      <c r="I37"/>
      <c r="J37"/>
      <c r="K37"/>
      <c r="L37"/>
      <c r="M37"/>
      <c r="N37"/>
      <c r="O37"/>
      <c r="P37">
        <f t="shared" si="2"/>
        <v>0</v>
      </c>
      <c r="Q37" s="351">
        <f t="shared" si="1"/>
        <v>0</v>
      </c>
    </row>
    <row r="38" spans="1:17">
      <c r="A38" s="165">
        <f>'Conveyor Downtime (new)'!A38</f>
        <v>46048</v>
      </c>
      <c r="B38" s="346"/>
      <c r="C38" s="346"/>
      <c r="D38" s="346"/>
      <c r="E38" s="346"/>
      <c r="F38" s="346"/>
      <c r="G38" s="346"/>
      <c r="H38" s="346"/>
      <c r="I38" s="346"/>
      <c r="J38" s="346"/>
      <c r="K38" s="346"/>
      <c r="L38" s="346"/>
      <c r="M38" s="346"/>
      <c r="N38" s="346"/>
      <c r="O38" s="346"/>
      <c r="P38">
        <f t="shared" si="2"/>
        <v>0</v>
      </c>
      <c r="Q38" s="351">
        <f t="shared" si="1"/>
        <v>0</v>
      </c>
    </row>
    <row r="39" spans="1:17">
      <c r="A39" s="165">
        <f>'Conveyor Downtime (new)'!A39</f>
        <v>46048</v>
      </c>
      <c r="B39"/>
      <c r="C39"/>
      <c r="D39"/>
      <c r="E39"/>
      <c r="F39"/>
      <c r="G39"/>
      <c r="H39"/>
      <c r="I39"/>
      <c r="J39"/>
      <c r="K39"/>
      <c r="L39"/>
      <c r="M39"/>
      <c r="N39"/>
      <c r="O39"/>
      <c r="P39">
        <f t="shared" si="2"/>
        <v>0</v>
      </c>
      <c r="Q39" s="351">
        <f t="shared" si="1"/>
        <v>0</v>
      </c>
    </row>
    <row r="40" spans="1:17">
      <c r="A40" s="165">
        <f>'Conveyor Downtime (new)'!A40</f>
        <v>46049</v>
      </c>
      <c r="B40" s="346"/>
      <c r="C40" s="346"/>
      <c r="D40" s="346"/>
      <c r="E40" s="346"/>
      <c r="F40" s="346"/>
      <c r="G40" s="346"/>
      <c r="H40" s="346"/>
      <c r="I40" s="346"/>
      <c r="J40" s="346"/>
      <c r="K40" s="346"/>
      <c r="L40" s="346"/>
      <c r="M40" s="346"/>
      <c r="N40" s="346"/>
      <c r="O40" s="346"/>
      <c r="P40">
        <f t="shared" si="2"/>
        <v>0</v>
      </c>
      <c r="Q40" s="351">
        <f t="shared" si="1"/>
        <v>0</v>
      </c>
    </row>
    <row r="41" spans="1:17">
      <c r="A41" s="165">
        <f>'Conveyor Downtime (new)'!A41</f>
        <v>46049</v>
      </c>
      <c r="B41"/>
      <c r="C41"/>
      <c r="D41"/>
      <c r="E41"/>
      <c r="F41"/>
      <c r="G41"/>
      <c r="H41"/>
      <c r="I41"/>
      <c r="J41"/>
      <c r="K41"/>
      <c r="L41"/>
      <c r="M41"/>
      <c r="N41"/>
      <c r="O41"/>
      <c r="P41">
        <f t="shared" si="2"/>
        <v>0</v>
      </c>
      <c r="Q41" s="351">
        <f t="shared" si="1"/>
        <v>0</v>
      </c>
    </row>
    <row r="42" spans="1:17">
      <c r="A42" s="165">
        <f>'Conveyor Downtime (new)'!A42</f>
        <v>46050</v>
      </c>
      <c r="B42" s="346"/>
      <c r="C42" s="346"/>
      <c r="D42" s="346"/>
      <c r="E42" s="346"/>
      <c r="F42" s="346"/>
      <c r="G42" s="346"/>
      <c r="H42" s="346"/>
      <c r="I42" s="346"/>
      <c r="J42" s="346"/>
      <c r="K42" s="346"/>
      <c r="L42" s="346"/>
      <c r="M42" s="346"/>
      <c r="N42" s="346"/>
      <c r="O42" s="346"/>
      <c r="P42">
        <f t="shared" si="2"/>
        <v>0</v>
      </c>
      <c r="Q42" s="351">
        <f t="shared" si="1"/>
        <v>0</v>
      </c>
    </row>
    <row r="43" spans="1:17">
      <c r="A43" s="165">
        <f>'Conveyor Downtime (new)'!A43</f>
        <v>46050</v>
      </c>
      <c r="B43"/>
      <c r="C43"/>
      <c r="D43"/>
      <c r="E43"/>
      <c r="F43"/>
      <c r="G43"/>
      <c r="H43"/>
      <c r="I43"/>
      <c r="J43"/>
      <c r="K43"/>
      <c r="L43"/>
      <c r="M43"/>
      <c r="N43"/>
      <c r="O43">
        <f>2</f>
        <v>2</v>
      </c>
      <c r="P43">
        <f t="shared" si="2"/>
        <v>2</v>
      </c>
      <c r="Q43" s="351">
        <f t="shared" si="1"/>
        <v>1</v>
      </c>
    </row>
    <row r="44" spans="1:17">
      <c r="A44" s="165">
        <f>'Conveyor Downtime (new)'!A44</f>
        <v>46050</v>
      </c>
      <c r="B44" s="346"/>
      <c r="C44" s="346"/>
      <c r="D44" s="346"/>
      <c r="E44" s="346"/>
      <c r="F44" s="346"/>
      <c r="G44" s="346"/>
      <c r="H44" s="346"/>
      <c r="I44" s="346"/>
      <c r="J44" s="346"/>
      <c r="K44" s="346"/>
      <c r="L44" s="346"/>
      <c r="M44" s="346"/>
      <c r="N44" s="346"/>
      <c r="O44" s="346"/>
      <c r="P44">
        <f t="shared" si="2"/>
        <v>0</v>
      </c>
      <c r="Q44" s="351">
        <f t="shared" si="1"/>
        <v>0</v>
      </c>
    </row>
    <row r="45" spans="1:17">
      <c r="A45" s="165">
        <f>'Conveyor Downtime (new)'!A45</f>
        <v>46051</v>
      </c>
      <c r="B45"/>
      <c r="C45"/>
      <c r="D45"/>
      <c r="E45"/>
      <c r="F45"/>
      <c r="G45"/>
      <c r="H45"/>
      <c r="I45"/>
      <c r="J45"/>
      <c r="K45"/>
      <c r="L45"/>
      <c r="M45"/>
      <c r="N45"/>
      <c r="O45"/>
      <c r="P45">
        <f t="shared" si="2"/>
        <v>0</v>
      </c>
      <c r="Q45" s="351">
        <f t="shared" si="1"/>
        <v>0</v>
      </c>
    </row>
    <row r="46" spans="1:17">
      <c r="A46" s="165">
        <f>'Conveyor Downtime (new)'!A46</f>
        <v>46051</v>
      </c>
      <c r="B46" s="346"/>
      <c r="C46" s="346"/>
      <c r="D46" s="346"/>
      <c r="E46" s="346"/>
      <c r="F46" s="346"/>
      <c r="G46" s="346"/>
      <c r="H46" s="346"/>
      <c r="I46" s="346"/>
      <c r="J46" s="346"/>
      <c r="K46" s="346"/>
      <c r="L46" s="346"/>
      <c r="M46" s="346"/>
      <c r="N46" s="346"/>
      <c r="O46" s="346"/>
      <c r="P46">
        <f t="shared" si="2"/>
        <v>0</v>
      </c>
      <c r="Q46" s="351">
        <f t="shared" si="1"/>
        <v>0</v>
      </c>
    </row>
    <row r="47" spans="1:17">
      <c r="A47" s="165">
        <f>'Conveyor Downtime (new)'!A47</f>
        <v>46051</v>
      </c>
      <c r="B47"/>
      <c r="C47"/>
      <c r="D47"/>
      <c r="E47"/>
      <c r="F47"/>
      <c r="G47"/>
      <c r="H47"/>
      <c r="I47"/>
      <c r="J47"/>
      <c r="K47"/>
      <c r="L47"/>
      <c r="M47"/>
      <c r="N47"/>
      <c r="O47"/>
      <c r="P47">
        <f t="shared" si="2"/>
        <v>0</v>
      </c>
      <c r="Q47" s="351">
        <f t="shared" si="1"/>
        <v>0</v>
      </c>
    </row>
    <row r="48" spans="1:17">
      <c r="A48" s="165">
        <f>'Conveyor Downtime (new)'!A48</f>
        <v>46051</v>
      </c>
      <c r="B48" s="346"/>
      <c r="C48" s="346"/>
      <c r="D48" s="346"/>
      <c r="E48" s="346"/>
      <c r="F48" s="346"/>
      <c r="G48" s="346"/>
      <c r="H48" s="346"/>
      <c r="I48" s="346"/>
      <c r="J48" s="346"/>
      <c r="K48" s="346"/>
      <c r="L48" s="346"/>
      <c r="M48" s="346"/>
      <c r="N48" s="346"/>
      <c r="O48" s="346"/>
      <c r="P48">
        <f t="shared" si="2"/>
        <v>0</v>
      </c>
      <c r="Q48" s="351">
        <f t="shared" si="1"/>
        <v>0</v>
      </c>
    </row>
    <row r="49" spans="1:17">
      <c r="A49" s="165">
        <f>'Conveyor Downtime (new)'!A49</f>
        <v>46052</v>
      </c>
      <c r="B49"/>
      <c r="C49"/>
      <c r="D49"/>
      <c r="E49"/>
      <c r="F49"/>
      <c r="G49"/>
      <c r="H49"/>
      <c r="I49"/>
      <c r="J49"/>
      <c r="K49"/>
      <c r="L49"/>
      <c r="M49"/>
      <c r="N49"/>
      <c r="O49"/>
      <c r="P49">
        <f t="shared" si="2"/>
        <v>0</v>
      </c>
      <c r="Q49" s="351">
        <f t="shared" si="1"/>
        <v>0</v>
      </c>
    </row>
    <row r="50" spans="1:17">
      <c r="A50" s="165">
        <f>'Conveyor Downtime (new)'!A50</f>
        <v>46052</v>
      </c>
      <c r="B50"/>
      <c r="C50"/>
      <c r="D50"/>
      <c r="E50"/>
      <c r="F50"/>
      <c r="G50"/>
      <c r="H50"/>
      <c r="I50"/>
      <c r="J50"/>
      <c r="K50"/>
      <c r="L50"/>
      <c r="M50"/>
      <c r="N50"/>
      <c r="O50"/>
      <c r="P50">
        <f t="shared" si="2"/>
        <v>0</v>
      </c>
      <c r="Q50" s="351">
        <f t="shared" si="1"/>
        <v>0</v>
      </c>
    </row>
    <row r="51" spans="1:17">
      <c r="A51" s="165"/>
      <c r="B51"/>
      <c r="C51"/>
      <c r="D51"/>
      <c r="E51"/>
      <c r="F51"/>
      <c r="G51"/>
      <c r="H51"/>
      <c r="I51"/>
      <c r="J51"/>
      <c r="K51"/>
      <c r="L51"/>
      <c r="M51"/>
      <c r="N51"/>
      <c r="O51"/>
      <c r="P51"/>
      <c r="Q51" s="351"/>
    </row>
    <row r="52" spans="1:17" ht="15">
      <c r="A52" s="347" t="s">
        <v>113</v>
      </c>
      <c r="B52" s="347">
        <f>SUM(B6:B51)</f>
        <v>0</v>
      </c>
      <c r="C52" s="347">
        <f t="shared" ref="C52:P52" si="3">SUM(C6:C51)</f>
        <v>0</v>
      </c>
      <c r="D52" s="347">
        <f t="shared" si="3"/>
        <v>0</v>
      </c>
      <c r="E52" s="347">
        <f t="shared" si="3"/>
        <v>0</v>
      </c>
      <c r="F52" s="347">
        <f t="shared" si="3"/>
        <v>0</v>
      </c>
      <c r="G52" s="347">
        <f t="shared" si="3"/>
        <v>0</v>
      </c>
      <c r="H52" s="347">
        <f t="shared" si="3"/>
        <v>0</v>
      </c>
      <c r="I52" s="347">
        <f t="shared" si="3"/>
        <v>0</v>
      </c>
      <c r="J52" s="347">
        <f t="shared" si="3"/>
        <v>0</v>
      </c>
      <c r="K52" s="347">
        <f t="shared" si="3"/>
        <v>0</v>
      </c>
      <c r="L52" s="347">
        <f t="shared" si="3"/>
        <v>0</v>
      </c>
      <c r="M52" s="347">
        <f t="shared" si="3"/>
        <v>0</v>
      </c>
      <c r="N52" s="347">
        <f t="shared" si="3"/>
        <v>0</v>
      </c>
      <c r="O52" s="347">
        <f t="shared" si="3"/>
        <v>2</v>
      </c>
      <c r="P52" s="347">
        <f t="shared" si="3"/>
        <v>2</v>
      </c>
      <c r="Q52" s="352"/>
    </row>
    <row r="53" spans="1:17" ht="15">
      <c r="A53" s="348" t="s">
        <v>174</v>
      </c>
      <c r="B53" s="348">
        <f t="shared" ref="B53:O53" si="4">B52/$P52</f>
        <v>0</v>
      </c>
      <c r="C53" s="348">
        <f t="shared" si="4"/>
        <v>0</v>
      </c>
      <c r="D53" s="348">
        <f t="shared" si="4"/>
        <v>0</v>
      </c>
      <c r="E53" s="348">
        <f t="shared" si="4"/>
        <v>0</v>
      </c>
      <c r="F53" s="348">
        <f t="shared" si="4"/>
        <v>0</v>
      </c>
      <c r="G53" s="348">
        <f t="shared" si="4"/>
        <v>0</v>
      </c>
      <c r="H53" s="348">
        <f t="shared" si="4"/>
        <v>0</v>
      </c>
      <c r="I53" s="348">
        <f t="shared" si="4"/>
        <v>0</v>
      </c>
      <c r="J53" s="348">
        <f t="shared" si="4"/>
        <v>0</v>
      </c>
      <c r="K53" s="348">
        <f t="shared" si="4"/>
        <v>0</v>
      </c>
      <c r="L53" s="348">
        <f t="shared" si="4"/>
        <v>0</v>
      </c>
      <c r="M53" s="348">
        <f t="shared" si="4"/>
        <v>0</v>
      </c>
      <c r="N53" s="348">
        <f t="shared" si="4"/>
        <v>0</v>
      </c>
      <c r="O53" s="348">
        <f t="shared" si="4"/>
        <v>1</v>
      </c>
      <c r="P53"/>
      <c r="Q53" s="351"/>
    </row>
    <row r="56" spans="1:17">
      <c r="A56" s="165">
        <f>'Conveyor Downtime (new)'!A67</f>
        <v>46055</v>
      </c>
      <c r="B56" s="346"/>
      <c r="C56" s="346"/>
      <c r="D56" s="346"/>
      <c r="E56" s="346"/>
      <c r="F56" s="346"/>
      <c r="G56" s="346"/>
      <c r="H56" s="346"/>
      <c r="I56" s="346"/>
      <c r="J56" s="346"/>
      <c r="K56" s="346"/>
      <c r="L56" s="346"/>
      <c r="M56" s="346"/>
      <c r="N56" s="346"/>
      <c r="O56" s="346"/>
      <c r="P56">
        <f t="shared" ref="P56:P87" si="5">SUM(B56:O56)</f>
        <v>0</v>
      </c>
      <c r="Q56" s="351">
        <f t="shared" ref="Q56:Q106" si="6">P56/$P$107</f>
        <v>0</v>
      </c>
    </row>
    <row r="57" spans="1:17">
      <c r="A57" s="165">
        <f>'Conveyor Downtime (new)'!A68</f>
        <v>46055</v>
      </c>
      <c r="B57"/>
      <c r="C57"/>
      <c r="D57"/>
      <c r="E57"/>
      <c r="F57"/>
      <c r="G57"/>
      <c r="H57"/>
      <c r="I57"/>
      <c r="J57"/>
      <c r="K57"/>
      <c r="L57"/>
      <c r="M57"/>
      <c r="N57"/>
      <c r="O57"/>
      <c r="P57">
        <f t="shared" si="5"/>
        <v>0</v>
      </c>
      <c r="Q57" s="351">
        <f t="shared" si="6"/>
        <v>0</v>
      </c>
    </row>
    <row r="58" spans="1:17">
      <c r="A58" s="165">
        <f>'Conveyor Downtime (new)'!A69</f>
        <v>46056</v>
      </c>
      <c r="B58" s="346"/>
      <c r="C58" s="346"/>
      <c r="D58" s="346"/>
      <c r="E58" s="346"/>
      <c r="F58" s="346"/>
      <c r="G58" s="346"/>
      <c r="H58" s="346"/>
      <c r="I58" s="346"/>
      <c r="J58" s="346"/>
      <c r="K58" s="346"/>
      <c r="L58" s="346"/>
      <c r="M58" s="346"/>
      <c r="N58" s="346"/>
      <c r="O58" s="346"/>
      <c r="P58">
        <f t="shared" si="5"/>
        <v>0</v>
      </c>
      <c r="Q58" s="351">
        <f t="shared" si="6"/>
        <v>0</v>
      </c>
    </row>
    <row r="59" spans="1:17">
      <c r="A59" s="165">
        <f>'Conveyor Downtime (new)'!A70</f>
        <v>46057</v>
      </c>
      <c r="B59">
        <f>5</f>
        <v>5</v>
      </c>
      <c r="C59"/>
      <c r="D59"/>
      <c r="E59"/>
      <c r="F59"/>
      <c r="G59"/>
      <c r="H59"/>
      <c r="I59"/>
      <c r="J59"/>
      <c r="K59"/>
      <c r="L59"/>
      <c r="M59"/>
      <c r="N59"/>
      <c r="O59">
        <f>5+8+6+6+22+25+10+2</f>
        <v>84</v>
      </c>
      <c r="P59">
        <f t="shared" si="5"/>
        <v>89</v>
      </c>
      <c r="Q59" s="351">
        <f t="shared" si="6"/>
        <v>0.4494949494949495</v>
      </c>
    </row>
    <row r="60" spans="1:17">
      <c r="A60" s="165">
        <f>'Conveyor Downtime (new)'!A71</f>
        <v>46057</v>
      </c>
      <c r="B60" s="346"/>
      <c r="C60" s="346"/>
      <c r="D60" s="346"/>
      <c r="E60" s="346"/>
      <c r="F60" s="346"/>
      <c r="G60" s="346"/>
      <c r="H60" s="346"/>
      <c r="I60" s="346"/>
      <c r="J60" s="346"/>
      <c r="K60" s="346"/>
      <c r="L60" s="346">
        <f>14+2+6</f>
        <v>22</v>
      </c>
      <c r="M60" s="346"/>
      <c r="N60" s="346"/>
      <c r="O60" s="346">
        <f>13+7+45+3+10</f>
        <v>78</v>
      </c>
      <c r="P60">
        <f t="shared" si="5"/>
        <v>100</v>
      </c>
      <c r="Q60" s="351">
        <f t="shared" si="6"/>
        <v>0.50505050505050508</v>
      </c>
    </row>
    <row r="61" spans="1:17">
      <c r="A61" s="165">
        <f>'Conveyor Downtime (new)'!A72</f>
        <v>46058</v>
      </c>
      <c r="B61">
        <f>9</f>
        <v>9</v>
      </c>
      <c r="C61"/>
      <c r="D61"/>
      <c r="E61"/>
      <c r="F61"/>
      <c r="G61"/>
      <c r="H61"/>
      <c r="I61"/>
      <c r="J61"/>
      <c r="K61"/>
      <c r="L61"/>
      <c r="M61"/>
      <c r="N61"/>
      <c r="O61"/>
      <c r="P61">
        <f t="shared" si="5"/>
        <v>9</v>
      </c>
      <c r="Q61" s="351">
        <f t="shared" si="6"/>
        <v>4.5454545454545456E-2</v>
      </c>
    </row>
    <row r="62" spans="1:17">
      <c r="A62" s="165">
        <f>'Conveyor Downtime (new)'!A73</f>
        <v>46058</v>
      </c>
      <c r="B62" s="346"/>
      <c r="C62" s="346"/>
      <c r="D62" s="346"/>
      <c r="E62" s="346"/>
      <c r="F62" s="346"/>
      <c r="G62" s="346"/>
      <c r="H62" s="346"/>
      <c r="I62" s="346"/>
      <c r="J62" s="346"/>
      <c r="K62" s="346"/>
      <c r="L62" s="346"/>
      <c r="M62" s="346"/>
      <c r="N62" s="346"/>
      <c r="O62" s="346"/>
      <c r="P62">
        <f t="shared" si="5"/>
        <v>0</v>
      </c>
      <c r="Q62" s="351">
        <f t="shared" si="6"/>
        <v>0</v>
      </c>
    </row>
    <row r="63" spans="1:17">
      <c r="A63" s="165">
        <f>'Conveyor Downtime (new)'!A74</f>
        <v>46058</v>
      </c>
      <c r="B63"/>
      <c r="C63"/>
      <c r="D63"/>
      <c r="E63"/>
      <c r="F63"/>
      <c r="G63"/>
      <c r="H63"/>
      <c r="I63"/>
      <c r="J63"/>
      <c r="K63"/>
      <c r="L63"/>
      <c r="M63"/>
      <c r="N63"/>
      <c r="O63"/>
      <c r="P63">
        <f t="shared" si="5"/>
        <v>0</v>
      </c>
      <c r="Q63" s="351">
        <f t="shared" si="6"/>
        <v>0</v>
      </c>
    </row>
    <row r="64" spans="1:17">
      <c r="A64" s="165">
        <f>'Conveyor Downtime (new)'!A75</f>
        <v>46059</v>
      </c>
      <c r="B64" s="346"/>
      <c r="C64" s="346"/>
      <c r="D64" s="346"/>
      <c r="E64" s="346"/>
      <c r="F64" s="346"/>
      <c r="G64" s="346"/>
      <c r="H64" s="346"/>
      <c r="I64" s="346"/>
      <c r="J64" s="346"/>
      <c r="K64" s="346"/>
      <c r="L64" s="346"/>
      <c r="M64" s="346"/>
      <c r="N64" s="346"/>
      <c r="O64" s="346"/>
      <c r="P64">
        <f t="shared" si="5"/>
        <v>0</v>
      </c>
      <c r="Q64" s="351">
        <f t="shared" si="6"/>
        <v>0</v>
      </c>
    </row>
    <row r="65" spans="1:17">
      <c r="A65" s="165">
        <f>'Conveyor Downtime (new)'!A76</f>
        <v>46059</v>
      </c>
      <c r="B65"/>
      <c r="C65"/>
      <c r="D65"/>
      <c r="E65"/>
      <c r="F65"/>
      <c r="G65"/>
      <c r="H65"/>
      <c r="I65"/>
      <c r="J65"/>
      <c r="K65"/>
      <c r="L65"/>
      <c r="M65"/>
      <c r="N65"/>
      <c r="O65"/>
      <c r="P65">
        <f t="shared" si="5"/>
        <v>0</v>
      </c>
      <c r="Q65" s="351">
        <f t="shared" si="6"/>
        <v>0</v>
      </c>
    </row>
    <row r="66" spans="1:17">
      <c r="A66" s="165">
        <f>'Conveyor Downtime (new)'!A77</f>
        <v>46062</v>
      </c>
      <c r="B66" s="346"/>
      <c r="C66" s="346"/>
      <c r="D66" s="346"/>
      <c r="E66" s="346"/>
      <c r="F66" s="346"/>
      <c r="G66" s="346"/>
      <c r="H66" s="346"/>
      <c r="I66" s="346"/>
      <c r="J66" s="346"/>
      <c r="K66" s="346"/>
      <c r="L66" s="346"/>
      <c r="M66" s="346"/>
      <c r="N66" s="346"/>
      <c r="O66" s="346"/>
      <c r="P66">
        <f t="shared" si="5"/>
        <v>0</v>
      </c>
      <c r="Q66" s="351">
        <f t="shared" si="6"/>
        <v>0</v>
      </c>
    </row>
    <row r="67" spans="1:17">
      <c r="A67" s="165">
        <f>'Conveyor Downtime (new)'!A78</f>
        <v>46062</v>
      </c>
      <c r="B67"/>
      <c r="C67"/>
      <c r="D67"/>
      <c r="E67"/>
      <c r="F67"/>
      <c r="G67"/>
      <c r="H67"/>
      <c r="I67"/>
      <c r="J67"/>
      <c r="K67"/>
      <c r="L67"/>
      <c r="M67"/>
      <c r="N67"/>
      <c r="O67"/>
      <c r="P67">
        <f t="shared" si="5"/>
        <v>0</v>
      </c>
      <c r="Q67" s="351">
        <f t="shared" si="6"/>
        <v>0</v>
      </c>
    </row>
    <row r="68" spans="1:17">
      <c r="A68" s="165">
        <f>'Conveyor Downtime (new)'!A79</f>
        <v>46062</v>
      </c>
      <c r="B68" s="346"/>
      <c r="C68" s="346"/>
      <c r="D68" s="346"/>
      <c r="E68" s="346"/>
      <c r="F68" s="346"/>
      <c r="G68" s="346"/>
      <c r="H68" s="346"/>
      <c r="I68" s="346"/>
      <c r="J68" s="346"/>
      <c r="K68" s="346"/>
      <c r="L68" s="346"/>
      <c r="M68" s="346"/>
      <c r="N68" s="346"/>
      <c r="O68" s="346"/>
      <c r="P68">
        <f t="shared" si="5"/>
        <v>0</v>
      </c>
      <c r="Q68" s="351">
        <f t="shared" si="6"/>
        <v>0</v>
      </c>
    </row>
    <row r="69" spans="1:17">
      <c r="A69" s="165">
        <f>'Conveyor Downtime (new)'!A80</f>
        <v>46063</v>
      </c>
      <c r="B69"/>
      <c r="C69"/>
      <c r="D69"/>
      <c r="E69"/>
      <c r="F69"/>
      <c r="G69"/>
      <c r="H69"/>
      <c r="I69"/>
      <c r="J69"/>
      <c r="K69"/>
      <c r="L69"/>
      <c r="M69"/>
      <c r="N69"/>
      <c r="O69"/>
      <c r="P69">
        <f t="shared" si="5"/>
        <v>0</v>
      </c>
      <c r="Q69" s="351">
        <f t="shared" si="6"/>
        <v>0</v>
      </c>
    </row>
    <row r="70" spans="1:17">
      <c r="A70" s="165">
        <f>'Conveyor Downtime (new)'!A81</f>
        <v>46063</v>
      </c>
      <c r="B70" s="346"/>
      <c r="C70" s="346"/>
      <c r="D70" s="346"/>
      <c r="E70" s="346"/>
      <c r="F70" s="346"/>
      <c r="G70" s="346"/>
      <c r="H70" s="346"/>
      <c r="I70" s="346"/>
      <c r="J70" s="346"/>
      <c r="K70" s="346"/>
      <c r="L70" s="346"/>
      <c r="M70" s="346"/>
      <c r="N70" s="346"/>
      <c r="O70" s="346"/>
      <c r="P70">
        <f t="shared" si="5"/>
        <v>0</v>
      </c>
      <c r="Q70" s="351">
        <f t="shared" si="6"/>
        <v>0</v>
      </c>
    </row>
    <row r="71" spans="1:17">
      <c r="A71" s="165">
        <f>'Conveyor Downtime (new)'!A82</f>
        <v>46063</v>
      </c>
      <c r="B71"/>
      <c r="C71"/>
      <c r="D71"/>
      <c r="E71"/>
      <c r="F71"/>
      <c r="G71"/>
      <c r="H71"/>
      <c r="I71"/>
      <c r="J71"/>
      <c r="K71"/>
      <c r="L71"/>
      <c r="M71"/>
      <c r="N71"/>
      <c r="O71"/>
      <c r="P71">
        <f t="shared" si="5"/>
        <v>0</v>
      </c>
      <c r="Q71" s="351">
        <f t="shared" si="6"/>
        <v>0</v>
      </c>
    </row>
    <row r="72" spans="1:17">
      <c r="A72" s="165">
        <f>'Conveyor Downtime (new)'!A83</f>
        <v>46064</v>
      </c>
      <c r="B72" s="346"/>
      <c r="C72" s="346"/>
      <c r="D72" s="346"/>
      <c r="E72" s="346"/>
      <c r="F72" s="346"/>
      <c r="G72" s="346"/>
      <c r="H72" s="346"/>
      <c r="I72" s="346"/>
      <c r="J72" s="346"/>
      <c r="K72" s="346"/>
      <c r="L72" s="346"/>
      <c r="M72" s="346"/>
      <c r="N72" s="346"/>
      <c r="O72" s="346"/>
      <c r="P72">
        <f t="shared" si="5"/>
        <v>0</v>
      </c>
      <c r="Q72" s="351">
        <f t="shared" si="6"/>
        <v>0</v>
      </c>
    </row>
    <row r="73" spans="1:17">
      <c r="A73" s="165">
        <f>'Conveyor Downtime (new)'!A84</f>
        <v>46064</v>
      </c>
      <c r="B73"/>
      <c r="C73"/>
      <c r="D73"/>
      <c r="E73"/>
      <c r="F73"/>
      <c r="G73"/>
      <c r="H73"/>
      <c r="I73"/>
      <c r="J73"/>
      <c r="K73"/>
      <c r="L73"/>
      <c r="M73"/>
      <c r="N73"/>
      <c r="O73"/>
      <c r="P73">
        <f t="shared" si="5"/>
        <v>0</v>
      </c>
      <c r="Q73" s="351">
        <f t="shared" si="6"/>
        <v>0</v>
      </c>
    </row>
    <row r="74" spans="1:17">
      <c r="A74" s="165">
        <f>'Conveyor Downtime (new)'!A85</f>
        <v>46065</v>
      </c>
      <c r="B74" s="346"/>
      <c r="C74" s="346"/>
      <c r="D74" s="346"/>
      <c r="E74" s="346"/>
      <c r="F74" s="346"/>
      <c r="G74" s="346"/>
      <c r="H74" s="346"/>
      <c r="I74" s="346"/>
      <c r="J74" s="346"/>
      <c r="K74" s="346"/>
      <c r="L74" s="346"/>
      <c r="M74" s="346"/>
      <c r="N74" s="346"/>
      <c r="O74" s="346"/>
      <c r="P74">
        <f t="shared" si="5"/>
        <v>0</v>
      </c>
      <c r="Q74" s="351">
        <f t="shared" si="6"/>
        <v>0</v>
      </c>
    </row>
    <row r="75" spans="1:17">
      <c r="A75" s="165">
        <f>'Conveyor Downtime (new)'!A86</f>
        <v>46066</v>
      </c>
      <c r="B75"/>
      <c r="C75"/>
      <c r="D75"/>
      <c r="E75"/>
      <c r="F75"/>
      <c r="G75"/>
      <c r="H75"/>
      <c r="I75"/>
      <c r="J75"/>
      <c r="K75"/>
      <c r="L75"/>
      <c r="M75"/>
      <c r="N75"/>
      <c r="O75"/>
      <c r="P75">
        <f t="shared" si="5"/>
        <v>0</v>
      </c>
      <c r="Q75" s="351">
        <f t="shared" si="6"/>
        <v>0</v>
      </c>
    </row>
    <row r="76" spans="1:17">
      <c r="A76" s="165">
        <f>'Conveyor Downtime (new)'!A87</f>
        <v>46066</v>
      </c>
      <c r="B76" s="346"/>
      <c r="C76" s="346"/>
      <c r="D76" s="346"/>
      <c r="E76" s="346"/>
      <c r="F76" s="346"/>
      <c r="G76" s="346"/>
      <c r="H76" s="346"/>
      <c r="I76" s="346"/>
      <c r="J76" s="346"/>
      <c r="K76" s="346"/>
      <c r="L76" s="346"/>
      <c r="M76" s="346"/>
      <c r="N76" s="346"/>
      <c r="O76" s="346"/>
      <c r="P76">
        <f t="shared" si="5"/>
        <v>0</v>
      </c>
      <c r="Q76" s="351">
        <f t="shared" si="6"/>
        <v>0</v>
      </c>
    </row>
    <row r="77" spans="1:17">
      <c r="A77" s="165">
        <f>'Conveyor Downtime (new)'!A88</f>
        <v>46069</v>
      </c>
      <c r="B77"/>
      <c r="C77"/>
      <c r="D77"/>
      <c r="E77"/>
      <c r="F77"/>
      <c r="G77"/>
      <c r="H77"/>
      <c r="I77"/>
      <c r="J77"/>
      <c r="K77"/>
      <c r="L77"/>
      <c r="M77"/>
      <c r="N77"/>
      <c r="O77"/>
      <c r="P77">
        <f t="shared" si="5"/>
        <v>0</v>
      </c>
      <c r="Q77" s="351">
        <f t="shared" si="6"/>
        <v>0</v>
      </c>
    </row>
    <row r="78" spans="1:17">
      <c r="A78" s="165">
        <f>'Conveyor Downtime (new)'!A89</f>
        <v>46070</v>
      </c>
      <c r="B78" s="346"/>
      <c r="C78" s="346"/>
      <c r="D78" s="346"/>
      <c r="E78" s="346"/>
      <c r="F78" s="346"/>
      <c r="G78" s="346"/>
      <c r="H78" s="346"/>
      <c r="I78" s="346"/>
      <c r="J78" s="346"/>
      <c r="K78" s="346"/>
      <c r="L78" s="346"/>
      <c r="M78" s="346"/>
      <c r="N78" s="346"/>
      <c r="O78" s="346"/>
      <c r="P78">
        <f t="shared" si="5"/>
        <v>0</v>
      </c>
      <c r="Q78" s="351">
        <f t="shared" si="6"/>
        <v>0</v>
      </c>
    </row>
    <row r="79" spans="1:17">
      <c r="A79" s="165">
        <f>'Conveyor Downtime (new)'!A90</f>
        <v>46071</v>
      </c>
      <c r="B79"/>
      <c r="C79"/>
      <c r="D79"/>
      <c r="E79"/>
      <c r="F79"/>
      <c r="G79"/>
      <c r="H79"/>
      <c r="I79"/>
      <c r="J79"/>
      <c r="K79"/>
      <c r="L79"/>
      <c r="M79"/>
      <c r="N79"/>
      <c r="O79"/>
      <c r="P79">
        <f t="shared" si="5"/>
        <v>0</v>
      </c>
      <c r="Q79" s="351">
        <f t="shared" si="6"/>
        <v>0</v>
      </c>
    </row>
    <row r="80" spans="1:17">
      <c r="A80" s="165">
        <f>'Conveyor Downtime (new)'!A91</f>
        <v>46072</v>
      </c>
      <c r="B80" s="346"/>
      <c r="C80" s="346"/>
      <c r="D80" s="346"/>
      <c r="E80" s="346"/>
      <c r="F80" s="346"/>
      <c r="G80" s="346"/>
      <c r="H80" s="346"/>
      <c r="I80" s="346"/>
      <c r="J80" s="346"/>
      <c r="K80" s="346"/>
      <c r="L80" s="346"/>
      <c r="M80" s="346"/>
      <c r="N80" s="346"/>
      <c r="O80" s="346"/>
      <c r="P80">
        <f t="shared" si="5"/>
        <v>0</v>
      </c>
      <c r="Q80" s="351">
        <f t="shared" si="6"/>
        <v>0</v>
      </c>
    </row>
    <row r="81" spans="1:17">
      <c r="A81" s="165">
        <f>'Conveyor Downtime (new)'!A92</f>
        <v>46072</v>
      </c>
      <c r="B81"/>
      <c r="C81"/>
      <c r="D81"/>
      <c r="E81"/>
      <c r="F81"/>
      <c r="G81"/>
      <c r="H81"/>
      <c r="I81"/>
      <c r="J81"/>
      <c r="K81"/>
      <c r="L81"/>
      <c r="M81"/>
      <c r="N81"/>
      <c r="O81"/>
      <c r="P81">
        <f t="shared" si="5"/>
        <v>0</v>
      </c>
      <c r="Q81" s="351">
        <f t="shared" si="6"/>
        <v>0</v>
      </c>
    </row>
    <row r="82" spans="1:17">
      <c r="A82" s="165">
        <f>'Conveyor Downtime (new)'!A93</f>
        <v>46072</v>
      </c>
      <c r="B82" s="346"/>
      <c r="C82" s="346"/>
      <c r="D82" s="346"/>
      <c r="E82" s="346"/>
      <c r="F82" s="346"/>
      <c r="G82" s="346"/>
      <c r="H82" s="346"/>
      <c r="I82" s="346"/>
      <c r="J82" s="346"/>
      <c r="K82" s="346"/>
      <c r="L82" s="346"/>
      <c r="M82" s="346"/>
      <c r="N82" s="346"/>
      <c r="O82" s="346"/>
      <c r="P82">
        <f t="shared" si="5"/>
        <v>0</v>
      </c>
      <c r="Q82" s="351">
        <f t="shared" si="6"/>
        <v>0</v>
      </c>
    </row>
    <row r="83" spans="1:17">
      <c r="A83" s="165">
        <f>'Conveyor Downtime (new)'!A94</f>
        <v>46073</v>
      </c>
      <c r="B83"/>
      <c r="C83"/>
      <c r="D83"/>
      <c r="E83"/>
      <c r="F83"/>
      <c r="G83"/>
      <c r="H83"/>
      <c r="I83"/>
      <c r="J83"/>
      <c r="K83"/>
      <c r="L83"/>
      <c r="M83"/>
      <c r="N83"/>
      <c r="O83"/>
      <c r="P83">
        <f t="shared" si="5"/>
        <v>0</v>
      </c>
      <c r="Q83" s="351">
        <f t="shared" si="6"/>
        <v>0</v>
      </c>
    </row>
    <row r="84" spans="1:17">
      <c r="A84" s="165">
        <f>'Conveyor Downtime (new)'!A95</f>
        <v>46073</v>
      </c>
      <c r="B84" s="346"/>
      <c r="C84" s="346"/>
      <c r="D84" s="346"/>
      <c r="E84" s="346"/>
      <c r="F84" s="346"/>
      <c r="G84" s="346"/>
      <c r="H84" s="346"/>
      <c r="I84" s="346"/>
      <c r="J84" s="346"/>
      <c r="K84" s="346"/>
      <c r="L84" s="346"/>
      <c r="M84" s="346"/>
      <c r="N84" s="346"/>
      <c r="O84" s="346"/>
      <c r="P84">
        <f t="shared" si="5"/>
        <v>0</v>
      </c>
      <c r="Q84" s="351">
        <f t="shared" si="6"/>
        <v>0</v>
      </c>
    </row>
    <row r="85" spans="1:17">
      <c r="A85" s="165">
        <f>'Conveyor Downtime (new)'!A96</f>
        <v>46076</v>
      </c>
      <c r="B85"/>
      <c r="C85"/>
      <c r="D85"/>
      <c r="E85"/>
      <c r="F85"/>
      <c r="G85"/>
      <c r="H85"/>
      <c r="I85"/>
      <c r="J85"/>
      <c r="K85"/>
      <c r="L85"/>
      <c r="M85"/>
      <c r="N85"/>
      <c r="O85"/>
      <c r="P85">
        <f t="shared" si="5"/>
        <v>0</v>
      </c>
      <c r="Q85" s="351">
        <f t="shared" si="6"/>
        <v>0</v>
      </c>
    </row>
    <row r="86" spans="1:17">
      <c r="A86" s="165">
        <f>'Conveyor Downtime (new)'!A97</f>
        <v>46077</v>
      </c>
      <c r="B86" s="346"/>
      <c r="C86" s="346"/>
      <c r="D86" s="346"/>
      <c r="E86" s="346"/>
      <c r="F86" s="346"/>
      <c r="G86" s="346"/>
      <c r="H86" s="346"/>
      <c r="I86" s="346"/>
      <c r="J86" s="346"/>
      <c r="K86" s="346"/>
      <c r="L86" s="346"/>
      <c r="M86" s="346"/>
      <c r="N86" s="346"/>
      <c r="O86" s="346"/>
      <c r="P86">
        <f t="shared" si="5"/>
        <v>0</v>
      </c>
      <c r="Q86" s="351">
        <f t="shared" si="6"/>
        <v>0</v>
      </c>
    </row>
    <row r="87" spans="1:17">
      <c r="A87" s="165">
        <f>'Conveyor Downtime (new)'!A98</f>
        <v>46077</v>
      </c>
      <c r="B87"/>
      <c r="C87"/>
      <c r="D87"/>
      <c r="E87"/>
      <c r="F87"/>
      <c r="G87"/>
      <c r="H87"/>
      <c r="I87"/>
      <c r="J87"/>
      <c r="K87"/>
      <c r="L87"/>
      <c r="M87"/>
      <c r="N87"/>
      <c r="O87"/>
      <c r="P87">
        <f t="shared" si="5"/>
        <v>0</v>
      </c>
      <c r="Q87" s="351">
        <f t="shared" si="6"/>
        <v>0</v>
      </c>
    </row>
    <row r="88" spans="1:17">
      <c r="A88" s="165">
        <f>'Conveyor Downtime (new)'!A99</f>
        <v>46078</v>
      </c>
      <c r="B88" s="346"/>
      <c r="C88" s="346"/>
      <c r="D88" s="346"/>
      <c r="E88" s="346"/>
      <c r="F88" s="346"/>
      <c r="G88" s="346"/>
      <c r="H88" s="346"/>
      <c r="I88" s="346"/>
      <c r="J88" s="346"/>
      <c r="K88" s="346"/>
      <c r="L88" s="346"/>
      <c r="M88" s="346"/>
      <c r="N88" s="346"/>
      <c r="O88" s="346"/>
      <c r="P88">
        <f t="shared" ref="P88:P106" si="7">SUM(B88:O88)</f>
        <v>0</v>
      </c>
      <c r="Q88" s="351">
        <f t="shared" si="6"/>
        <v>0</v>
      </c>
    </row>
    <row r="89" spans="1:17">
      <c r="A89" s="165">
        <f>'Conveyor Downtime (new)'!A100</f>
        <v>46079</v>
      </c>
      <c r="B89"/>
      <c r="C89"/>
      <c r="D89"/>
      <c r="E89"/>
      <c r="F89"/>
      <c r="G89"/>
      <c r="H89"/>
      <c r="I89"/>
      <c r="J89"/>
      <c r="K89"/>
      <c r="L89"/>
      <c r="M89"/>
      <c r="N89"/>
      <c r="O89"/>
      <c r="P89">
        <f t="shared" si="7"/>
        <v>0</v>
      </c>
      <c r="Q89" s="351">
        <f t="shared" si="6"/>
        <v>0</v>
      </c>
    </row>
    <row r="90" spans="1:17">
      <c r="A90" s="165">
        <f>'Conveyor Downtime (new)'!A101</f>
        <v>46079</v>
      </c>
      <c r="B90" s="346"/>
      <c r="C90" s="346"/>
      <c r="D90" s="346"/>
      <c r="E90" s="346"/>
      <c r="F90" s="346"/>
      <c r="G90" s="346"/>
      <c r="H90" s="346"/>
      <c r="I90" s="346"/>
      <c r="J90" s="346"/>
      <c r="K90" s="346"/>
      <c r="L90" s="346"/>
      <c r="M90" s="346"/>
      <c r="N90" s="346"/>
      <c r="O90" s="346"/>
      <c r="P90">
        <f t="shared" si="7"/>
        <v>0</v>
      </c>
      <c r="Q90" s="351">
        <f t="shared" si="6"/>
        <v>0</v>
      </c>
    </row>
    <row r="91" spans="1:17">
      <c r="A91" s="165">
        <f>'Conveyor Downtime (new)'!A102</f>
        <v>46080</v>
      </c>
      <c r="B91"/>
      <c r="C91"/>
      <c r="D91"/>
      <c r="E91"/>
      <c r="F91"/>
      <c r="G91"/>
      <c r="H91"/>
      <c r="I91"/>
      <c r="J91"/>
      <c r="K91"/>
      <c r="L91"/>
      <c r="M91"/>
      <c r="N91"/>
      <c r="O91"/>
      <c r="P91">
        <f t="shared" si="7"/>
        <v>0</v>
      </c>
      <c r="Q91" s="351">
        <f t="shared" si="6"/>
        <v>0</v>
      </c>
    </row>
    <row r="92" spans="1:17">
      <c r="A92" s="165">
        <f>'Conveyor Downtime (new)'!A103</f>
        <v>46080</v>
      </c>
      <c r="B92" s="346"/>
      <c r="C92" s="346"/>
      <c r="D92" s="346"/>
      <c r="E92" s="346"/>
      <c r="F92" s="346"/>
      <c r="G92" s="346"/>
      <c r="H92" s="346"/>
      <c r="I92" s="346"/>
      <c r="J92" s="346"/>
      <c r="K92" s="346"/>
      <c r="L92" s="346"/>
      <c r="M92" s="346"/>
      <c r="N92" s="346"/>
      <c r="O92" s="346"/>
      <c r="P92">
        <f t="shared" si="7"/>
        <v>0</v>
      </c>
      <c r="Q92" s="351">
        <f t="shared" si="6"/>
        <v>0</v>
      </c>
    </row>
    <row r="93" spans="1:17">
      <c r="A93" s="165">
        <f>'Conveyor Downtime (new)'!A104</f>
        <v>46080</v>
      </c>
      <c r="B93"/>
      <c r="C93"/>
      <c r="D93"/>
      <c r="E93"/>
      <c r="F93"/>
      <c r="G93"/>
      <c r="H93"/>
      <c r="I93"/>
      <c r="J93"/>
      <c r="K93"/>
      <c r="L93"/>
      <c r="M93"/>
      <c r="N93"/>
      <c r="O93"/>
      <c r="P93">
        <f t="shared" si="7"/>
        <v>0</v>
      </c>
      <c r="Q93" s="351">
        <f t="shared" si="6"/>
        <v>0</v>
      </c>
    </row>
    <row r="94" spans="1:17">
      <c r="A94" s="165">
        <f>'Conveyor Downtime (new)'!A105</f>
        <v>46081</v>
      </c>
      <c r="B94" s="346"/>
      <c r="C94" s="346"/>
      <c r="D94" s="346"/>
      <c r="E94" s="346"/>
      <c r="F94" s="346"/>
      <c r="G94" s="346"/>
      <c r="H94" s="346"/>
      <c r="I94" s="346"/>
      <c r="J94" s="346"/>
      <c r="K94" s="346"/>
      <c r="L94" s="346"/>
      <c r="M94" s="346"/>
      <c r="N94" s="346"/>
      <c r="O94" s="346"/>
      <c r="P94">
        <f t="shared" si="7"/>
        <v>0</v>
      </c>
      <c r="Q94" s="351">
        <f t="shared" si="6"/>
        <v>0</v>
      </c>
    </row>
    <row r="95" spans="1:17">
      <c r="A95" s="165">
        <f>'Conveyor Downtime (new)'!A106</f>
        <v>46081</v>
      </c>
      <c r="B95"/>
      <c r="C95"/>
      <c r="D95"/>
      <c r="E95"/>
      <c r="F95"/>
      <c r="G95"/>
      <c r="H95"/>
      <c r="I95"/>
      <c r="J95"/>
      <c r="K95"/>
      <c r="L95"/>
      <c r="M95"/>
      <c r="N95"/>
      <c r="O95"/>
      <c r="P95">
        <f t="shared" si="7"/>
        <v>0</v>
      </c>
      <c r="Q95" s="351">
        <f t="shared" si="6"/>
        <v>0</v>
      </c>
    </row>
    <row r="96" spans="1:17">
      <c r="A96" s="165">
        <f>'Conveyor Downtime (new)'!A107</f>
        <v>0</v>
      </c>
      <c r="B96" s="346"/>
      <c r="C96" s="346"/>
      <c r="D96" s="346"/>
      <c r="E96" s="346"/>
      <c r="F96" s="346"/>
      <c r="G96" s="346"/>
      <c r="H96" s="346"/>
      <c r="I96" s="346"/>
      <c r="J96" s="346"/>
      <c r="K96" s="346"/>
      <c r="L96" s="346"/>
      <c r="M96" s="346"/>
      <c r="N96" s="346"/>
      <c r="O96" s="346"/>
      <c r="P96">
        <f t="shared" si="7"/>
        <v>0</v>
      </c>
      <c r="Q96" s="351">
        <f t="shared" si="6"/>
        <v>0</v>
      </c>
    </row>
    <row r="97" spans="1:17">
      <c r="A97" s="165">
        <f>'Conveyor Downtime (new)'!A108</f>
        <v>0</v>
      </c>
      <c r="B97"/>
      <c r="C97"/>
      <c r="D97"/>
      <c r="E97"/>
      <c r="F97"/>
      <c r="G97"/>
      <c r="H97"/>
      <c r="I97"/>
      <c r="J97"/>
      <c r="K97"/>
      <c r="L97"/>
      <c r="M97"/>
      <c r="N97"/>
      <c r="O97"/>
      <c r="P97">
        <f t="shared" si="7"/>
        <v>0</v>
      </c>
      <c r="Q97" s="351">
        <f t="shared" si="6"/>
        <v>0</v>
      </c>
    </row>
    <row r="98" spans="1:17">
      <c r="A98" s="165">
        <f>'Conveyor Downtime (new)'!A109</f>
        <v>0</v>
      </c>
      <c r="B98" s="346"/>
      <c r="C98" s="346"/>
      <c r="D98" s="346"/>
      <c r="E98" s="346"/>
      <c r="F98" s="346"/>
      <c r="G98" s="346"/>
      <c r="H98" s="346"/>
      <c r="I98" s="346"/>
      <c r="J98" s="346"/>
      <c r="K98" s="346"/>
      <c r="L98" s="346"/>
      <c r="M98" s="346"/>
      <c r="N98" s="346"/>
      <c r="O98" s="346"/>
      <c r="P98">
        <f t="shared" si="7"/>
        <v>0</v>
      </c>
      <c r="Q98" s="351">
        <f t="shared" si="6"/>
        <v>0</v>
      </c>
    </row>
    <row r="99" spans="1:17">
      <c r="A99" s="165">
        <f>'Conveyor Downtime (new)'!A110</f>
        <v>0</v>
      </c>
      <c r="B99"/>
      <c r="C99"/>
      <c r="D99"/>
      <c r="E99"/>
      <c r="F99"/>
      <c r="G99"/>
      <c r="H99"/>
      <c r="I99"/>
      <c r="J99"/>
      <c r="K99"/>
      <c r="L99"/>
      <c r="M99"/>
      <c r="N99"/>
      <c r="O99"/>
      <c r="P99">
        <f t="shared" si="7"/>
        <v>0</v>
      </c>
      <c r="Q99" s="351">
        <f t="shared" si="6"/>
        <v>0</v>
      </c>
    </row>
    <row r="100" spans="1:17">
      <c r="A100" s="165">
        <f>'Conveyor Downtime (new)'!A111</f>
        <v>0</v>
      </c>
      <c r="B100" s="346"/>
      <c r="C100" s="346"/>
      <c r="D100" s="346"/>
      <c r="E100" s="346"/>
      <c r="F100" s="346"/>
      <c r="G100" s="346"/>
      <c r="H100" s="346"/>
      <c r="I100" s="346"/>
      <c r="J100" s="346"/>
      <c r="K100" s="346"/>
      <c r="L100" s="346"/>
      <c r="M100" s="346"/>
      <c r="N100" s="346"/>
      <c r="O100" s="346"/>
      <c r="P100">
        <f t="shared" si="7"/>
        <v>0</v>
      </c>
      <c r="Q100" s="351">
        <f t="shared" si="6"/>
        <v>0</v>
      </c>
    </row>
    <row r="101" spans="1:17">
      <c r="A101" s="165">
        <f>'Conveyor Downtime (new)'!A112</f>
        <v>0</v>
      </c>
      <c r="B101"/>
      <c r="C101"/>
      <c r="D101"/>
      <c r="E101"/>
      <c r="F101"/>
      <c r="G101"/>
      <c r="H101"/>
      <c r="I101"/>
      <c r="J101"/>
      <c r="K101"/>
      <c r="L101"/>
      <c r="M101"/>
      <c r="N101"/>
      <c r="O101"/>
      <c r="P101">
        <f t="shared" si="7"/>
        <v>0</v>
      </c>
      <c r="Q101" s="351">
        <f t="shared" si="6"/>
        <v>0</v>
      </c>
    </row>
    <row r="102" spans="1:17">
      <c r="A102" s="165">
        <f>'Conveyor Downtime (new)'!A113</f>
        <v>0</v>
      </c>
      <c r="B102" s="346"/>
      <c r="C102" s="346"/>
      <c r="D102" s="346"/>
      <c r="E102" s="346"/>
      <c r="F102" s="346"/>
      <c r="G102" s="346"/>
      <c r="H102" s="346"/>
      <c r="I102" s="346"/>
      <c r="J102" s="346"/>
      <c r="K102" s="346"/>
      <c r="L102" s="346"/>
      <c r="M102" s="346"/>
      <c r="N102" s="346"/>
      <c r="O102" s="346"/>
      <c r="P102">
        <f t="shared" si="7"/>
        <v>0</v>
      </c>
      <c r="Q102" s="351">
        <f t="shared" si="6"/>
        <v>0</v>
      </c>
    </row>
    <row r="103" spans="1:17">
      <c r="A103" s="165">
        <f>'Conveyor Downtime (new)'!A114</f>
        <v>0</v>
      </c>
      <c r="B103"/>
      <c r="C103"/>
      <c r="D103"/>
      <c r="E103"/>
      <c r="F103"/>
      <c r="G103"/>
      <c r="H103"/>
      <c r="I103"/>
      <c r="J103"/>
      <c r="K103"/>
      <c r="L103"/>
      <c r="M103"/>
      <c r="N103"/>
      <c r="O103"/>
      <c r="P103">
        <f t="shared" si="7"/>
        <v>0</v>
      </c>
      <c r="Q103" s="351">
        <f t="shared" si="6"/>
        <v>0</v>
      </c>
    </row>
    <row r="104" spans="1:17">
      <c r="A104" s="165"/>
      <c r="B104" s="346"/>
      <c r="C104" s="346"/>
      <c r="D104" s="346"/>
      <c r="E104" s="346"/>
      <c r="F104" s="346"/>
      <c r="G104" s="346"/>
      <c r="H104" s="346"/>
      <c r="I104" s="346"/>
      <c r="J104" s="346"/>
      <c r="K104" s="346"/>
      <c r="L104" s="346"/>
      <c r="M104" s="346"/>
      <c r="N104" s="346"/>
      <c r="O104" s="346"/>
      <c r="P104">
        <f t="shared" si="7"/>
        <v>0</v>
      </c>
      <c r="Q104" s="351">
        <f t="shared" si="6"/>
        <v>0</v>
      </c>
    </row>
    <row r="105" spans="1:17">
      <c r="A105" s="165"/>
      <c r="B105"/>
      <c r="C105"/>
      <c r="D105"/>
      <c r="E105"/>
      <c r="F105"/>
      <c r="G105"/>
      <c r="H105"/>
      <c r="I105"/>
      <c r="J105"/>
      <c r="K105"/>
      <c r="L105"/>
      <c r="M105"/>
      <c r="N105"/>
      <c r="O105"/>
      <c r="P105">
        <f t="shared" si="7"/>
        <v>0</v>
      </c>
      <c r="Q105" s="351">
        <f t="shared" si="6"/>
        <v>0</v>
      </c>
    </row>
    <row r="106" spans="1:17">
      <c r="A106" s="165"/>
      <c r="B106" s="346"/>
      <c r="C106" s="346"/>
      <c r="D106" s="346"/>
      <c r="E106" s="346"/>
      <c r="F106" s="346"/>
      <c r="G106" s="346"/>
      <c r="H106" s="346"/>
      <c r="I106" s="346"/>
      <c r="J106" s="346"/>
      <c r="K106" s="346"/>
      <c r="L106" s="346"/>
      <c r="M106" s="346"/>
      <c r="N106" s="346"/>
      <c r="O106" s="346"/>
      <c r="P106">
        <f t="shared" si="7"/>
        <v>0</v>
      </c>
      <c r="Q106" s="351">
        <f t="shared" si="6"/>
        <v>0</v>
      </c>
    </row>
    <row r="107" spans="1:17" ht="15">
      <c r="A107" s="347" t="s">
        <v>113</v>
      </c>
      <c r="B107" s="347">
        <f>SUM(B56:B106)</f>
        <v>14</v>
      </c>
      <c r="C107" s="347">
        <f>SUM(C56:C106)</f>
        <v>0</v>
      </c>
      <c r="D107" s="347">
        <f t="shared" ref="D107:P107" si="8">SUM(D56:D106)</f>
        <v>0</v>
      </c>
      <c r="E107" s="347">
        <f t="shared" si="8"/>
        <v>0</v>
      </c>
      <c r="F107" s="347">
        <f t="shared" si="8"/>
        <v>0</v>
      </c>
      <c r="G107" s="347">
        <f t="shared" si="8"/>
        <v>0</v>
      </c>
      <c r="H107" s="347">
        <f t="shared" si="8"/>
        <v>0</v>
      </c>
      <c r="I107" s="347">
        <f t="shared" si="8"/>
        <v>0</v>
      </c>
      <c r="J107" s="347">
        <f t="shared" si="8"/>
        <v>0</v>
      </c>
      <c r="K107" s="347">
        <f t="shared" si="8"/>
        <v>0</v>
      </c>
      <c r="L107" s="347">
        <f t="shared" si="8"/>
        <v>22</v>
      </c>
      <c r="M107" s="347">
        <f t="shared" si="8"/>
        <v>0</v>
      </c>
      <c r="N107" s="347">
        <f t="shared" si="8"/>
        <v>0</v>
      </c>
      <c r="O107" s="347">
        <f t="shared" si="8"/>
        <v>162</v>
      </c>
      <c r="P107" s="347">
        <f t="shared" si="8"/>
        <v>198</v>
      </c>
      <c r="Q107" s="352"/>
    </row>
    <row r="108" spans="1:17" ht="15.75" thickBot="1">
      <c r="A108" s="348" t="s">
        <v>174</v>
      </c>
      <c r="B108" s="348">
        <f t="shared" ref="B108:O108" si="9">B107/$P107</f>
        <v>7.0707070707070704E-2</v>
      </c>
      <c r="C108" s="348">
        <f t="shared" si="9"/>
        <v>0</v>
      </c>
      <c r="D108" s="348">
        <f t="shared" si="9"/>
        <v>0</v>
      </c>
      <c r="E108" s="348">
        <f t="shared" si="9"/>
        <v>0</v>
      </c>
      <c r="F108" s="348">
        <f t="shared" si="9"/>
        <v>0</v>
      </c>
      <c r="G108" s="348">
        <f t="shared" si="9"/>
        <v>0</v>
      </c>
      <c r="H108" s="348">
        <f t="shared" si="9"/>
        <v>0</v>
      </c>
      <c r="I108" s="348">
        <f t="shared" si="9"/>
        <v>0</v>
      </c>
      <c r="J108" s="348">
        <f t="shared" si="9"/>
        <v>0</v>
      </c>
      <c r="K108" s="348">
        <f t="shared" si="9"/>
        <v>0</v>
      </c>
      <c r="L108" s="348">
        <f t="shared" si="9"/>
        <v>0.1111111111111111</v>
      </c>
      <c r="M108" s="348">
        <f t="shared" si="9"/>
        <v>0</v>
      </c>
      <c r="N108" s="348">
        <f t="shared" si="9"/>
        <v>0</v>
      </c>
      <c r="O108" s="348">
        <f t="shared" si="9"/>
        <v>0.81818181818181823</v>
      </c>
      <c r="P108"/>
      <c r="Q108" s="351"/>
    </row>
    <row r="113" spans="1:17">
      <c r="A113" s="165">
        <f>'Conveyor Downtime (new)'!A124</f>
        <v>46083</v>
      </c>
      <c r="B113" s="346"/>
      <c r="C113" s="346"/>
      <c r="D113" s="346"/>
      <c r="E113" s="346"/>
      <c r="F113" s="346"/>
      <c r="G113" s="346"/>
      <c r="H113" s="346"/>
      <c r="I113" s="346"/>
      <c r="J113" s="346"/>
      <c r="K113" s="346"/>
      <c r="L113" s="346"/>
      <c r="M113" s="346"/>
      <c r="N113" s="346"/>
      <c r="O113" s="346"/>
      <c r="P113">
        <f t="shared" ref="P113:P144" si="10">SUM(B113:O113)</f>
        <v>0</v>
      </c>
      <c r="Q113" s="351">
        <f t="shared" ref="Q113:Q168" si="11">P113/$P$169</f>
        <v>0</v>
      </c>
    </row>
    <row r="114" spans="1:17">
      <c r="A114" s="165">
        <f>'Conveyor Downtime (new)'!A125</f>
        <v>46083</v>
      </c>
      <c r="B114"/>
      <c r="C114"/>
      <c r="D114"/>
      <c r="E114"/>
      <c r="F114"/>
      <c r="G114"/>
      <c r="H114"/>
      <c r="I114"/>
      <c r="J114"/>
      <c r="K114"/>
      <c r="L114"/>
      <c r="M114"/>
      <c r="N114"/>
      <c r="O114"/>
      <c r="P114">
        <f t="shared" si="10"/>
        <v>0</v>
      </c>
      <c r="Q114" s="351">
        <f t="shared" si="11"/>
        <v>0</v>
      </c>
    </row>
    <row r="115" spans="1:17">
      <c r="A115" s="165">
        <f>'Conveyor Downtime (new)'!A126</f>
        <v>46084</v>
      </c>
      <c r="B115" s="346"/>
      <c r="C115" s="346"/>
      <c r="D115" s="346"/>
      <c r="E115" s="346"/>
      <c r="F115" s="346"/>
      <c r="G115" s="346"/>
      <c r="H115" s="346"/>
      <c r="I115" s="346"/>
      <c r="J115" s="346"/>
      <c r="K115" s="346"/>
      <c r="L115" s="346"/>
      <c r="M115" s="346"/>
      <c r="N115" s="346"/>
      <c r="O115" s="346"/>
      <c r="P115">
        <f t="shared" si="10"/>
        <v>0</v>
      </c>
      <c r="Q115" s="351">
        <f t="shared" si="11"/>
        <v>0</v>
      </c>
    </row>
    <row r="116" spans="1:17">
      <c r="A116" s="165">
        <f>'Conveyor Downtime (new)'!A127</f>
        <v>46085</v>
      </c>
      <c r="B116"/>
      <c r="C116"/>
      <c r="D116"/>
      <c r="E116"/>
      <c r="F116"/>
      <c r="G116"/>
      <c r="H116"/>
      <c r="I116"/>
      <c r="J116"/>
      <c r="K116"/>
      <c r="L116"/>
      <c r="M116"/>
      <c r="N116"/>
      <c r="O116"/>
      <c r="P116">
        <f t="shared" si="10"/>
        <v>0</v>
      </c>
      <c r="Q116" s="351">
        <f t="shared" si="11"/>
        <v>0</v>
      </c>
    </row>
    <row r="117" spans="1:17">
      <c r="A117" s="165">
        <f>'Conveyor Downtime (new)'!A128</f>
        <v>46085</v>
      </c>
      <c r="B117" s="346"/>
      <c r="C117" s="346"/>
      <c r="D117" s="346"/>
      <c r="E117" s="346"/>
      <c r="F117" s="346"/>
      <c r="G117" s="346"/>
      <c r="H117" s="346"/>
      <c r="I117" s="346"/>
      <c r="J117" s="346"/>
      <c r="K117" s="346"/>
      <c r="L117" s="346"/>
      <c r="M117" s="346"/>
      <c r="N117" s="346"/>
      <c r="O117" s="346"/>
      <c r="P117">
        <f t="shared" si="10"/>
        <v>0</v>
      </c>
      <c r="Q117" s="351">
        <f t="shared" si="11"/>
        <v>0</v>
      </c>
    </row>
    <row r="118" spans="1:17">
      <c r="A118" s="165">
        <f>'Conveyor Downtime (new)'!A129</f>
        <v>46086</v>
      </c>
      <c r="B118" s="346"/>
      <c r="C118" s="346"/>
      <c r="D118" s="346"/>
      <c r="E118" s="346"/>
      <c r="F118" s="346"/>
      <c r="G118" s="346"/>
      <c r="H118" s="346"/>
      <c r="I118" s="346"/>
      <c r="J118" s="346"/>
      <c r="K118" s="346"/>
      <c r="L118" s="346"/>
      <c r="M118" s="346"/>
      <c r="N118" s="346"/>
      <c r="O118" s="346"/>
      <c r="P118">
        <f t="shared" si="10"/>
        <v>0</v>
      </c>
      <c r="Q118" s="351">
        <f t="shared" si="11"/>
        <v>0</v>
      </c>
    </row>
    <row r="119" spans="1:17">
      <c r="A119" s="165">
        <f>'Conveyor Downtime (new)'!A130</f>
        <v>46086</v>
      </c>
      <c r="B119"/>
      <c r="C119"/>
      <c r="D119"/>
      <c r="E119"/>
      <c r="F119"/>
      <c r="G119"/>
      <c r="H119"/>
      <c r="I119"/>
      <c r="J119"/>
      <c r="K119"/>
      <c r="L119"/>
      <c r="M119"/>
      <c r="N119"/>
      <c r="O119"/>
      <c r="P119">
        <f t="shared" si="10"/>
        <v>0</v>
      </c>
      <c r="Q119" s="351">
        <f t="shared" si="11"/>
        <v>0</v>
      </c>
    </row>
    <row r="120" spans="1:17">
      <c r="A120" s="165">
        <f>'Conveyor Downtime (new)'!A131</f>
        <v>46087</v>
      </c>
      <c r="B120" s="346"/>
      <c r="C120" s="346"/>
      <c r="D120" s="346"/>
      <c r="E120" s="346"/>
      <c r="F120" s="346"/>
      <c r="G120" s="346"/>
      <c r="H120" s="346"/>
      <c r="I120" s="346"/>
      <c r="J120" s="346"/>
      <c r="K120" s="346"/>
      <c r="L120" s="346"/>
      <c r="M120" s="346"/>
      <c r="N120" s="346"/>
      <c r="O120" s="346"/>
      <c r="P120">
        <f t="shared" si="10"/>
        <v>0</v>
      </c>
      <c r="Q120" s="351">
        <f t="shared" si="11"/>
        <v>0</v>
      </c>
    </row>
    <row r="121" spans="1:17">
      <c r="A121" s="165">
        <f>'Conveyor Downtime (new)'!A132</f>
        <v>46087</v>
      </c>
      <c r="B121"/>
      <c r="C121"/>
      <c r="D121"/>
      <c r="E121"/>
      <c r="F121"/>
      <c r="G121"/>
      <c r="H121"/>
      <c r="I121"/>
      <c r="J121"/>
      <c r="K121"/>
      <c r="L121"/>
      <c r="M121"/>
      <c r="N121"/>
      <c r="O121"/>
      <c r="P121">
        <f t="shared" si="10"/>
        <v>0</v>
      </c>
      <c r="Q121" s="351">
        <f t="shared" si="11"/>
        <v>0</v>
      </c>
    </row>
    <row r="122" spans="1:17">
      <c r="A122" s="165">
        <f>'Conveyor Downtime (new)'!A133</f>
        <v>46087</v>
      </c>
      <c r="B122" s="346"/>
      <c r="C122" s="346"/>
      <c r="D122" s="346"/>
      <c r="E122" s="346"/>
      <c r="F122" s="346"/>
      <c r="G122" s="346"/>
      <c r="H122" s="346"/>
      <c r="I122" s="346"/>
      <c r="J122" s="346"/>
      <c r="K122" s="346"/>
      <c r="L122" s="346"/>
      <c r="M122" s="346"/>
      <c r="N122" s="346"/>
      <c r="O122" s="346"/>
      <c r="P122">
        <f t="shared" si="10"/>
        <v>0</v>
      </c>
      <c r="Q122" s="351">
        <f t="shared" si="11"/>
        <v>0</v>
      </c>
    </row>
    <row r="123" spans="1:17">
      <c r="A123" s="165">
        <f>'Conveyor Downtime (new)'!A134</f>
        <v>46089</v>
      </c>
      <c r="B123"/>
      <c r="C123"/>
      <c r="D123"/>
      <c r="E123"/>
      <c r="F123"/>
      <c r="G123"/>
      <c r="H123"/>
      <c r="I123"/>
      <c r="J123"/>
      <c r="K123"/>
      <c r="L123"/>
      <c r="M123"/>
      <c r="N123"/>
      <c r="O123"/>
      <c r="P123">
        <f t="shared" si="10"/>
        <v>0</v>
      </c>
      <c r="Q123" s="351">
        <f t="shared" si="11"/>
        <v>0</v>
      </c>
    </row>
    <row r="124" spans="1:17">
      <c r="A124" s="165">
        <f>'Conveyor Downtime (new)'!A135</f>
        <v>46090</v>
      </c>
      <c r="B124" s="346"/>
      <c r="C124" s="346"/>
      <c r="D124" s="346"/>
      <c r="E124" s="346"/>
      <c r="F124" s="346"/>
      <c r="G124" s="346"/>
      <c r="H124" s="346"/>
      <c r="I124" s="346"/>
      <c r="J124" s="346"/>
      <c r="K124" s="346"/>
      <c r="L124" s="346"/>
      <c r="M124" s="346"/>
      <c r="N124" s="346"/>
      <c r="O124" s="346"/>
      <c r="P124">
        <f t="shared" si="10"/>
        <v>0</v>
      </c>
      <c r="Q124" s="351">
        <f t="shared" si="11"/>
        <v>0</v>
      </c>
    </row>
    <row r="125" spans="1:17">
      <c r="A125" s="165">
        <f>'Conveyor Downtime (new)'!A136</f>
        <v>46091</v>
      </c>
      <c r="B125"/>
      <c r="C125"/>
      <c r="D125"/>
      <c r="E125"/>
      <c r="F125"/>
      <c r="G125"/>
      <c r="H125"/>
      <c r="I125"/>
      <c r="J125"/>
      <c r="K125"/>
      <c r="L125"/>
      <c r="M125"/>
      <c r="N125"/>
      <c r="O125"/>
      <c r="P125">
        <f t="shared" si="10"/>
        <v>0</v>
      </c>
      <c r="Q125" s="351">
        <f t="shared" si="11"/>
        <v>0</v>
      </c>
    </row>
    <row r="126" spans="1:17">
      <c r="A126" s="165">
        <f>'Conveyor Downtime (new)'!A137</f>
        <v>46091</v>
      </c>
      <c r="B126" s="346">
        <v>5</v>
      </c>
      <c r="C126" s="346"/>
      <c r="D126" s="346"/>
      <c r="E126" s="346"/>
      <c r="F126" s="346"/>
      <c r="G126" s="346"/>
      <c r="H126" s="346"/>
      <c r="I126" s="346"/>
      <c r="J126" s="346"/>
      <c r="K126" s="346"/>
      <c r="L126" s="346"/>
      <c r="M126" s="346"/>
      <c r="N126" s="346"/>
      <c r="O126" s="346"/>
      <c r="P126">
        <f t="shared" si="10"/>
        <v>5</v>
      </c>
      <c r="Q126" s="351">
        <f t="shared" si="11"/>
        <v>1.0869565217391304E-2</v>
      </c>
    </row>
    <row r="127" spans="1:17">
      <c r="A127" s="165">
        <f>'Conveyor Downtime (new)'!A138</f>
        <v>46092</v>
      </c>
      <c r="B127"/>
      <c r="C127"/>
      <c r="D127"/>
      <c r="E127"/>
      <c r="F127"/>
      <c r="G127"/>
      <c r="H127"/>
      <c r="I127"/>
      <c r="J127"/>
      <c r="K127"/>
      <c r="L127"/>
      <c r="M127"/>
      <c r="N127"/>
      <c r="O127"/>
      <c r="P127">
        <f t="shared" si="10"/>
        <v>0</v>
      </c>
      <c r="Q127" s="351">
        <f t="shared" si="11"/>
        <v>0</v>
      </c>
    </row>
    <row r="128" spans="1:17">
      <c r="A128" s="165">
        <f>'Conveyor Downtime (new)'!A139</f>
        <v>46092</v>
      </c>
      <c r="B128" s="346"/>
      <c r="C128" s="346"/>
      <c r="D128" s="346"/>
      <c r="E128" s="346"/>
      <c r="F128" s="346"/>
      <c r="G128" s="346"/>
      <c r="H128" s="346"/>
      <c r="I128" s="346"/>
      <c r="J128" s="346"/>
      <c r="K128" s="346"/>
      <c r="L128" s="346">
        <f>10+3</f>
        <v>13</v>
      </c>
      <c r="M128" s="346"/>
      <c r="N128" s="346"/>
      <c r="O128" s="346">
        <v>45</v>
      </c>
      <c r="P128">
        <f t="shared" si="10"/>
        <v>58</v>
      </c>
      <c r="Q128" s="351">
        <f t="shared" si="11"/>
        <v>0.12608695652173912</v>
      </c>
    </row>
    <row r="129" spans="1:17">
      <c r="A129" s="165">
        <f>'Conveyor Downtime (new)'!A140</f>
        <v>46092</v>
      </c>
      <c r="B129"/>
      <c r="C129"/>
      <c r="D129"/>
      <c r="E129"/>
      <c r="F129"/>
      <c r="G129"/>
      <c r="H129"/>
      <c r="I129"/>
      <c r="J129"/>
      <c r="K129"/>
      <c r="L129"/>
      <c r="M129"/>
      <c r="N129"/>
      <c r="O129"/>
      <c r="P129">
        <f t="shared" si="10"/>
        <v>0</v>
      </c>
      <c r="Q129" s="351">
        <f t="shared" si="11"/>
        <v>0</v>
      </c>
    </row>
    <row r="130" spans="1:17">
      <c r="A130" s="165">
        <f>'Conveyor Downtime (new)'!A141</f>
        <v>46093</v>
      </c>
      <c r="B130" s="346"/>
      <c r="C130" s="346"/>
      <c r="D130" s="346"/>
      <c r="E130" s="346"/>
      <c r="F130" s="346"/>
      <c r="G130" s="346"/>
      <c r="H130" s="346"/>
      <c r="I130" s="346"/>
      <c r="J130" s="346"/>
      <c r="K130" s="346"/>
      <c r="L130" s="346"/>
      <c r="M130" s="346"/>
      <c r="N130" s="346"/>
      <c r="O130" s="346"/>
      <c r="P130">
        <f t="shared" si="10"/>
        <v>0</v>
      </c>
      <c r="Q130" s="351">
        <f t="shared" si="11"/>
        <v>0</v>
      </c>
    </row>
    <row r="131" spans="1:17">
      <c r="A131" s="165">
        <f>'Conveyor Downtime (new)'!A142</f>
        <v>46093</v>
      </c>
      <c r="B131"/>
      <c r="C131"/>
      <c r="D131"/>
      <c r="E131"/>
      <c r="F131"/>
      <c r="G131"/>
      <c r="H131"/>
      <c r="I131"/>
      <c r="J131"/>
      <c r="K131"/>
      <c r="L131"/>
      <c r="M131"/>
      <c r="N131"/>
      <c r="O131"/>
      <c r="P131">
        <f t="shared" si="10"/>
        <v>0</v>
      </c>
      <c r="Q131" s="351">
        <f t="shared" si="11"/>
        <v>0</v>
      </c>
    </row>
    <row r="132" spans="1:17">
      <c r="A132" s="165">
        <f>'Conveyor Downtime (new)'!A143</f>
        <v>46094</v>
      </c>
      <c r="B132" s="346"/>
      <c r="C132" s="346"/>
      <c r="D132" s="346"/>
      <c r="E132" s="346"/>
      <c r="F132" s="346"/>
      <c r="G132" s="346"/>
      <c r="H132" s="346"/>
      <c r="I132" s="346"/>
      <c r="J132" s="346"/>
      <c r="K132" s="346"/>
      <c r="L132" s="346"/>
      <c r="M132" s="346"/>
      <c r="N132" s="346"/>
      <c r="O132" s="346"/>
      <c r="P132">
        <f t="shared" si="10"/>
        <v>0</v>
      </c>
      <c r="Q132" s="351">
        <f t="shared" si="11"/>
        <v>0</v>
      </c>
    </row>
    <row r="133" spans="1:17">
      <c r="A133" s="165">
        <f>'Conveyor Downtime (new)'!A144</f>
        <v>46094</v>
      </c>
      <c r="B133"/>
      <c r="C133"/>
      <c r="D133"/>
      <c r="E133"/>
      <c r="F133"/>
      <c r="G133"/>
      <c r="H133"/>
      <c r="I133"/>
      <c r="J133"/>
      <c r="K133"/>
      <c r="L133"/>
      <c r="M133"/>
      <c r="N133"/>
      <c r="O133"/>
      <c r="P133">
        <f t="shared" si="10"/>
        <v>0</v>
      </c>
      <c r="Q133" s="351">
        <f t="shared" si="11"/>
        <v>0</v>
      </c>
    </row>
    <row r="134" spans="1:17">
      <c r="A134" s="165">
        <f>'Conveyor Downtime (new)'!A145</f>
        <v>46097</v>
      </c>
      <c r="B134" s="346"/>
      <c r="C134" s="346"/>
      <c r="D134" s="346"/>
      <c r="E134" s="346"/>
      <c r="F134" s="346"/>
      <c r="G134" s="346"/>
      <c r="H134" s="346"/>
      <c r="I134" s="346"/>
      <c r="J134" s="346"/>
      <c r="K134" s="346"/>
      <c r="L134" s="346"/>
      <c r="M134" s="346"/>
      <c r="N134" s="346"/>
      <c r="O134" s="346"/>
      <c r="P134">
        <f t="shared" si="10"/>
        <v>0</v>
      </c>
      <c r="Q134" s="351">
        <f t="shared" si="11"/>
        <v>0</v>
      </c>
    </row>
    <row r="135" spans="1:17">
      <c r="A135" s="165">
        <f>'Conveyor Downtime (new)'!A146</f>
        <v>46098</v>
      </c>
      <c r="B135"/>
      <c r="C135"/>
      <c r="D135"/>
      <c r="E135"/>
      <c r="F135"/>
      <c r="G135"/>
      <c r="H135"/>
      <c r="I135"/>
      <c r="J135"/>
      <c r="K135"/>
      <c r="L135"/>
      <c r="M135"/>
      <c r="N135"/>
      <c r="O135"/>
      <c r="P135">
        <f t="shared" si="10"/>
        <v>0</v>
      </c>
      <c r="Q135" s="351">
        <f t="shared" si="11"/>
        <v>0</v>
      </c>
    </row>
    <row r="136" spans="1:17">
      <c r="A136" s="165">
        <f>'Conveyor Downtime (new)'!A147</f>
        <v>46099</v>
      </c>
      <c r="B136" s="346"/>
      <c r="C136" s="346"/>
      <c r="D136" s="346"/>
      <c r="E136" s="346"/>
      <c r="F136" s="346"/>
      <c r="G136" s="346"/>
      <c r="H136" s="346"/>
      <c r="I136" s="346"/>
      <c r="J136" s="346"/>
      <c r="K136" s="346"/>
      <c r="L136" s="346"/>
      <c r="M136" s="346"/>
      <c r="N136" s="346"/>
      <c r="O136" s="346"/>
      <c r="P136">
        <f t="shared" si="10"/>
        <v>0</v>
      </c>
      <c r="Q136" s="351">
        <f t="shared" si="11"/>
        <v>0</v>
      </c>
    </row>
    <row r="137" spans="1:17">
      <c r="A137" s="165">
        <f>'Conveyor Downtime (new)'!A148</f>
        <v>46099</v>
      </c>
      <c r="B137"/>
      <c r="C137"/>
      <c r="D137"/>
      <c r="E137"/>
      <c r="F137"/>
      <c r="G137"/>
      <c r="H137"/>
      <c r="I137"/>
      <c r="J137"/>
      <c r="K137"/>
      <c r="L137"/>
      <c r="M137"/>
      <c r="N137"/>
      <c r="O137"/>
      <c r="P137">
        <f t="shared" si="10"/>
        <v>0</v>
      </c>
      <c r="Q137" s="351">
        <f t="shared" si="11"/>
        <v>0</v>
      </c>
    </row>
    <row r="138" spans="1:17">
      <c r="A138" s="165">
        <f>'Conveyor Downtime (new)'!A149</f>
        <v>46100</v>
      </c>
      <c r="B138" s="346"/>
      <c r="C138" s="346"/>
      <c r="D138" s="346"/>
      <c r="E138" s="346"/>
      <c r="F138" s="346"/>
      <c r="G138" s="346"/>
      <c r="H138" s="346"/>
      <c r="I138" s="346"/>
      <c r="J138" s="346"/>
      <c r="K138" s="346"/>
      <c r="L138" s="346"/>
      <c r="M138" s="346"/>
      <c r="N138" s="346"/>
      <c r="O138" s="346"/>
      <c r="P138">
        <f t="shared" si="10"/>
        <v>0</v>
      </c>
      <c r="Q138" s="351">
        <f t="shared" si="11"/>
        <v>0</v>
      </c>
    </row>
    <row r="139" spans="1:17">
      <c r="A139" s="165">
        <f>'Conveyor Downtime (new)'!A150</f>
        <v>46100</v>
      </c>
      <c r="B139"/>
      <c r="C139"/>
      <c r="D139"/>
      <c r="E139"/>
      <c r="F139"/>
      <c r="G139"/>
      <c r="H139"/>
      <c r="I139"/>
      <c r="J139"/>
      <c r="K139"/>
      <c r="L139"/>
      <c r="M139"/>
      <c r="N139"/>
      <c r="O139"/>
      <c r="P139">
        <f t="shared" si="10"/>
        <v>0</v>
      </c>
      <c r="Q139" s="351">
        <f t="shared" si="11"/>
        <v>0</v>
      </c>
    </row>
    <row r="140" spans="1:17">
      <c r="A140" s="165">
        <f>'Conveyor Downtime (new)'!A151</f>
        <v>46100</v>
      </c>
      <c r="B140" s="346"/>
      <c r="C140" s="346"/>
      <c r="D140" s="346"/>
      <c r="E140" s="346"/>
      <c r="F140" s="346"/>
      <c r="G140" s="346"/>
      <c r="H140" s="346"/>
      <c r="I140" s="346"/>
      <c r="J140" s="346"/>
      <c r="K140" s="346"/>
      <c r="L140" s="346"/>
      <c r="M140" s="346"/>
      <c r="N140" s="346"/>
      <c r="O140" s="346"/>
      <c r="P140">
        <f t="shared" si="10"/>
        <v>0</v>
      </c>
      <c r="Q140" s="351">
        <f t="shared" si="11"/>
        <v>0</v>
      </c>
    </row>
    <row r="141" spans="1:17">
      <c r="A141" s="165">
        <f>'Conveyor Downtime (new)'!A152</f>
        <v>46101</v>
      </c>
      <c r="B141"/>
      <c r="C141"/>
      <c r="D141"/>
      <c r="E141"/>
      <c r="F141"/>
      <c r="G141"/>
      <c r="H141"/>
      <c r="I141"/>
      <c r="J141"/>
      <c r="K141"/>
      <c r="L141"/>
      <c r="M141"/>
      <c r="N141"/>
      <c r="O141"/>
      <c r="P141">
        <f t="shared" si="10"/>
        <v>0</v>
      </c>
      <c r="Q141" s="351">
        <f t="shared" si="11"/>
        <v>0</v>
      </c>
    </row>
    <row r="142" spans="1:17">
      <c r="A142" s="165">
        <f>'Conveyor Downtime (new)'!A153</f>
        <v>46101</v>
      </c>
      <c r="B142" s="346"/>
      <c r="C142" s="346"/>
      <c r="D142" s="346"/>
      <c r="E142" s="346"/>
      <c r="F142" s="346"/>
      <c r="G142" s="346"/>
      <c r="H142" s="346"/>
      <c r="I142" s="346"/>
      <c r="J142" s="346"/>
      <c r="K142" s="346"/>
      <c r="L142" s="346"/>
      <c r="M142" s="346"/>
      <c r="N142" s="346"/>
      <c r="O142" s="346"/>
      <c r="P142">
        <f t="shared" si="10"/>
        <v>0</v>
      </c>
      <c r="Q142" s="351">
        <f t="shared" si="11"/>
        <v>0</v>
      </c>
    </row>
    <row r="143" spans="1:17">
      <c r="A143" s="165">
        <f>'Conveyor Downtime (new)'!A154</f>
        <v>46104</v>
      </c>
      <c r="B143"/>
      <c r="C143"/>
      <c r="D143"/>
      <c r="E143"/>
      <c r="F143"/>
      <c r="G143"/>
      <c r="H143"/>
      <c r="I143"/>
      <c r="J143"/>
      <c r="K143"/>
      <c r="L143"/>
      <c r="M143"/>
      <c r="N143"/>
      <c r="O143"/>
      <c r="P143">
        <f t="shared" si="10"/>
        <v>0</v>
      </c>
      <c r="Q143" s="351">
        <f t="shared" si="11"/>
        <v>0</v>
      </c>
    </row>
    <row r="144" spans="1:17">
      <c r="A144" s="165">
        <f>'Conveyor Downtime (new)'!A155</f>
        <v>46104</v>
      </c>
      <c r="B144" s="346"/>
      <c r="C144" s="346"/>
      <c r="D144" s="346"/>
      <c r="E144" s="346"/>
      <c r="F144" s="346"/>
      <c r="G144" s="346"/>
      <c r="H144" s="346"/>
      <c r="I144" s="346"/>
      <c r="J144" s="346"/>
      <c r="K144" s="346"/>
      <c r="L144" s="346"/>
      <c r="M144" s="346"/>
      <c r="N144" s="346"/>
      <c r="O144" s="346"/>
      <c r="P144">
        <f t="shared" si="10"/>
        <v>0</v>
      </c>
      <c r="Q144" s="351">
        <f t="shared" si="11"/>
        <v>0</v>
      </c>
    </row>
    <row r="145" spans="1:17">
      <c r="A145" s="165">
        <f>'Conveyor Downtime (new)'!A156</f>
        <v>46104</v>
      </c>
      <c r="B145"/>
      <c r="C145"/>
      <c r="D145"/>
      <c r="E145"/>
      <c r="F145"/>
      <c r="G145"/>
      <c r="H145"/>
      <c r="I145"/>
      <c r="J145"/>
      <c r="K145"/>
      <c r="L145"/>
      <c r="M145"/>
      <c r="N145"/>
      <c r="O145"/>
      <c r="P145">
        <f t="shared" ref="P145:P168" si="12">SUM(B145:O145)</f>
        <v>0</v>
      </c>
      <c r="Q145" s="351">
        <f t="shared" si="11"/>
        <v>0</v>
      </c>
    </row>
    <row r="146" spans="1:17">
      <c r="A146" s="165">
        <f>'Conveyor Downtime (new)'!A157</f>
        <v>46105</v>
      </c>
      <c r="B146" s="346"/>
      <c r="C146" s="346"/>
      <c r="D146" s="346"/>
      <c r="E146" s="346"/>
      <c r="F146" s="346"/>
      <c r="G146" s="346"/>
      <c r="H146" s="346"/>
      <c r="I146" s="346"/>
      <c r="J146" s="346"/>
      <c r="K146" s="346"/>
      <c r="L146" s="346"/>
      <c r="M146" s="346"/>
      <c r="N146" s="346"/>
      <c r="O146" s="346"/>
      <c r="P146">
        <f t="shared" si="12"/>
        <v>0</v>
      </c>
      <c r="Q146" s="351">
        <f t="shared" si="11"/>
        <v>0</v>
      </c>
    </row>
    <row r="147" spans="1:17">
      <c r="A147" s="165">
        <f>'Conveyor Downtime (new)'!A158</f>
        <v>46105</v>
      </c>
      <c r="B147"/>
      <c r="C147"/>
      <c r="D147"/>
      <c r="E147"/>
      <c r="F147"/>
      <c r="G147"/>
      <c r="H147"/>
      <c r="I147"/>
      <c r="J147"/>
      <c r="K147"/>
      <c r="L147"/>
      <c r="M147"/>
      <c r="N147"/>
      <c r="O147"/>
      <c r="P147">
        <f t="shared" si="12"/>
        <v>0</v>
      </c>
      <c r="Q147" s="351">
        <f t="shared" si="11"/>
        <v>0</v>
      </c>
    </row>
    <row r="148" spans="1:17">
      <c r="A148" s="165">
        <f>'Conveyor Downtime (new)'!A159</f>
        <v>46106</v>
      </c>
      <c r="B148" s="346"/>
      <c r="C148" s="346"/>
      <c r="D148" s="346"/>
      <c r="E148" s="346"/>
      <c r="F148" s="346"/>
      <c r="G148" s="346"/>
      <c r="H148" s="346"/>
      <c r="I148" s="346"/>
      <c r="J148" s="346"/>
      <c r="K148" s="346"/>
      <c r="L148" s="346"/>
      <c r="M148" s="346"/>
      <c r="N148" s="346"/>
      <c r="O148" s="346"/>
      <c r="P148">
        <f t="shared" si="12"/>
        <v>0</v>
      </c>
      <c r="Q148" s="351">
        <f t="shared" si="11"/>
        <v>0</v>
      </c>
    </row>
    <row r="149" spans="1:17">
      <c r="A149" s="165">
        <f>'Conveyor Downtime (new)'!A160</f>
        <v>46106</v>
      </c>
      <c r="B149"/>
      <c r="C149"/>
      <c r="D149"/>
      <c r="E149"/>
      <c r="F149"/>
      <c r="G149"/>
      <c r="H149"/>
      <c r="I149"/>
      <c r="J149"/>
      <c r="K149"/>
      <c r="L149"/>
      <c r="M149"/>
      <c r="N149"/>
      <c r="O149"/>
      <c r="P149">
        <f t="shared" si="12"/>
        <v>0</v>
      </c>
      <c r="Q149" s="351">
        <f t="shared" si="11"/>
        <v>0</v>
      </c>
    </row>
    <row r="150" spans="1:17">
      <c r="A150" s="165">
        <f>'Conveyor Downtime (new)'!A161</f>
        <v>46106</v>
      </c>
      <c r="B150" s="346"/>
      <c r="C150" s="346"/>
      <c r="D150" s="346"/>
      <c r="E150" s="346"/>
      <c r="F150" s="346"/>
      <c r="G150" s="346"/>
      <c r="H150" s="346"/>
      <c r="I150" s="346"/>
      <c r="J150" s="346"/>
      <c r="K150" s="346">
        <f>22</f>
        <v>22</v>
      </c>
      <c r="L150" s="346"/>
      <c r="M150" s="346"/>
      <c r="N150" s="346"/>
      <c r="O150" s="346"/>
      <c r="P150">
        <f t="shared" si="12"/>
        <v>22</v>
      </c>
      <c r="Q150" s="351">
        <f t="shared" si="11"/>
        <v>4.7826086956521741E-2</v>
      </c>
    </row>
    <row r="151" spans="1:17">
      <c r="A151" s="165">
        <f>'Conveyor Downtime (new)'!A162</f>
        <v>46106</v>
      </c>
      <c r="B151"/>
      <c r="C151"/>
      <c r="D151"/>
      <c r="E151"/>
      <c r="F151"/>
      <c r="G151"/>
      <c r="H151"/>
      <c r="I151">
        <v>11</v>
      </c>
      <c r="J151"/>
      <c r="K151">
        <f>60+23+50+38+2</f>
        <v>173</v>
      </c>
      <c r="L151"/>
      <c r="M151"/>
      <c r="N151"/>
      <c r="O151"/>
      <c r="P151">
        <f t="shared" si="12"/>
        <v>184</v>
      </c>
      <c r="Q151" s="351">
        <f t="shared" si="11"/>
        <v>0.4</v>
      </c>
    </row>
    <row r="152" spans="1:17">
      <c r="A152" s="165">
        <f>'Conveyor Downtime (new)'!A163</f>
        <v>46107</v>
      </c>
      <c r="B152" s="346"/>
      <c r="C152" s="346"/>
      <c r="D152" s="346"/>
      <c r="E152" s="346"/>
      <c r="F152" s="346"/>
      <c r="G152" s="346"/>
      <c r="H152" s="346"/>
      <c r="I152" s="346"/>
      <c r="J152" s="346"/>
      <c r="K152" s="346">
        <f>10+60+50</f>
        <v>120</v>
      </c>
      <c r="L152" s="346"/>
      <c r="M152" s="346"/>
      <c r="N152" s="346"/>
      <c r="O152" s="346"/>
      <c r="P152">
        <f t="shared" si="12"/>
        <v>120</v>
      </c>
      <c r="Q152" s="351">
        <f t="shared" si="11"/>
        <v>0.2608695652173913</v>
      </c>
    </row>
    <row r="153" spans="1:17">
      <c r="A153" s="165">
        <f>'Conveyor Downtime (new)'!A164</f>
        <v>46107</v>
      </c>
      <c r="B153"/>
      <c r="C153"/>
      <c r="D153"/>
      <c r="E153"/>
      <c r="F153"/>
      <c r="G153"/>
      <c r="H153"/>
      <c r="I153"/>
      <c r="J153"/>
      <c r="K153">
        <f>11+2+3+9</f>
        <v>25</v>
      </c>
      <c r="L153"/>
      <c r="M153"/>
      <c r="N153"/>
      <c r="O153"/>
      <c r="P153">
        <f t="shared" si="12"/>
        <v>25</v>
      </c>
      <c r="Q153" s="351">
        <f t="shared" si="11"/>
        <v>5.434782608695652E-2</v>
      </c>
    </row>
    <row r="154" spans="1:17">
      <c r="A154" s="165">
        <f>'Conveyor Downtime (new)'!A165</f>
        <v>46107</v>
      </c>
      <c r="B154" s="346"/>
      <c r="C154" s="346"/>
      <c r="D154" s="346"/>
      <c r="E154" s="346"/>
      <c r="F154" s="346"/>
      <c r="G154" s="346"/>
      <c r="H154" s="346"/>
      <c r="I154" s="346"/>
      <c r="J154" s="346"/>
      <c r="K154" s="346"/>
      <c r="L154" s="346"/>
      <c r="M154" s="346"/>
      <c r="N154" s="346"/>
      <c r="O154" s="346">
        <v>22</v>
      </c>
      <c r="P154">
        <f t="shared" si="12"/>
        <v>22</v>
      </c>
      <c r="Q154" s="351">
        <f t="shared" si="11"/>
        <v>4.7826086956521741E-2</v>
      </c>
    </row>
    <row r="155" spans="1:17">
      <c r="A155" s="165">
        <f>'Conveyor Downtime (new)'!A166</f>
        <v>46107</v>
      </c>
      <c r="B155"/>
      <c r="C155"/>
      <c r="D155"/>
      <c r="E155"/>
      <c r="F155"/>
      <c r="G155"/>
      <c r="H155"/>
      <c r="I155"/>
      <c r="J155"/>
      <c r="K155"/>
      <c r="L155"/>
      <c r="M155"/>
      <c r="N155"/>
      <c r="O155"/>
      <c r="P155">
        <f t="shared" si="12"/>
        <v>0</v>
      </c>
      <c r="Q155" s="351">
        <f t="shared" si="11"/>
        <v>0</v>
      </c>
    </row>
    <row r="156" spans="1:17">
      <c r="A156" s="165">
        <f>'Conveyor Downtime (new)'!A167</f>
        <v>46108</v>
      </c>
      <c r="B156" s="346"/>
      <c r="C156" s="346"/>
      <c r="D156" s="346"/>
      <c r="E156" s="346"/>
      <c r="F156" s="346"/>
      <c r="G156" s="346"/>
      <c r="H156" s="346"/>
      <c r="I156" s="346"/>
      <c r="J156" s="346"/>
      <c r="K156" s="346"/>
      <c r="L156" s="346"/>
      <c r="M156" s="346">
        <f>24</f>
        <v>24</v>
      </c>
      <c r="N156" s="346"/>
      <c r="O156" s="346"/>
      <c r="P156">
        <f t="shared" si="12"/>
        <v>24</v>
      </c>
      <c r="Q156" s="351">
        <f t="shared" si="11"/>
        <v>5.2173913043478258E-2</v>
      </c>
    </row>
    <row r="157" spans="1:17">
      <c r="A157" s="165">
        <f>'Conveyor Downtime (new)'!A168</f>
        <v>46108</v>
      </c>
      <c r="B157"/>
      <c r="C157"/>
      <c r="D157"/>
      <c r="E157"/>
      <c r="F157"/>
      <c r="G157"/>
      <c r="H157"/>
      <c r="I157"/>
      <c r="J157"/>
      <c r="K157"/>
      <c r="L157"/>
      <c r="M157"/>
      <c r="N157"/>
      <c r="O157"/>
      <c r="P157">
        <f t="shared" si="12"/>
        <v>0</v>
      </c>
      <c r="Q157" s="351">
        <f t="shared" si="11"/>
        <v>0</v>
      </c>
    </row>
    <row r="158" spans="1:17">
      <c r="A158" s="165">
        <f>'Conveyor Downtime (new)'!A169</f>
        <v>46111</v>
      </c>
      <c r="B158" s="346"/>
      <c r="C158" s="346"/>
      <c r="D158" s="346"/>
      <c r="E158" s="346"/>
      <c r="F158" s="346"/>
      <c r="G158" s="346"/>
      <c r="H158" s="346"/>
      <c r="I158" s="346"/>
      <c r="J158" s="346"/>
      <c r="K158" s="346"/>
      <c r="L158" s="346"/>
      <c r="M158" s="346"/>
      <c r="N158" s="346"/>
      <c r="O158" s="346"/>
      <c r="P158">
        <f t="shared" si="12"/>
        <v>0</v>
      </c>
      <c r="Q158" s="351">
        <f t="shared" si="11"/>
        <v>0</v>
      </c>
    </row>
    <row r="159" spans="1:17">
      <c r="A159" s="165">
        <f>'Conveyor Downtime (new)'!A170</f>
        <v>46112</v>
      </c>
      <c r="B159"/>
      <c r="C159"/>
      <c r="D159"/>
      <c r="E159"/>
      <c r="F159"/>
      <c r="G159"/>
      <c r="H159"/>
      <c r="I159"/>
      <c r="J159"/>
      <c r="K159"/>
      <c r="L159"/>
      <c r="M159"/>
      <c r="N159"/>
      <c r="O159"/>
      <c r="P159">
        <f t="shared" si="12"/>
        <v>0</v>
      </c>
      <c r="Q159" s="351">
        <f t="shared" si="11"/>
        <v>0</v>
      </c>
    </row>
    <row r="160" spans="1:17">
      <c r="A160" s="165">
        <f>'Conveyor Downtime (new)'!A171</f>
        <v>46112</v>
      </c>
      <c r="B160" s="346"/>
      <c r="C160" s="346"/>
      <c r="D160" s="346"/>
      <c r="E160" s="346"/>
      <c r="F160" s="346"/>
      <c r="G160" s="346"/>
      <c r="H160" s="346"/>
      <c r="I160" s="346"/>
      <c r="J160" s="346"/>
      <c r="K160" s="346"/>
      <c r="L160" s="346"/>
      <c r="M160" s="346"/>
      <c r="N160" s="346"/>
      <c r="O160" s="346"/>
      <c r="P160">
        <f t="shared" si="12"/>
        <v>0</v>
      </c>
      <c r="Q160" s="351">
        <f t="shared" si="11"/>
        <v>0</v>
      </c>
    </row>
    <row r="161" spans="1:17">
      <c r="A161" s="165">
        <f>'Conveyor Downtime (new)'!A173</f>
        <v>46112</v>
      </c>
      <c r="B161"/>
      <c r="C161"/>
      <c r="D161"/>
      <c r="E161"/>
      <c r="F161"/>
      <c r="G161"/>
      <c r="H161"/>
      <c r="I161"/>
      <c r="J161"/>
      <c r="K161"/>
      <c r="L161"/>
      <c r="M161"/>
      <c r="N161"/>
      <c r="O161"/>
      <c r="P161">
        <f t="shared" si="12"/>
        <v>0</v>
      </c>
      <c r="Q161" s="351">
        <f t="shared" si="11"/>
        <v>0</v>
      </c>
    </row>
    <row r="162" spans="1:17">
      <c r="A162" s="165">
        <f>'Conveyor Downtime (new)'!A174</f>
        <v>0</v>
      </c>
      <c r="B162" s="346"/>
      <c r="C162" s="346"/>
      <c r="D162" s="346"/>
      <c r="E162" s="346"/>
      <c r="F162" s="346"/>
      <c r="G162" s="346"/>
      <c r="H162" s="346"/>
      <c r="I162" s="346"/>
      <c r="J162" s="346"/>
      <c r="K162" s="346"/>
      <c r="L162" s="346"/>
      <c r="M162" s="346"/>
      <c r="N162" s="346"/>
      <c r="O162" s="346"/>
      <c r="P162">
        <f t="shared" si="12"/>
        <v>0</v>
      </c>
      <c r="Q162" s="351">
        <f t="shared" si="11"/>
        <v>0</v>
      </c>
    </row>
    <row r="163" spans="1:17">
      <c r="A163" s="165">
        <f>'Conveyor Downtime (new)'!A175</f>
        <v>0</v>
      </c>
      <c r="B163"/>
      <c r="C163"/>
      <c r="D163"/>
      <c r="E163"/>
      <c r="F163"/>
      <c r="G163"/>
      <c r="H163"/>
      <c r="I163"/>
      <c r="J163"/>
      <c r="K163"/>
      <c r="L163"/>
      <c r="M163"/>
      <c r="N163"/>
      <c r="O163"/>
      <c r="P163">
        <f t="shared" si="12"/>
        <v>0</v>
      </c>
      <c r="Q163" s="351">
        <f t="shared" si="11"/>
        <v>0</v>
      </c>
    </row>
    <row r="164" spans="1:17">
      <c r="A164" s="165">
        <f>'Conveyor Downtime (new)'!A176</f>
        <v>0</v>
      </c>
      <c r="B164" s="346"/>
      <c r="C164" s="346"/>
      <c r="D164" s="346"/>
      <c r="E164" s="346"/>
      <c r="F164" s="346"/>
      <c r="G164" s="346"/>
      <c r="H164" s="346"/>
      <c r="I164" s="346"/>
      <c r="J164" s="346"/>
      <c r="K164" s="346"/>
      <c r="L164" s="346"/>
      <c r="M164" s="346"/>
      <c r="N164" s="346"/>
      <c r="O164" s="346"/>
      <c r="P164">
        <f t="shared" si="12"/>
        <v>0</v>
      </c>
      <c r="Q164" s="351">
        <f t="shared" si="11"/>
        <v>0</v>
      </c>
    </row>
    <row r="165" spans="1:17">
      <c r="A165" s="165">
        <f>'Conveyor Downtime (new)'!A177</f>
        <v>0</v>
      </c>
      <c r="B165"/>
      <c r="C165"/>
      <c r="D165"/>
      <c r="E165"/>
      <c r="F165"/>
      <c r="G165"/>
      <c r="H165"/>
      <c r="I165"/>
      <c r="J165"/>
      <c r="K165"/>
      <c r="L165"/>
      <c r="M165"/>
      <c r="N165"/>
      <c r="O165"/>
      <c r="P165">
        <f t="shared" si="12"/>
        <v>0</v>
      </c>
      <c r="Q165" s="351">
        <f t="shared" si="11"/>
        <v>0</v>
      </c>
    </row>
    <row r="166" spans="1:17">
      <c r="A166" s="165">
        <f>'Conveyor Downtime (new)'!A178</f>
        <v>0</v>
      </c>
      <c r="B166" s="346"/>
      <c r="C166" s="346"/>
      <c r="D166" s="346"/>
      <c r="E166" s="346"/>
      <c r="F166" s="346"/>
      <c r="G166" s="346"/>
      <c r="H166" s="346"/>
      <c r="I166" s="346"/>
      <c r="J166" s="346"/>
      <c r="K166" s="346"/>
      <c r="L166" s="346"/>
      <c r="M166" s="346"/>
      <c r="N166" s="346"/>
      <c r="O166" s="346"/>
      <c r="P166">
        <f t="shared" si="12"/>
        <v>0</v>
      </c>
      <c r="Q166" s="351">
        <f t="shared" si="11"/>
        <v>0</v>
      </c>
    </row>
    <row r="167" spans="1:17">
      <c r="A167" s="165"/>
      <c r="B167"/>
      <c r="C167"/>
      <c r="D167"/>
      <c r="E167"/>
      <c r="F167"/>
      <c r="G167"/>
      <c r="H167"/>
      <c r="I167"/>
      <c r="J167"/>
      <c r="K167"/>
      <c r="L167"/>
      <c r="M167"/>
      <c r="N167"/>
      <c r="O167"/>
      <c r="P167">
        <f t="shared" si="12"/>
        <v>0</v>
      </c>
      <c r="Q167" s="351">
        <f t="shared" si="11"/>
        <v>0</v>
      </c>
    </row>
    <row r="168" spans="1:17">
      <c r="A168" s="165"/>
      <c r="B168" s="346"/>
      <c r="C168" s="346"/>
      <c r="D168" s="346"/>
      <c r="E168" s="346"/>
      <c r="F168" s="346"/>
      <c r="G168" s="346"/>
      <c r="H168" s="346"/>
      <c r="I168" s="346"/>
      <c r="J168" s="346"/>
      <c r="K168" s="346"/>
      <c r="L168" s="346"/>
      <c r="M168" s="346"/>
      <c r="N168" s="346"/>
      <c r="O168" s="346"/>
      <c r="P168">
        <f t="shared" si="12"/>
        <v>0</v>
      </c>
      <c r="Q168" s="351">
        <f t="shared" si="11"/>
        <v>0</v>
      </c>
    </row>
    <row r="169" spans="1:17" ht="15">
      <c r="A169" s="347" t="s">
        <v>113</v>
      </c>
      <c r="B169" s="347">
        <f>SUM(B113:B168)</f>
        <v>5</v>
      </c>
      <c r="C169" s="347">
        <f>SUM(C113:C168)</f>
        <v>0</v>
      </c>
      <c r="D169" s="347">
        <f t="shared" ref="D169:P169" si="13">SUM(D113:D168)</f>
        <v>0</v>
      </c>
      <c r="E169" s="347">
        <f t="shared" si="13"/>
        <v>0</v>
      </c>
      <c r="F169" s="347">
        <f t="shared" si="13"/>
        <v>0</v>
      </c>
      <c r="G169" s="347">
        <f t="shared" si="13"/>
        <v>0</v>
      </c>
      <c r="H169" s="347">
        <f t="shared" si="13"/>
        <v>0</v>
      </c>
      <c r="I169" s="347">
        <f t="shared" si="13"/>
        <v>11</v>
      </c>
      <c r="J169" s="347">
        <f t="shared" si="13"/>
        <v>0</v>
      </c>
      <c r="K169" s="347">
        <f t="shared" si="13"/>
        <v>340</v>
      </c>
      <c r="L169" s="347">
        <f t="shared" si="13"/>
        <v>13</v>
      </c>
      <c r="M169" s="347">
        <f t="shared" si="13"/>
        <v>24</v>
      </c>
      <c r="N169" s="347">
        <f t="shared" si="13"/>
        <v>0</v>
      </c>
      <c r="O169" s="347">
        <f t="shared" si="13"/>
        <v>67</v>
      </c>
      <c r="P169" s="347">
        <f t="shared" si="13"/>
        <v>460</v>
      </c>
      <c r="Q169" s="352"/>
    </row>
    <row r="170" spans="1:17" ht="15.75" thickBot="1">
      <c r="A170" s="348" t="s">
        <v>174</v>
      </c>
      <c r="B170" s="348">
        <f t="shared" ref="B170:O170" si="14">B169/$P169</f>
        <v>1.0869565217391304E-2</v>
      </c>
      <c r="C170" s="348">
        <f t="shared" si="14"/>
        <v>0</v>
      </c>
      <c r="D170" s="348">
        <f t="shared" si="14"/>
        <v>0</v>
      </c>
      <c r="E170" s="348">
        <f t="shared" si="14"/>
        <v>0</v>
      </c>
      <c r="F170" s="348">
        <f t="shared" si="14"/>
        <v>0</v>
      </c>
      <c r="G170" s="348">
        <f t="shared" si="14"/>
        <v>0</v>
      </c>
      <c r="H170" s="348">
        <f t="shared" si="14"/>
        <v>0</v>
      </c>
      <c r="I170" s="348">
        <f t="shared" si="14"/>
        <v>2.391304347826087E-2</v>
      </c>
      <c r="J170" s="348">
        <f t="shared" si="14"/>
        <v>0</v>
      </c>
      <c r="K170" s="348">
        <f t="shared" si="14"/>
        <v>0.73913043478260865</v>
      </c>
      <c r="L170" s="348">
        <f t="shared" si="14"/>
        <v>2.8260869565217391E-2</v>
      </c>
      <c r="M170" s="348">
        <f t="shared" si="14"/>
        <v>5.2173913043478258E-2</v>
      </c>
      <c r="N170" s="348">
        <f t="shared" si="14"/>
        <v>0</v>
      </c>
      <c r="O170" s="348">
        <f t="shared" si="14"/>
        <v>0.14565217391304347</v>
      </c>
      <c r="P170"/>
      <c r="Q170" s="351"/>
    </row>
    <row r="175" spans="1:17">
      <c r="A175" s="165">
        <f>'Conveyor Downtime (new)'!A187</f>
        <v>46113</v>
      </c>
      <c r="B175" s="346"/>
      <c r="C175" s="346"/>
      <c r="D175" s="346"/>
      <c r="E175" s="346"/>
      <c r="F175" s="346"/>
      <c r="G175" s="346"/>
      <c r="H175" s="346"/>
      <c r="I175" s="346"/>
      <c r="J175" s="346"/>
      <c r="K175" s="346"/>
      <c r="L175" s="346"/>
      <c r="M175" s="346"/>
      <c r="N175" s="346"/>
      <c r="O175" s="346"/>
      <c r="P175">
        <f t="shared" ref="P175:P206" si="15">SUM(B175:O175)</f>
        <v>0</v>
      </c>
      <c r="Q175" s="351">
        <f t="shared" ref="Q175:Q205" si="16">P175/$P$231</f>
        <v>0</v>
      </c>
    </row>
    <row r="176" spans="1:17">
      <c r="A176" s="165">
        <f>'Conveyor Downtime (new)'!A188</f>
        <v>46113</v>
      </c>
      <c r="B176"/>
      <c r="C176"/>
      <c r="D176"/>
      <c r="E176"/>
      <c r="F176"/>
      <c r="G176"/>
      <c r="H176"/>
      <c r="I176"/>
      <c r="J176"/>
      <c r="K176"/>
      <c r="L176"/>
      <c r="M176"/>
      <c r="N176"/>
      <c r="O176"/>
      <c r="P176">
        <f t="shared" si="15"/>
        <v>0</v>
      </c>
      <c r="Q176" s="351">
        <f t="shared" si="16"/>
        <v>0</v>
      </c>
    </row>
    <row r="177" spans="1:17">
      <c r="A177" s="165">
        <f>'Conveyor Downtime (new)'!A189</f>
        <v>46113</v>
      </c>
      <c r="B177" s="346"/>
      <c r="C177" s="346"/>
      <c r="D177" s="346"/>
      <c r="E177" s="346"/>
      <c r="F177" s="346"/>
      <c r="G177" s="346"/>
      <c r="H177" s="346"/>
      <c r="I177" s="346"/>
      <c r="J177" s="346"/>
      <c r="K177" s="346"/>
      <c r="L177" s="346"/>
      <c r="M177" s="346"/>
      <c r="N177" s="346"/>
      <c r="O177" s="346"/>
      <c r="P177">
        <f t="shared" si="15"/>
        <v>0</v>
      </c>
      <c r="Q177" s="351">
        <f t="shared" si="16"/>
        <v>0</v>
      </c>
    </row>
    <row r="178" spans="1:17">
      <c r="A178" s="165">
        <f>'Conveyor Downtime (new)'!A190</f>
        <v>46114</v>
      </c>
      <c r="B178"/>
      <c r="C178"/>
      <c r="D178"/>
      <c r="E178"/>
      <c r="F178"/>
      <c r="G178"/>
      <c r="I178"/>
      <c r="J178"/>
      <c r="K178"/>
      <c r="L178"/>
      <c r="M178"/>
      <c r="N178"/>
      <c r="O178"/>
      <c r="P178">
        <f t="shared" si="15"/>
        <v>0</v>
      </c>
      <c r="Q178" s="351">
        <f t="shared" si="16"/>
        <v>0</v>
      </c>
    </row>
    <row r="179" spans="1:17">
      <c r="A179" s="165">
        <f>'Conveyor Downtime (new)'!A191</f>
        <v>46114</v>
      </c>
      <c r="B179" s="346"/>
      <c r="C179" s="346"/>
      <c r="D179" s="346"/>
      <c r="E179" s="346"/>
      <c r="F179" s="346"/>
      <c r="G179" s="346"/>
      <c r="H179" s="346"/>
      <c r="I179" s="346"/>
      <c r="J179" s="346"/>
      <c r="K179" s="346"/>
      <c r="L179" s="346"/>
      <c r="M179" s="346"/>
      <c r="N179" s="346"/>
      <c r="O179" s="346"/>
      <c r="P179">
        <f t="shared" si="15"/>
        <v>0</v>
      </c>
      <c r="Q179" s="351">
        <f t="shared" si="16"/>
        <v>0</v>
      </c>
    </row>
    <row r="180" spans="1:17">
      <c r="A180" s="165">
        <f>'Conveyor Downtime (new)'!A192</f>
        <v>46119</v>
      </c>
      <c r="B180"/>
      <c r="C180"/>
      <c r="D180"/>
      <c r="E180"/>
      <c r="F180"/>
      <c r="G180"/>
      <c r="H180"/>
      <c r="I180"/>
      <c r="J180"/>
      <c r="K180"/>
      <c r="L180"/>
      <c r="M180"/>
      <c r="N180"/>
      <c r="O180"/>
      <c r="P180">
        <f t="shared" si="15"/>
        <v>0</v>
      </c>
      <c r="Q180" s="351">
        <f t="shared" si="16"/>
        <v>0</v>
      </c>
    </row>
    <row r="181" spans="1:17">
      <c r="A181" s="165">
        <f>'Conveyor Downtime (new)'!A193</f>
        <v>46119</v>
      </c>
      <c r="B181" s="346"/>
      <c r="C181" s="346"/>
      <c r="D181" s="346"/>
      <c r="E181" s="346"/>
      <c r="F181" s="346"/>
      <c r="G181" s="346"/>
      <c r="H181" s="346"/>
      <c r="I181" s="346"/>
      <c r="J181" s="346"/>
      <c r="K181" s="346"/>
      <c r="L181" s="346"/>
      <c r="M181" s="346"/>
      <c r="N181" s="346"/>
      <c r="O181" s="346"/>
      <c r="P181">
        <f t="shared" si="15"/>
        <v>0</v>
      </c>
      <c r="Q181" s="351">
        <f t="shared" si="16"/>
        <v>0</v>
      </c>
    </row>
    <row r="182" spans="1:17">
      <c r="A182" s="165">
        <f>'Conveyor Downtime (new)'!A194</f>
        <v>46120</v>
      </c>
      <c r="B182"/>
      <c r="C182"/>
      <c r="D182"/>
      <c r="E182"/>
      <c r="F182"/>
      <c r="G182"/>
      <c r="H182"/>
      <c r="I182"/>
      <c r="J182"/>
      <c r="K182"/>
      <c r="L182"/>
      <c r="M182"/>
      <c r="N182"/>
      <c r="O182"/>
      <c r="P182">
        <f t="shared" si="15"/>
        <v>0</v>
      </c>
      <c r="Q182" s="351">
        <f t="shared" si="16"/>
        <v>0</v>
      </c>
    </row>
    <row r="183" spans="1:17">
      <c r="A183" s="165">
        <f>'Conveyor Downtime (new)'!A195</f>
        <v>46120</v>
      </c>
      <c r="B183" s="346"/>
      <c r="C183" s="346"/>
      <c r="D183" s="346"/>
      <c r="E183" s="346"/>
      <c r="F183" s="346"/>
      <c r="G183" s="346"/>
      <c r="H183" s="346"/>
      <c r="I183" s="346"/>
      <c r="J183" s="346"/>
      <c r="K183" s="346"/>
      <c r="L183" s="346"/>
      <c r="M183" s="346"/>
      <c r="N183" s="346"/>
      <c r="O183" s="346"/>
      <c r="P183">
        <f t="shared" si="15"/>
        <v>0</v>
      </c>
      <c r="Q183" s="351">
        <f t="shared" si="16"/>
        <v>0</v>
      </c>
    </row>
    <row r="184" spans="1:17">
      <c r="A184" s="165">
        <f>'Conveyor Downtime (new)'!A196</f>
        <v>46121</v>
      </c>
      <c r="B184"/>
      <c r="C184"/>
      <c r="D184"/>
      <c r="E184"/>
      <c r="F184"/>
      <c r="G184"/>
      <c r="H184"/>
      <c r="I184"/>
      <c r="J184"/>
      <c r="K184"/>
      <c r="L184"/>
      <c r="M184"/>
      <c r="N184"/>
      <c r="O184"/>
      <c r="P184">
        <f t="shared" si="15"/>
        <v>0</v>
      </c>
      <c r="Q184" s="351">
        <f t="shared" si="16"/>
        <v>0</v>
      </c>
    </row>
    <row r="185" spans="1:17">
      <c r="A185" s="165">
        <f>'Conveyor Downtime (new)'!A197</f>
        <v>46122</v>
      </c>
      <c r="B185" s="346"/>
      <c r="C185" s="346"/>
      <c r="D185" s="346"/>
      <c r="E185" s="346"/>
      <c r="F185" s="346"/>
      <c r="G185" s="346"/>
      <c r="H185" s="346">
        <f>50+60+30</f>
        <v>140</v>
      </c>
      <c r="I185" s="346"/>
      <c r="J185" s="346"/>
      <c r="K185" s="346"/>
      <c r="L185" s="346"/>
      <c r="M185" s="346"/>
      <c r="N185" s="346"/>
      <c r="O185" s="346"/>
      <c r="P185">
        <f t="shared" si="15"/>
        <v>140</v>
      </c>
      <c r="Q185" s="351">
        <f t="shared" si="16"/>
        <v>0.39106145251396646</v>
      </c>
    </row>
    <row r="186" spans="1:17">
      <c r="A186" s="165">
        <f>'Conveyor Downtime (new)'!A198</f>
        <v>46125</v>
      </c>
      <c r="B186">
        <f>15+10</f>
        <v>25</v>
      </c>
      <c r="C186"/>
      <c r="D186"/>
      <c r="E186"/>
      <c r="F186"/>
      <c r="G186"/>
      <c r="H186"/>
      <c r="I186"/>
      <c r="J186"/>
      <c r="K186"/>
      <c r="L186"/>
      <c r="M186"/>
      <c r="N186"/>
      <c r="O186"/>
      <c r="P186">
        <f t="shared" si="15"/>
        <v>25</v>
      </c>
      <c r="Q186" s="351">
        <f t="shared" si="16"/>
        <v>6.9832402234636867E-2</v>
      </c>
    </row>
    <row r="187" spans="1:17">
      <c r="A187" s="165">
        <f>'Conveyor Downtime (new)'!A199</f>
        <v>46125</v>
      </c>
      <c r="B187" s="346"/>
      <c r="C187" s="346"/>
      <c r="D187" s="346"/>
      <c r="E187" s="346"/>
      <c r="F187" s="346"/>
      <c r="G187" s="346"/>
      <c r="H187" s="346"/>
      <c r="I187" s="346"/>
      <c r="J187" s="346"/>
      <c r="K187" s="346"/>
      <c r="L187" s="346"/>
      <c r="M187" s="346"/>
      <c r="N187" s="346"/>
      <c r="O187" s="346"/>
      <c r="P187">
        <f t="shared" si="15"/>
        <v>0</v>
      </c>
      <c r="Q187" s="351">
        <f t="shared" si="16"/>
        <v>0</v>
      </c>
    </row>
    <row r="188" spans="1:17">
      <c r="A188" s="165">
        <f>'Conveyor Downtime (new)'!A200</f>
        <v>46126</v>
      </c>
      <c r="B188"/>
      <c r="C188"/>
      <c r="D188"/>
      <c r="E188"/>
      <c r="F188"/>
      <c r="G188"/>
      <c r="H188"/>
      <c r="I188"/>
      <c r="J188"/>
      <c r="K188"/>
      <c r="L188"/>
      <c r="M188"/>
      <c r="N188"/>
      <c r="O188"/>
      <c r="P188">
        <f t="shared" si="15"/>
        <v>0</v>
      </c>
      <c r="Q188" s="351">
        <f t="shared" si="16"/>
        <v>0</v>
      </c>
    </row>
    <row r="189" spans="1:17">
      <c r="A189" s="165">
        <f>'Conveyor Downtime (new)'!A201</f>
        <v>46126</v>
      </c>
      <c r="B189" s="346"/>
      <c r="C189" s="346"/>
      <c r="D189" s="346"/>
      <c r="E189" s="346"/>
      <c r="F189" s="346"/>
      <c r="G189" s="346"/>
      <c r="H189" s="346"/>
      <c r="I189" s="346"/>
      <c r="J189" s="346"/>
      <c r="K189" s="346"/>
      <c r="L189" s="346"/>
      <c r="M189" s="346"/>
      <c r="N189" s="346"/>
      <c r="O189" s="346"/>
      <c r="P189">
        <f t="shared" si="15"/>
        <v>0</v>
      </c>
      <c r="Q189" s="351">
        <f t="shared" si="16"/>
        <v>0</v>
      </c>
    </row>
    <row r="190" spans="1:17">
      <c r="A190" s="165">
        <f>'Conveyor Downtime (new)'!A202</f>
        <v>46126</v>
      </c>
      <c r="B190"/>
      <c r="C190"/>
      <c r="D190"/>
      <c r="E190"/>
      <c r="F190"/>
      <c r="G190"/>
      <c r="H190"/>
      <c r="I190">
        <f>4+7+5+25+15+60+26</f>
        <v>142</v>
      </c>
      <c r="J190"/>
      <c r="K190"/>
      <c r="L190"/>
      <c r="M190"/>
      <c r="N190"/>
      <c r="O190"/>
      <c r="P190">
        <f t="shared" si="15"/>
        <v>142</v>
      </c>
      <c r="Q190" s="351">
        <f t="shared" si="16"/>
        <v>0.39664804469273746</v>
      </c>
    </row>
    <row r="191" spans="1:17">
      <c r="A191" s="165">
        <f>'Conveyor Downtime (new)'!A203</f>
        <v>46126</v>
      </c>
      <c r="B191" s="346"/>
      <c r="C191" s="346"/>
      <c r="D191" s="346"/>
      <c r="E191" s="346"/>
      <c r="F191" s="346"/>
      <c r="G191" s="346"/>
      <c r="H191" s="346"/>
      <c r="I191" s="346"/>
      <c r="J191" s="346"/>
      <c r="K191" s="346"/>
      <c r="L191" s="346"/>
      <c r="M191" s="346"/>
      <c r="N191" s="346"/>
      <c r="O191" s="346"/>
      <c r="P191">
        <f t="shared" si="15"/>
        <v>0</v>
      </c>
      <c r="Q191" s="351">
        <f t="shared" si="16"/>
        <v>0</v>
      </c>
    </row>
    <row r="192" spans="1:17">
      <c r="A192" s="165">
        <f>'Conveyor Downtime (new)'!A204</f>
        <v>46127</v>
      </c>
      <c r="B192"/>
      <c r="C192"/>
      <c r="D192"/>
      <c r="E192"/>
      <c r="F192"/>
      <c r="G192"/>
      <c r="H192"/>
      <c r="I192"/>
      <c r="J192"/>
      <c r="K192"/>
      <c r="L192"/>
      <c r="M192"/>
      <c r="N192"/>
      <c r="O192"/>
      <c r="P192">
        <f t="shared" si="15"/>
        <v>0</v>
      </c>
      <c r="Q192" s="351">
        <f t="shared" si="16"/>
        <v>0</v>
      </c>
    </row>
    <row r="193" spans="1:17">
      <c r="A193" s="165">
        <f>'Conveyor Downtime (new)'!A205</f>
        <v>46127</v>
      </c>
      <c r="B193" s="346"/>
      <c r="C193" s="346"/>
      <c r="D193" s="346"/>
      <c r="E193" s="346"/>
      <c r="F193" s="346"/>
      <c r="G193" s="346"/>
      <c r="H193" s="346"/>
      <c r="I193" s="346"/>
      <c r="J193" s="346"/>
      <c r="K193" s="346"/>
      <c r="L193" s="346"/>
      <c r="M193" s="346"/>
      <c r="N193" s="346"/>
      <c r="O193" s="346"/>
      <c r="P193">
        <f t="shared" si="15"/>
        <v>0</v>
      </c>
      <c r="Q193" s="351">
        <f t="shared" si="16"/>
        <v>0</v>
      </c>
    </row>
    <row r="194" spans="1:17">
      <c r="A194" s="165">
        <f>'Conveyor Downtime (new)'!A206</f>
        <v>46127</v>
      </c>
      <c r="B194"/>
      <c r="C194"/>
      <c r="D194"/>
      <c r="E194"/>
      <c r="F194"/>
      <c r="G194"/>
      <c r="H194"/>
      <c r="I194"/>
      <c r="J194"/>
      <c r="K194"/>
      <c r="L194"/>
      <c r="M194"/>
      <c r="N194"/>
      <c r="O194"/>
      <c r="P194">
        <f t="shared" si="15"/>
        <v>0</v>
      </c>
      <c r="Q194" s="351">
        <f t="shared" si="16"/>
        <v>0</v>
      </c>
    </row>
    <row r="195" spans="1:17">
      <c r="A195" s="165">
        <f>'Conveyor Downtime (new)'!A207</f>
        <v>46128</v>
      </c>
      <c r="B195" s="346"/>
      <c r="C195" s="346"/>
      <c r="D195" s="346"/>
      <c r="E195" s="346"/>
      <c r="F195" s="346"/>
      <c r="G195" s="346"/>
      <c r="H195" s="346"/>
      <c r="I195" s="346"/>
      <c r="J195" s="346"/>
      <c r="K195" s="346"/>
      <c r="L195" s="346"/>
      <c r="M195" s="346"/>
      <c r="N195" s="346"/>
      <c r="O195" s="346"/>
      <c r="P195">
        <f t="shared" si="15"/>
        <v>0</v>
      </c>
      <c r="Q195" s="351">
        <f t="shared" si="16"/>
        <v>0</v>
      </c>
    </row>
    <row r="196" spans="1:17">
      <c r="A196" s="165">
        <f>'Conveyor Downtime (new)'!A208</f>
        <v>46128</v>
      </c>
      <c r="B196"/>
      <c r="C196"/>
      <c r="D196"/>
      <c r="E196"/>
      <c r="F196"/>
      <c r="G196"/>
      <c r="H196"/>
      <c r="I196"/>
      <c r="J196"/>
      <c r="K196"/>
      <c r="L196"/>
      <c r="M196"/>
      <c r="N196"/>
      <c r="O196"/>
      <c r="P196">
        <f t="shared" si="15"/>
        <v>0</v>
      </c>
      <c r="Q196" s="351">
        <f t="shared" si="16"/>
        <v>0</v>
      </c>
    </row>
    <row r="197" spans="1:17">
      <c r="A197" s="165">
        <f>'Conveyor Downtime (new)'!A209</f>
        <v>46129</v>
      </c>
      <c r="B197" s="346"/>
      <c r="C197" s="346"/>
      <c r="D197" s="346"/>
      <c r="E197" s="346"/>
      <c r="F197" s="346"/>
      <c r="G197" s="346"/>
      <c r="H197" s="346"/>
      <c r="I197" s="346"/>
      <c r="J197" s="346"/>
      <c r="K197" s="346"/>
      <c r="L197" s="346"/>
      <c r="M197" s="346"/>
      <c r="N197" s="346"/>
      <c r="O197" s="346"/>
      <c r="P197">
        <f t="shared" si="15"/>
        <v>0</v>
      </c>
      <c r="Q197" s="351">
        <f t="shared" si="16"/>
        <v>0</v>
      </c>
    </row>
    <row r="198" spans="1:17">
      <c r="A198" s="165">
        <f>'Conveyor Downtime (new)'!A210</f>
        <v>46129</v>
      </c>
      <c r="B198"/>
      <c r="C198"/>
      <c r="D198"/>
      <c r="E198"/>
      <c r="F198"/>
      <c r="G198"/>
      <c r="H198"/>
      <c r="I198"/>
      <c r="J198"/>
      <c r="K198"/>
      <c r="L198"/>
      <c r="M198"/>
      <c r="N198"/>
      <c r="O198"/>
      <c r="P198">
        <f t="shared" si="15"/>
        <v>0</v>
      </c>
      <c r="Q198" s="351">
        <f t="shared" si="16"/>
        <v>0</v>
      </c>
    </row>
    <row r="199" spans="1:17">
      <c r="A199" s="165">
        <f>'Conveyor Downtime (new)'!A211</f>
        <v>46132</v>
      </c>
      <c r="B199" s="346"/>
      <c r="C199" s="346"/>
      <c r="D199" s="346"/>
      <c r="E199" s="346"/>
      <c r="F199" s="346"/>
      <c r="G199" s="346"/>
      <c r="H199" s="346"/>
      <c r="I199" s="346"/>
      <c r="J199" s="346"/>
      <c r="K199" s="346"/>
      <c r="L199" s="346"/>
      <c r="M199" s="346"/>
      <c r="N199" s="346"/>
      <c r="O199" s="346"/>
      <c r="P199">
        <f t="shared" si="15"/>
        <v>0</v>
      </c>
      <c r="Q199" s="351">
        <f t="shared" si="16"/>
        <v>0</v>
      </c>
    </row>
    <row r="200" spans="1:17">
      <c r="A200" s="165">
        <f>'Conveyor Downtime (new)'!A212</f>
        <v>46132</v>
      </c>
      <c r="B200"/>
      <c r="C200"/>
      <c r="D200"/>
      <c r="E200"/>
      <c r="F200"/>
      <c r="G200"/>
      <c r="H200"/>
      <c r="I200"/>
      <c r="J200"/>
      <c r="K200"/>
      <c r="L200"/>
      <c r="M200"/>
      <c r="N200"/>
      <c r="O200"/>
      <c r="P200">
        <f t="shared" si="15"/>
        <v>0</v>
      </c>
      <c r="Q200" s="351">
        <f t="shared" si="16"/>
        <v>0</v>
      </c>
    </row>
    <row r="201" spans="1:17">
      <c r="A201" s="165">
        <f>'Conveyor Downtime (new)'!A213</f>
        <v>46132</v>
      </c>
      <c r="B201"/>
      <c r="C201"/>
      <c r="D201"/>
      <c r="E201"/>
      <c r="F201"/>
      <c r="G201"/>
      <c r="H201"/>
      <c r="I201"/>
      <c r="J201"/>
      <c r="K201"/>
      <c r="L201"/>
      <c r="M201"/>
      <c r="N201"/>
      <c r="O201"/>
      <c r="P201">
        <f t="shared" si="15"/>
        <v>0</v>
      </c>
      <c r="Q201" s="351">
        <f t="shared" si="16"/>
        <v>0</v>
      </c>
    </row>
    <row r="202" spans="1:17">
      <c r="A202" s="165">
        <f>'Conveyor Downtime (new)'!A214</f>
        <v>46133</v>
      </c>
      <c r="B202" s="346"/>
      <c r="C202" s="346"/>
      <c r="D202" s="346"/>
      <c r="E202" s="346"/>
      <c r="F202" s="346"/>
      <c r="G202" s="346"/>
      <c r="H202" s="346"/>
      <c r="I202" s="346"/>
      <c r="J202" s="346"/>
      <c r="K202" s="346"/>
      <c r="L202" s="346"/>
      <c r="M202" s="346"/>
      <c r="N202" s="346"/>
      <c r="O202" s="346"/>
      <c r="P202">
        <f t="shared" si="15"/>
        <v>0</v>
      </c>
      <c r="Q202" s="351">
        <f t="shared" si="16"/>
        <v>0</v>
      </c>
    </row>
    <row r="203" spans="1:17">
      <c r="A203" s="165">
        <f>'Conveyor Downtime (new)'!A215</f>
        <v>46133</v>
      </c>
      <c r="B203"/>
      <c r="C203"/>
      <c r="D203"/>
      <c r="E203"/>
      <c r="F203"/>
      <c r="G203"/>
      <c r="H203"/>
      <c r="I203"/>
      <c r="J203"/>
      <c r="K203"/>
      <c r="L203"/>
      <c r="M203"/>
      <c r="N203"/>
      <c r="O203"/>
      <c r="P203">
        <f t="shared" si="15"/>
        <v>0</v>
      </c>
      <c r="Q203" s="351">
        <f t="shared" si="16"/>
        <v>0</v>
      </c>
    </row>
    <row r="204" spans="1:17">
      <c r="A204" s="165">
        <f>'Conveyor Downtime (new)'!A216</f>
        <v>46134</v>
      </c>
      <c r="B204" s="346"/>
      <c r="C204" s="346"/>
      <c r="D204" s="346"/>
      <c r="E204" s="346"/>
      <c r="F204" s="346"/>
      <c r="G204" s="346"/>
      <c r="H204" s="346"/>
      <c r="I204" s="346"/>
      <c r="J204" s="346"/>
      <c r="K204" s="346"/>
      <c r="L204" s="346"/>
      <c r="M204" s="346"/>
      <c r="N204" s="346"/>
      <c r="O204" s="346"/>
      <c r="P204">
        <f t="shared" si="15"/>
        <v>0</v>
      </c>
      <c r="Q204" s="351">
        <f t="shared" si="16"/>
        <v>0</v>
      </c>
    </row>
    <row r="205" spans="1:17">
      <c r="A205" s="165">
        <f>'Conveyor Downtime (new)'!A217</f>
        <v>46134</v>
      </c>
      <c r="B205"/>
      <c r="C205"/>
      <c r="D205"/>
      <c r="E205"/>
      <c r="F205"/>
      <c r="G205"/>
      <c r="H205"/>
      <c r="I205"/>
      <c r="J205"/>
      <c r="K205"/>
      <c r="L205"/>
      <c r="M205"/>
      <c r="N205"/>
      <c r="O205"/>
      <c r="P205">
        <f t="shared" si="15"/>
        <v>0</v>
      </c>
      <c r="Q205" s="351">
        <f t="shared" si="16"/>
        <v>0</v>
      </c>
    </row>
    <row r="206" spans="1:17">
      <c r="A206" s="165">
        <f>'Conveyor Downtime (new)'!A218</f>
        <v>46135</v>
      </c>
      <c r="B206" s="346"/>
      <c r="C206" s="346"/>
      <c r="D206" s="346"/>
      <c r="E206" s="346">
        <f>9+16</f>
        <v>25</v>
      </c>
      <c r="F206" s="346"/>
      <c r="G206" s="346"/>
      <c r="H206" s="346"/>
      <c r="I206" s="346"/>
      <c r="J206" s="346"/>
      <c r="K206" s="346">
        <f>10</f>
        <v>10</v>
      </c>
      <c r="L206" s="346"/>
      <c r="M206" s="346"/>
      <c r="N206" s="346"/>
      <c r="O206" s="346">
        <f>7+9</f>
        <v>16</v>
      </c>
      <c r="P206">
        <f t="shared" si="15"/>
        <v>51</v>
      </c>
      <c r="Q206" s="351">
        <f t="shared" ref="Q206:Q230" si="17">P206/$P$231</f>
        <v>0.14245810055865921</v>
      </c>
    </row>
    <row r="207" spans="1:17">
      <c r="A207" s="165">
        <f>'Conveyor Downtime (new)'!A219</f>
        <v>46135</v>
      </c>
      <c r="B207"/>
      <c r="C207"/>
      <c r="D207"/>
      <c r="E207"/>
      <c r="F207"/>
      <c r="G207"/>
      <c r="H207"/>
      <c r="I207"/>
      <c r="J207"/>
      <c r="K207"/>
      <c r="L207"/>
      <c r="M207"/>
      <c r="N207"/>
      <c r="O207"/>
      <c r="P207">
        <f t="shared" ref="P207:P230" si="18">SUM(B207:O207)</f>
        <v>0</v>
      </c>
      <c r="Q207" s="351">
        <f t="shared" si="17"/>
        <v>0</v>
      </c>
    </row>
    <row r="208" spans="1:17">
      <c r="A208" s="165">
        <f>'Conveyor Downtime (new)'!A220</f>
        <v>46136</v>
      </c>
      <c r="B208" s="346"/>
      <c r="C208" s="346"/>
      <c r="D208" s="346"/>
      <c r="E208" s="346"/>
      <c r="F208" s="346"/>
      <c r="G208" s="346"/>
      <c r="H208" s="346"/>
      <c r="I208" s="346"/>
      <c r="J208" s="346"/>
      <c r="K208" s="346"/>
      <c r="L208" s="346"/>
      <c r="M208" s="346"/>
      <c r="N208" s="346"/>
      <c r="O208" s="346"/>
      <c r="P208">
        <f t="shared" si="18"/>
        <v>0</v>
      </c>
      <c r="Q208" s="351">
        <f t="shared" si="17"/>
        <v>0</v>
      </c>
    </row>
    <row r="209" spans="1:17">
      <c r="A209" s="165">
        <f>'Conveyor Downtime (new)'!A221</f>
        <v>46136</v>
      </c>
      <c r="B209"/>
      <c r="C209"/>
      <c r="D209"/>
      <c r="E209"/>
      <c r="F209"/>
      <c r="G209"/>
      <c r="H209"/>
      <c r="I209"/>
      <c r="J209"/>
      <c r="K209"/>
      <c r="L209"/>
      <c r="M209"/>
      <c r="N209"/>
      <c r="O209"/>
      <c r="P209">
        <f t="shared" si="18"/>
        <v>0</v>
      </c>
      <c r="Q209" s="351">
        <f t="shared" si="17"/>
        <v>0</v>
      </c>
    </row>
    <row r="210" spans="1:17">
      <c r="A210" s="165">
        <f>'Conveyor Downtime (new)'!A222</f>
        <v>46139</v>
      </c>
      <c r="B210" s="346"/>
      <c r="C210" s="346"/>
      <c r="D210" s="346"/>
      <c r="E210" s="346"/>
      <c r="F210" s="346"/>
      <c r="G210" s="346"/>
      <c r="H210" s="346"/>
      <c r="I210" s="346"/>
      <c r="J210" s="346"/>
      <c r="K210" s="346"/>
      <c r="L210" s="346"/>
      <c r="M210" s="346"/>
      <c r="N210" s="346"/>
      <c r="O210" s="346"/>
      <c r="P210">
        <f t="shared" si="18"/>
        <v>0</v>
      </c>
      <c r="Q210" s="351">
        <f t="shared" si="17"/>
        <v>0</v>
      </c>
    </row>
    <row r="211" spans="1:17">
      <c r="A211" s="165">
        <f>'Conveyor Downtime (new)'!A223</f>
        <v>46140</v>
      </c>
      <c r="B211"/>
      <c r="C211"/>
      <c r="D211"/>
      <c r="E211"/>
      <c r="F211"/>
      <c r="G211"/>
      <c r="H211"/>
      <c r="I211"/>
      <c r="J211"/>
      <c r="K211"/>
      <c r="L211"/>
      <c r="M211"/>
      <c r="N211"/>
      <c r="O211"/>
      <c r="P211">
        <f t="shared" si="18"/>
        <v>0</v>
      </c>
      <c r="Q211" s="351">
        <f t="shared" si="17"/>
        <v>0</v>
      </c>
    </row>
    <row r="212" spans="1:17">
      <c r="A212" s="165">
        <f>'Conveyor Downtime (new)'!A224</f>
        <v>46141</v>
      </c>
      <c r="B212" s="346"/>
      <c r="C212" s="346"/>
      <c r="D212" s="346"/>
      <c r="E212" s="346"/>
      <c r="F212" s="346"/>
      <c r="G212" s="346"/>
      <c r="H212" s="346"/>
      <c r="I212" s="346"/>
      <c r="J212" s="346"/>
      <c r="K212" s="346"/>
      <c r="L212" s="346"/>
      <c r="M212" s="346"/>
      <c r="N212" s="346"/>
      <c r="O212" s="346"/>
      <c r="P212">
        <f t="shared" si="18"/>
        <v>0</v>
      </c>
      <c r="Q212" s="351">
        <f t="shared" si="17"/>
        <v>0</v>
      </c>
    </row>
    <row r="213" spans="1:17">
      <c r="A213" s="165">
        <f>'Conveyor Downtime (new)'!A225</f>
        <v>46141</v>
      </c>
      <c r="B213"/>
      <c r="C213"/>
      <c r="D213"/>
      <c r="E213"/>
      <c r="F213"/>
      <c r="G213"/>
      <c r="H213"/>
      <c r="I213"/>
      <c r="J213"/>
      <c r="K213"/>
      <c r="L213"/>
      <c r="M213"/>
      <c r="N213"/>
      <c r="O213"/>
      <c r="P213">
        <f t="shared" si="18"/>
        <v>0</v>
      </c>
      <c r="Q213" s="351">
        <f t="shared" si="17"/>
        <v>0</v>
      </c>
    </row>
    <row r="214" spans="1:17">
      <c r="A214" s="165">
        <f>'Conveyor Downtime (new)'!A226</f>
        <v>46142</v>
      </c>
      <c r="B214" s="346"/>
      <c r="C214" s="346"/>
      <c r="D214" s="346"/>
      <c r="E214" s="346"/>
      <c r="F214" s="346"/>
      <c r="G214" s="346"/>
      <c r="H214" s="346"/>
      <c r="I214" s="346"/>
      <c r="J214" s="346"/>
      <c r="K214" s="346"/>
      <c r="L214" s="346"/>
      <c r="M214" s="346"/>
      <c r="N214" s="346"/>
      <c r="O214" s="346"/>
      <c r="P214">
        <f t="shared" si="18"/>
        <v>0</v>
      </c>
      <c r="Q214" s="351">
        <f t="shared" si="17"/>
        <v>0</v>
      </c>
    </row>
    <row r="215" spans="1:17">
      <c r="A215" s="165">
        <f>'Conveyor Downtime (new)'!A227</f>
        <v>46142</v>
      </c>
      <c r="B215"/>
      <c r="C215"/>
      <c r="D215"/>
      <c r="E215"/>
      <c r="F215"/>
      <c r="G215"/>
      <c r="H215"/>
      <c r="I215"/>
      <c r="J215"/>
      <c r="K215"/>
      <c r="L215"/>
      <c r="M215"/>
      <c r="N215"/>
      <c r="O215"/>
      <c r="P215">
        <f t="shared" si="18"/>
        <v>0</v>
      </c>
      <c r="Q215" s="351">
        <f t="shared" si="17"/>
        <v>0</v>
      </c>
    </row>
    <row r="216" spans="1:17">
      <c r="A216" s="165">
        <f>'Conveyor Downtime (new)'!A228</f>
        <v>0</v>
      </c>
      <c r="B216" s="346"/>
      <c r="C216" s="346"/>
      <c r="D216" s="346"/>
      <c r="E216" s="346"/>
      <c r="F216" s="346"/>
      <c r="G216" s="346"/>
      <c r="H216" s="346"/>
      <c r="I216" s="346"/>
      <c r="J216" s="346"/>
      <c r="K216" s="346"/>
      <c r="L216" s="346"/>
      <c r="M216" s="346"/>
      <c r="N216" s="346"/>
      <c r="O216" s="346"/>
      <c r="P216">
        <f t="shared" si="18"/>
        <v>0</v>
      </c>
      <c r="Q216" s="351">
        <f t="shared" si="17"/>
        <v>0</v>
      </c>
    </row>
    <row r="217" spans="1:17">
      <c r="A217" s="165">
        <f>'Conveyor Downtime (new)'!A229</f>
        <v>0</v>
      </c>
      <c r="B217"/>
      <c r="C217"/>
      <c r="D217"/>
      <c r="E217"/>
      <c r="F217"/>
      <c r="G217"/>
      <c r="H217"/>
      <c r="I217"/>
      <c r="J217"/>
      <c r="K217"/>
      <c r="L217"/>
      <c r="M217"/>
      <c r="N217"/>
      <c r="O217"/>
      <c r="P217">
        <f t="shared" si="18"/>
        <v>0</v>
      </c>
      <c r="Q217" s="351">
        <f t="shared" si="17"/>
        <v>0</v>
      </c>
    </row>
    <row r="218" spans="1:17">
      <c r="A218" s="165">
        <f>'Conveyor Downtime (new)'!A230</f>
        <v>0</v>
      </c>
      <c r="B218" s="346"/>
      <c r="C218" s="346"/>
      <c r="D218" s="346"/>
      <c r="E218" s="346"/>
      <c r="F218" s="346"/>
      <c r="G218" s="346"/>
      <c r="H218" s="346"/>
      <c r="I218" s="346"/>
      <c r="J218" s="346"/>
      <c r="K218" s="346"/>
      <c r="L218" s="346"/>
      <c r="M218" s="346"/>
      <c r="N218" s="346"/>
      <c r="O218" s="346"/>
      <c r="P218">
        <f t="shared" si="18"/>
        <v>0</v>
      </c>
      <c r="Q218" s="351">
        <f t="shared" si="17"/>
        <v>0</v>
      </c>
    </row>
    <row r="219" spans="1:17">
      <c r="A219" s="165"/>
      <c r="B219"/>
      <c r="C219"/>
      <c r="D219"/>
      <c r="E219"/>
      <c r="F219"/>
      <c r="G219"/>
      <c r="H219"/>
      <c r="I219"/>
      <c r="J219"/>
      <c r="K219"/>
      <c r="L219"/>
      <c r="M219"/>
      <c r="N219"/>
      <c r="O219"/>
      <c r="P219">
        <f t="shared" si="18"/>
        <v>0</v>
      </c>
      <c r="Q219" s="351">
        <f t="shared" si="17"/>
        <v>0</v>
      </c>
    </row>
    <row r="220" spans="1:17">
      <c r="A220" s="165"/>
      <c r="B220" s="346"/>
      <c r="C220" s="346"/>
      <c r="D220" s="346"/>
      <c r="E220" s="346"/>
      <c r="F220" s="346"/>
      <c r="G220" s="346"/>
      <c r="H220" s="346"/>
      <c r="I220" s="346"/>
      <c r="J220" s="346"/>
      <c r="K220" s="346"/>
      <c r="L220" s="346"/>
      <c r="M220" s="346"/>
      <c r="N220" s="346"/>
      <c r="O220" s="346"/>
      <c r="P220">
        <f t="shared" si="18"/>
        <v>0</v>
      </c>
      <c r="Q220" s="351">
        <f t="shared" si="17"/>
        <v>0</v>
      </c>
    </row>
    <row r="221" spans="1:17">
      <c r="A221" s="165"/>
      <c r="B221"/>
      <c r="C221"/>
      <c r="D221"/>
      <c r="E221"/>
      <c r="F221"/>
      <c r="G221"/>
      <c r="H221"/>
      <c r="I221"/>
      <c r="J221"/>
      <c r="K221"/>
      <c r="L221"/>
      <c r="M221"/>
      <c r="N221"/>
      <c r="O221"/>
      <c r="P221">
        <f t="shared" si="18"/>
        <v>0</v>
      </c>
      <c r="Q221" s="351">
        <f t="shared" si="17"/>
        <v>0</v>
      </c>
    </row>
    <row r="222" spans="1:17">
      <c r="A222" s="165"/>
      <c r="B222" s="346"/>
      <c r="C222" s="346"/>
      <c r="D222" s="346"/>
      <c r="E222" s="346"/>
      <c r="F222" s="346"/>
      <c r="G222" s="346"/>
      <c r="H222" s="346"/>
      <c r="I222" s="346"/>
      <c r="J222" s="346"/>
      <c r="K222" s="346"/>
      <c r="L222" s="346"/>
      <c r="M222" s="346"/>
      <c r="N222" s="346"/>
      <c r="O222" s="346"/>
      <c r="P222">
        <f t="shared" si="18"/>
        <v>0</v>
      </c>
      <c r="Q222" s="351">
        <f t="shared" si="17"/>
        <v>0</v>
      </c>
    </row>
    <row r="223" spans="1:17">
      <c r="A223" s="165"/>
      <c r="B223"/>
      <c r="C223"/>
      <c r="D223"/>
      <c r="E223"/>
      <c r="F223"/>
      <c r="G223"/>
      <c r="H223"/>
      <c r="I223"/>
      <c r="J223"/>
      <c r="K223"/>
      <c r="L223"/>
      <c r="M223"/>
      <c r="N223"/>
      <c r="O223"/>
      <c r="P223">
        <f t="shared" si="18"/>
        <v>0</v>
      </c>
      <c r="Q223" s="351">
        <f t="shared" si="17"/>
        <v>0</v>
      </c>
    </row>
    <row r="224" spans="1:17">
      <c r="A224" s="165"/>
      <c r="B224" s="346"/>
      <c r="C224" s="346"/>
      <c r="D224" s="346"/>
      <c r="E224" s="346"/>
      <c r="F224" s="346"/>
      <c r="G224" s="346"/>
      <c r="H224" s="346"/>
      <c r="I224" s="346"/>
      <c r="J224" s="346"/>
      <c r="K224" s="346"/>
      <c r="L224" s="346"/>
      <c r="M224" s="346"/>
      <c r="N224" s="346"/>
      <c r="O224" s="346"/>
      <c r="P224">
        <f t="shared" si="18"/>
        <v>0</v>
      </c>
      <c r="Q224" s="351">
        <f t="shared" si="17"/>
        <v>0</v>
      </c>
    </row>
    <row r="225" spans="1:17">
      <c r="A225" s="165"/>
      <c r="B225"/>
      <c r="C225"/>
      <c r="D225"/>
      <c r="E225"/>
      <c r="F225"/>
      <c r="G225"/>
      <c r="H225"/>
      <c r="I225"/>
      <c r="J225"/>
      <c r="K225"/>
      <c r="L225"/>
      <c r="M225"/>
      <c r="N225"/>
      <c r="O225"/>
      <c r="P225">
        <f t="shared" si="18"/>
        <v>0</v>
      </c>
      <c r="Q225" s="351">
        <f t="shared" si="17"/>
        <v>0</v>
      </c>
    </row>
    <row r="226" spans="1:17">
      <c r="A226" s="165"/>
      <c r="B226" s="346"/>
      <c r="C226" s="346"/>
      <c r="D226" s="346"/>
      <c r="E226" s="346"/>
      <c r="F226" s="346"/>
      <c r="G226" s="346"/>
      <c r="H226" s="346"/>
      <c r="I226" s="346"/>
      <c r="J226" s="346"/>
      <c r="K226" s="346"/>
      <c r="L226" s="346"/>
      <c r="M226" s="346"/>
      <c r="N226" s="346"/>
      <c r="O226" s="346"/>
      <c r="P226">
        <f t="shared" si="18"/>
        <v>0</v>
      </c>
      <c r="Q226" s="351">
        <f t="shared" si="17"/>
        <v>0</v>
      </c>
    </row>
    <row r="227" spans="1:17">
      <c r="A227" s="165"/>
      <c r="B227"/>
      <c r="C227"/>
      <c r="D227"/>
      <c r="E227"/>
      <c r="F227"/>
      <c r="G227"/>
      <c r="H227"/>
      <c r="I227"/>
      <c r="J227"/>
      <c r="K227"/>
      <c r="L227"/>
      <c r="M227"/>
      <c r="N227"/>
      <c r="O227"/>
      <c r="P227">
        <f t="shared" si="18"/>
        <v>0</v>
      </c>
      <c r="Q227" s="351">
        <f t="shared" si="17"/>
        <v>0</v>
      </c>
    </row>
    <row r="228" spans="1:17">
      <c r="A228" s="165"/>
      <c r="B228" s="346"/>
      <c r="C228" s="346"/>
      <c r="D228" s="346"/>
      <c r="E228" s="346"/>
      <c r="F228" s="346"/>
      <c r="G228" s="346"/>
      <c r="H228" s="346"/>
      <c r="I228" s="346"/>
      <c r="J228" s="346"/>
      <c r="K228" s="346"/>
      <c r="L228" s="346"/>
      <c r="M228" s="346"/>
      <c r="N228" s="346"/>
      <c r="O228" s="346"/>
      <c r="P228">
        <f t="shared" si="18"/>
        <v>0</v>
      </c>
      <c r="Q228" s="351">
        <f t="shared" si="17"/>
        <v>0</v>
      </c>
    </row>
    <row r="229" spans="1:17">
      <c r="A229" s="165"/>
      <c r="B229"/>
      <c r="C229"/>
      <c r="D229"/>
      <c r="E229"/>
      <c r="F229"/>
      <c r="G229"/>
      <c r="H229"/>
      <c r="I229"/>
      <c r="J229"/>
      <c r="K229"/>
      <c r="L229"/>
      <c r="M229"/>
      <c r="N229"/>
      <c r="O229"/>
      <c r="P229">
        <f t="shared" si="18"/>
        <v>0</v>
      </c>
      <c r="Q229" s="351">
        <f t="shared" si="17"/>
        <v>0</v>
      </c>
    </row>
    <row r="230" spans="1:17">
      <c r="A230" s="165"/>
      <c r="B230" s="346"/>
      <c r="C230" s="346"/>
      <c r="D230" s="346"/>
      <c r="E230" s="346"/>
      <c r="F230" s="346"/>
      <c r="G230" s="346"/>
      <c r="H230" s="346"/>
      <c r="I230" s="346"/>
      <c r="J230" s="346"/>
      <c r="K230" s="346"/>
      <c r="L230" s="346"/>
      <c r="M230" s="346"/>
      <c r="N230" s="346"/>
      <c r="O230" s="346"/>
      <c r="P230">
        <f t="shared" si="18"/>
        <v>0</v>
      </c>
      <c r="Q230" s="351">
        <f t="shared" si="17"/>
        <v>0</v>
      </c>
    </row>
    <row r="231" spans="1:17" ht="15">
      <c r="A231" s="347" t="s">
        <v>113</v>
      </c>
      <c r="B231" s="347">
        <f>SUM(B175:B230)</f>
        <v>25</v>
      </c>
      <c r="C231" s="347">
        <f>SUM(C175:C230)</f>
        <v>0</v>
      </c>
      <c r="D231" s="347">
        <f>SUM(D175:D230)</f>
        <v>0</v>
      </c>
      <c r="E231" s="347">
        <f>SUM(E175:E230)</f>
        <v>25</v>
      </c>
      <c r="F231" s="347">
        <f>SUM(F175:F230)</f>
        <v>0</v>
      </c>
      <c r="G231" s="347">
        <f t="shared" ref="G231:P231" si="19">SUM(G175:G230)</f>
        <v>0</v>
      </c>
      <c r="H231" s="347">
        <f t="shared" si="19"/>
        <v>140</v>
      </c>
      <c r="I231" s="347">
        <f t="shared" si="19"/>
        <v>142</v>
      </c>
      <c r="J231" s="347">
        <f t="shared" si="19"/>
        <v>0</v>
      </c>
      <c r="K231" s="347">
        <f t="shared" si="19"/>
        <v>10</v>
      </c>
      <c r="L231" s="347">
        <f t="shared" si="19"/>
        <v>0</v>
      </c>
      <c r="M231" s="347">
        <f t="shared" si="19"/>
        <v>0</v>
      </c>
      <c r="N231" s="347">
        <f t="shared" si="19"/>
        <v>0</v>
      </c>
      <c r="O231" s="347">
        <f t="shared" si="19"/>
        <v>16</v>
      </c>
      <c r="P231" s="347">
        <f t="shared" si="19"/>
        <v>358</v>
      </c>
      <c r="Q231" s="351"/>
    </row>
    <row r="232" spans="1:17" ht="15.75" thickBot="1">
      <c r="A232" s="348" t="s">
        <v>174</v>
      </c>
      <c r="B232" s="348">
        <f t="shared" ref="B232:O232" si="20">B231/$P231</f>
        <v>6.9832402234636867E-2</v>
      </c>
      <c r="C232" s="348">
        <f t="shared" si="20"/>
        <v>0</v>
      </c>
      <c r="D232" s="348">
        <f t="shared" si="20"/>
        <v>0</v>
      </c>
      <c r="E232" s="348">
        <f t="shared" si="20"/>
        <v>6.9832402234636867E-2</v>
      </c>
      <c r="F232" s="348">
        <f t="shared" si="20"/>
        <v>0</v>
      </c>
      <c r="G232" s="348">
        <f t="shared" si="20"/>
        <v>0</v>
      </c>
      <c r="H232" s="348">
        <f t="shared" si="20"/>
        <v>0.39106145251396646</v>
      </c>
      <c r="I232" s="348">
        <f t="shared" si="20"/>
        <v>0.39664804469273746</v>
      </c>
      <c r="J232" s="348">
        <f t="shared" si="20"/>
        <v>0</v>
      </c>
      <c r="K232" s="348">
        <f t="shared" si="20"/>
        <v>2.7932960893854747E-2</v>
      </c>
      <c r="L232" s="348">
        <f t="shared" si="20"/>
        <v>0</v>
      </c>
      <c r="M232" s="348">
        <f t="shared" si="20"/>
        <v>0</v>
      </c>
      <c r="N232" s="348">
        <f t="shared" si="20"/>
        <v>0</v>
      </c>
      <c r="O232" s="348">
        <f t="shared" si="20"/>
        <v>4.4692737430167599E-2</v>
      </c>
      <c r="P232"/>
      <c r="Q232" s="351"/>
    </row>
    <row r="234" spans="1:17" ht="18" customHeight="1"/>
    <row r="236" spans="1:17" ht="15.75">
      <c r="A236" s="387">
        <f>'Conveyor Downtime (new)'!A248</f>
        <v>46146</v>
      </c>
      <c r="B236" s="346"/>
      <c r="C236" s="346"/>
      <c r="D236" s="346"/>
      <c r="E236" s="346"/>
      <c r="F236" s="346"/>
      <c r="G236" s="346"/>
      <c r="H236" s="346"/>
      <c r="I236" s="346"/>
      <c r="J236" s="346"/>
      <c r="K236" s="346"/>
      <c r="L236" s="346"/>
      <c r="M236" s="346"/>
      <c r="N236" s="346"/>
      <c r="O236" s="346"/>
      <c r="P236">
        <f t="shared" ref="P236:P267" si="21">SUM(B236:O236)</f>
        <v>0</v>
      </c>
      <c r="Q236" s="351">
        <f>P236/$P$291</f>
        <v>0</v>
      </c>
    </row>
    <row r="237" spans="1:17" ht="15.75">
      <c r="A237" s="387">
        <f>'Conveyor Downtime (new)'!A249</f>
        <v>46146</v>
      </c>
      <c r="B237"/>
      <c r="C237"/>
      <c r="D237"/>
      <c r="E237"/>
      <c r="F237"/>
      <c r="G237"/>
      <c r="H237"/>
      <c r="I237"/>
      <c r="J237"/>
      <c r="K237"/>
      <c r="L237"/>
      <c r="M237"/>
      <c r="N237"/>
      <c r="O237"/>
      <c r="P237">
        <f t="shared" si="21"/>
        <v>0</v>
      </c>
      <c r="Q237" s="351">
        <f t="shared" ref="Q237:Q290" si="22">P237/$P$291</f>
        <v>0</v>
      </c>
    </row>
    <row r="238" spans="1:17" ht="15.75">
      <c r="A238" s="387">
        <f>'Conveyor Downtime (new)'!A250</f>
        <v>46147</v>
      </c>
      <c r="B238" s="346"/>
      <c r="C238" s="346"/>
      <c r="D238" s="346"/>
      <c r="E238" s="346"/>
      <c r="F238" s="346"/>
      <c r="G238" s="346"/>
      <c r="H238" s="346"/>
      <c r="I238" s="346"/>
      <c r="J238" s="346"/>
      <c r="K238" s="346"/>
      <c r="L238" s="346"/>
      <c r="M238" s="346"/>
      <c r="N238" s="346"/>
      <c r="O238" s="346"/>
      <c r="P238">
        <f t="shared" si="21"/>
        <v>0</v>
      </c>
      <c r="Q238" s="351">
        <f t="shared" si="22"/>
        <v>0</v>
      </c>
    </row>
    <row r="239" spans="1:17" s="316" customFormat="1" ht="15.75">
      <c r="A239" s="387">
        <f>'Conveyor Downtime (new)'!A251</f>
        <v>46147</v>
      </c>
      <c r="B239"/>
      <c r="C239"/>
      <c r="D239"/>
      <c r="E239"/>
      <c r="F239"/>
      <c r="G239"/>
      <c r="H239"/>
      <c r="I239"/>
      <c r="J239"/>
      <c r="K239"/>
      <c r="L239"/>
      <c r="M239"/>
      <c r="O239"/>
      <c r="P239">
        <f t="shared" si="21"/>
        <v>0</v>
      </c>
      <c r="Q239" s="351">
        <f t="shared" si="22"/>
        <v>0</v>
      </c>
    </row>
    <row r="240" spans="1:17" s="316" customFormat="1" ht="15.75">
      <c r="A240" s="387">
        <f>'Conveyor Downtime (new)'!A252</f>
        <v>46148</v>
      </c>
      <c r="B240" s="346"/>
      <c r="C240" s="346"/>
      <c r="D240" s="346"/>
      <c r="E240" s="346"/>
      <c r="F240" s="346"/>
      <c r="G240" s="346"/>
      <c r="H240" s="346"/>
      <c r="I240" s="346"/>
      <c r="J240" s="346"/>
      <c r="K240" s="346"/>
      <c r="L240" s="346"/>
      <c r="M240" s="346"/>
      <c r="N240" s="346"/>
      <c r="O240" s="346"/>
      <c r="P240">
        <f t="shared" si="21"/>
        <v>0</v>
      </c>
      <c r="Q240" s="351">
        <f t="shared" si="22"/>
        <v>0</v>
      </c>
    </row>
    <row r="241" spans="1:17" s="316" customFormat="1" ht="15.75">
      <c r="A241" s="387">
        <f>'Conveyor Downtime (new)'!A253</f>
        <v>46149</v>
      </c>
      <c r="B241"/>
      <c r="C241"/>
      <c r="D241"/>
      <c r="E241"/>
      <c r="F241"/>
      <c r="G241"/>
      <c r="H241"/>
      <c r="I241"/>
      <c r="J241"/>
      <c r="K241"/>
      <c r="L241"/>
      <c r="M241"/>
      <c r="N241"/>
      <c r="O241"/>
      <c r="P241">
        <f t="shared" si="21"/>
        <v>0</v>
      </c>
      <c r="Q241" s="351">
        <f t="shared" si="22"/>
        <v>0</v>
      </c>
    </row>
    <row r="242" spans="1:17" s="316" customFormat="1" ht="15.75">
      <c r="A242" s="387">
        <f>'Conveyor Downtime (new)'!A254</f>
        <v>46149</v>
      </c>
      <c r="B242" s="346"/>
      <c r="C242" s="346"/>
      <c r="D242" s="346"/>
      <c r="E242" s="346"/>
      <c r="F242" s="346"/>
      <c r="G242" s="346"/>
      <c r="H242" s="346"/>
      <c r="I242" s="346"/>
      <c r="J242" s="346"/>
      <c r="K242" s="346"/>
      <c r="L242" s="346"/>
      <c r="M242" s="346"/>
      <c r="N242" s="346"/>
      <c r="O242" s="346"/>
      <c r="P242">
        <f t="shared" si="21"/>
        <v>0</v>
      </c>
      <c r="Q242" s="351">
        <f t="shared" si="22"/>
        <v>0</v>
      </c>
    </row>
    <row r="243" spans="1:17" s="316" customFormat="1" ht="15.75">
      <c r="A243" s="387">
        <f>'Conveyor Downtime (new)'!A255</f>
        <v>46149</v>
      </c>
      <c r="B243"/>
      <c r="C243"/>
      <c r="D243"/>
      <c r="E243"/>
      <c r="F243"/>
      <c r="G243"/>
      <c r="H243"/>
      <c r="I243"/>
      <c r="J243"/>
      <c r="K243"/>
      <c r="L243"/>
      <c r="M243"/>
      <c r="N243"/>
      <c r="O243"/>
      <c r="P243">
        <f t="shared" si="21"/>
        <v>0</v>
      </c>
      <c r="Q243" s="351">
        <f t="shared" si="22"/>
        <v>0</v>
      </c>
    </row>
    <row r="244" spans="1:17" s="316" customFormat="1" ht="15.75">
      <c r="A244" s="387">
        <f>'Conveyor Downtime (new)'!A256</f>
        <v>46150</v>
      </c>
      <c r="B244" s="346"/>
      <c r="C244" s="346"/>
      <c r="D244" s="346"/>
      <c r="E244" s="346"/>
      <c r="F244" s="346"/>
      <c r="G244" s="346"/>
      <c r="H244" s="346"/>
      <c r="I244" s="346"/>
      <c r="J244" s="346"/>
      <c r="K244" s="346"/>
      <c r="L244" s="346"/>
      <c r="M244" s="346"/>
      <c r="N244" s="346"/>
      <c r="O244" s="346"/>
      <c r="P244">
        <f t="shared" si="21"/>
        <v>0</v>
      </c>
      <c r="Q244" s="351">
        <f t="shared" si="22"/>
        <v>0</v>
      </c>
    </row>
    <row r="245" spans="1:17" ht="15.75">
      <c r="A245" s="387">
        <f>'Conveyor Downtime (new)'!A257</f>
        <v>46150</v>
      </c>
      <c r="B245"/>
      <c r="C245"/>
      <c r="D245"/>
      <c r="E245"/>
      <c r="F245"/>
      <c r="G245"/>
      <c r="H245"/>
      <c r="I245"/>
      <c r="J245"/>
      <c r="K245"/>
      <c r="L245"/>
      <c r="M245"/>
      <c r="N245"/>
      <c r="O245"/>
      <c r="P245">
        <f t="shared" si="21"/>
        <v>0</v>
      </c>
      <c r="Q245" s="351">
        <f t="shared" si="22"/>
        <v>0</v>
      </c>
    </row>
    <row r="246" spans="1:17" ht="15.75">
      <c r="A246" s="387">
        <f>'Conveyor Downtime (new)'!A258</f>
        <v>46151</v>
      </c>
      <c r="B246" s="346"/>
      <c r="C246" s="346"/>
      <c r="D246" s="346"/>
      <c r="E246" s="346"/>
      <c r="F246" s="346"/>
      <c r="G246" s="346"/>
      <c r="H246" s="346"/>
      <c r="I246" s="346"/>
      <c r="J246" s="346"/>
      <c r="K246" s="346"/>
      <c r="L246" s="346"/>
      <c r="M246" s="346"/>
      <c r="N246" s="346"/>
      <c r="O246" s="346"/>
      <c r="P246">
        <f t="shared" si="21"/>
        <v>0</v>
      </c>
      <c r="Q246" s="351">
        <f t="shared" si="22"/>
        <v>0</v>
      </c>
    </row>
    <row r="247" spans="1:17" ht="15.75">
      <c r="A247" s="387">
        <f>'Conveyor Downtime (new)'!A259</f>
        <v>46153</v>
      </c>
      <c r="B247"/>
      <c r="C247"/>
      <c r="D247"/>
      <c r="E247"/>
      <c r="F247"/>
      <c r="G247"/>
      <c r="H247"/>
      <c r="I247"/>
      <c r="J247"/>
      <c r="K247"/>
      <c r="L247"/>
      <c r="M247"/>
      <c r="N247"/>
      <c r="O247"/>
      <c r="P247">
        <f t="shared" si="21"/>
        <v>0</v>
      </c>
      <c r="Q247" s="351">
        <f t="shared" si="22"/>
        <v>0</v>
      </c>
    </row>
    <row r="248" spans="1:17" ht="15.75">
      <c r="A248" s="387">
        <f>'Conveyor Downtime (new)'!A260</f>
        <v>46154</v>
      </c>
      <c r="B248" s="346"/>
      <c r="C248" s="346"/>
      <c r="D248" s="346"/>
      <c r="E248" s="346"/>
      <c r="F248" s="346"/>
      <c r="G248" s="346"/>
      <c r="H248" s="346"/>
      <c r="I248" s="346"/>
      <c r="J248" s="346"/>
      <c r="K248" s="346"/>
      <c r="L248" s="346"/>
      <c r="M248" s="346"/>
      <c r="N248" s="346"/>
      <c r="O248" s="346"/>
      <c r="P248">
        <f t="shared" si="21"/>
        <v>0</v>
      </c>
      <c r="Q248" s="351">
        <f t="shared" si="22"/>
        <v>0</v>
      </c>
    </row>
    <row r="249" spans="1:17" ht="15.75">
      <c r="A249" s="387">
        <f>'Conveyor Downtime (new)'!A261</f>
        <v>46154</v>
      </c>
      <c r="B249"/>
      <c r="C249"/>
      <c r="D249"/>
      <c r="E249"/>
      <c r="F249"/>
      <c r="G249"/>
      <c r="H249"/>
      <c r="I249"/>
      <c r="J249"/>
      <c r="K249"/>
      <c r="L249"/>
      <c r="M249"/>
      <c r="N249"/>
      <c r="O249"/>
      <c r="P249">
        <f t="shared" si="21"/>
        <v>0</v>
      </c>
      <c r="Q249" s="351">
        <f t="shared" si="22"/>
        <v>0</v>
      </c>
    </row>
    <row r="250" spans="1:17" ht="15.75">
      <c r="A250" s="387">
        <f>'Conveyor Downtime (new)'!A262</f>
        <v>46155</v>
      </c>
      <c r="B250" s="346"/>
      <c r="C250" s="346"/>
      <c r="D250" s="346"/>
      <c r="E250" s="346"/>
      <c r="F250" s="346"/>
      <c r="G250" s="346"/>
      <c r="H250" s="346"/>
      <c r="I250" s="346"/>
      <c r="J250" s="346"/>
      <c r="K250" s="346"/>
      <c r="L250" s="346"/>
      <c r="M250" s="346"/>
      <c r="N250" s="346"/>
      <c r="O250" s="346"/>
      <c r="P250">
        <f t="shared" si="21"/>
        <v>0</v>
      </c>
      <c r="Q250" s="351">
        <f t="shared" si="22"/>
        <v>0</v>
      </c>
    </row>
    <row r="251" spans="1:17" ht="15.75">
      <c r="A251" s="387">
        <f>'Conveyor Downtime (new)'!A263</f>
        <v>46155</v>
      </c>
      <c r="B251"/>
      <c r="C251"/>
      <c r="D251"/>
      <c r="E251"/>
      <c r="F251"/>
      <c r="G251"/>
      <c r="H251"/>
      <c r="I251"/>
      <c r="J251"/>
      <c r="K251"/>
      <c r="L251"/>
      <c r="M251"/>
      <c r="N251"/>
      <c r="O251"/>
      <c r="P251">
        <f t="shared" si="21"/>
        <v>0</v>
      </c>
      <c r="Q251" s="351">
        <f t="shared" si="22"/>
        <v>0</v>
      </c>
    </row>
    <row r="252" spans="1:17" ht="15.75">
      <c r="A252" s="387">
        <f>'Conveyor Downtime (new)'!A264</f>
        <v>46156</v>
      </c>
      <c r="B252" s="346"/>
      <c r="C252" s="346"/>
      <c r="D252" s="346"/>
      <c r="E252" s="346"/>
      <c r="F252" s="346"/>
      <c r="G252" s="346"/>
      <c r="H252" s="346"/>
      <c r="I252" s="346"/>
      <c r="J252" s="346"/>
      <c r="K252" s="346"/>
      <c r="L252" s="346"/>
      <c r="M252" s="346"/>
      <c r="N252" s="346"/>
      <c r="O252" s="346"/>
      <c r="P252">
        <f t="shared" si="21"/>
        <v>0</v>
      </c>
      <c r="Q252" s="351">
        <f t="shared" si="22"/>
        <v>0</v>
      </c>
    </row>
    <row r="253" spans="1:17" ht="15.75">
      <c r="A253" s="387">
        <f>'Conveyor Downtime (new)'!A265</f>
        <v>46156</v>
      </c>
      <c r="B253"/>
      <c r="C253"/>
      <c r="D253"/>
      <c r="E253"/>
      <c r="F253"/>
      <c r="G253"/>
      <c r="H253"/>
      <c r="I253"/>
      <c r="J253"/>
      <c r="K253"/>
      <c r="L253"/>
      <c r="M253"/>
      <c r="N253"/>
      <c r="O253"/>
      <c r="P253">
        <f t="shared" si="21"/>
        <v>0</v>
      </c>
      <c r="Q253" s="351">
        <f t="shared" si="22"/>
        <v>0</v>
      </c>
    </row>
    <row r="254" spans="1:17" ht="15.75">
      <c r="A254" s="387">
        <f>'Conveyor Downtime (new)'!A266</f>
        <v>46156</v>
      </c>
      <c r="B254" s="346"/>
      <c r="C254" s="346"/>
      <c r="D254" s="346"/>
      <c r="E254" s="346"/>
      <c r="F254" s="346"/>
      <c r="G254" s="346"/>
      <c r="H254" s="346"/>
      <c r="I254" s="346"/>
      <c r="J254" s="346"/>
      <c r="K254" s="346"/>
      <c r="L254" s="346"/>
      <c r="M254" s="346"/>
      <c r="N254" s="346"/>
      <c r="O254" s="346"/>
      <c r="P254">
        <f t="shared" si="21"/>
        <v>0</v>
      </c>
      <c r="Q254" s="351">
        <f t="shared" si="22"/>
        <v>0</v>
      </c>
    </row>
    <row r="255" spans="1:17" ht="15.75">
      <c r="A255" s="387">
        <f>'Conveyor Downtime (new)'!A267</f>
        <v>46156</v>
      </c>
      <c r="B255"/>
      <c r="C255"/>
      <c r="D255"/>
      <c r="E255"/>
      <c r="F255"/>
      <c r="G255"/>
      <c r="H255"/>
      <c r="I255"/>
      <c r="J255"/>
      <c r="K255"/>
      <c r="L255"/>
      <c r="M255"/>
      <c r="N255"/>
      <c r="O255"/>
      <c r="P255">
        <f t="shared" si="21"/>
        <v>0</v>
      </c>
      <c r="Q255" s="351">
        <f t="shared" si="22"/>
        <v>0</v>
      </c>
    </row>
    <row r="256" spans="1:17" ht="15.75">
      <c r="A256" s="387">
        <f>'Conveyor Downtime (new)'!A268</f>
        <v>46157</v>
      </c>
      <c r="B256" s="346"/>
      <c r="C256" s="346"/>
      <c r="D256" s="346"/>
      <c r="E256" s="346"/>
      <c r="F256" s="346"/>
      <c r="G256" s="346"/>
      <c r="H256" s="346"/>
      <c r="I256" s="346"/>
      <c r="J256" s="346"/>
      <c r="K256" s="346"/>
      <c r="L256" s="346"/>
      <c r="M256" s="346"/>
      <c r="N256" s="346"/>
      <c r="O256" s="346"/>
      <c r="P256">
        <f t="shared" si="21"/>
        <v>0</v>
      </c>
      <c r="Q256" s="351">
        <f t="shared" si="22"/>
        <v>0</v>
      </c>
    </row>
    <row r="257" spans="1:17" ht="15.75">
      <c r="A257" s="387">
        <f>'Conveyor Downtime (new)'!A269</f>
        <v>46157</v>
      </c>
      <c r="B257"/>
      <c r="C257"/>
      <c r="D257"/>
      <c r="E257"/>
      <c r="F257"/>
      <c r="G257"/>
      <c r="H257"/>
      <c r="I257"/>
      <c r="J257"/>
      <c r="K257"/>
      <c r="L257"/>
      <c r="M257"/>
      <c r="N257"/>
      <c r="O257"/>
      <c r="P257">
        <f t="shared" si="21"/>
        <v>0</v>
      </c>
      <c r="Q257" s="351">
        <f t="shared" si="22"/>
        <v>0</v>
      </c>
    </row>
    <row r="258" spans="1:17" ht="15.75">
      <c r="A258" s="387">
        <f>'Conveyor Downtime (new)'!A270</f>
        <v>46158</v>
      </c>
      <c r="B258" s="346"/>
      <c r="C258" s="346"/>
      <c r="D258" s="346"/>
      <c r="E258" s="346"/>
      <c r="F258" s="346"/>
      <c r="G258" s="346"/>
      <c r="H258" s="346"/>
      <c r="I258" s="346"/>
      <c r="J258" s="346"/>
      <c r="K258" s="346"/>
      <c r="L258" s="346"/>
      <c r="M258" s="346"/>
      <c r="N258" s="346"/>
      <c r="O258" s="346"/>
      <c r="P258">
        <f t="shared" si="21"/>
        <v>0</v>
      </c>
      <c r="Q258" s="351">
        <f t="shared" si="22"/>
        <v>0</v>
      </c>
    </row>
    <row r="259" spans="1:17" ht="15.75">
      <c r="A259" s="387">
        <f>'Conveyor Downtime (new)'!A271</f>
        <v>46160</v>
      </c>
      <c r="B259"/>
      <c r="C259"/>
      <c r="D259"/>
      <c r="E259"/>
      <c r="F259"/>
      <c r="G259"/>
      <c r="H259"/>
      <c r="I259"/>
      <c r="J259"/>
      <c r="K259"/>
      <c r="L259"/>
      <c r="M259"/>
      <c r="N259"/>
      <c r="O259"/>
      <c r="P259">
        <f t="shared" si="21"/>
        <v>0</v>
      </c>
      <c r="Q259" s="351">
        <f t="shared" si="22"/>
        <v>0</v>
      </c>
    </row>
    <row r="260" spans="1:17" ht="15.75">
      <c r="A260" s="387">
        <f>'Conveyor Downtime (new)'!A272</f>
        <v>46160</v>
      </c>
      <c r="B260" s="346"/>
      <c r="C260" s="346"/>
      <c r="D260" s="346"/>
      <c r="E260" s="346"/>
      <c r="F260" s="346"/>
      <c r="G260" s="346"/>
      <c r="H260" s="346"/>
      <c r="I260" s="346"/>
      <c r="J260" s="346"/>
      <c r="K260" s="346"/>
      <c r="L260" s="346"/>
      <c r="M260" s="346"/>
      <c r="N260" s="346"/>
      <c r="O260" s="346"/>
      <c r="P260">
        <f t="shared" si="21"/>
        <v>0</v>
      </c>
      <c r="Q260" s="351">
        <f t="shared" si="22"/>
        <v>0</v>
      </c>
    </row>
    <row r="261" spans="1:17" ht="15.75">
      <c r="A261" s="387">
        <f>'Conveyor Downtime (new)'!A273</f>
        <v>46161</v>
      </c>
      <c r="B261"/>
      <c r="C261"/>
      <c r="D261"/>
      <c r="E261"/>
      <c r="F261"/>
      <c r="G261"/>
      <c r="H261"/>
      <c r="I261"/>
      <c r="J261"/>
      <c r="K261"/>
      <c r="L261"/>
      <c r="M261"/>
      <c r="N261"/>
      <c r="O261"/>
      <c r="P261">
        <f t="shared" si="21"/>
        <v>0</v>
      </c>
      <c r="Q261" s="351">
        <f t="shared" si="22"/>
        <v>0</v>
      </c>
    </row>
    <row r="262" spans="1:17" ht="15.75">
      <c r="A262" s="387">
        <f>'Conveyor Downtime (new)'!A274</f>
        <v>46161</v>
      </c>
      <c r="B262" s="346">
        <f>21+4+4+13</f>
        <v>42</v>
      </c>
      <c r="C262" s="346"/>
      <c r="D262" s="346"/>
      <c r="E262" s="346"/>
      <c r="F262" s="346"/>
      <c r="G262" s="346"/>
      <c r="H262" s="346"/>
      <c r="I262" s="346"/>
      <c r="J262" s="346"/>
      <c r="K262" s="346"/>
      <c r="L262" s="346"/>
      <c r="M262" s="346"/>
      <c r="N262" s="346"/>
      <c r="O262" s="346"/>
      <c r="P262">
        <f t="shared" si="21"/>
        <v>42</v>
      </c>
      <c r="Q262" s="351">
        <f t="shared" si="22"/>
        <v>0.39622641509433965</v>
      </c>
    </row>
    <row r="263" spans="1:17" ht="15.75">
      <c r="A263" s="387">
        <f>'Conveyor Downtime (new)'!A275</f>
        <v>46161</v>
      </c>
      <c r="B263"/>
      <c r="C263"/>
      <c r="D263"/>
      <c r="E263">
        <f>3</f>
        <v>3</v>
      </c>
      <c r="F263"/>
      <c r="G263"/>
      <c r="H263"/>
      <c r="I263"/>
      <c r="J263"/>
      <c r="K263"/>
      <c r="L263"/>
      <c r="M263">
        <f>3</f>
        <v>3</v>
      </c>
      <c r="N263"/>
      <c r="O263"/>
      <c r="P263">
        <f t="shared" si="21"/>
        <v>6</v>
      </c>
      <c r="Q263" s="351">
        <f t="shared" si="22"/>
        <v>5.6603773584905662E-2</v>
      </c>
    </row>
    <row r="264" spans="1:17" ht="15.75">
      <c r="A264" s="387">
        <f>'Conveyor Downtime (new)'!A276</f>
        <v>46162</v>
      </c>
      <c r="B264" s="346"/>
      <c r="C264" s="346"/>
      <c r="D264" s="346"/>
      <c r="E264" s="346"/>
      <c r="F264" s="346"/>
      <c r="G264" s="346"/>
      <c r="H264" s="346"/>
      <c r="I264" s="346"/>
      <c r="J264" s="346"/>
      <c r="K264" s="346"/>
      <c r="L264" s="346"/>
      <c r="M264" s="346"/>
      <c r="N264" s="346"/>
      <c r="O264" s="346"/>
      <c r="P264">
        <f t="shared" si="21"/>
        <v>0</v>
      </c>
      <c r="Q264" s="351">
        <f t="shared" si="22"/>
        <v>0</v>
      </c>
    </row>
    <row r="265" spans="1:17" ht="15.75">
      <c r="A265" s="387">
        <f>'Conveyor Downtime (new)'!A277</f>
        <v>46162</v>
      </c>
      <c r="B265"/>
      <c r="C265"/>
      <c r="D265"/>
      <c r="E265"/>
      <c r="F265"/>
      <c r="G265"/>
      <c r="H265"/>
      <c r="I265"/>
      <c r="J265"/>
      <c r="K265"/>
      <c r="L265"/>
      <c r="M265"/>
      <c r="N265"/>
      <c r="O265"/>
      <c r="P265">
        <f t="shared" si="21"/>
        <v>0</v>
      </c>
      <c r="Q265" s="351">
        <f t="shared" si="22"/>
        <v>0</v>
      </c>
    </row>
    <row r="266" spans="1:17" ht="15.75">
      <c r="A266" s="387">
        <f>'Conveyor Downtime (new)'!A278</f>
        <v>46163</v>
      </c>
      <c r="B266" s="346"/>
      <c r="C266" s="346"/>
      <c r="D266" s="346"/>
      <c r="E266" s="346"/>
      <c r="F266" s="346"/>
      <c r="G266" s="346"/>
      <c r="H266" s="346"/>
      <c r="I266" s="346"/>
      <c r="J266" s="346"/>
      <c r="K266" s="346"/>
      <c r="L266" s="346"/>
      <c r="M266" s="346"/>
      <c r="N266" s="346"/>
      <c r="O266" s="346"/>
      <c r="P266">
        <f t="shared" si="21"/>
        <v>0</v>
      </c>
      <c r="Q266" s="351">
        <f t="shared" si="22"/>
        <v>0</v>
      </c>
    </row>
    <row r="267" spans="1:17" ht="15.75">
      <c r="A267" s="387">
        <f>'Conveyor Downtime (new)'!A279</f>
        <v>46163</v>
      </c>
      <c r="B267"/>
      <c r="C267"/>
      <c r="D267"/>
      <c r="E267"/>
      <c r="F267"/>
      <c r="G267"/>
      <c r="H267"/>
      <c r="I267"/>
      <c r="J267"/>
      <c r="K267"/>
      <c r="L267"/>
      <c r="M267"/>
      <c r="N267"/>
      <c r="O267"/>
      <c r="P267">
        <f t="shared" si="21"/>
        <v>0</v>
      </c>
      <c r="Q267" s="351">
        <f t="shared" si="22"/>
        <v>0</v>
      </c>
    </row>
    <row r="268" spans="1:17" ht="15.75">
      <c r="A268" s="387">
        <f>'Conveyor Downtime (new)'!A280</f>
        <v>46163</v>
      </c>
      <c r="B268" s="346"/>
      <c r="C268" s="346"/>
      <c r="D268" s="346"/>
      <c r="E268" s="346"/>
      <c r="F268" s="346"/>
      <c r="G268" s="346"/>
      <c r="H268" s="346"/>
      <c r="I268" s="346"/>
      <c r="J268" s="346"/>
      <c r="K268" s="346"/>
      <c r="L268" s="346"/>
      <c r="M268" s="346">
        <v>3</v>
      </c>
      <c r="N268" s="346"/>
      <c r="O268" s="346">
        <v>3</v>
      </c>
      <c r="P268">
        <f t="shared" ref="P268:P290" si="23">SUM(B268:O268)</f>
        <v>6</v>
      </c>
      <c r="Q268" s="351">
        <f t="shared" si="22"/>
        <v>5.6603773584905662E-2</v>
      </c>
    </row>
    <row r="269" spans="1:17" ht="15.75">
      <c r="A269" s="387">
        <f>'Conveyor Downtime (new)'!A281</f>
        <v>46164</v>
      </c>
      <c r="B269"/>
      <c r="C269"/>
      <c r="D269"/>
      <c r="E269"/>
      <c r="F269"/>
      <c r="G269"/>
      <c r="H269"/>
      <c r="I269"/>
      <c r="J269"/>
      <c r="K269"/>
      <c r="L269">
        <f>9</f>
        <v>9</v>
      </c>
      <c r="M269">
        <f>10</f>
        <v>10</v>
      </c>
      <c r="N269"/>
      <c r="O269">
        <f>17+6+7+3</f>
        <v>33</v>
      </c>
      <c r="P269">
        <f t="shared" si="23"/>
        <v>52</v>
      </c>
      <c r="Q269" s="351">
        <f t="shared" si="22"/>
        <v>0.49056603773584906</v>
      </c>
    </row>
    <row r="270" spans="1:17" ht="15.75">
      <c r="A270" s="387">
        <f>'Conveyor Downtime (new)'!A282</f>
        <v>46164</v>
      </c>
      <c r="B270" s="346"/>
      <c r="C270" s="346"/>
      <c r="D270" s="346"/>
      <c r="E270" s="346"/>
      <c r="F270" s="346"/>
      <c r="G270" s="346"/>
      <c r="H270" s="346"/>
      <c r="I270" s="346"/>
      <c r="J270" s="346"/>
      <c r="K270" s="346"/>
      <c r="L270" s="346"/>
      <c r="M270" s="346"/>
      <c r="N270" s="346"/>
      <c r="O270" s="346"/>
      <c r="P270">
        <f t="shared" si="23"/>
        <v>0</v>
      </c>
      <c r="Q270" s="351">
        <f t="shared" si="22"/>
        <v>0</v>
      </c>
    </row>
    <row r="271" spans="1:17" ht="15.75">
      <c r="A271" s="387">
        <f>'Conveyor Downtime (new)'!A283</f>
        <v>46164</v>
      </c>
      <c r="B271"/>
      <c r="C271"/>
      <c r="D271"/>
      <c r="E271"/>
      <c r="F271"/>
      <c r="G271"/>
      <c r="H271"/>
      <c r="I271"/>
      <c r="J271"/>
      <c r="K271"/>
      <c r="L271"/>
      <c r="M271"/>
      <c r="N271"/>
      <c r="O271"/>
      <c r="P271">
        <f t="shared" si="23"/>
        <v>0</v>
      </c>
      <c r="Q271" s="351">
        <f t="shared" si="22"/>
        <v>0</v>
      </c>
    </row>
    <row r="272" spans="1:17" ht="15.75">
      <c r="A272" s="387">
        <f>'Conveyor Downtime (new)'!A284</f>
        <v>46168</v>
      </c>
      <c r="B272" s="346"/>
      <c r="C272" s="346"/>
      <c r="D272" s="346"/>
      <c r="E272" s="346"/>
      <c r="F272" s="346"/>
      <c r="G272" s="346"/>
      <c r="H272" s="346"/>
      <c r="I272" s="346"/>
      <c r="J272" s="346"/>
      <c r="K272" s="346"/>
      <c r="L272" s="346"/>
      <c r="M272" s="346"/>
      <c r="N272" s="346"/>
      <c r="O272" s="346"/>
      <c r="P272">
        <f t="shared" si="23"/>
        <v>0</v>
      </c>
      <c r="Q272" s="351">
        <f t="shared" si="22"/>
        <v>0</v>
      </c>
    </row>
    <row r="273" spans="1:17" ht="15.75">
      <c r="A273" s="387">
        <f>'Conveyor Downtime (new)'!A285</f>
        <v>46169</v>
      </c>
      <c r="B273"/>
      <c r="C273"/>
      <c r="D273"/>
      <c r="E273"/>
      <c r="F273"/>
      <c r="G273"/>
      <c r="H273"/>
      <c r="I273"/>
      <c r="J273"/>
      <c r="K273"/>
      <c r="L273"/>
      <c r="M273"/>
      <c r="N273"/>
      <c r="O273"/>
      <c r="P273">
        <f t="shared" si="23"/>
        <v>0</v>
      </c>
      <c r="Q273" s="351">
        <f t="shared" si="22"/>
        <v>0</v>
      </c>
    </row>
    <row r="274" spans="1:17" ht="15.75">
      <c r="A274" s="387">
        <f>'Conveyor Downtime (new)'!A286</f>
        <v>46169</v>
      </c>
      <c r="B274" s="346"/>
      <c r="C274" s="346"/>
      <c r="D274" s="346"/>
      <c r="E274" s="346"/>
      <c r="F274" s="346"/>
      <c r="G274" s="346"/>
      <c r="H274" s="346"/>
      <c r="I274" s="346"/>
      <c r="J274" s="346"/>
      <c r="K274" s="346"/>
      <c r="L274" s="346"/>
      <c r="M274" s="346"/>
      <c r="N274" s="346"/>
      <c r="O274" s="346"/>
      <c r="P274">
        <f t="shared" si="23"/>
        <v>0</v>
      </c>
      <c r="Q274" s="351">
        <f t="shared" si="22"/>
        <v>0</v>
      </c>
    </row>
    <row r="275" spans="1:17" ht="15.75">
      <c r="A275" s="387">
        <f>'Conveyor Downtime (new)'!A287</f>
        <v>46170</v>
      </c>
      <c r="B275"/>
      <c r="C275"/>
      <c r="D275"/>
      <c r="E275"/>
      <c r="F275"/>
      <c r="G275"/>
      <c r="H275"/>
      <c r="I275"/>
      <c r="J275"/>
      <c r="K275"/>
      <c r="L275"/>
      <c r="M275"/>
      <c r="N275"/>
      <c r="O275"/>
      <c r="P275">
        <f t="shared" si="23"/>
        <v>0</v>
      </c>
      <c r="Q275" s="351">
        <f t="shared" si="22"/>
        <v>0</v>
      </c>
    </row>
    <row r="276" spans="1:17" ht="15.75">
      <c r="A276" s="387"/>
      <c r="B276" s="346"/>
      <c r="C276" s="346"/>
      <c r="D276" s="346"/>
      <c r="E276" s="346"/>
      <c r="F276" s="346"/>
      <c r="G276" s="346"/>
      <c r="H276" s="346"/>
      <c r="I276" s="346"/>
      <c r="J276" s="346"/>
      <c r="K276" s="346"/>
      <c r="L276" s="346"/>
      <c r="M276" s="346"/>
      <c r="N276" s="346"/>
      <c r="O276" s="346"/>
      <c r="P276">
        <f t="shared" si="23"/>
        <v>0</v>
      </c>
      <c r="Q276" s="351">
        <f t="shared" si="22"/>
        <v>0</v>
      </c>
    </row>
    <row r="277" spans="1:17" ht="15.75" hidden="1">
      <c r="A277" s="387">
        <f>'Conveyor Downtime (new)'!A289</f>
        <v>0</v>
      </c>
      <c r="B277"/>
      <c r="C277"/>
      <c r="D277"/>
      <c r="E277"/>
      <c r="F277"/>
      <c r="G277"/>
      <c r="H277"/>
      <c r="I277"/>
      <c r="J277"/>
      <c r="K277"/>
      <c r="L277"/>
      <c r="M277"/>
      <c r="N277"/>
      <c r="O277"/>
      <c r="P277">
        <f t="shared" si="23"/>
        <v>0</v>
      </c>
      <c r="Q277" s="351">
        <f t="shared" si="22"/>
        <v>0</v>
      </c>
    </row>
    <row r="278" spans="1:17" ht="15.75" hidden="1">
      <c r="A278" s="387">
        <f>'Conveyor Downtime (new)'!A290</f>
        <v>0</v>
      </c>
      <c r="B278" s="346"/>
      <c r="C278" s="346"/>
      <c r="D278" s="346"/>
      <c r="E278" s="346"/>
      <c r="F278" s="346"/>
      <c r="G278" s="346"/>
      <c r="H278" s="346"/>
      <c r="I278" s="346"/>
      <c r="J278" s="346"/>
      <c r="K278" s="346"/>
      <c r="L278" s="346"/>
      <c r="M278" s="346"/>
      <c r="N278" s="346"/>
      <c r="O278" s="346"/>
      <c r="P278">
        <f t="shared" si="23"/>
        <v>0</v>
      </c>
      <c r="Q278" s="351">
        <f t="shared" si="22"/>
        <v>0</v>
      </c>
    </row>
    <row r="279" spans="1:17" ht="15.75" hidden="1">
      <c r="A279" s="387">
        <f>'Conveyor Downtime (new)'!A291</f>
        <v>0</v>
      </c>
      <c r="B279"/>
      <c r="C279"/>
      <c r="D279"/>
      <c r="E279"/>
      <c r="F279"/>
      <c r="G279"/>
      <c r="H279"/>
      <c r="I279"/>
      <c r="J279"/>
      <c r="K279"/>
      <c r="L279"/>
      <c r="M279"/>
      <c r="N279"/>
      <c r="O279"/>
      <c r="P279">
        <f t="shared" si="23"/>
        <v>0</v>
      </c>
      <c r="Q279" s="351">
        <f t="shared" si="22"/>
        <v>0</v>
      </c>
    </row>
    <row r="280" spans="1:17" ht="15.75" hidden="1">
      <c r="A280" s="387">
        <f>'Conveyor Downtime (new)'!A292</f>
        <v>0</v>
      </c>
      <c r="B280" s="346"/>
      <c r="C280" s="346"/>
      <c r="D280" s="346"/>
      <c r="E280" s="346"/>
      <c r="F280" s="346"/>
      <c r="G280" s="346"/>
      <c r="H280" s="346"/>
      <c r="I280" s="346"/>
      <c r="J280" s="346"/>
      <c r="K280" s="346"/>
      <c r="L280" s="346"/>
      <c r="M280" s="346"/>
      <c r="N280" s="346"/>
      <c r="O280" s="346"/>
      <c r="P280">
        <f t="shared" si="23"/>
        <v>0</v>
      </c>
      <c r="Q280" s="351">
        <f t="shared" si="22"/>
        <v>0</v>
      </c>
    </row>
    <row r="281" spans="1:17" ht="15.75" hidden="1">
      <c r="A281" s="387">
        <f>'Conveyor Downtime (new)'!A293</f>
        <v>0</v>
      </c>
      <c r="B281"/>
      <c r="C281"/>
      <c r="D281"/>
      <c r="E281"/>
      <c r="F281"/>
      <c r="G281"/>
      <c r="H281"/>
      <c r="I281"/>
      <c r="J281"/>
      <c r="K281"/>
      <c r="L281"/>
      <c r="M281"/>
      <c r="N281"/>
      <c r="O281"/>
      <c r="P281">
        <f t="shared" si="23"/>
        <v>0</v>
      </c>
      <c r="Q281" s="351">
        <f t="shared" si="22"/>
        <v>0</v>
      </c>
    </row>
    <row r="282" spans="1:17" ht="15.75" hidden="1">
      <c r="A282" s="387">
        <f>'Conveyor Downtime (new)'!A294</f>
        <v>0</v>
      </c>
      <c r="B282" s="346"/>
      <c r="C282" s="346"/>
      <c r="D282" s="346"/>
      <c r="E282" s="346"/>
      <c r="F282" s="346"/>
      <c r="G282" s="346"/>
      <c r="H282" s="346"/>
      <c r="I282" s="346"/>
      <c r="J282" s="346"/>
      <c r="K282" s="346"/>
      <c r="L282" s="346"/>
      <c r="M282" s="346"/>
      <c r="N282" s="346"/>
      <c r="O282" s="346"/>
      <c r="P282">
        <f t="shared" si="23"/>
        <v>0</v>
      </c>
      <c r="Q282" s="351">
        <f t="shared" si="22"/>
        <v>0</v>
      </c>
    </row>
    <row r="283" spans="1:17" ht="15.75" hidden="1">
      <c r="A283" s="387">
        <f>'Conveyor Downtime (new)'!A295</f>
        <v>0</v>
      </c>
      <c r="B283"/>
      <c r="C283"/>
      <c r="D283"/>
      <c r="E283"/>
      <c r="F283"/>
      <c r="G283"/>
      <c r="H283"/>
      <c r="I283"/>
      <c r="J283"/>
      <c r="K283"/>
      <c r="L283"/>
      <c r="M283"/>
      <c r="N283"/>
      <c r="O283"/>
      <c r="P283">
        <f t="shared" si="23"/>
        <v>0</v>
      </c>
      <c r="Q283" s="351">
        <f t="shared" si="22"/>
        <v>0</v>
      </c>
    </row>
    <row r="284" spans="1:17" ht="15.75" hidden="1">
      <c r="A284" s="387">
        <f>'Conveyor Downtime (new)'!A296</f>
        <v>0</v>
      </c>
      <c r="B284" s="346"/>
      <c r="C284" s="346"/>
      <c r="D284" s="346"/>
      <c r="E284" s="346"/>
      <c r="F284" s="346"/>
      <c r="G284" s="346"/>
      <c r="H284" s="346"/>
      <c r="I284" s="346"/>
      <c r="J284" s="346"/>
      <c r="K284" s="346"/>
      <c r="L284" s="346"/>
      <c r="M284" s="346"/>
      <c r="N284" s="346"/>
      <c r="O284" s="346"/>
      <c r="P284">
        <f t="shared" si="23"/>
        <v>0</v>
      </c>
      <c r="Q284" s="351">
        <f t="shared" si="22"/>
        <v>0</v>
      </c>
    </row>
    <row r="285" spans="1:17" ht="15.75" hidden="1">
      <c r="A285" s="387">
        <f>'Conveyor Downtime (new)'!A297</f>
        <v>0</v>
      </c>
      <c r="B285"/>
      <c r="C285"/>
      <c r="D285"/>
      <c r="E285"/>
      <c r="F285"/>
      <c r="G285"/>
      <c r="H285"/>
      <c r="I285"/>
      <c r="J285"/>
      <c r="K285"/>
      <c r="L285"/>
      <c r="M285"/>
      <c r="N285"/>
      <c r="O285"/>
      <c r="P285">
        <f t="shared" si="23"/>
        <v>0</v>
      </c>
      <c r="Q285" s="351">
        <f t="shared" si="22"/>
        <v>0</v>
      </c>
    </row>
    <row r="286" spans="1:17" ht="15.75" hidden="1">
      <c r="A286" s="387"/>
      <c r="B286" s="346"/>
      <c r="C286" s="346"/>
      <c r="D286" s="346"/>
      <c r="E286" s="346"/>
      <c r="F286" s="346"/>
      <c r="G286" s="346"/>
      <c r="H286" s="346"/>
      <c r="I286" s="346"/>
      <c r="J286" s="346"/>
      <c r="K286" s="346"/>
      <c r="L286" s="346"/>
      <c r="M286" s="346"/>
      <c r="N286" s="346"/>
      <c r="O286" s="346"/>
      <c r="P286">
        <f t="shared" si="23"/>
        <v>0</v>
      </c>
      <c r="Q286" s="351">
        <f t="shared" si="22"/>
        <v>0</v>
      </c>
    </row>
    <row r="287" spans="1:17" ht="15.75" hidden="1">
      <c r="A287" s="387"/>
      <c r="B287"/>
      <c r="C287"/>
      <c r="D287"/>
      <c r="E287"/>
      <c r="F287"/>
      <c r="G287"/>
      <c r="H287"/>
      <c r="I287"/>
      <c r="J287"/>
      <c r="K287"/>
      <c r="L287"/>
      <c r="M287"/>
      <c r="N287"/>
      <c r="O287"/>
      <c r="P287">
        <f t="shared" si="23"/>
        <v>0</v>
      </c>
      <c r="Q287" s="351">
        <f t="shared" si="22"/>
        <v>0</v>
      </c>
    </row>
    <row r="288" spans="1:17" ht="15.75" hidden="1">
      <c r="A288" s="387"/>
      <c r="B288" s="346"/>
      <c r="C288" s="346"/>
      <c r="D288" s="346"/>
      <c r="E288" s="346"/>
      <c r="F288" s="346"/>
      <c r="G288" s="346"/>
      <c r="H288" s="346"/>
      <c r="I288" s="346"/>
      <c r="J288" s="346"/>
      <c r="K288" s="346"/>
      <c r="L288" s="346"/>
      <c r="M288" s="346"/>
      <c r="N288" s="346"/>
      <c r="O288" s="346"/>
      <c r="P288">
        <f t="shared" si="23"/>
        <v>0</v>
      </c>
      <c r="Q288" s="351">
        <f t="shared" si="22"/>
        <v>0</v>
      </c>
    </row>
    <row r="289" spans="1:17" ht="15.75" hidden="1">
      <c r="A289" s="387"/>
      <c r="B289"/>
      <c r="C289"/>
      <c r="D289"/>
      <c r="E289"/>
      <c r="F289"/>
      <c r="G289"/>
      <c r="H289"/>
      <c r="I289"/>
      <c r="J289"/>
      <c r="K289"/>
      <c r="L289"/>
      <c r="M289"/>
      <c r="N289"/>
      <c r="O289"/>
      <c r="P289">
        <f t="shared" si="23"/>
        <v>0</v>
      </c>
      <c r="Q289" s="351">
        <f t="shared" si="22"/>
        <v>0</v>
      </c>
    </row>
    <row r="290" spans="1:17" ht="15.75" hidden="1">
      <c r="A290" s="387"/>
      <c r="B290" s="346"/>
      <c r="C290" s="346"/>
      <c r="D290" s="346"/>
      <c r="E290" s="346"/>
      <c r="F290" s="346"/>
      <c r="G290" s="346"/>
      <c r="H290" s="346"/>
      <c r="I290" s="346"/>
      <c r="J290" s="346"/>
      <c r="K290" s="346"/>
      <c r="L290" s="346"/>
      <c r="M290" s="346"/>
      <c r="N290" s="346"/>
      <c r="O290" s="346"/>
      <c r="P290">
        <f t="shared" si="23"/>
        <v>0</v>
      </c>
      <c r="Q290" s="351">
        <f t="shared" si="22"/>
        <v>0</v>
      </c>
    </row>
    <row r="291" spans="1:17" ht="15">
      <c r="A291" s="347" t="s">
        <v>113</v>
      </c>
      <c r="B291" s="347">
        <f>SUM(B236:B290)</f>
        <v>42</v>
      </c>
      <c r="C291" s="347">
        <f>SUM(C236:C290)</f>
        <v>0</v>
      </c>
      <c r="D291" s="347">
        <f>SUM(D236:D290)</f>
        <v>0</v>
      </c>
      <c r="E291" s="347">
        <f>SUM(E236:E290)</f>
        <v>3</v>
      </c>
      <c r="F291" s="347">
        <f>SUM(F236:F290)</f>
        <v>0</v>
      </c>
      <c r="G291" s="347">
        <f t="shared" ref="G291:P291" si="24">SUM(G236:G290)</f>
        <v>0</v>
      </c>
      <c r="H291" s="347">
        <f t="shared" si="24"/>
        <v>0</v>
      </c>
      <c r="I291" s="347">
        <f t="shared" si="24"/>
        <v>0</v>
      </c>
      <c r="J291" s="347">
        <f t="shared" si="24"/>
        <v>0</v>
      </c>
      <c r="K291" s="347">
        <f t="shared" si="24"/>
        <v>0</v>
      </c>
      <c r="L291" s="347">
        <f t="shared" si="24"/>
        <v>9</v>
      </c>
      <c r="M291" s="347">
        <f t="shared" si="24"/>
        <v>16</v>
      </c>
      <c r="N291" s="347">
        <f t="shared" si="24"/>
        <v>0</v>
      </c>
      <c r="O291" s="347">
        <f t="shared" si="24"/>
        <v>36</v>
      </c>
      <c r="P291" s="347">
        <f t="shared" si="24"/>
        <v>106</v>
      </c>
      <c r="Q291" s="351"/>
    </row>
    <row r="292" spans="1:17" ht="15.75" thickBot="1">
      <c r="A292" s="348" t="s">
        <v>174</v>
      </c>
      <c r="B292" s="348">
        <f t="shared" ref="B292:O292" si="25">B291/$P291</f>
        <v>0.39622641509433965</v>
      </c>
      <c r="C292" s="348">
        <f t="shared" si="25"/>
        <v>0</v>
      </c>
      <c r="D292" s="348">
        <f t="shared" si="25"/>
        <v>0</v>
      </c>
      <c r="E292" s="348">
        <f t="shared" si="25"/>
        <v>2.8301886792452831E-2</v>
      </c>
      <c r="F292" s="348">
        <f t="shared" si="25"/>
        <v>0</v>
      </c>
      <c r="G292" s="348">
        <f t="shared" si="25"/>
        <v>0</v>
      </c>
      <c r="H292" s="348">
        <f t="shared" si="25"/>
        <v>0</v>
      </c>
      <c r="I292" s="348">
        <f t="shared" si="25"/>
        <v>0</v>
      </c>
      <c r="J292" s="348">
        <f t="shared" si="25"/>
        <v>0</v>
      </c>
      <c r="K292" s="348">
        <f t="shared" si="25"/>
        <v>0</v>
      </c>
      <c r="L292" s="348">
        <f t="shared" si="25"/>
        <v>8.4905660377358486E-2</v>
      </c>
      <c r="M292" s="348">
        <f t="shared" si="25"/>
        <v>0.15094339622641509</v>
      </c>
      <c r="N292" s="348">
        <f t="shared" si="25"/>
        <v>0</v>
      </c>
      <c r="O292" s="348">
        <f t="shared" si="25"/>
        <v>0.33962264150943394</v>
      </c>
      <c r="P292"/>
      <c r="Q292" s="351"/>
    </row>
    <row r="296" spans="1:17" ht="15.75">
      <c r="A296" s="387">
        <f>'Conveyor Downtime (new)'!A308</f>
        <v>46192</v>
      </c>
      <c r="B296" s="346"/>
      <c r="C296" s="346"/>
      <c r="D296" s="346"/>
      <c r="E296" s="346"/>
      <c r="F296" s="346"/>
      <c r="G296" s="346"/>
      <c r="H296" s="346"/>
      <c r="I296" s="346"/>
      <c r="J296" s="346"/>
      <c r="K296" s="346"/>
      <c r="L296" s="346"/>
      <c r="M296" s="346"/>
      <c r="N296" s="346"/>
      <c r="O296" s="346"/>
      <c r="P296">
        <f t="shared" ref="P296:P326" si="26">SUM(B296:O296)</f>
        <v>0</v>
      </c>
      <c r="Q296" s="351" t="e">
        <f t="shared" ref="Q296" si="27">P296/$P$350</f>
        <v>#DIV/0!</v>
      </c>
    </row>
    <row r="297" spans="1:17" ht="15.75">
      <c r="A297" s="387">
        <f>'Conveyor Downtime (new)'!A309</f>
        <v>46193</v>
      </c>
      <c r="B297"/>
      <c r="C297"/>
      <c r="D297"/>
      <c r="E297"/>
      <c r="F297"/>
      <c r="G297"/>
      <c r="H297"/>
      <c r="I297"/>
      <c r="J297"/>
      <c r="K297"/>
      <c r="L297"/>
      <c r="M297"/>
      <c r="N297"/>
      <c r="O297"/>
      <c r="P297">
        <f t="shared" si="26"/>
        <v>0</v>
      </c>
      <c r="Q297" s="351" t="e">
        <f t="shared" ref="Q297:Q328" si="28">P297/$P$350</f>
        <v>#DIV/0!</v>
      </c>
    </row>
    <row r="298" spans="1:17" ht="15.75">
      <c r="A298" s="387">
        <f>'Conveyor Downtime (new)'!A310</f>
        <v>46194</v>
      </c>
      <c r="B298" s="346"/>
      <c r="C298" s="346"/>
      <c r="D298" s="346"/>
      <c r="E298" s="346"/>
      <c r="F298" s="346"/>
      <c r="G298" s="346"/>
      <c r="H298" s="346"/>
      <c r="I298" s="346"/>
      <c r="J298" s="346"/>
      <c r="K298" s="346"/>
      <c r="L298" s="346"/>
      <c r="M298" s="346"/>
      <c r="N298" s="346"/>
      <c r="O298" s="346"/>
      <c r="P298">
        <f t="shared" si="26"/>
        <v>0</v>
      </c>
      <c r="Q298" s="351" t="e">
        <f t="shared" si="28"/>
        <v>#DIV/0!</v>
      </c>
    </row>
    <row r="299" spans="1:17" ht="15.75">
      <c r="A299" s="387">
        <f>'Conveyor Downtime (new)'!A311</f>
        <v>46195</v>
      </c>
      <c r="B299"/>
      <c r="C299"/>
      <c r="D299"/>
      <c r="E299"/>
      <c r="F299"/>
      <c r="G299"/>
      <c r="H299"/>
      <c r="I299"/>
      <c r="J299"/>
      <c r="K299"/>
      <c r="L299"/>
      <c r="M299"/>
      <c r="N299"/>
      <c r="O299"/>
      <c r="P299">
        <f t="shared" si="26"/>
        <v>0</v>
      </c>
      <c r="Q299" s="351" t="e">
        <f t="shared" si="28"/>
        <v>#DIV/0!</v>
      </c>
    </row>
    <row r="300" spans="1:17" ht="15.75">
      <c r="A300" s="387">
        <f>'Conveyor Downtime (new)'!A312</f>
        <v>46195</v>
      </c>
      <c r="B300" s="346"/>
      <c r="C300" s="346"/>
      <c r="D300" s="346"/>
      <c r="E300" s="346"/>
      <c r="F300" s="346"/>
      <c r="G300" s="346"/>
      <c r="H300" s="346"/>
      <c r="I300" s="346"/>
      <c r="J300" s="346"/>
      <c r="K300" s="346"/>
      <c r="L300" s="346"/>
      <c r="M300" s="346"/>
      <c r="N300" s="346"/>
      <c r="O300" s="346"/>
      <c r="P300">
        <f t="shared" si="26"/>
        <v>0</v>
      </c>
      <c r="Q300" s="351" t="e">
        <f t="shared" si="28"/>
        <v>#DIV/0!</v>
      </c>
    </row>
    <row r="301" spans="1:17" ht="15.75">
      <c r="A301" s="387">
        <f>'Conveyor Downtime (new)'!A313</f>
        <v>46196</v>
      </c>
      <c r="B301"/>
      <c r="C301"/>
      <c r="D301"/>
      <c r="E301"/>
      <c r="F301"/>
      <c r="G301"/>
      <c r="H301"/>
      <c r="I301"/>
      <c r="J301"/>
      <c r="K301"/>
      <c r="L301"/>
      <c r="M301"/>
      <c r="N301"/>
      <c r="O301"/>
      <c r="P301">
        <f t="shared" si="26"/>
        <v>0</v>
      </c>
      <c r="Q301" s="351" t="e">
        <f t="shared" si="28"/>
        <v>#DIV/0!</v>
      </c>
    </row>
    <row r="302" spans="1:17" ht="15.75">
      <c r="A302" s="387">
        <f>'Conveyor Downtime (new)'!A314</f>
        <v>46196</v>
      </c>
      <c r="B302" s="346"/>
      <c r="C302" s="346"/>
      <c r="D302" s="346"/>
      <c r="E302" s="346"/>
      <c r="F302" s="346"/>
      <c r="G302" s="346"/>
      <c r="H302" s="346"/>
      <c r="I302" s="346"/>
      <c r="J302" s="346"/>
      <c r="K302" s="346"/>
      <c r="L302" s="346"/>
      <c r="M302" s="346"/>
      <c r="N302" s="346"/>
      <c r="O302" s="346"/>
      <c r="P302">
        <f t="shared" si="26"/>
        <v>0</v>
      </c>
      <c r="Q302" s="351" t="e">
        <f t="shared" si="28"/>
        <v>#DIV/0!</v>
      </c>
    </row>
    <row r="303" spans="1:17" ht="18.75" customHeight="1">
      <c r="A303" s="387">
        <f>'Conveyor Downtime (new)'!A315</f>
        <v>46196</v>
      </c>
      <c r="B303"/>
      <c r="C303"/>
      <c r="D303"/>
      <c r="E303"/>
      <c r="F303"/>
      <c r="G303"/>
      <c r="H303"/>
      <c r="I303"/>
      <c r="J303"/>
      <c r="K303"/>
      <c r="L303"/>
      <c r="M303"/>
      <c r="N303"/>
      <c r="O303"/>
      <c r="P303">
        <f t="shared" si="26"/>
        <v>0</v>
      </c>
      <c r="Q303" s="351" t="e">
        <f t="shared" si="28"/>
        <v>#DIV/0!</v>
      </c>
    </row>
    <row r="304" spans="1:17" ht="15.75">
      <c r="A304" s="387">
        <f>'Conveyor Downtime (new)'!A316</f>
        <v>46197</v>
      </c>
      <c r="B304" s="346"/>
      <c r="C304" s="346"/>
      <c r="D304" s="346"/>
      <c r="E304" s="346"/>
      <c r="F304" s="346"/>
      <c r="G304" s="346"/>
      <c r="H304" s="346"/>
      <c r="I304" s="346"/>
      <c r="J304" s="346"/>
      <c r="K304" s="346"/>
      <c r="L304" s="346"/>
      <c r="M304" s="346"/>
      <c r="N304" s="346"/>
      <c r="O304" s="346"/>
      <c r="P304">
        <f t="shared" si="26"/>
        <v>0</v>
      </c>
      <c r="Q304" s="351" t="e">
        <f t="shared" si="28"/>
        <v>#DIV/0!</v>
      </c>
    </row>
    <row r="305" spans="1:17" ht="15.75">
      <c r="A305" s="387">
        <f>'Conveyor Downtime (new)'!A317</f>
        <v>46197</v>
      </c>
      <c r="B305"/>
      <c r="C305"/>
      <c r="D305"/>
      <c r="E305"/>
      <c r="F305"/>
      <c r="G305"/>
      <c r="H305"/>
      <c r="I305"/>
      <c r="J305"/>
      <c r="K305"/>
      <c r="L305"/>
      <c r="M305"/>
      <c r="N305"/>
      <c r="O305"/>
      <c r="P305">
        <f t="shared" si="26"/>
        <v>0</v>
      </c>
      <c r="Q305" s="351" t="e">
        <f t="shared" si="28"/>
        <v>#DIV/0!</v>
      </c>
    </row>
    <row r="306" spans="1:17" ht="15.75">
      <c r="A306" s="387">
        <f>'Conveyor Downtime (new)'!A318</f>
        <v>46198</v>
      </c>
      <c r="B306" s="346"/>
      <c r="C306" s="346"/>
      <c r="D306" s="346"/>
      <c r="E306" s="346"/>
      <c r="F306" s="346"/>
      <c r="G306" s="346"/>
      <c r="H306" s="346"/>
      <c r="I306" s="346"/>
      <c r="J306" s="346"/>
      <c r="K306" s="346"/>
      <c r="L306" s="346"/>
      <c r="M306" s="346"/>
      <c r="N306" s="346"/>
      <c r="O306" s="346"/>
      <c r="P306">
        <f t="shared" si="26"/>
        <v>0</v>
      </c>
      <c r="Q306" s="351" t="e">
        <f t="shared" si="28"/>
        <v>#DIV/0!</v>
      </c>
    </row>
    <row r="307" spans="1:17" ht="15.75">
      <c r="A307" s="387">
        <f>'Conveyor Downtime (new)'!A319</f>
        <v>46198</v>
      </c>
      <c r="B307"/>
      <c r="C307"/>
      <c r="D307"/>
      <c r="E307"/>
      <c r="F307"/>
      <c r="G307"/>
      <c r="H307"/>
      <c r="I307"/>
      <c r="J307"/>
      <c r="K307"/>
      <c r="L307"/>
      <c r="M307"/>
      <c r="N307"/>
      <c r="O307"/>
      <c r="P307">
        <f t="shared" si="26"/>
        <v>0</v>
      </c>
      <c r="Q307" s="351" t="e">
        <f t="shared" si="28"/>
        <v>#DIV/0!</v>
      </c>
    </row>
    <row r="308" spans="1:17" ht="15.75">
      <c r="A308" s="387">
        <f>'Conveyor Downtime (new)'!A320</f>
        <v>46198</v>
      </c>
      <c r="B308" s="346"/>
      <c r="C308" s="346"/>
      <c r="D308" s="346"/>
      <c r="E308" s="346"/>
      <c r="F308" s="346"/>
      <c r="G308" s="346"/>
      <c r="H308" s="346"/>
      <c r="I308" s="346"/>
      <c r="J308" s="346"/>
      <c r="K308" s="346"/>
      <c r="L308" s="346"/>
      <c r="M308" s="346"/>
      <c r="N308" s="346"/>
      <c r="O308" s="346"/>
      <c r="P308">
        <f t="shared" si="26"/>
        <v>0</v>
      </c>
      <c r="Q308" s="351" t="e">
        <f t="shared" si="28"/>
        <v>#DIV/0!</v>
      </c>
    </row>
    <row r="309" spans="1:17" ht="15.75">
      <c r="A309" s="387">
        <f>'Conveyor Downtime (new)'!A321</f>
        <v>46198</v>
      </c>
      <c r="B309"/>
      <c r="C309"/>
      <c r="D309"/>
      <c r="E309"/>
      <c r="F309"/>
      <c r="G309"/>
      <c r="H309"/>
      <c r="I309"/>
      <c r="J309"/>
      <c r="K309"/>
      <c r="L309"/>
      <c r="M309"/>
      <c r="N309"/>
      <c r="O309"/>
      <c r="P309">
        <f t="shared" si="26"/>
        <v>0</v>
      </c>
      <c r="Q309" s="351" t="e">
        <f t="shared" si="28"/>
        <v>#DIV/0!</v>
      </c>
    </row>
    <row r="310" spans="1:17" ht="15.75">
      <c r="A310" s="387">
        <f>'Conveyor Downtime (new)'!A322</f>
        <v>46199</v>
      </c>
      <c r="B310" s="346"/>
      <c r="C310" s="346"/>
      <c r="D310" s="346"/>
      <c r="E310" s="346"/>
      <c r="F310" s="346"/>
      <c r="G310" s="346"/>
      <c r="H310" s="346"/>
      <c r="I310" s="346"/>
      <c r="J310" s="346"/>
      <c r="K310" s="346"/>
      <c r="L310" s="346"/>
      <c r="M310" s="346"/>
      <c r="N310" s="346"/>
      <c r="O310" s="346"/>
      <c r="P310">
        <f t="shared" si="26"/>
        <v>0</v>
      </c>
      <c r="Q310" s="351" t="e">
        <f t="shared" si="28"/>
        <v>#DIV/0!</v>
      </c>
    </row>
    <row r="311" spans="1:17" ht="15.75">
      <c r="A311" s="387">
        <f>'Conveyor Downtime (new)'!A323</f>
        <v>46199</v>
      </c>
      <c r="B311" s="346"/>
      <c r="C311" s="346"/>
      <c r="D311" s="346"/>
      <c r="E311" s="346"/>
      <c r="F311" s="346"/>
      <c r="G311" s="346"/>
      <c r="H311" s="346"/>
      <c r="I311" s="346"/>
      <c r="J311" s="346"/>
      <c r="K311" s="346"/>
      <c r="L311" s="346"/>
      <c r="M311" s="346"/>
      <c r="N311" s="346"/>
      <c r="O311" s="346"/>
      <c r="P311">
        <f t="shared" ref="P311" si="29">SUM(B311:O311)</f>
        <v>0</v>
      </c>
      <c r="Q311" s="351" t="e">
        <f t="shared" si="28"/>
        <v>#DIV/0!</v>
      </c>
    </row>
    <row r="312" spans="1:17" ht="15.75">
      <c r="A312" s="387">
        <f>'Conveyor Downtime (new)'!A324</f>
        <v>46200</v>
      </c>
      <c r="B312"/>
      <c r="C312"/>
      <c r="D312"/>
      <c r="E312"/>
      <c r="F312"/>
      <c r="G312"/>
      <c r="H312"/>
      <c r="I312"/>
      <c r="J312"/>
      <c r="K312"/>
      <c r="L312"/>
      <c r="M312"/>
      <c r="N312"/>
      <c r="O312"/>
      <c r="P312">
        <f t="shared" si="26"/>
        <v>0</v>
      </c>
      <c r="Q312" s="351" t="e">
        <f t="shared" si="28"/>
        <v>#DIV/0!</v>
      </c>
    </row>
    <row r="313" spans="1:17" ht="15.75">
      <c r="A313" s="387">
        <f>'Conveyor Downtime (new)'!A325</f>
        <v>46200</v>
      </c>
      <c r="B313" s="346"/>
      <c r="C313" s="346"/>
      <c r="D313" s="346"/>
      <c r="E313" s="346"/>
      <c r="F313" s="346"/>
      <c r="G313" s="346"/>
      <c r="H313" s="346"/>
      <c r="I313" s="346"/>
      <c r="J313" s="346"/>
      <c r="K313" s="346"/>
      <c r="L313" s="346"/>
      <c r="M313" s="346"/>
      <c r="N313" s="346"/>
      <c r="O313" s="346"/>
      <c r="P313">
        <f t="shared" si="26"/>
        <v>0</v>
      </c>
      <c r="Q313" s="351" t="e">
        <f t="shared" si="28"/>
        <v>#DIV/0!</v>
      </c>
    </row>
    <row r="314" spans="1:17" ht="15.75">
      <c r="A314" s="387">
        <f>'Conveyor Downtime (new)'!A326</f>
        <v>46202</v>
      </c>
      <c r="B314"/>
      <c r="C314"/>
      <c r="D314"/>
      <c r="E314"/>
      <c r="F314"/>
      <c r="G314"/>
      <c r="H314"/>
      <c r="I314"/>
      <c r="J314"/>
      <c r="K314"/>
      <c r="L314"/>
      <c r="M314"/>
      <c r="N314"/>
      <c r="O314"/>
      <c r="P314">
        <f t="shared" si="26"/>
        <v>0</v>
      </c>
      <c r="Q314" s="351" t="e">
        <f t="shared" si="28"/>
        <v>#DIV/0!</v>
      </c>
    </row>
    <row r="315" spans="1:17" ht="15.75">
      <c r="A315" s="387">
        <f>'Conveyor Downtime (new)'!A327</f>
        <v>46202</v>
      </c>
      <c r="B315" s="346"/>
      <c r="C315" s="346"/>
      <c r="D315" s="346"/>
      <c r="E315" s="346"/>
      <c r="F315" s="346"/>
      <c r="G315" s="346"/>
      <c r="H315" s="346"/>
      <c r="I315" s="346"/>
      <c r="J315" s="346"/>
      <c r="K315" s="346"/>
      <c r="L315" s="346"/>
      <c r="M315" s="346"/>
      <c r="N315" s="346"/>
      <c r="O315" s="346"/>
      <c r="P315">
        <f t="shared" si="26"/>
        <v>0</v>
      </c>
      <c r="Q315" s="351" t="e">
        <f t="shared" si="28"/>
        <v>#DIV/0!</v>
      </c>
    </row>
    <row r="316" spans="1:17" ht="15.75">
      <c r="A316" s="387">
        <f>'Conveyor Downtime (new)'!A328</f>
        <v>46202</v>
      </c>
      <c r="B316"/>
      <c r="C316"/>
      <c r="D316"/>
      <c r="E316"/>
      <c r="F316"/>
      <c r="G316"/>
      <c r="H316"/>
      <c r="I316"/>
      <c r="J316"/>
      <c r="K316"/>
      <c r="L316"/>
      <c r="M316"/>
      <c r="N316"/>
      <c r="O316"/>
      <c r="P316">
        <f t="shared" si="26"/>
        <v>0</v>
      </c>
      <c r="Q316" s="351" t="e">
        <f t="shared" si="28"/>
        <v>#DIV/0!</v>
      </c>
    </row>
    <row r="317" spans="1:17" ht="15.75">
      <c r="A317" s="387">
        <f>'Conveyor Downtime (new)'!A329</f>
        <v>46203</v>
      </c>
      <c r="B317" s="346"/>
      <c r="C317" s="346"/>
      <c r="D317" s="346"/>
      <c r="E317" s="346"/>
      <c r="F317" s="346"/>
      <c r="G317" s="346"/>
      <c r="H317" s="346"/>
      <c r="I317" s="346"/>
      <c r="J317" s="346"/>
      <c r="K317" s="346"/>
      <c r="L317" s="346"/>
      <c r="M317" s="346"/>
      <c r="N317" s="346"/>
      <c r="O317" s="346"/>
      <c r="P317">
        <f t="shared" si="26"/>
        <v>0</v>
      </c>
      <c r="Q317" s="351" t="e">
        <f t="shared" si="28"/>
        <v>#DIV/0!</v>
      </c>
    </row>
    <row r="318" spans="1:17" ht="15.75">
      <c r="A318" s="387">
        <f>'Conveyor Downtime (new)'!A330</f>
        <v>46203</v>
      </c>
      <c r="B318"/>
      <c r="C318"/>
      <c r="D318"/>
      <c r="E318"/>
      <c r="F318"/>
      <c r="G318"/>
      <c r="H318"/>
      <c r="I318"/>
      <c r="J318"/>
      <c r="K318"/>
      <c r="L318"/>
      <c r="M318"/>
      <c r="N318"/>
      <c r="O318"/>
      <c r="P318">
        <f t="shared" si="26"/>
        <v>0</v>
      </c>
      <c r="Q318" s="351" t="e">
        <f t="shared" si="28"/>
        <v>#DIV/0!</v>
      </c>
    </row>
    <row r="319" spans="1:17" ht="15.75">
      <c r="A319" s="387">
        <f>'Conveyor Downtime (new)'!A331</f>
        <v>0</v>
      </c>
      <c r="B319" s="346"/>
      <c r="C319" s="346"/>
      <c r="D319" s="346"/>
      <c r="E319" s="346"/>
      <c r="F319" s="346"/>
      <c r="G319" s="346"/>
      <c r="H319" s="346"/>
      <c r="I319" s="346"/>
      <c r="J319" s="346"/>
      <c r="K319" s="346"/>
      <c r="L319" s="346"/>
      <c r="M319" s="346"/>
      <c r="N319" s="346"/>
      <c r="O319" s="346"/>
      <c r="P319">
        <f t="shared" si="26"/>
        <v>0</v>
      </c>
      <c r="Q319" s="351" t="e">
        <f t="shared" si="28"/>
        <v>#DIV/0!</v>
      </c>
    </row>
    <row r="320" spans="1:17" ht="15.75">
      <c r="A320" s="387">
        <f>'Conveyor Downtime (new)'!A332</f>
        <v>0</v>
      </c>
      <c r="B320"/>
      <c r="C320"/>
      <c r="D320"/>
      <c r="E320"/>
      <c r="F320"/>
      <c r="G320"/>
      <c r="H320"/>
      <c r="I320"/>
      <c r="J320"/>
      <c r="K320"/>
      <c r="L320"/>
      <c r="M320"/>
      <c r="N320"/>
      <c r="O320"/>
      <c r="P320">
        <f t="shared" si="26"/>
        <v>0</v>
      </c>
      <c r="Q320" s="351" t="e">
        <f t="shared" si="28"/>
        <v>#DIV/0!</v>
      </c>
    </row>
    <row r="321" spans="1:17" ht="15.75">
      <c r="A321" s="387">
        <f>'Conveyor Downtime (new)'!A333</f>
        <v>0</v>
      </c>
      <c r="B321" s="346"/>
      <c r="C321" s="346"/>
      <c r="D321" s="346"/>
      <c r="E321" s="346"/>
      <c r="F321" s="346"/>
      <c r="G321" s="346"/>
      <c r="H321" s="346"/>
      <c r="I321" s="346"/>
      <c r="J321" s="346"/>
      <c r="K321" s="346"/>
      <c r="L321" s="346"/>
      <c r="M321" s="346"/>
      <c r="N321" s="346"/>
      <c r="O321" s="346"/>
      <c r="P321">
        <f t="shared" si="26"/>
        <v>0</v>
      </c>
      <c r="Q321" s="351" t="e">
        <f t="shared" si="28"/>
        <v>#DIV/0!</v>
      </c>
    </row>
    <row r="322" spans="1:17" ht="15.75">
      <c r="A322" s="387">
        <f>'Conveyor Downtime (new)'!A334</f>
        <v>0</v>
      </c>
      <c r="B322"/>
      <c r="C322"/>
      <c r="D322"/>
      <c r="E322"/>
      <c r="F322"/>
      <c r="G322"/>
      <c r="H322"/>
      <c r="I322"/>
      <c r="J322"/>
      <c r="K322"/>
      <c r="L322"/>
      <c r="M322"/>
      <c r="N322"/>
      <c r="O322"/>
      <c r="P322">
        <f t="shared" si="26"/>
        <v>0</v>
      </c>
      <c r="Q322" s="351" t="e">
        <f t="shared" si="28"/>
        <v>#DIV/0!</v>
      </c>
    </row>
    <row r="323" spans="1:17" ht="15.75">
      <c r="A323" s="387">
        <f>'Conveyor Downtime (new)'!A335</f>
        <v>0</v>
      </c>
      <c r="B323" s="346"/>
      <c r="C323" s="346"/>
      <c r="D323" s="346"/>
      <c r="E323" s="346"/>
      <c r="F323" s="346"/>
      <c r="G323" s="346"/>
      <c r="H323" s="346"/>
      <c r="I323" s="346"/>
      <c r="J323" s="346"/>
      <c r="K323" s="346"/>
      <c r="L323" s="346"/>
      <c r="M323" s="77"/>
      <c r="N323" s="346"/>
      <c r="O323" s="346"/>
      <c r="P323">
        <f t="shared" si="26"/>
        <v>0</v>
      </c>
      <c r="Q323" s="351" t="e">
        <f t="shared" si="28"/>
        <v>#DIV/0!</v>
      </c>
    </row>
    <row r="324" spans="1:17" ht="15.75">
      <c r="A324" s="387">
        <f>'Conveyor Downtime (new)'!A336</f>
        <v>0</v>
      </c>
      <c r="B324"/>
      <c r="C324"/>
      <c r="D324"/>
      <c r="E324"/>
      <c r="F324"/>
      <c r="G324"/>
      <c r="H324"/>
      <c r="I324"/>
      <c r="J324"/>
      <c r="K324"/>
      <c r="L324"/>
      <c r="M324"/>
      <c r="N324"/>
      <c r="O324"/>
      <c r="P324">
        <f t="shared" si="26"/>
        <v>0</v>
      </c>
      <c r="Q324" s="351" t="e">
        <f t="shared" si="28"/>
        <v>#DIV/0!</v>
      </c>
    </row>
    <row r="325" spans="1:17" ht="15.75">
      <c r="A325" s="387">
        <f>'Conveyor Downtime (new)'!A337</f>
        <v>0</v>
      </c>
      <c r="B325" s="346"/>
      <c r="C325" s="346"/>
      <c r="D325" s="346"/>
      <c r="E325" s="346"/>
      <c r="F325" s="346"/>
      <c r="G325" s="346"/>
      <c r="H325" s="346"/>
      <c r="I325" s="346"/>
      <c r="J325" s="346"/>
      <c r="K325" s="346"/>
      <c r="L325" s="346"/>
      <c r="M325" s="346"/>
      <c r="N325" s="346"/>
      <c r="O325" s="346"/>
      <c r="P325">
        <f t="shared" si="26"/>
        <v>0</v>
      </c>
      <c r="Q325" s="351" t="e">
        <f t="shared" si="28"/>
        <v>#DIV/0!</v>
      </c>
    </row>
    <row r="326" spans="1:17" ht="15.75">
      <c r="A326" s="387">
        <f>'Conveyor Downtime (new)'!A338</f>
        <v>0</v>
      </c>
      <c r="B326"/>
      <c r="C326"/>
      <c r="D326"/>
      <c r="E326"/>
      <c r="F326"/>
      <c r="G326"/>
      <c r="H326"/>
      <c r="I326"/>
      <c r="J326"/>
      <c r="K326"/>
      <c r="L326"/>
      <c r="M326"/>
      <c r="N326"/>
      <c r="O326"/>
      <c r="P326">
        <f t="shared" si="26"/>
        <v>0</v>
      </c>
      <c r="Q326" s="351" t="e">
        <f t="shared" si="28"/>
        <v>#DIV/0!</v>
      </c>
    </row>
    <row r="327" spans="1:17" ht="15.75">
      <c r="A327" s="387">
        <f>'Conveyor Downtime (new)'!A339</f>
        <v>0</v>
      </c>
      <c r="B327" s="346"/>
      <c r="C327" s="346"/>
      <c r="D327" s="346"/>
      <c r="E327" s="346"/>
      <c r="F327" s="346"/>
      <c r="G327" s="346"/>
      <c r="H327" s="346"/>
      <c r="I327" s="346"/>
      <c r="J327" s="346"/>
      <c r="K327" s="346"/>
      <c r="L327" s="346"/>
      <c r="M327" s="346"/>
      <c r="N327" s="346"/>
      <c r="O327" s="346"/>
      <c r="P327">
        <f t="shared" ref="P327:P349" si="30">SUM(B327:O327)</f>
        <v>0</v>
      </c>
      <c r="Q327" s="351" t="e">
        <f t="shared" si="28"/>
        <v>#DIV/0!</v>
      </c>
    </row>
    <row r="328" spans="1:17" ht="15.75">
      <c r="A328" s="387">
        <f>'Conveyor Downtime (new)'!A340</f>
        <v>0</v>
      </c>
      <c r="B328"/>
      <c r="C328"/>
      <c r="D328"/>
      <c r="E328"/>
      <c r="F328"/>
      <c r="G328"/>
      <c r="H328"/>
      <c r="I328"/>
      <c r="J328"/>
      <c r="K328"/>
      <c r="L328"/>
      <c r="M328"/>
      <c r="O328"/>
      <c r="P328">
        <f t="shared" si="30"/>
        <v>0</v>
      </c>
      <c r="Q328" s="351" t="e">
        <f t="shared" si="28"/>
        <v>#DIV/0!</v>
      </c>
    </row>
    <row r="329" spans="1:17" ht="15.75">
      <c r="A329" s="387">
        <f>'Conveyor Downtime (new)'!A341</f>
        <v>0</v>
      </c>
      <c r="B329" s="346"/>
      <c r="C329" s="346"/>
      <c r="D329" s="346"/>
      <c r="E329" s="346"/>
      <c r="F329" s="346"/>
      <c r="G329" s="346"/>
      <c r="H329" s="346"/>
      <c r="I329" s="346"/>
      <c r="J329" s="346"/>
      <c r="K329" s="346"/>
      <c r="L329" s="346"/>
      <c r="M329" s="346"/>
      <c r="N329" s="346"/>
      <c r="O329" s="346"/>
      <c r="P329">
        <f t="shared" si="30"/>
        <v>0</v>
      </c>
      <c r="Q329" s="351" t="e">
        <f t="shared" ref="Q329:Q349" si="31">P329/$P$350</f>
        <v>#DIV/0!</v>
      </c>
    </row>
    <row r="330" spans="1:17" ht="15.75">
      <c r="A330" s="387">
        <f>'Conveyor Downtime (new)'!A342</f>
        <v>0</v>
      </c>
      <c r="B330"/>
      <c r="C330"/>
      <c r="D330"/>
      <c r="E330"/>
      <c r="F330"/>
      <c r="G330"/>
      <c r="H330"/>
      <c r="I330"/>
      <c r="J330"/>
      <c r="K330"/>
      <c r="L330"/>
      <c r="M330"/>
      <c r="N330"/>
      <c r="O330"/>
      <c r="P330">
        <f t="shared" si="30"/>
        <v>0</v>
      </c>
      <c r="Q330" s="351" t="e">
        <f t="shared" si="31"/>
        <v>#DIV/0!</v>
      </c>
    </row>
    <row r="331" spans="1:17" ht="15.75">
      <c r="A331" s="387">
        <f>'Conveyor Downtime (new)'!A343</f>
        <v>0</v>
      </c>
      <c r="B331" s="346"/>
      <c r="C331" s="346"/>
      <c r="D331" s="346"/>
      <c r="E331" s="346"/>
      <c r="F331" s="346"/>
      <c r="G331" s="346"/>
      <c r="H331" s="346"/>
      <c r="I331" s="346"/>
      <c r="J331" s="346"/>
      <c r="K331" s="346"/>
      <c r="L331" s="346"/>
      <c r="M331" s="346"/>
      <c r="N331" s="346"/>
      <c r="O331" s="346"/>
      <c r="P331">
        <f t="shared" si="30"/>
        <v>0</v>
      </c>
      <c r="Q331" s="351" t="e">
        <f t="shared" si="31"/>
        <v>#DIV/0!</v>
      </c>
    </row>
    <row r="332" spans="1:17" ht="15.75">
      <c r="A332" s="387">
        <f>'Conveyor Downtime (new)'!A344</f>
        <v>0</v>
      </c>
      <c r="B332"/>
      <c r="C332"/>
      <c r="D332"/>
      <c r="E332"/>
      <c r="F332"/>
      <c r="G332"/>
      <c r="H332"/>
      <c r="I332"/>
      <c r="J332"/>
      <c r="K332"/>
      <c r="L332"/>
      <c r="M332"/>
      <c r="N332"/>
      <c r="O332"/>
      <c r="P332">
        <f t="shared" si="30"/>
        <v>0</v>
      </c>
      <c r="Q332" s="351" t="e">
        <f t="shared" si="31"/>
        <v>#DIV/0!</v>
      </c>
    </row>
    <row r="333" spans="1:17" ht="15.75">
      <c r="A333" s="387">
        <f>'Conveyor Downtime (new)'!A345</f>
        <v>0</v>
      </c>
      <c r="B333" s="346"/>
      <c r="C333" s="346"/>
      <c r="D333" s="346"/>
      <c r="E333" s="346"/>
      <c r="F333" s="346"/>
      <c r="G333" s="346"/>
      <c r="H333" s="346"/>
      <c r="I333" s="346"/>
      <c r="J333" s="346"/>
      <c r="K333" s="346"/>
      <c r="L333" s="346"/>
      <c r="M333" s="346"/>
      <c r="N333" s="346"/>
      <c r="O333" s="346"/>
      <c r="P333">
        <f t="shared" si="30"/>
        <v>0</v>
      </c>
      <c r="Q333" s="351" t="e">
        <f t="shared" si="31"/>
        <v>#DIV/0!</v>
      </c>
    </row>
    <row r="334" spans="1:17" ht="15.75">
      <c r="A334" s="387">
        <f>'Conveyor Downtime (new)'!A346</f>
        <v>0</v>
      </c>
      <c r="B334"/>
      <c r="C334"/>
      <c r="D334"/>
      <c r="E334"/>
      <c r="F334"/>
      <c r="G334"/>
      <c r="H334"/>
      <c r="I334"/>
      <c r="J334"/>
      <c r="K334"/>
      <c r="L334"/>
      <c r="M334"/>
      <c r="N334"/>
      <c r="O334"/>
      <c r="P334">
        <f t="shared" si="30"/>
        <v>0</v>
      </c>
      <c r="Q334" s="351" t="e">
        <f t="shared" si="31"/>
        <v>#DIV/0!</v>
      </c>
    </row>
    <row r="335" spans="1:17" ht="15.75">
      <c r="A335" s="387">
        <f>'Conveyor Downtime (new)'!A347</f>
        <v>0</v>
      </c>
      <c r="B335" s="346"/>
      <c r="C335" s="346"/>
      <c r="D335" s="346"/>
      <c r="E335" s="346"/>
      <c r="F335" s="346"/>
      <c r="G335" s="346"/>
      <c r="H335" s="346"/>
      <c r="I335" s="346"/>
      <c r="J335" s="346"/>
      <c r="K335" s="346"/>
      <c r="L335" s="346"/>
      <c r="M335" s="346"/>
      <c r="N335" s="346"/>
      <c r="O335" s="346"/>
      <c r="P335">
        <f t="shared" si="30"/>
        <v>0</v>
      </c>
      <c r="Q335" s="351" t="e">
        <f t="shared" si="31"/>
        <v>#DIV/0!</v>
      </c>
    </row>
    <row r="336" spans="1:17" ht="15.75">
      <c r="A336" s="387">
        <f>'Conveyor Downtime (new)'!A348</f>
        <v>0</v>
      </c>
      <c r="B336"/>
      <c r="C336"/>
      <c r="D336"/>
      <c r="E336"/>
      <c r="F336"/>
      <c r="G336"/>
      <c r="H336"/>
      <c r="I336"/>
      <c r="J336"/>
      <c r="K336"/>
      <c r="L336"/>
      <c r="M336"/>
      <c r="N336"/>
      <c r="O336"/>
      <c r="P336">
        <f t="shared" si="30"/>
        <v>0</v>
      </c>
      <c r="Q336" s="351" t="e">
        <f t="shared" si="31"/>
        <v>#DIV/0!</v>
      </c>
    </row>
    <row r="337" spans="1:17" ht="15.75">
      <c r="A337" s="387">
        <f>'Conveyor Downtime (new)'!A349</f>
        <v>0</v>
      </c>
      <c r="B337" s="346"/>
      <c r="C337" s="346"/>
      <c r="D337" s="346"/>
      <c r="E337" s="346"/>
      <c r="F337" s="346"/>
      <c r="G337" s="346"/>
      <c r="H337" s="346"/>
      <c r="I337" s="346"/>
      <c r="J337" s="346"/>
      <c r="K337" s="346"/>
      <c r="L337" s="346"/>
      <c r="M337" s="346"/>
      <c r="N337" s="346"/>
      <c r="O337" s="346"/>
      <c r="P337">
        <f t="shared" si="30"/>
        <v>0</v>
      </c>
      <c r="Q337" s="351" t="e">
        <f t="shared" si="31"/>
        <v>#DIV/0!</v>
      </c>
    </row>
    <row r="338" spans="1:17" ht="15.75">
      <c r="A338" s="387">
        <f>'Conveyor Downtime (new)'!A350</f>
        <v>0</v>
      </c>
      <c r="B338"/>
      <c r="C338"/>
      <c r="D338"/>
      <c r="E338"/>
      <c r="F338"/>
      <c r="G338"/>
      <c r="H338"/>
      <c r="I338"/>
      <c r="J338"/>
      <c r="K338"/>
      <c r="L338"/>
      <c r="M338"/>
      <c r="N338"/>
      <c r="O338"/>
      <c r="P338">
        <f t="shared" si="30"/>
        <v>0</v>
      </c>
      <c r="Q338" s="351" t="e">
        <f t="shared" si="31"/>
        <v>#DIV/0!</v>
      </c>
    </row>
    <row r="339" spans="1:17" ht="15.75">
      <c r="A339" s="387">
        <f>'Conveyor Downtime (new)'!A351</f>
        <v>0</v>
      </c>
      <c r="B339" s="346"/>
      <c r="C339" s="346"/>
      <c r="D339" s="346"/>
      <c r="E339" s="346"/>
      <c r="F339" s="346"/>
      <c r="G339" s="346"/>
      <c r="H339" s="346"/>
      <c r="I339" s="346"/>
      <c r="J339" s="346"/>
      <c r="K339" s="346"/>
      <c r="L339" s="346"/>
      <c r="M339" s="346"/>
      <c r="N339" s="346"/>
      <c r="O339" s="346"/>
      <c r="P339">
        <f t="shared" si="30"/>
        <v>0</v>
      </c>
      <c r="Q339" s="351" t="e">
        <f t="shared" si="31"/>
        <v>#DIV/0!</v>
      </c>
    </row>
    <row r="340" spans="1:17" ht="15.75">
      <c r="A340" s="387">
        <f>'Conveyor Downtime (new)'!A352</f>
        <v>0</v>
      </c>
      <c r="B340"/>
      <c r="C340"/>
      <c r="D340"/>
      <c r="E340"/>
      <c r="F340"/>
      <c r="G340"/>
      <c r="H340"/>
      <c r="I340"/>
      <c r="J340"/>
      <c r="K340"/>
      <c r="L340"/>
      <c r="M340"/>
      <c r="N340"/>
      <c r="O340"/>
      <c r="P340">
        <f t="shared" si="30"/>
        <v>0</v>
      </c>
      <c r="Q340" s="351" t="e">
        <f t="shared" si="31"/>
        <v>#DIV/0!</v>
      </c>
    </row>
    <row r="341" spans="1:17" ht="15.75">
      <c r="A341" s="387">
        <f>'Conveyor Downtime (new)'!A353</f>
        <v>0</v>
      </c>
      <c r="B341" s="346"/>
      <c r="C341" s="346"/>
      <c r="D341" s="346"/>
      <c r="E341" s="346"/>
      <c r="F341" s="346"/>
      <c r="G341" s="346"/>
      <c r="H341" s="346"/>
      <c r="I341" s="346"/>
      <c r="J341" s="346"/>
      <c r="K341" s="346"/>
      <c r="L341" s="346"/>
      <c r="M341" s="346"/>
      <c r="N341" s="346"/>
      <c r="O341" s="346"/>
      <c r="P341">
        <f t="shared" si="30"/>
        <v>0</v>
      </c>
      <c r="Q341" s="351" t="e">
        <f t="shared" si="31"/>
        <v>#DIV/0!</v>
      </c>
    </row>
    <row r="342" spans="1:17" ht="15.75">
      <c r="A342" s="387"/>
      <c r="B342"/>
      <c r="C342"/>
      <c r="D342"/>
      <c r="E342"/>
      <c r="F342"/>
      <c r="G342"/>
      <c r="H342"/>
      <c r="I342"/>
      <c r="J342"/>
      <c r="K342"/>
      <c r="L342"/>
      <c r="M342"/>
      <c r="N342"/>
      <c r="O342"/>
      <c r="P342">
        <f t="shared" si="30"/>
        <v>0</v>
      </c>
      <c r="Q342" s="351" t="e">
        <f t="shared" si="31"/>
        <v>#DIV/0!</v>
      </c>
    </row>
    <row r="343" spans="1:17" ht="15.75">
      <c r="A343" s="387"/>
      <c r="B343" s="346"/>
      <c r="C343" s="346"/>
      <c r="D343" s="346"/>
      <c r="E343" s="346"/>
      <c r="F343" s="346"/>
      <c r="G343" s="346"/>
      <c r="H343" s="346"/>
      <c r="I343" s="346"/>
      <c r="J343" s="346"/>
      <c r="K343" s="346"/>
      <c r="L343" s="346"/>
      <c r="M343" s="346"/>
      <c r="N343" s="346"/>
      <c r="O343" s="346"/>
      <c r="P343">
        <f t="shared" si="30"/>
        <v>0</v>
      </c>
      <c r="Q343" s="351" t="e">
        <f t="shared" si="31"/>
        <v>#DIV/0!</v>
      </c>
    </row>
    <row r="344" spans="1:17" ht="15.75">
      <c r="A344" s="387"/>
      <c r="B344"/>
      <c r="C344"/>
      <c r="D344"/>
      <c r="E344"/>
      <c r="F344"/>
      <c r="G344"/>
      <c r="H344"/>
      <c r="I344"/>
      <c r="J344"/>
      <c r="K344"/>
      <c r="L344"/>
      <c r="M344"/>
      <c r="N344"/>
      <c r="O344"/>
      <c r="P344">
        <f t="shared" si="30"/>
        <v>0</v>
      </c>
      <c r="Q344" s="351" t="e">
        <f t="shared" si="31"/>
        <v>#DIV/0!</v>
      </c>
    </row>
    <row r="345" spans="1:17" ht="15.75">
      <c r="A345" s="387"/>
      <c r="B345" s="346"/>
      <c r="C345" s="346"/>
      <c r="D345" s="346"/>
      <c r="E345" s="346"/>
      <c r="F345" s="346"/>
      <c r="G345" s="346"/>
      <c r="H345" s="346"/>
      <c r="I345" s="346"/>
      <c r="J345" s="346"/>
      <c r="K345" s="346"/>
      <c r="L345" s="346"/>
      <c r="M345" s="346"/>
      <c r="N345" s="346"/>
      <c r="O345" s="346"/>
      <c r="P345">
        <f t="shared" si="30"/>
        <v>0</v>
      </c>
      <c r="Q345" s="351" t="e">
        <f t="shared" si="31"/>
        <v>#DIV/0!</v>
      </c>
    </row>
    <row r="346" spans="1:17" ht="15.75">
      <c r="A346" s="387"/>
      <c r="B346"/>
      <c r="C346"/>
      <c r="D346"/>
      <c r="E346"/>
      <c r="F346"/>
      <c r="G346"/>
      <c r="H346"/>
      <c r="I346"/>
      <c r="J346"/>
      <c r="K346"/>
      <c r="L346"/>
      <c r="M346"/>
      <c r="N346"/>
      <c r="O346"/>
      <c r="P346">
        <f t="shared" si="30"/>
        <v>0</v>
      </c>
      <c r="Q346" s="351" t="e">
        <f t="shared" si="31"/>
        <v>#DIV/0!</v>
      </c>
    </row>
    <row r="347" spans="1:17" ht="15.75">
      <c r="A347" s="387"/>
      <c r="B347" s="346"/>
      <c r="C347" s="346"/>
      <c r="D347" s="346"/>
      <c r="E347" s="346"/>
      <c r="F347" s="346"/>
      <c r="G347" s="346"/>
      <c r="H347" s="346"/>
      <c r="I347" s="346"/>
      <c r="J347" s="346"/>
      <c r="K347" s="346"/>
      <c r="L347" s="346"/>
      <c r="M347" s="346"/>
      <c r="N347" s="346"/>
      <c r="O347" s="346"/>
      <c r="P347">
        <f t="shared" si="30"/>
        <v>0</v>
      </c>
      <c r="Q347" s="351" t="e">
        <f t="shared" si="31"/>
        <v>#DIV/0!</v>
      </c>
    </row>
    <row r="348" spans="1:17" ht="15.75">
      <c r="A348" s="387"/>
      <c r="B348"/>
      <c r="C348"/>
      <c r="D348"/>
      <c r="E348"/>
      <c r="F348"/>
      <c r="G348"/>
      <c r="H348"/>
      <c r="I348"/>
      <c r="J348"/>
      <c r="K348"/>
      <c r="L348"/>
      <c r="M348"/>
      <c r="N348"/>
      <c r="O348"/>
      <c r="P348">
        <f t="shared" si="30"/>
        <v>0</v>
      </c>
      <c r="Q348" s="351" t="e">
        <f t="shared" si="31"/>
        <v>#DIV/0!</v>
      </c>
    </row>
    <row r="349" spans="1:17" ht="15.75">
      <c r="A349" s="387"/>
      <c r="B349" s="346"/>
      <c r="C349" s="346"/>
      <c r="D349" s="346"/>
      <c r="E349" s="346"/>
      <c r="F349" s="346"/>
      <c r="G349" s="346"/>
      <c r="H349" s="346"/>
      <c r="I349" s="346"/>
      <c r="J349" s="346"/>
      <c r="K349" s="346"/>
      <c r="L349" s="346"/>
      <c r="M349" s="346"/>
      <c r="N349" s="346"/>
      <c r="O349" s="346"/>
      <c r="P349">
        <f t="shared" si="30"/>
        <v>0</v>
      </c>
      <c r="Q349" s="351" t="e">
        <f t="shared" si="31"/>
        <v>#DIV/0!</v>
      </c>
    </row>
    <row r="350" spans="1:17" ht="15">
      <c r="A350" s="347" t="s">
        <v>113</v>
      </c>
      <c r="B350" s="347">
        <f t="shared" ref="B350:P350" si="32">SUM(B296:B349)</f>
        <v>0</v>
      </c>
      <c r="C350" s="347">
        <f t="shared" si="32"/>
        <v>0</v>
      </c>
      <c r="D350" s="347">
        <f t="shared" si="32"/>
        <v>0</v>
      </c>
      <c r="E350" s="347">
        <f t="shared" si="32"/>
        <v>0</v>
      </c>
      <c r="F350" s="347">
        <f t="shared" si="32"/>
        <v>0</v>
      </c>
      <c r="G350" s="347">
        <f t="shared" si="32"/>
        <v>0</v>
      </c>
      <c r="H350" s="347">
        <f t="shared" si="32"/>
        <v>0</v>
      </c>
      <c r="I350" s="347">
        <f t="shared" si="32"/>
        <v>0</v>
      </c>
      <c r="J350" s="347">
        <f t="shared" si="32"/>
        <v>0</v>
      </c>
      <c r="K350" s="347">
        <f t="shared" si="32"/>
        <v>0</v>
      </c>
      <c r="L350" s="347">
        <f t="shared" si="32"/>
        <v>0</v>
      </c>
      <c r="M350" s="347">
        <f t="shared" si="32"/>
        <v>0</v>
      </c>
      <c r="N350" s="347">
        <f t="shared" si="32"/>
        <v>0</v>
      </c>
      <c r="O350" s="347">
        <f t="shared" si="32"/>
        <v>0</v>
      </c>
      <c r="P350" s="347">
        <f t="shared" si="32"/>
        <v>0</v>
      </c>
      <c r="Q350" s="351"/>
    </row>
    <row r="351" spans="1:17" ht="15.75" thickBot="1">
      <c r="A351" s="348" t="s">
        <v>174</v>
      </c>
      <c r="B351" s="348" t="e">
        <f t="shared" ref="B351:O351" si="33">B350/$P350</f>
        <v>#DIV/0!</v>
      </c>
      <c r="C351" s="348" t="e">
        <f t="shared" si="33"/>
        <v>#DIV/0!</v>
      </c>
      <c r="D351" s="348" t="e">
        <f t="shared" si="33"/>
        <v>#DIV/0!</v>
      </c>
      <c r="E351" s="348" t="e">
        <f t="shared" si="33"/>
        <v>#DIV/0!</v>
      </c>
      <c r="F351" s="348" t="e">
        <f t="shared" si="33"/>
        <v>#DIV/0!</v>
      </c>
      <c r="G351" s="348" t="e">
        <f t="shared" si="33"/>
        <v>#DIV/0!</v>
      </c>
      <c r="H351" s="348" t="e">
        <f t="shared" si="33"/>
        <v>#DIV/0!</v>
      </c>
      <c r="I351" s="348" t="e">
        <f t="shared" si="33"/>
        <v>#DIV/0!</v>
      </c>
      <c r="J351" s="348" t="e">
        <f t="shared" si="33"/>
        <v>#DIV/0!</v>
      </c>
      <c r="K351" s="348" t="e">
        <f t="shared" si="33"/>
        <v>#DIV/0!</v>
      </c>
      <c r="L351" s="348" t="e">
        <f t="shared" si="33"/>
        <v>#DIV/0!</v>
      </c>
      <c r="M351" s="348" t="e">
        <f t="shared" si="33"/>
        <v>#DIV/0!</v>
      </c>
      <c r="N351" s="348" t="e">
        <f t="shared" si="33"/>
        <v>#DIV/0!</v>
      </c>
      <c r="O351" s="348" t="e">
        <f t="shared" si="33"/>
        <v>#DIV/0!</v>
      </c>
      <c r="P351"/>
      <c r="Q351" s="351"/>
    </row>
    <row r="352" spans="1:17" ht="15">
      <c r="A352" s="483"/>
      <c r="B352" s="483"/>
      <c r="C352" s="483"/>
      <c r="D352" s="483"/>
      <c r="E352" s="483"/>
      <c r="F352" s="483"/>
      <c r="G352" s="483"/>
      <c r="H352" s="483"/>
      <c r="I352" s="483"/>
      <c r="J352" s="483"/>
      <c r="K352" s="483"/>
      <c r="L352" s="483"/>
      <c r="M352" s="483"/>
      <c r="N352" s="483"/>
      <c r="O352" s="483"/>
      <c r="P352"/>
      <c r="Q352" s="351"/>
    </row>
    <row r="353" spans="1:17" ht="15">
      <c r="A353" s="376"/>
      <c r="B353" s="376"/>
      <c r="C353" s="376"/>
      <c r="D353" s="376"/>
      <c r="E353" s="376"/>
      <c r="F353" s="376"/>
      <c r="G353" s="376"/>
      <c r="H353" s="376"/>
      <c r="I353" s="376"/>
      <c r="J353" s="376"/>
      <c r="K353" s="376"/>
      <c r="L353" s="376"/>
      <c r="M353" s="376"/>
      <c r="N353" s="376"/>
      <c r="O353" s="376"/>
      <c r="P353"/>
      <c r="Q353" s="360"/>
    </row>
    <row r="354" spans="1:17" ht="15">
      <c r="A354" s="376"/>
      <c r="B354" s="376"/>
      <c r="C354" s="376"/>
      <c r="D354" s="376"/>
      <c r="E354" s="376"/>
      <c r="F354" s="376"/>
      <c r="G354" s="376"/>
      <c r="H354" s="376"/>
      <c r="I354" s="376"/>
      <c r="J354" s="376"/>
      <c r="K354" s="376"/>
      <c r="L354" s="376"/>
      <c r="M354" s="376"/>
      <c r="N354" s="376"/>
      <c r="O354" s="376"/>
      <c r="P354"/>
      <c r="Q354" s="360"/>
    </row>
    <row r="355" spans="1:17" ht="15.75">
      <c r="A355" s="387">
        <f>'Conveyor Downtime (new)'!A372</f>
        <v>46204</v>
      </c>
      <c r="B355" s="346"/>
      <c r="C355" s="346"/>
      <c r="D355" s="346"/>
      <c r="E355" s="346"/>
      <c r="F355" s="346"/>
      <c r="G355" s="346"/>
      <c r="H355" s="346"/>
      <c r="I355" s="346"/>
      <c r="J355" s="346"/>
      <c r="K355" s="346"/>
      <c r="L355" s="346"/>
      <c r="M355" s="346"/>
      <c r="N355" s="346"/>
      <c r="O355" s="346"/>
      <c r="P355">
        <f>SUM(B355:O355)</f>
        <v>0</v>
      </c>
      <c r="Q355" s="351" t="e">
        <f>P355/$P$350</f>
        <v>#DIV/0!</v>
      </c>
    </row>
    <row r="356" spans="1:17" ht="15.75">
      <c r="A356" s="387">
        <f>'Conveyor Downtime (new)'!A373</f>
        <v>46204</v>
      </c>
      <c r="B356"/>
      <c r="C356"/>
      <c r="D356"/>
      <c r="E356"/>
      <c r="F356"/>
      <c r="G356"/>
      <c r="H356"/>
      <c r="I356"/>
      <c r="J356"/>
      <c r="K356"/>
      <c r="L356"/>
      <c r="M356"/>
      <c r="N356"/>
      <c r="O356"/>
      <c r="P356">
        <f>SUM(B356:O356)</f>
        <v>0</v>
      </c>
      <c r="Q356" s="351" t="e">
        <f>P356/$P$350</f>
        <v>#DIV/0!</v>
      </c>
    </row>
    <row r="357" spans="1:17" ht="15.75">
      <c r="A357" s="387">
        <f>'Conveyor Downtime (new)'!A374</f>
        <v>46205</v>
      </c>
      <c r="B357" s="346"/>
      <c r="C357" s="346"/>
      <c r="D357" s="346"/>
      <c r="E357" s="346"/>
      <c r="F357" s="346"/>
      <c r="G357" s="346"/>
      <c r="H357" s="346"/>
      <c r="I357" s="346"/>
      <c r="J357" s="346"/>
      <c r="K357" s="346"/>
      <c r="L357" s="346"/>
      <c r="M357" s="346"/>
      <c r="N357" s="346"/>
      <c r="O357" s="346"/>
      <c r="P357">
        <f t="shared" ref="P357:P389" si="34">SUM(B357:O357)</f>
        <v>0</v>
      </c>
      <c r="Q357" s="351" t="e">
        <f>P357/$P$350</f>
        <v>#DIV/0!</v>
      </c>
    </row>
    <row r="358" spans="1:17" ht="15.75">
      <c r="A358" s="387">
        <f>'Conveyor Downtime (new)'!A375</f>
        <v>46205</v>
      </c>
      <c r="B358"/>
      <c r="C358"/>
      <c r="D358"/>
      <c r="E358"/>
      <c r="F358"/>
      <c r="G358"/>
      <c r="H358"/>
      <c r="I358"/>
      <c r="J358"/>
      <c r="K358"/>
      <c r="L358"/>
      <c r="M358"/>
      <c r="N358"/>
      <c r="O358"/>
      <c r="P358">
        <f t="shared" si="34"/>
        <v>0</v>
      </c>
      <c r="Q358" s="351" t="e">
        <f t="shared" ref="Q358:Q414" si="35">P358/$P$350</f>
        <v>#DIV/0!</v>
      </c>
    </row>
    <row r="359" spans="1:17" ht="15.75">
      <c r="A359" s="387">
        <f>'Conveyor Downtime (new)'!A376</f>
        <v>46205</v>
      </c>
      <c r="B359" s="346"/>
      <c r="C359" s="346"/>
      <c r="D359" s="346"/>
      <c r="E359" s="346"/>
      <c r="F359" s="346"/>
      <c r="G359" s="346"/>
      <c r="H359" s="346"/>
      <c r="I359" s="346"/>
      <c r="J359" s="346"/>
      <c r="K359" s="346"/>
      <c r="L359" s="346"/>
      <c r="M359" s="346"/>
      <c r="N359" s="346"/>
      <c r="O359" s="346"/>
      <c r="P359">
        <f t="shared" si="34"/>
        <v>0</v>
      </c>
      <c r="Q359" s="351" t="e">
        <f t="shared" si="35"/>
        <v>#DIV/0!</v>
      </c>
    </row>
    <row r="360" spans="1:17" ht="15.75">
      <c r="A360" s="387">
        <f>'Conveyor Downtime (new)'!A377</f>
        <v>46206</v>
      </c>
      <c r="B360"/>
      <c r="C360"/>
      <c r="D360"/>
      <c r="E360"/>
      <c r="F360"/>
      <c r="G360"/>
      <c r="H360"/>
      <c r="I360"/>
      <c r="J360"/>
      <c r="K360"/>
      <c r="L360"/>
      <c r="M360"/>
      <c r="N360"/>
      <c r="O360"/>
      <c r="P360">
        <f t="shared" si="34"/>
        <v>0</v>
      </c>
      <c r="Q360" s="351" t="e">
        <f t="shared" si="35"/>
        <v>#DIV/0!</v>
      </c>
    </row>
    <row r="361" spans="1:17" ht="15.75">
      <c r="A361" s="387">
        <f>'Conveyor Downtime (new)'!A378</f>
        <v>46206</v>
      </c>
      <c r="B361" s="346"/>
      <c r="C361" s="346"/>
      <c r="D361" s="346"/>
      <c r="E361" s="346"/>
      <c r="F361" s="346"/>
      <c r="G361" s="346"/>
      <c r="H361" s="346"/>
      <c r="I361" s="346"/>
      <c r="J361" s="346"/>
      <c r="K361" s="346"/>
      <c r="L361" s="346"/>
      <c r="M361" s="346"/>
      <c r="N361" s="346"/>
      <c r="O361" s="346"/>
      <c r="P361">
        <f t="shared" si="34"/>
        <v>0</v>
      </c>
      <c r="Q361" s="351" t="e">
        <f t="shared" si="35"/>
        <v>#DIV/0!</v>
      </c>
    </row>
    <row r="362" spans="1:17" ht="15.75">
      <c r="A362" s="387">
        <f>'Conveyor Downtime (new)'!A379</f>
        <v>46209</v>
      </c>
      <c r="B362"/>
      <c r="C362"/>
      <c r="D362"/>
      <c r="E362"/>
      <c r="F362"/>
      <c r="G362"/>
      <c r="H362"/>
      <c r="I362"/>
      <c r="J362"/>
      <c r="K362"/>
      <c r="L362"/>
      <c r="M362"/>
      <c r="N362"/>
      <c r="O362"/>
      <c r="P362">
        <f t="shared" si="34"/>
        <v>0</v>
      </c>
      <c r="Q362" s="351" t="e">
        <f t="shared" si="35"/>
        <v>#DIV/0!</v>
      </c>
    </row>
    <row r="363" spans="1:17" ht="15.75">
      <c r="A363" s="387">
        <f>'Conveyor Downtime (new)'!A380</f>
        <v>46210</v>
      </c>
      <c r="B363" s="346"/>
      <c r="C363" s="346"/>
      <c r="D363" s="346"/>
      <c r="E363" s="346"/>
      <c r="F363" s="346"/>
      <c r="G363" s="346"/>
      <c r="H363" s="346"/>
      <c r="I363" s="346"/>
      <c r="J363" s="346"/>
      <c r="K363" s="346"/>
      <c r="L363" s="346"/>
      <c r="M363" s="346"/>
      <c r="N363" s="346"/>
      <c r="O363" s="346"/>
      <c r="P363">
        <f t="shared" si="34"/>
        <v>0</v>
      </c>
      <c r="Q363" s="351" t="e">
        <f t="shared" si="35"/>
        <v>#DIV/0!</v>
      </c>
    </row>
    <row r="364" spans="1:17" ht="18.75" customHeight="1">
      <c r="A364" s="387">
        <f>'Conveyor Downtime (new)'!A381</f>
        <v>46210</v>
      </c>
      <c r="B364"/>
      <c r="C364"/>
      <c r="D364"/>
      <c r="E364"/>
      <c r="F364"/>
      <c r="G364"/>
      <c r="H364"/>
      <c r="I364"/>
      <c r="J364"/>
      <c r="K364"/>
      <c r="L364"/>
      <c r="M364"/>
      <c r="N364"/>
      <c r="O364"/>
      <c r="P364">
        <f t="shared" si="34"/>
        <v>0</v>
      </c>
      <c r="Q364" s="351" t="e">
        <f t="shared" si="35"/>
        <v>#DIV/0!</v>
      </c>
    </row>
    <row r="365" spans="1:17" ht="15.75">
      <c r="A365" s="387">
        <f>'Conveyor Downtime (new)'!A382</f>
        <v>46211</v>
      </c>
      <c r="B365" s="346"/>
      <c r="C365" s="346"/>
      <c r="D365" s="346"/>
      <c r="E365" s="346"/>
      <c r="F365" s="346"/>
      <c r="G365" s="346"/>
      <c r="H365" s="346"/>
      <c r="I365" s="346"/>
      <c r="J365" s="346"/>
      <c r="K365" s="346"/>
      <c r="L365" s="346"/>
      <c r="M365" s="346"/>
      <c r="N365" s="346"/>
      <c r="O365" s="346"/>
      <c r="P365">
        <f t="shared" si="34"/>
        <v>0</v>
      </c>
      <c r="Q365" s="351" t="e">
        <f t="shared" si="35"/>
        <v>#DIV/0!</v>
      </c>
    </row>
    <row r="366" spans="1:17" ht="15.75">
      <c r="A366" s="387">
        <f>'Conveyor Downtime (new)'!A383</f>
        <v>46211</v>
      </c>
      <c r="B366"/>
      <c r="C366"/>
      <c r="D366"/>
      <c r="E366"/>
      <c r="F366"/>
      <c r="G366"/>
      <c r="H366"/>
      <c r="I366"/>
      <c r="J366"/>
      <c r="K366"/>
      <c r="L366"/>
      <c r="M366"/>
      <c r="N366"/>
      <c r="O366"/>
      <c r="P366">
        <f t="shared" si="34"/>
        <v>0</v>
      </c>
      <c r="Q366" s="351" t="e">
        <f t="shared" si="35"/>
        <v>#DIV/0!</v>
      </c>
    </row>
    <row r="367" spans="1:17" ht="15.75">
      <c r="A367" s="387">
        <f>'Conveyor Downtime (new)'!A384</f>
        <v>46211</v>
      </c>
      <c r="B367" s="346"/>
      <c r="C367" s="346"/>
      <c r="D367" s="346"/>
      <c r="E367" s="346"/>
      <c r="F367" s="346"/>
      <c r="G367" s="346"/>
      <c r="H367" s="346"/>
      <c r="I367" s="346"/>
      <c r="J367" s="346"/>
      <c r="K367" s="346"/>
      <c r="L367" s="346"/>
      <c r="M367" s="346"/>
      <c r="N367" s="346"/>
      <c r="O367" s="346"/>
      <c r="P367">
        <f t="shared" si="34"/>
        <v>0</v>
      </c>
      <c r="Q367" s="351" t="e">
        <f t="shared" si="35"/>
        <v>#DIV/0!</v>
      </c>
    </row>
    <row r="368" spans="1:17" ht="15.75">
      <c r="A368" s="387">
        <f>'Conveyor Downtime (new)'!A385</f>
        <v>46211</v>
      </c>
      <c r="B368"/>
      <c r="C368"/>
      <c r="D368"/>
      <c r="E368"/>
      <c r="F368"/>
      <c r="G368"/>
      <c r="H368"/>
      <c r="I368"/>
      <c r="J368"/>
      <c r="K368"/>
      <c r="L368"/>
      <c r="M368"/>
      <c r="N368"/>
      <c r="O368">
        <f>1</f>
        <v>1</v>
      </c>
      <c r="P368">
        <f t="shared" si="34"/>
        <v>1</v>
      </c>
      <c r="Q368" s="351" t="e">
        <f t="shared" si="35"/>
        <v>#DIV/0!</v>
      </c>
    </row>
    <row r="369" spans="1:17" ht="15.75">
      <c r="A369" s="387">
        <f>'Conveyor Downtime (new)'!A386</f>
        <v>46211</v>
      </c>
      <c r="B369" s="346"/>
      <c r="C369" s="346"/>
      <c r="D369" s="346"/>
      <c r="E369" s="346"/>
      <c r="F369" s="346"/>
      <c r="G369" s="346"/>
      <c r="H369" s="346"/>
      <c r="I369" s="346"/>
      <c r="J369" s="346"/>
      <c r="K369" s="346"/>
      <c r="L369" s="346"/>
      <c r="M369" s="346"/>
      <c r="N369" s="346"/>
      <c r="O369" s="346">
        <f>1+16+3+2+2+30+30+15+30+19</f>
        <v>148</v>
      </c>
      <c r="P369">
        <f t="shared" si="34"/>
        <v>148</v>
      </c>
      <c r="Q369" s="351" t="e">
        <f t="shared" si="35"/>
        <v>#DIV/0!</v>
      </c>
    </row>
    <row r="370" spans="1:17" ht="15.75">
      <c r="A370" s="387">
        <f>'Conveyor Downtime (new)'!A387</f>
        <v>46212</v>
      </c>
      <c r="B370"/>
      <c r="C370"/>
      <c r="D370"/>
      <c r="E370"/>
      <c r="F370"/>
      <c r="G370"/>
      <c r="H370"/>
      <c r="I370"/>
      <c r="J370"/>
      <c r="K370"/>
      <c r="L370"/>
      <c r="M370"/>
      <c r="N370"/>
      <c r="O370">
        <v>10</v>
      </c>
      <c r="P370">
        <f t="shared" si="34"/>
        <v>10</v>
      </c>
      <c r="Q370" s="351" t="e">
        <f t="shared" si="35"/>
        <v>#DIV/0!</v>
      </c>
    </row>
    <row r="371" spans="1:17" ht="15.75">
      <c r="A371" s="387">
        <f>'Conveyor Downtime (new)'!A388</f>
        <v>46212</v>
      </c>
      <c r="B371" s="346"/>
      <c r="C371" s="346"/>
      <c r="D371" s="346"/>
      <c r="E371" s="346"/>
      <c r="F371" s="346"/>
      <c r="G371" s="346"/>
      <c r="H371" s="346"/>
      <c r="I371" s="346"/>
      <c r="J371" s="346"/>
      <c r="K371" s="346"/>
      <c r="L371" s="346"/>
      <c r="M371" s="346"/>
      <c r="N371" s="346"/>
      <c r="O371" s="346"/>
      <c r="P371">
        <f t="shared" si="34"/>
        <v>0</v>
      </c>
      <c r="Q371" s="351" t="e">
        <f t="shared" si="35"/>
        <v>#DIV/0!</v>
      </c>
    </row>
    <row r="372" spans="1:17" ht="15.75">
      <c r="A372" s="387">
        <f>'Conveyor Downtime (new)'!A389</f>
        <v>46212</v>
      </c>
      <c r="B372"/>
      <c r="C372"/>
      <c r="D372">
        <v>10</v>
      </c>
      <c r="E372"/>
      <c r="F372"/>
      <c r="G372"/>
      <c r="H372"/>
      <c r="I372"/>
      <c r="J372"/>
      <c r="K372"/>
      <c r="L372"/>
      <c r="M372"/>
      <c r="N372"/>
      <c r="O372"/>
      <c r="P372">
        <f t="shared" si="34"/>
        <v>10</v>
      </c>
      <c r="Q372" s="351" t="e">
        <f t="shared" si="35"/>
        <v>#DIV/0!</v>
      </c>
    </row>
    <row r="373" spans="1:17" ht="15.75">
      <c r="A373" s="387">
        <f>'Conveyor Downtime (new)'!A390</f>
        <v>46213</v>
      </c>
      <c r="B373" s="346"/>
      <c r="C373" s="346"/>
      <c r="D373" s="346"/>
      <c r="E373" s="346"/>
      <c r="F373" s="346"/>
      <c r="G373" s="346"/>
      <c r="H373" s="346"/>
      <c r="I373" s="346"/>
      <c r="J373" s="346"/>
      <c r="K373" s="346"/>
      <c r="L373" s="346"/>
      <c r="M373" s="346"/>
      <c r="N373" s="346"/>
      <c r="O373" s="346"/>
      <c r="P373">
        <f t="shared" si="34"/>
        <v>0</v>
      </c>
      <c r="Q373" s="351" t="e">
        <f t="shared" si="35"/>
        <v>#DIV/0!</v>
      </c>
    </row>
    <row r="374" spans="1:17" ht="15.75">
      <c r="A374" s="387">
        <f>'Conveyor Downtime (new)'!A391</f>
        <v>46213</v>
      </c>
      <c r="B374"/>
      <c r="C374"/>
      <c r="D374"/>
      <c r="E374"/>
      <c r="F374"/>
      <c r="G374"/>
      <c r="H374"/>
      <c r="I374"/>
      <c r="J374"/>
      <c r="K374"/>
      <c r="L374"/>
      <c r="M374"/>
      <c r="N374"/>
      <c r="O374"/>
      <c r="P374">
        <f t="shared" si="34"/>
        <v>0</v>
      </c>
      <c r="Q374" s="351" t="e">
        <f t="shared" si="35"/>
        <v>#DIV/0!</v>
      </c>
    </row>
    <row r="375" spans="1:17" ht="15.75">
      <c r="A375" s="387">
        <f>'Conveyor Downtime (new)'!A392</f>
        <v>46216</v>
      </c>
      <c r="B375" s="346"/>
      <c r="C375" s="346"/>
      <c r="D375" s="346"/>
      <c r="E375" s="346"/>
      <c r="F375" s="346"/>
      <c r="G375" s="346"/>
      <c r="H375" s="346"/>
      <c r="I375" s="346"/>
      <c r="J375" s="346"/>
      <c r="K375" s="346"/>
      <c r="L375" s="346"/>
      <c r="M375" s="346"/>
      <c r="N375" s="346"/>
      <c r="O375" s="346"/>
      <c r="P375">
        <f t="shared" si="34"/>
        <v>0</v>
      </c>
      <c r="Q375" s="351" t="e">
        <f t="shared" si="35"/>
        <v>#DIV/0!</v>
      </c>
    </row>
    <row r="376" spans="1:17" ht="15.75">
      <c r="A376" s="387">
        <f>'Conveyor Downtime (new)'!A393</f>
        <v>46216</v>
      </c>
      <c r="B376"/>
      <c r="C376"/>
      <c r="D376"/>
      <c r="E376"/>
      <c r="F376"/>
      <c r="G376"/>
      <c r="H376"/>
      <c r="I376"/>
      <c r="J376"/>
      <c r="K376"/>
      <c r="L376"/>
      <c r="M376"/>
      <c r="N376"/>
      <c r="O376"/>
      <c r="P376">
        <f t="shared" si="34"/>
        <v>0</v>
      </c>
      <c r="Q376" s="351" t="e">
        <f t="shared" si="35"/>
        <v>#DIV/0!</v>
      </c>
    </row>
    <row r="377" spans="1:17" ht="15.75">
      <c r="A377" s="387">
        <f>'Conveyor Downtime (new)'!A394</f>
        <v>46217</v>
      </c>
      <c r="B377" s="346"/>
      <c r="C377" s="346"/>
      <c r="D377" s="346"/>
      <c r="E377" s="346"/>
      <c r="F377" s="346"/>
      <c r="G377" s="346"/>
      <c r="H377" s="346"/>
      <c r="I377" s="346"/>
      <c r="J377" s="346"/>
      <c r="K377" s="346"/>
      <c r="L377" s="346"/>
      <c r="M377" s="346"/>
      <c r="N377" s="346"/>
      <c r="O377" s="346"/>
      <c r="P377">
        <f t="shared" si="34"/>
        <v>0</v>
      </c>
      <c r="Q377" s="351" t="e">
        <f t="shared" si="35"/>
        <v>#DIV/0!</v>
      </c>
    </row>
    <row r="378" spans="1:17" ht="15.75">
      <c r="A378" s="387">
        <f>'Conveyor Downtime (new)'!A395</f>
        <v>46218</v>
      </c>
      <c r="B378"/>
      <c r="C378"/>
      <c r="D378">
        <f>6+3+10+6</f>
        <v>25</v>
      </c>
      <c r="E378"/>
      <c r="F378"/>
      <c r="G378"/>
      <c r="H378"/>
      <c r="I378"/>
      <c r="J378"/>
      <c r="K378">
        <f>8+8</f>
        <v>16</v>
      </c>
      <c r="L378"/>
      <c r="M378"/>
      <c r="N378"/>
      <c r="O378"/>
      <c r="P378">
        <f t="shared" si="34"/>
        <v>41</v>
      </c>
      <c r="Q378" s="351" t="e">
        <f t="shared" si="35"/>
        <v>#DIV/0!</v>
      </c>
    </row>
    <row r="379" spans="1:17" ht="15.75">
      <c r="A379" s="387">
        <f>'Conveyor Downtime (new)'!A396</f>
        <v>46218</v>
      </c>
      <c r="B379" s="346"/>
      <c r="C379" s="346"/>
      <c r="D379" s="346"/>
      <c r="E379" s="346"/>
      <c r="F379" s="346"/>
      <c r="G379" s="346"/>
      <c r="H379" s="346"/>
      <c r="I379" s="346"/>
      <c r="J379" s="346"/>
      <c r="K379" s="346"/>
      <c r="L379" s="346"/>
      <c r="M379" s="346"/>
      <c r="N379" s="346"/>
      <c r="O379" s="346"/>
      <c r="P379">
        <f t="shared" si="34"/>
        <v>0</v>
      </c>
      <c r="Q379" s="351" t="e">
        <f t="shared" si="35"/>
        <v>#DIV/0!</v>
      </c>
    </row>
    <row r="380" spans="1:17" ht="15.75">
      <c r="A380" s="387">
        <f>'Conveyor Downtime (new)'!A397</f>
        <v>46219</v>
      </c>
      <c r="B380"/>
      <c r="C380"/>
      <c r="D380"/>
      <c r="E380"/>
      <c r="F380"/>
      <c r="G380"/>
      <c r="H380"/>
      <c r="I380"/>
      <c r="J380"/>
      <c r="K380"/>
      <c r="L380"/>
      <c r="M380"/>
      <c r="N380"/>
      <c r="O380"/>
      <c r="P380">
        <f t="shared" si="34"/>
        <v>0</v>
      </c>
      <c r="Q380" s="351" t="e">
        <f t="shared" si="35"/>
        <v>#DIV/0!</v>
      </c>
    </row>
    <row r="381" spans="1:17" ht="15.75">
      <c r="A381" s="387">
        <f>'Conveyor Downtime (new)'!A398</f>
        <v>46219</v>
      </c>
      <c r="B381" s="346"/>
      <c r="C381" s="346"/>
      <c r="D381" s="346"/>
      <c r="E381" s="346"/>
      <c r="F381" s="346"/>
      <c r="G381" s="346"/>
      <c r="H381" s="346"/>
      <c r="I381" s="346"/>
      <c r="J381" s="346"/>
      <c r="K381" s="346"/>
      <c r="L381" s="346"/>
      <c r="M381" s="346"/>
      <c r="N381" s="346"/>
      <c r="O381" s="346">
        <f>11</f>
        <v>11</v>
      </c>
      <c r="P381">
        <f t="shared" si="34"/>
        <v>11</v>
      </c>
      <c r="Q381" s="351" t="e">
        <f t="shared" si="35"/>
        <v>#DIV/0!</v>
      </c>
    </row>
    <row r="382" spans="1:17" ht="15.75">
      <c r="A382" s="387">
        <f>'Conveyor Downtime (new)'!A399</f>
        <v>46219</v>
      </c>
      <c r="B382"/>
      <c r="C382"/>
      <c r="D382"/>
      <c r="E382"/>
      <c r="F382"/>
      <c r="G382"/>
      <c r="H382"/>
      <c r="I382"/>
      <c r="J382"/>
      <c r="K382"/>
      <c r="L382"/>
      <c r="M382"/>
      <c r="N382"/>
      <c r="O382"/>
      <c r="P382">
        <f t="shared" si="34"/>
        <v>0</v>
      </c>
      <c r="Q382" s="351" t="e">
        <f t="shared" si="35"/>
        <v>#DIV/0!</v>
      </c>
    </row>
    <row r="383" spans="1:17" ht="15.75">
      <c r="A383" s="387">
        <f>'Conveyor Downtime (new)'!A400</f>
        <v>46219</v>
      </c>
      <c r="B383"/>
      <c r="C383"/>
      <c r="D383"/>
      <c r="E383"/>
      <c r="F383"/>
      <c r="G383"/>
      <c r="H383"/>
      <c r="I383"/>
      <c r="J383"/>
      <c r="K383"/>
      <c r="L383"/>
      <c r="M383"/>
      <c r="N383"/>
      <c r="O383"/>
      <c r="P383">
        <f t="shared" ref="P383:P386" si="36">SUM(B383:O383)</f>
        <v>0</v>
      </c>
      <c r="Q383" s="351" t="e">
        <f t="shared" ref="Q383:Q386" si="37">P383/$P$350</f>
        <v>#DIV/0!</v>
      </c>
    </row>
    <row r="384" spans="1:17" ht="15.75">
      <c r="A384" s="387">
        <f>'Conveyor Downtime (new)'!A401</f>
        <v>46220</v>
      </c>
      <c r="B384" s="346"/>
      <c r="C384" s="346"/>
      <c r="D384" s="346"/>
      <c r="E384" s="346"/>
      <c r="F384" s="346"/>
      <c r="G384" s="346"/>
      <c r="H384" s="346"/>
      <c r="I384" s="346"/>
      <c r="J384" s="346"/>
      <c r="K384" s="346"/>
      <c r="L384" s="346"/>
      <c r="M384" s="346"/>
      <c r="N384" s="346"/>
      <c r="O384" s="346"/>
      <c r="P384">
        <f t="shared" si="36"/>
        <v>0</v>
      </c>
      <c r="Q384" s="351" t="e">
        <f t="shared" si="37"/>
        <v>#DIV/0!</v>
      </c>
    </row>
    <row r="385" spans="1:17" ht="15.75">
      <c r="A385" s="387">
        <f>'Conveyor Downtime (new)'!A402</f>
        <v>46220</v>
      </c>
      <c r="B385"/>
      <c r="C385"/>
      <c r="D385"/>
      <c r="E385"/>
      <c r="F385"/>
      <c r="G385"/>
      <c r="H385"/>
      <c r="I385"/>
      <c r="J385"/>
      <c r="K385"/>
      <c r="L385"/>
      <c r="M385"/>
      <c r="N385"/>
      <c r="O385"/>
      <c r="P385">
        <f t="shared" si="36"/>
        <v>0</v>
      </c>
      <c r="Q385" s="351" t="e">
        <f t="shared" si="37"/>
        <v>#DIV/0!</v>
      </c>
    </row>
    <row r="386" spans="1:17" ht="15.75">
      <c r="A386" s="387">
        <f>'Conveyor Downtime (new)'!A403</f>
        <v>46223</v>
      </c>
      <c r="B386" s="346"/>
      <c r="C386" s="346"/>
      <c r="D386" s="346"/>
      <c r="E386" s="346"/>
      <c r="F386" s="346"/>
      <c r="G386" s="346"/>
      <c r="H386" s="346"/>
      <c r="I386" s="346"/>
      <c r="J386" s="346"/>
      <c r="K386" s="346"/>
      <c r="L386" s="346"/>
      <c r="M386" s="346"/>
      <c r="N386" s="346"/>
      <c r="O386" s="346"/>
      <c r="P386">
        <f t="shared" si="36"/>
        <v>0</v>
      </c>
      <c r="Q386" s="351" t="e">
        <f t="shared" si="37"/>
        <v>#DIV/0!</v>
      </c>
    </row>
    <row r="387" spans="1:17" ht="15.75">
      <c r="A387" s="387">
        <f>'Conveyor Downtime (new)'!A404</f>
        <v>46223</v>
      </c>
      <c r="B387"/>
      <c r="C387"/>
      <c r="D387"/>
      <c r="E387"/>
      <c r="F387"/>
      <c r="G387"/>
      <c r="H387"/>
      <c r="I387"/>
      <c r="J387"/>
      <c r="K387"/>
      <c r="L387"/>
      <c r="M387"/>
      <c r="N387"/>
      <c r="O387"/>
      <c r="P387">
        <f t="shared" si="34"/>
        <v>0</v>
      </c>
      <c r="Q387" s="351" t="e">
        <f t="shared" si="35"/>
        <v>#DIV/0!</v>
      </c>
    </row>
    <row r="388" spans="1:17" ht="15.75">
      <c r="A388" s="387">
        <f>'Conveyor Downtime (new)'!A405</f>
        <v>46224</v>
      </c>
      <c r="B388" s="346"/>
      <c r="C388" s="346"/>
      <c r="D388" s="346"/>
      <c r="E388" s="346"/>
      <c r="F388" s="346"/>
      <c r="G388" s="346"/>
      <c r="H388" s="346"/>
      <c r="I388" s="346"/>
      <c r="J388" s="346"/>
      <c r="K388" s="346"/>
      <c r="L388" s="346"/>
      <c r="M388" s="346"/>
      <c r="N388" s="346"/>
      <c r="O388" s="346"/>
      <c r="P388">
        <f t="shared" si="34"/>
        <v>0</v>
      </c>
      <c r="Q388" s="351" t="e">
        <f t="shared" si="35"/>
        <v>#DIV/0!</v>
      </c>
    </row>
    <row r="389" spans="1:17" ht="15.75">
      <c r="A389" s="387">
        <f>'Conveyor Downtime (new)'!A406</f>
        <v>46224</v>
      </c>
      <c r="B389"/>
      <c r="C389"/>
      <c r="D389"/>
      <c r="E389"/>
      <c r="F389"/>
      <c r="G389"/>
      <c r="H389"/>
      <c r="I389"/>
      <c r="J389"/>
      <c r="K389"/>
      <c r="L389"/>
      <c r="M389"/>
      <c r="N389"/>
      <c r="O389"/>
      <c r="P389">
        <f t="shared" si="34"/>
        <v>0</v>
      </c>
      <c r="Q389" s="351" t="e">
        <f t="shared" si="35"/>
        <v>#DIV/0!</v>
      </c>
    </row>
    <row r="390" spans="1:17" ht="15.75">
      <c r="A390" s="387">
        <f>'Conveyor Downtime (new)'!A407</f>
        <v>46224</v>
      </c>
      <c r="B390" s="346"/>
      <c r="C390" s="346"/>
      <c r="D390" s="346"/>
      <c r="E390" s="346"/>
      <c r="F390" s="346"/>
      <c r="G390" s="346"/>
      <c r="H390" s="346"/>
      <c r="I390" s="346"/>
      <c r="J390" s="346"/>
      <c r="K390" s="346"/>
      <c r="L390" s="346"/>
      <c r="M390" s="346"/>
      <c r="N390" s="346"/>
      <c r="O390" s="346"/>
      <c r="P390">
        <f t="shared" ref="P390:P414" si="38">SUM(B390:O390)</f>
        <v>0</v>
      </c>
      <c r="Q390" s="351" t="e">
        <f t="shared" si="35"/>
        <v>#DIV/0!</v>
      </c>
    </row>
    <row r="391" spans="1:17" ht="15.75">
      <c r="A391" s="387">
        <f>'Conveyor Downtime (new)'!A408</f>
        <v>46225</v>
      </c>
      <c r="B391"/>
      <c r="C391"/>
      <c r="D391"/>
      <c r="E391"/>
      <c r="F391"/>
      <c r="G391"/>
      <c r="H391"/>
      <c r="I391"/>
      <c r="J391"/>
      <c r="K391"/>
      <c r="L391"/>
      <c r="M391"/>
      <c r="N391"/>
      <c r="O391"/>
      <c r="P391">
        <f t="shared" si="38"/>
        <v>0</v>
      </c>
      <c r="Q391" s="351" t="e">
        <f t="shared" si="35"/>
        <v>#DIV/0!</v>
      </c>
    </row>
    <row r="392" spans="1:17" ht="15.75">
      <c r="A392" s="387">
        <f>'Conveyor Downtime (new)'!A409</f>
        <v>46225</v>
      </c>
      <c r="B392" s="346"/>
      <c r="C392" s="346"/>
      <c r="D392" s="346"/>
      <c r="E392" s="346"/>
      <c r="F392" s="346"/>
      <c r="G392" s="346"/>
      <c r="H392" s="346"/>
      <c r="I392" s="346"/>
      <c r="J392" s="346"/>
      <c r="K392" s="346"/>
      <c r="L392" s="346"/>
      <c r="M392" s="346"/>
      <c r="N392" s="346"/>
      <c r="O392" s="346"/>
      <c r="P392">
        <f t="shared" si="38"/>
        <v>0</v>
      </c>
      <c r="Q392" s="351" t="e">
        <f t="shared" si="35"/>
        <v>#DIV/0!</v>
      </c>
    </row>
    <row r="393" spans="1:17" ht="15.75">
      <c r="A393" s="387">
        <f>'Conveyor Downtime (new)'!A410</f>
        <v>46226</v>
      </c>
      <c r="B393"/>
      <c r="C393"/>
      <c r="D393"/>
      <c r="E393">
        <f>9+4</f>
        <v>13</v>
      </c>
      <c r="F393"/>
      <c r="G393"/>
      <c r="H393"/>
      <c r="I393"/>
      <c r="J393"/>
      <c r="K393"/>
      <c r="L393"/>
      <c r="M393">
        <f>60+60</f>
        <v>120</v>
      </c>
      <c r="N393"/>
      <c r="O393">
        <f>8</f>
        <v>8</v>
      </c>
      <c r="P393">
        <f t="shared" si="38"/>
        <v>141</v>
      </c>
      <c r="Q393" s="351" t="e">
        <f t="shared" si="35"/>
        <v>#DIV/0!</v>
      </c>
    </row>
    <row r="394" spans="1:17" ht="15.75">
      <c r="A394" s="387">
        <f>'Conveyor Downtime (new)'!A411</f>
        <v>46226</v>
      </c>
      <c r="B394" s="346"/>
      <c r="C394" s="346"/>
      <c r="D394" s="346"/>
      <c r="E394" s="346"/>
      <c r="F394" s="346"/>
      <c r="G394" s="346"/>
      <c r="H394" s="346"/>
      <c r="I394" s="346"/>
      <c r="J394" s="346"/>
      <c r="K394" s="346"/>
      <c r="L394" s="346"/>
      <c r="M394" s="346">
        <v>6</v>
      </c>
      <c r="N394" s="346"/>
      <c r="O394" s="346">
        <f>4+36</f>
        <v>40</v>
      </c>
      <c r="P394">
        <f t="shared" si="38"/>
        <v>46</v>
      </c>
      <c r="Q394" s="351" t="e">
        <f t="shared" si="35"/>
        <v>#DIV/0!</v>
      </c>
    </row>
    <row r="395" spans="1:17" ht="15.75">
      <c r="A395" s="387">
        <f>'Conveyor Downtime (new)'!A412</f>
        <v>46227</v>
      </c>
      <c r="B395"/>
      <c r="C395"/>
      <c r="D395"/>
      <c r="E395"/>
      <c r="F395"/>
      <c r="G395"/>
      <c r="H395"/>
      <c r="I395"/>
      <c r="J395"/>
      <c r="K395"/>
      <c r="L395"/>
      <c r="M395">
        <f>7</f>
        <v>7</v>
      </c>
      <c r="N395"/>
      <c r="O395"/>
      <c r="P395">
        <f t="shared" si="38"/>
        <v>7</v>
      </c>
      <c r="Q395" s="351" t="e">
        <f t="shared" si="35"/>
        <v>#DIV/0!</v>
      </c>
    </row>
    <row r="396" spans="1:17" ht="15.75">
      <c r="A396" s="387">
        <f>'Conveyor Downtime (new)'!A413</f>
        <v>46227</v>
      </c>
      <c r="B396" s="346"/>
      <c r="C396" s="346"/>
      <c r="D396" s="346"/>
      <c r="E396" s="346"/>
      <c r="F396" s="346"/>
      <c r="G396" s="346"/>
      <c r="H396" s="346"/>
      <c r="I396" s="346"/>
      <c r="J396" s="346"/>
      <c r="K396" s="346"/>
      <c r="L396" s="346"/>
      <c r="M396" s="346"/>
      <c r="N396" s="346"/>
      <c r="O396" s="346"/>
      <c r="P396">
        <f t="shared" si="38"/>
        <v>0</v>
      </c>
      <c r="Q396" s="351" t="e">
        <f t="shared" si="35"/>
        <v>#DIV/0!</v>
      </c>
    </row>
    <row r="397" spans="1:17" ht="15.75">
      <c r="A397" s="387">
        <f>'Conveyor Downtime (new)'!A414</f>
        <v>46230</v>
      </c>
      <c r="B397"/>
      <c r="C397"/>
      <c r="D397"/>
      <c r="E397"/>
      <c r="F397"/>
      <c r="G397"/>
      <c r="H397"/>
      <c r="I397"/>
      <c r="J397"/>
      <c r="K397"/>
      <c r="L397"/>
      <c r="M397"/>
      <c r="N397"/>
      <c r="O397"/>
      <c r="P397">
        <f>SUM(B397:O397)</f>
        <v>0</v>
      </c>
      <c r="Q397" s="351" t="e">
        <f>P397/$P$350</f>
        <v>#DIV/0!</v>
      </c>
    </row>
    <row r="398" spans="1:17" ht="15.75">
      <c r="A398" s="387">
        <f>'Conveyor Downtime (new)'!A415</f>
        <v>46231</v>
      </c>
      <c r="B398" s="346"/>
      <c r="C398" s="346"/>
      <c r="D398" s="346"/>
      <c r="E398" s="346"/>
      <c r="F398" s="346"/>
      <c r="G398" s="346"/>
      <c r="H398" s="346"/>
      <c r="I398" s="346"/>
      <c r="J398" s="346"/>
      <c r="K398" s="346"/>
      <c r="L398" s="346"/>
      <c r="M398" s="346"/>
      <c r="N398" s="346"/>
      <c r="O398" s="346"/>
      <c r="P398">
        <f>SUM(B398:O398)</f>
        <v>0</v>
      </c>
      <c r="Q398" s="351" t="e">
        <f>P398/$P$350</f>
        <v>#DIV/0!</v>
      </c>
    </row>
    <row r="399" spans="1:17" ht="15.75">
      <c r="A399" s="387">
        <f>'Conveyor Downtime (new)'!A416</f>
        <v>46231</v>
      </c>
      <c r="B399"/>
      <c r="C399"/>
      <c r="D399"/>
      <c r="E399"/>
      <c r="F399"/>
      <c r="G399"/>
      <c r="H399"/>
      <c r="I399"/>
      <c r="J399"/>
      <c r="K399"/>
      <c r="L399"/>
      <c r="M399"/>
      <c r="N399"/>
      <c r="O399">
        <f>29+10+2+8</f>
        <v>49</v>
      </c>
      <c r="P399">
        <f>SUM(B399:O399)</f>
        <v>49</v>
      </c>
      <c r="Q399" s="351" t="e">
        <f>P399/$P$350</f>
        <v>#DIV/0!</v>
      </c>
    </row>
    <row r="400" spans="1:17" ht="15.75">
      <c r="A400" s="387">
        <f>'Conveyor Downtime (new)'!A417</f>
        <v>46232</v>
      </c>
      <c r="B400" s="346">
        <f>6</f>
        <v>6</v>
      </c>
      <c r="C400" s="346"/>
      <c r="D400" s="346"/>
      <c r="E400" s="346"/>
      <c r="F400" s="346"/>
      <c r="G400" s="346"/>
      <c r="H400" s="346"/>
      <c r="I400" s="346"/>
      <c r="J400" s="346"/>
      <c r="K400" s="346">
        <f>5+6</f>
        <v>11</v>
      </c>
      <c r="L400" s="346"/>
      <c r="M400" s="346"/>
      <c r="N400" s="346"/>
      <c r="O400" s="346"/>
      <c r="P400">
        <f>SUM(B400:O400)</f>
        <v>17</v>
      </c>
      <c r="Q400" s="351" t="e">
        <f>P400/$P$350</f>
        <v>#DIV/0!</v>
      </c>
    </row>
    <row r="401" spans="1:17" ht="15.75">
      <c r="A401" s="387">
        <f>'Conveyor Downtime (new)'!A418</f>
        <v>46232</v>
      </c>
      <c r="B401">
        <v>3</v>
      </c>
      <c r="C401">
        <v>3</v>
      </c>
      <c r="D401"/>
      <c r="E401"/>
      <c r="F401"/>
      <c r="G401"/>
      <c r="H401"/>
      <c r="I401"/>
      <c r="J401"/>
      <c r="K401"/>
      <c r="L401"/>
      <c r="M401"/>
      <c r="N401"/>
      <c r="O401"/>
      <c r="P401">
        <f>SUM(B401:O401)</f>
        <v>6</v>
      </c>
      <c r="Q401" s="351" t="e">
        <f>P401/$P$350</f>
        <v>#DIV/0!</v>
      </c>
    </row>
    <row r="402" spans="1:17" ht="15.75">
      <c r="A402" s="387">
        <f>'Conveyor Downtime (new)'!A419</f>
        <v>46232</v>
      </c>
      <c r="B402" s="346"/>
      <c r="C402" s="346"/>
      <c r="D402" s="346"/>
      <c r="E402" s="346"/>
      <c r="F402" s="346"/>
      <c r="G402" s="346"/>
      <c r="H402" s="346"/>
      <c r="I402" s="346"/>
      <c r="J402" s="346"/>
      <c r="K402" s="346"/>
      <c r="L402" s="346"/>
      <c r="M402" s="346"/>
      <c r="N402" s="346"/>
      <c r="O402" s="346"/>
      <c r="P402">
        <f t="shared" si="38"/>
        <v>0</v>
      </c>
      <c r="Q402" s="351" t="e">
        <f t="shared" si="35"/>
        <v>#DIV/0!</v>
      </c>
    </row>
    <row r="403" spans="1:17" ht="15.75">
      <c r="A403" s="387"/>
      <c r="B403"/>
      <c r="C403"/>
      <c r="D403"/>
      <c r="E403"/>
      <c r="F403"/>
      <c r="G403"/>
      <c r="H403"/>
      <c r="I403"/>
      <c r="J403"/>
      <c r="K403"/>
      <c r="L403"/>
      <c r="M403"/>
      <c r="N403"/>
      <c r="O403"/>
      <c r="P403">
        <f t="shared" si="38"/>
        <v>0</v>
      </c>
      <c r="Q403" s="351" t="e">
        <f t="shared" si="35"/>
        <v>#DIV/0!</v>
      </c>
    </row>
    <row r="404" spans="1:17" ht="15.75">
      <c r="A404" s="387"/>
      <c r="B404" s="346"/>
      <c r="C404" s="346"/>
      <c r="D404" s="346"/>
      <c r="E404" s="346"/>
      <c r="F404" s="346"/>
      <c r="G404" s="346"/>
      <c r="H404" s="346"/>
      <c r="I404" s="346"/>
      <c r="J404" s="346"/>
      <c r="K404" s="346"/>
      <c r="L404" s="346"/>
      <c r="M404" s="346"/>
      <c r="N404" s="346"/>
      <c r="O404" s="346"/>
      <c r="P404">
        <f t="shared" si="38"/>
        <v>0</v>
      </c>
      <c r="Q404" s="351" t="e">
        <f t="shared" si="35"/>
        <v>#DIV/0!</v>
      </c>
    </row>
    <row r="405" spans="1:17" ht="15.75">
      <c r="A405" s="387"/>
      <c r="B405"/>
      <c r="C405"/>
      <c r="D405"/>
      <c r="E405"/>
      <c r="F405"/>
      <c r="G405"/>
      <c r="H405"/>
      <c r="I405"/>
      <c r="J405"/>
      <c r="K405"/>
      <c r="L405"/>
      <c r="M405"/>
      <c r="N405"/>
      <c r="O405"/>
      <c r="P405">
        <f t="shared" si="38"/>
        <v>0</v>
      </c>
      <c r="Q405" s="351" t="e">
        <f t="shared" si="35"/>
        <v>#DIV/0!</v>
      </c>
    </row>
    <row r="406" spans="1:17" ht="15.75">
      <c r="A406" s="387"/>
      <c r="B406" s="346"/>
      <c r="C406" s="346"/>
      <c r="D406" s="346"/>
      <c r="E406" s="346"/>
      <c r="F406" s="346"/>
      <c r="G406" s="346"/>
      <c r="H406" s="346"/>
      <c r="I406" s="346"/>
      <c r="J406" s="346"/>
      <c r="K406" s="346"/>
      <c r="L406" s="346"/>
      <c r="M406" s="346"/>
      <c r="N406" s="346"/>
      <c r="O406" s="346"/>
      <c r="P406">
        <f t="shared" si="38"/>
        <v>0</v>
      </c>
      <c r="Q406" s="351" t="e">
        <f t="shared" si="35"/>
        <v>#DIV/0!</v>
      </c>
    </row>
    <row r="407" spans="1:17" ht="15.75">
      <c r="A407" s="387"/>
      <c r="B407"/>
      <c r="C407"/>
      <c r="D407"/>
      <c r="E407"/>
      <c r="F407"/>
      <c r="G407"/>
      <c r="H407"/>
      <c r="I407"/>
      <c r="J407"/>
      <c r="K407"/>
      <c r="L407"/>
      <c r="M407"/>
      <c r="N407"/>
      <c r="O407"/>
      <c r="P407">
        <f t="shared" si="38"/>
        <v>0</v>
      </c>
      <c r="Q407" s="351" t="e">
        <f t="shared" si="35"/>
        <v>#DIV/0!</v>
      </c>
    </row>
    <row r="408" spans="1:17" ht="15.75">
      <c r="A408" s="387"/>
      <c r="B408" s="346"/>
      <c r="C408" s="346"/>
      <c r="D408" s="346"/>
      <c r="E408" s="346"/>
      <c r="F408" s="346"/>
      <c r="G408" s="346"/>
      <c r="H408" s="346"/>
      <c r="I408" s="346"/>
      <c r="J408" s="346"/>
      <c r="K408" s="346"/>
      <c r="L408" s="346"/>
      <c r="M408" s="346"/>
      <c r="N408" s="346"/>
      <c r="O408" s="346"/>
      <c r="P408">
        <f t="shared" si="38"/>
        <v>0</v>
      </c>
      <c r="Q408" s="351" t="e">
        <f t="shared" si="35"/>
        <v>#DIV/0!</v>
      </c>
    </row>
    <row r="409" spans="1:17" ht="15.75">
      <c r="A409" s="387"/>
      <c r="B409"/>
      <c r="C409"/>
      <c r="D409"/>
      <c r="E409"/>
      <c r="F409"/>
      <c r="G409"/>
      <c r="H409"/>
      <c r="I409"/>
      <c r="J409"/>
      <c r="K409"/>
      <c r="L409"/>
      <c r="M409"/>
      <c r="N409"/>
      <c r="O409"/>
      <c r="P409">
        <f t="shared" si="38"/>
        <v>0</v>
      </c>
      <c r="Q409" s="351" t="e">
        <f t="shared" si="35"/>
        <v>#DIV/0!</v>
      </c>
    </row>
    <row r="410" spans="1:17" ht="15.75">
      <c r="A410" s="387"/>
      <c r="B410" s="346"/>
      <c r="C410" s="346"/>
      <c r="D410" s="346"/>
      <c r="E410" s="346"/>
      <c r="F410" s="346"/>
      <c r="G410" s="346"/>
      <c r="H410" s="346"/>
      <c r="I410" s="346"/>
      <c r="J410" s="346"/>
      <c r="K410" s="346"/>
      <c r="L410" s="346"/>
      <c r="M410" s="346"/>
      <c r="N410" s="346"/>
      <c r="O410" s="346"/>
      <c r="P410">
        <f t="shared" si="38"/>
        <v>0</v>
      </c>
      <c r="Q410" s="351" t="e">
        <f t="shared" si="35"/>
        <v>#DIV/0!</v>
      </c>
    </row>
    <row r="411" spans="1:17" ht="15.75">
      <c r="A411" s="387"/>
      <c r="B411"/>
      <c r="C411"/>
      <c r="D411"/>
      <c r="E411"/>
      <c r="F411"/>
      <c r="G411"/>
      <c r="H411"/>
      <c r="I411"/>
      <c r="J411"/>
      <c r="K411"/>
      <c r="L411"/>
      <c r="M411"/>
      <c r="N411"/>
      <c r="O411"/>
      <c r="P411">
        <f t="shared" si="38"/>
        <v>0</v>
      </c>
      <c r="Q411" s="351" t="e">
        <f t="shared" si="35"/>
        <v>#DIV/0!</v>
      </c>
    </row>
    <row r="412" spans="1:17" ht="15.75">
      <c r="A412" s="387"/>
      <c r="B412" s="346"/>
      <c r="C412" s="346"/>
      <c r="D412" s="346"/>
      <c r="E412" s="346"/>
      <c r="F412" s="346"/>
      <c r="G412" s="346"/>
      <c r="H412" s="346"/>
      <c r="I412" s="346"/>
      <c r="J412" s="346"/>
      <c r="K412" s="346"/>
      <c r="L412" s="346"/>
      <c r="M412" s="346"/>
      <c r="N412" s="346"/>
      <c r="O412" s="346"/>
      <c r="P412">
        <f t="shared" si="38"/>
        <v>0</v>
      </c>
      <c r="Q412" s="351" t="e">
        <f t="shared" si="35"/>
        <v>#DIV/0!</v>
      </c>
    </row>
    <row r="413" spans="1:17" ht="15.75">
      <c r="A413" s="387"/>
      <c r="B413"/>
      <c r="C413"/>
      <c r="D413"/>
      <c r="E413"/>
      <c r="F413"/>
      <c r="G413"/>
      <c r="H413"/>
      <c r="I413"/>
      <c r="J413"/>
      <c r="K413"/>
      <c r="L413"/>
      <c r="M413"/>
      <c r="N413"/>
      <c r="O413"/>
      <c r="P413">
        <f t="shared" si="38"/>
        <v>0</v>
      </c>
      <c r="Q413" s="351" t="e">
        <f t="shared" si="35"/>
        <v>#DIV/0!</v>
      </c>
    </row>
    <row r="414" spans="1:17" ht="15.75">
      <c r="A414" s="387"/>
      <c r="B414" s="346"/>
      <c r="C414" s="346"/>
      <c r="D414" s="346"/>
      <c r="E414" s="346"/>
      <c r="F414" s="346"/>
      <c r="G414" s="346"/>
      <c r="H414" s="346"/>
      <c r="I414" s="346"/>
      <c r="J414" s="346"/>
      <c r="K414" s="346"/>
      <c r="L414" s="346"/>
      <c r="M414" s="346"/>
      <c r="N414" s="346"/>
      <c r="O414" s="346"/>
      <c r="P414">
        <f t="shared" si="38"/>
        <v>0</v>
      </c>
      <c r="Q414" s="351" t="e">
        <f t="shared" si="35"/>
        <v>#DIV/0!</v>
      </c>
    </row>
    <row r="415" spans="1:17" ht="15">
      <c r="A415" s="347" t="s">
        <v>113</v>
      </c>
      <c r="B415" s="347">
        <f>SUM(B357:B414)</f>
        <v>9</v>
      </c>
      <c r="C415" s="347">
        <f>SUM(C357:C414)</f>
        <v>3</v>
      </c>
      <c r="D415" s="347">
        <f t="shared" ref="D415:P415" si="39">SUM(D357:D414)</f>
        <v>35</v>
      </c>
      <c r="E415" s="347">
        <f t="shared" si="39"/>
        <v>13</v>
      </c>
      <c r="F415" s="347">
        <f t="shared" si="39"/>
        <v>0</v>
      </c>
      <c r="G415" s="347">
        <f t="shared" si="39"/>
        <v>0</v>
      </c>
      <c r="H415" s="347">
        <f t="shared" si="39"/>
        <v>0</v>
      </c>
      <c r="I415" s="347">
        <f t="shared" si="39"/>
        <v>0</v>
      </c>
      <c r="J415" s="347">
        <f t="shared" si="39"/>
        <v>0</v>
      </c>
      <c r="K415" s="347">
        <f t="shared" si="39"/>
        <v>27</v>
      </c>
      <c r="L415" s="347">
        <f t="shared" si="39"/>
        <v>0</v>
      </c>
      <c r="M415" s="347">
        <f t="shared" si="39"/>
        <v>133</v>
      </c>
      <c r="N415" s="347">
        <f t="shared" si="39"/>
        <v>0</v>
      </c>
      <c r="O415" s="347">
        <f t="shared" si="39"/>
        <v>267</v>
      </c>
      <c r="P415" s="347">
        <f t="shared" si="39"/>
        <v>487</v>
      </c>
      <c r="Q415" s="351"/>
    </row>
    <row r="416" spans="1:17" ht="15.75" thickBot="1">
      <c r="A416" s="348" t="s">
        <v>174</v>
      </c>
      <c r="B416" s="348">
        <f t="shared" ref="B416:O416" si="40">B415/$P415</f>
        <v>1.8480492813141684E-2</v>
      </c>
      <c r="C416" s="348">
        <f t="shared" si="40"/>
        <v>6.1601642710472282E-3</v>
      </c>
      <c r="D416" s="348">
        <f t="shared" si="40"/>
        <v>7.1868583162217656E-2</v>
      </c>
      <c r="E416" s="348">
        <f t="shared" si="40"/>
        <v>2.6694045174537988E-2</v>
      </c>
      <c r="F416" s="348">
        <f t="shared" si="40"/>
        <v>0</v>
      </c>
      <c r="G416" s="348">
        <f t="shared" si="40"/>
        <v>0</v>
      </c>
      <c r="H416" s="348">
        <f t="shared" si="40"/>
        <v>0</v>
      </c>
      <c r="I416" s="348">
        <f t="shared" si="40"/>
        <v>0</v>
      </c>
      <c r="J416" s="348">
        <f t="shared" si="40"/>
        <v>0</v>
      </c>
      <c r="K416" s="348">
        <f t="shared" si="40"/>
        <v>5.5441478439425054E-2</v>
      </c>
      <c r="L416" s="348">
        <f t="shared" si="40"/>
        <v>0</v>
      </c>
      <c r="M416" s="348">
        <f t="shared" si="40"/>
        <v>0.2731006160164271</v>
      </c>
      <c r="N416" s="348">
        <f t="shared" si="40"/>
        <v>0</v>
      </c>
      <c r="O416" s="348">
        <f t="shared" si="40"/>
        <v>0.54825462012320325</v>
      </c>
      <c r="P416"/>
      <c r="Q416" s="351"/>
    </row>
    <row r="419" spans="1:17" ht="15.75">
      <c r="A419" s="387">
        <f>'Conveyor Downtime (new)'!A433</f>
        <v>46237</v>
      </c>
      <c r="B419" s="346"/>
      <c r="C419" s="346"/>
      <c r="D419" s="346"/>
      <c r="E419" s="346"/>
      <c r="F419" s="346"/>
      <c r="G419" s="346"/>
      <c r="H419" s="346"/>
      <c r="I419" s="346"/>
      <c r="J419" s="346"/>
      <c r="K419" s="346"/>
      <c r="L419" s="346"/>
      <c r="M419" s="346"/>
      <c r="N419" s="346"/>
      <c r="O419" s="346"/>
      <c r="P419">
        <f t="shared" ref="P419:P450" si="41">SUM(B419:O419)</f>
        <v>0</v>
      </c>
      <c r="Q419" s="351" t="e">
        <f>P419/$P$350</f>
        <v>#DIV/0!</v>
      </c>
    </row>
    <row r="420" spans="1:17" ht="15.75">
      <c r="A420" s="387">
        <f>'Conveyor Downtime (new)'!A434</f>
        <v>46238</v>
      </c>
      <c r="B420"/>
      <c r="C420"/>
      <c r="D420"/>
      <c r="E420"/>
      <c r="F420"/>
      <c r="G420"/>
      <c r="H420"/>
      <c r="I420"/>
      <c r="J420"/>
      <c r="K420"/>
      <c r="L420"/>
      <c r="M420"/>
      <c r="N420"/>
      <c r="O420"/>
      <c r="P420">
        <f t="shared" si="41"/>
        <v>0</v>
      </c>
      <c r="Q420" s="360" t="e">
        <f t="shared" ref="Q420:Q473" si="42">P420/$P$350</f>
        <v>#DIV/0!</v>
      </c>
    </row>
    <row r="421" spans="1:17" ht="15.75">
      <c r="A421" s="387">
        <f>'Conveyor Downtime (new)'!A435</f>
        <v>46239</v>
      </c>
      <c r="B421" s="346"/>
      <c r="C421" s="346"/>
      <c r="D421" s="346"/>
      <c r="E421" s="346"/>
      <c r="F421" s="346"/>
      <c r="G421" s="346"/>
      <c r="H421" s="346"/>
      <c r="I421" s="346"/>
      <c r="J421" s="346"/>
      <c r="K421" s="346"/>
      <c r="L421" s="346"/>
      <c r="M421" s="346"/>
      <c r="N421" s="346"/>
      <c r="O421" s="346"/>
      <c r="P421">
        <f t="shared" si="41"/>
        <v>0</v>
      </c>
      <c r="Q421" s="351" t="e">
        <f t="shared" si="42"/>
        <v>#DIV/0!</v>
      </c>
    </row>
    <row r="422" spans="1:17" ht="15.75">
      <c r="A422" s="387">
        <f>'Conveyor Downtime (new)'!A436</f>
        <v>46239</v>
      </c>
      <c r="B422"/>
      <c r="C422"/>
      <c r="D422"/>
      <c r="E422"/>
      <c r="F422"/>
      <c r="G422"/>
      <c r="H422"/>
      <c r="I422"/>
      <c r="J422"/>
      <c r="K422"/>
      <c r="L422"/>
      <c r="M422"/>
      <c r="N422"/>
      <c r="O422"/>
      <c r="P422">
        <f t="shared" si="41"/>
        <v>0</v>
      </c>
      <c r="Q422" s="351" t="e">
        <f t="shared" si="42"/>
        <v>#DIV/0!</v>
      </c>
    </row>
    <row r="423" spans="1:17" ht="15.75">
      <c r="A423" s="387">
        <f>'Conveyor Downtime (new)'!A437</f>
        <v>46239</v>
      </c>
      <c r="B423" s="346"/>
      <c r="C423" s="346"/>
      <c r="D423" s="346"/>
      <c r="E423" s="346"/>
      <c r="F423" s="346"/>
      <c r="G423" s="346"/>
      <c r="H423" s="346"/>
      <c r="I423" s="346"/>
      <c r="J423" s="346"/>
      <c r="K423" s="346"/>
      <c r="L423" s="346"/>
      <c r="M423" s="346"/>
      <c r="N423" s="346"/>
      <c r="O423" s="346"/>
      <c r="P423">
        <f t="shared" si="41"/>
        <v>0</v>
      </c>
      <c r="Q423" s="351" t="e">
        <f t="shared" si="42"/>
        <v>#DIV/0!</v>
      </c>
    </row>
    <row r="424" spans="1:17" ht="15.75">
      <c r="A424" s="387">
        <f>'Conveyor Downtime (new)'!A438</f>
        <v>46240</v>
      </c>
      <c r="B424"/>
      <c r="C424"/>
      <c r="D424"/>
      <c r="E424"/>
      <c r="F424"/>
      <c r="G424"/>
      <c r="H424"/>
      <c r="I424"/>
      <c r="J424"/>
      <c r="K424"/>
      <c r="L424"/>
      <c r="M424"/>
      <c r="N424"/>
      <c r="O424"/>
      <c r="P424">
        <f t="shared" si="41"/>
        <v>0</v>
      </c>
      <c r="Q424" s="351" t="e">
        <f t="shared" si="42"/>
        <v>#DIV/0!</v>
      </c>
    </row>
    <row r="425" spans="1:17" ht="15.75">
      <c r="A425" s="387">
        <f>'Conveyor Downtime (new)'!A439</f>
        <v>46241</v>
      </c>
      <c r="B425" s="346"/>
      <c r="C425" s="346"/>
      <c r="D425" s="346"/>
      <c r="E425" s="346"/>
      <c r="F425" s="346"/>
      <c r="G425" s="346"/>
      <c r="H425" s="346"/>
      <c r="I425" s="346"/>
      <c r="J425" s="346"/>
      <c r="K425" s="346"/>
      <c r="L425" s="346"/>
      <c r="M425" s="346"/>
      <c r="N425" s="346"/>
      <c r="O425" s="346"/>
      <c r="P425">
        <f t="shared" si="41"/>
        <v>0</v>
      </c>
      <c r="Q425" s="351" t="e">
        <f t="shared" si="42"/>
        <v>#DIV/0!</v>
      </c>
    </row>
    <row r="426" spans="1:17" ht="18" customHeight="1">
      <c r="A426" s="387">
        <f>'Conveyor Downtime (new)'!A440</f>
        <v>46241</v>
      </c>
      <c r="B426"/>
      <c r="C426"/>
      <c r="D426"/>
      <c r="E426"/>
      <c r="F426"/>
      <c r="G426"/>
      <c r="H426"/>
      <c r="I426"/>
      <c r="J426"/>
      <c r="K426"/>
      <c r="L426"/>
      <c r="M426"/>
      <c r="N426"/>
      <c r="O426"/>
      <c r="P426">
        <f t="shared" si="41"/>
        <v>0</v>
      </c>
      <c r="Q426" s="351" t="e">
        <f t="shared" si="42"/>
        <v>#DIV/0!</v>
      </c>
    </row>
    <row r="427" spans="1:17" ht="15.75">
      <c r="A427" s="387">
        <f>'Conveyor Downtime (new)'!A441</f>
        <v>46246</v>
      </c>
      <c r="B427" s="346">
        <f>17+7+22+14</f>
        <v>60</v>
      </c>
      <c r="C427" s="346"/>
      <c r="D427" s="346"/>
      <c r="E427" s="346"/>
      <c r="F427" s="346"/>
      <c r="G427" s="346"/>
      <c r="H427" s="346"/>
      <c r="I427" s="346"/>
      <c r="J427" s="346"/>
      <c r="K427" s="346">
        <f>10</f>
        <v>10</v>
      </c>
      <c r="L427" s="346"/>
      <c r="M427" s="346"/>
      <c r="N427" s="346"/>
      <c r="O427" s="346"/>
      <c r="P427">
        <f t="shared" si="41"/>
        <v>70</v>
      </c>
      <c r="Q427" s="351" t="e">
        <f t="shared" si="42"/>
        <v>#DIV/0!</v>
      </c>
    </row>
    <row r="428" spans="1:17" ht="15.75">
      <c r="A428" s="387">
        <f>'Conveyor Downtime (new)'!A442</f>
        <v>46247</v>
      </c>
      <c r="B428">
        <f>10</f>
        <v>10</v>
      </c>
      <c r="C428"/>
      <c r="D428"/>
      <c r="E428"/>
      <c r="F428"/>
      <c r="G428"/>
      <c r="H428"/>
      <c r="I428"/>
      <c r="J428"/>
      <c r="K428"/>
      <c r="L428"/>
      <c r="M428"/>
      <c r="N428"/>
      <c r="O428"/>
      <c r="P428">
        <f t="shared" si="41"/>
        <v>10</v>
      </c>
      <c r="Q428" s="351" t="e">
        <f t="shared" si="42"/>
        <v>#DIV/0!</v>
      </c>
    </row>
    <row r="429" spans="1:17" ht="15.75">
      <c r="A429" s="387">
        <f>'Conveyor Downtime (new)'!A443</f>
        <v>46247</v>
      </c>
      <c r="B429" s="346"/>
      <c r="C429" s="346"/>
      <c r="D429" s="346"/>
      <c r="E429" s="346"/>
      <c r="F429" s="346"/>
      <c r="G429" s="346"/>
      <c r="H429" s="346"/>
      <c r="I429" s="346"/>
      <c r="J429" s="346"/>
      <c r="K429" s="346"/>
      <c r="L429" s="346"/>
      <c r="M429" s="346"/>
      <c r="N429" s="346"/>
      <c r="O429" s="346"/>
      <c r="P429">
        <f t="shared" si="41"/>
        <v>0</v>
      </c>
      <c r="Q429" s="351" t="e">
        <f t="shared" si="42"/>
        <v>#DIV/0!</v>
      </c>
    </row>
    <row r="430" spans="1:17" ht="15.75">
      <c r="A430" s="387">
        <f>'Conveyor Downtime (new)'!A444</f>
        <v>46247</v>
      </c>
      <c r="B430"/>
      <c r="C430"/>
      <c r="D430"/>
      <c r="E430"/>
      <c r="F430"/>
      <c r="G430"/>
      <c r="H430"/>
      <c r="I430"/>
      <c r="J430"/>
      <c r="K430"/>
      <c r="L430"/>
      <c r="M430"/>
      <c r="N430"/>
      <c r="O430"/>
      <c r="P430">
        <f t="shared" si="41"/>
        <v>0</v>
      </c>
      <c r="Q430" s="351" t="e">
        <f t="shared" si="42"/>
        <v>#DIV/0!</v>
      </c>
    </row>
    <row r="431" spans="1:17" ht="15.75">
      <c r="A431" s="387">
        <f>'Conveyor Downtime (new)'!A445</f>
        <v>46248</v>
      </c>
      <c r="B431" s="346"/>
      <c r="C431" s="346"/>
      <c r="D431" s="346"/>
      <c r="E431" s="346"/>
      <c r="F431" s="346"/>
      <c r="G431" s="346"/>
      <c r="H431" s="346"/>
      <c r="I431" s="346"/>
      <c r="J431" s="346"/>
      <c r="K431" s="346"/>
      <c r="L431" s="346"/>
      <c r="M431" s="346"/>
      <c r="N431" s="346"/>
      <c r="O431" s="346"/>
      <c r="P431">
        <f t="shared" si="41"/>
        <v>0</v>
      </c>
      <c r="Q431" s="351" t="e">
        <f t="shared" si="42"/>
        <v>#DIV/0!</v>
      </c>
    </row>
    <row r="432" spans="1:17" ht="15.75">
      <c r="A432" s="387">
        <f>'Conveyor Downtime (new)'!A446</f>
        <v>46248</v>
      </c>
      <c r="B432"/>
      <c r="C432"/>
      <c r="D432"/>
      <c r="E432"/>
      <c r="F432"/>
      <c r="G432"/>
      <c r="H432"/>
      <c r="I432"/>
      <c r="J432"/>
      <c r="K432"/>
      <c r="L432"/>
      <c r="M432"/>
      <c r="N432"/>
      <c r="O432"/>
      <c r="P432">
        <f t="shared" si="41"/>
        <v>0</v>
      </c>
      <c r="Q432" s="351" t="e">
        <f t="shared" si="42"/>
        <v>#DIV/0!</v>
      </c>
    </row>
    <row r="433" spans="1:17" ht="15.75">
      <c r="A433" s="387">
        <f>'Conveyor Downtime (new)'!A447</f>
        <v>46251</v>
      </c>
      <c r="B433" s="346">
        <f>5+7</f>
        <v>12</v>
      </c>
      <c r="C433" s="346"/>
      <c r="D433" s="346"/>
      <c r="E433" s="346"/>
      <c r="F433" s="346"/>
      <c r="G433" s="346"/>
      <c r="H433" s="346"/>
      <c r="I433" s="346"/>
      <c r="J433" s="346"/>
      <c r="K433" s="346"/>
      <c r="L433" s="346">
        <f>6</f>
        <v>6</v>
      </c>
      <c r="M433" s="346"/>
      <c r="N433" s="346"/>
      <c r="O433" s="346">
        <f>14+12+3+15+3+5+22+3+3</f>
        <v>80</v>
      </c>
      <c r="P433">
        <f t="shared" si="41"/>
        <v>98</v>
      </c>
      <c r="Q433" s="351" t="e">
        <f t="shared" si="42"/>
        <v>#DIV/0!</v>
      </c>
    </row>
    <row r="434" spans="1:17" ht="15.75">
      <c r="A434" s="387">
        <f>'Conveyor Downtime (new)'!A448</f>
        <v>46251</v>
      </c>
      <c r="B434"/>
      <c r="C434"/>
      <c r="D434"/>
      <c r="E434"/>
      <c r="F434"/>
      <c r="G434"/>
      <c r="H434"/>
      <c r="I434"/>
      <c r="J434"/>
      <c r="K434"/>
      <c r="L434"/>
      <c r="M434"/>
      <c r="N434"/>
      <c r="O434"/>
      <c r="P434">
        <f t="shared" si="41"/>
        <v>0</v>
      </c>
      <c r="Q434" s="351" t="e">
        <f t="shared" si="42"/>
        <v>#DIV/0!</v>
      </c>
    </row>
    <row r="435" spans="1:17" ht="15.75">
      <c r="A435" s="387">
        <f>'Conveyor Downtime (new)'!A449</f>
        <v>46252</v>
      </c>
      <c r="B435" s="346"/>
      <c r="C435" s="346"/>
      <c r="D435" s="346"/>
      <c r="E435" s="346"/>
      <c r="F435" s="346"/>
      <c r="G435" s="346"/>
      <c r="H435" s="346"/>
      <c r="I435" s="346"/>
      <c r="J435" s="346"/>
      <c r="K435" s="346"/>
      <c r="L435" s="346"/>
      <c r="M435" s="346"/>
      <c r="N435" s="346"/>
      <c r="O435" s="346"/>
      <c r="P435">
        <f t="shared" si="41"/>
        <v>0</v>
      </c>
      <c r="Q435" s="351" t="e">
        <f t="shared" si="42"/>
        <v>#DIV/0!</v>
      </c>
    </row>
    <row r="436" spans="1:17" ht="15.75">
      <c r="A436" s="387">
        <f>'Conveyor Downtime (new)'!A450</f>
        <v>46252</v>
      </c>
      <c r="B436"/>
      <c r="C436"/>
      <c r="D436"/>
      <c r="E436"/>
      <c r="F436"/>
      <c r="G436"/>
      <c r="H436"/>
      <c r="I436"/>
      <c r="J436"/>
      <c r="K436"/>
      <c r="L436"/>
      <c r="M436"/>
      <c r="N436"/>
      <c r="O436"/>
      <c r="P436">
        <f t="shared" si="41"/>
        <v>0</v>
      </c>
      <c r="Q436" s="351" t="e">
        <f t="shared" si="42"/>
        <v>#DIV/0!</v>
      </c>
    </row>
    <row r="437" spans="1:17" ht="15.75">
      <c r="A437" s="387">
        <f>'Conveyor Downtime (new)'!A451</f>
        <v>46253</v>
      </c>
      <c r="B437" s="346"/>
      <c r="C437" s="346"/>
      <c r="D437" s="346"/>
      <c r="E437" s="346"/>
      <c r="F437" s="346"/>
      <c r="G437" s="346"/>
      <c r="H437" s="346"/>
      <c r="I437" s="346"/>
      <c r="J437" s="346"/>
      <c r="K437" s="346"/>
      <c r="L437" s="346"/>
      <c r="M437" s="346"/>
      <c r="N437" s="346"/>
      <c r="O437" s="346"/>
      <c r="P437">
        <f t="shared" si="41"/>
        <v>0</v>
      </c>
      <c r="Q437" s="351" t="e">
        <f t="shared" si="42"/>
        <v>#DIV/0!</v>
      </c>
    </row>
    <row r="438" spans="1:17" ht="15.75">
      <c r="A438" s="387">
        <f>'Conveyor Downtime (new)'!A452</f>
        <v>46253</v>
      </c>
      <c r="B438"/>
      <c r="C438"/>
      <c r="D438"/>
      <c r="E438"/>
      <c r="F438"/>
      <c r="G438"/>
      <c r="H438"/>
      <c r="I438"/>
      <c r="J438"/>
      <c r="K438"/>
      <c r="L438"/>
      <c r="M438"/>
      <c r="N438"/>
      <c r="O438"/>
      <c r="P438">
        <f t="shared" si="41"/>
        <v>0</v>
      </c>
      <c r="Q438" s="351" t="e">
        <f t="shared" si="42"/>
        <v>#DIV/0!</v>
      </c>
    </row>
    <row r="439" spans="1:17" ht="15.75">
      <c r="A439" s="387">
        <f>'Conveyor Downtime (new)'!A453</f>
        <v>46254</v>
      </c>
      <c r="B439" s="346"/>
      <c r="C439" s="346"/>
      <c r="D439" s="346"/>
      <c r="E439" s="346"/>
      <c r="F439" s="346"/>
      <c r="G439" s="346"/>
      <c r="H439" s="346"/>
      <c r="I439" s="346"/>
      <c r="J439" s="346"/>
      <c r="K439" s="346"/>
      <c r="L439" s="346"/>
      <c r="M439" s="346"/>
      <c r="N439" s="346"/>
      <c r="O439" s="346"/>
      <c r="P439">
        <f t="shared" si="41"/>
        <v>0</v>
      </c>
      <c r="Q439" s="351" t="e">
        <f t="shared" si="42"/>
        <v>#DIV/0!</v>
      </c>
    </row>
    <row r="440" spans="1:17" ht="15.75">
      <c r="A440" s="387">
        <f>'Conveyor Downtime (new)'!A454</f>
        <v>46254</v>
      </c>
      <c r="B440"/>
      <c r="C440"/>
      <c r="D440"/>
      <c r="E440"/>
      <c r="F440"/>
      <c r="G440"/>
      <c r="H440"/>
      <c r="I440"/>
      <c r="J440"/>
      <c r="K440"/>
      <c r="L440"/>
      <c r="M440"/>
      <c r="N440"/>
      <c r="O440"/>
      <c r="P440">
        <f t="shared" si="41"/>
        <v>0</v>
      </c>
      <c r="Q440" s="351" t="e">
        <f t="shared" si="42"/>
        <v>#DIV/0!</v>
      </c>
    </row>
    <row r="441" spans="1:17" ht="15.75">
      <c r="A441" s="387">
        <f>'Conveyor Downtime (new)'!A455</f>
        <v>46258</v>
      </c>
      <c r="B441" s="346"/>
      <c r="C441" s="346"/>
      <c r="D441" s="346"/>
      <c r="E441" s="346"/>
      <c r="F441" s="346"/>
      <c r="G441" s="346"/>
      <c r="H441" s="346"/>
      <c r="I441" s="346"/>
      <c r="J441" s="346"/>
      <c r="K441" s="346"/>
      <c r="L441" s="346"/>
      <c r="M441" s="346"/>
      <c r="N441" s="346"/>
      <c r="O441" s="346"/>
      <c r="P441">
        <f t="shared" si="41"/>
        <v>0</v>
      </c>
      <c r="Q441" s="351" t="e">
        <f t="shared" si="42"/>
        <v>#DIV/0!</v>
      </c>
    </row>
    <row r="442" spans="1:17" ht="15.75">
      <c r="A442" s="387">
        <f>'Conveyor Downtime (new)'!A456</f>
        <v>46258</v>
      </c>
      <c r="B442"/>
      <c r="C442"/>
      <c r="D442"/>
      <c r="E442"/>
      <c r="F442"/>
      <c r="G442"/>
      <c r="H442"/>
      <c r="I442"/>
      <c r="J442"/>
      <c r="K442"/>
      <c r="L442"/>
      <c r="M442"/>
      <c r="N442"/>
      <c r="O442"/>
      <c r="P442">
        <f t="shared" si="41"/>
        <v>0</v>
      </c>
      <c r="Q442" s="351" t="e">
        <f t="shared" si="42"/>
        <v>#DIV/0!</v>
      </c>
    </row>
    <row r="443" spans="1:17" ht="15.75">
      <c r="A443" s="387">
        <f>'Conveyor Downtime (new)'!A457</f>
        <v>46259</v>
      </c>
      <c r="B443" s="346"/>
      <c r="C443" s="346"/>
      <c r="D443" s="346"/>
      <c r="E443" s="346"/>
      <c r="F443" s="346"/>
      <c r="G443" s="346"/>
      <c r="H443" s="346"/>
      <c r="I443" s="346"/>
      <c r="J443" s="346"/>
      <c r="K443" s="346"/>
      <c r="L443" s="346"/>
      <c r="M443" s="346"/>
      <c r="N443" s="346"/>
      <c r="O443" s="346"/>
      <c r="P443">
        <f t="shared" si="41"/>
        <v>0</v>
      </c>
      <c r="Q443" s="351" t="e">
        <f t="shared" si="42"/>
        <v>#DIV/0!</v>
      </c>
    </row>
    <row r="444" spans="1:17" ht="15.75">
      <c r="A444" s="387">
        <f>'Conveyor Downtime (new)'!A458</f>
        <v>46259</v>
      </c>
      <c r="B444"/>
      <c r="C444"/>
      <c r="D444"/>
      <c r="E444"/>
      <c r="F444"/>
      <c r="G444"/>
      <c r="H444"/>
      <c r="I444"/>
      <c r="J444"/>
      <c r="K444"/>
      <c r="L444"/>
      <c r="M444"/>
      <c r="N444"/>
      <c r="O444"/>
      <c r="P444">
        <f t="shared" si="41"/>
        <v>0</v>
      </c>
      <c r="Q444" s="351" t="e">
        <f t="shared" si="42"/>
        <v>#DIV/0!</v>
      </c>
    </row>
    <row r="445" spans="1:17" ht="15.75">
      <c r="A445" s="387">
        <f>'Conveyor Downtime (new)'!A459</f>
        <v>46260</v>
      </c>
      <c r="B445" s="346"/>
      <c r="C445" s="346"/>
      <c r="D445" s="346"/>
      <c r="E445" s="346"/>
      <c r="F445" s="346"/>
      <c r="G445" s="346"/>
      <c r="H445" s="346"/>
      <c r="I445" s="346"/>
      <c r="J445" s="346"/>
      <c r="K445" s="346"/>
      <c r="L445" s="346"/>
      <c r="M445" s="346"/>
      <c r="N445" s="346"/>
      <c r="O445" s="346"/>
      <c r="P445">
        <f t="shared" si="41"/>
        <v>0</v>
      </c>
      <c r="Q445" s="351" t="e">
        <f t="shared" si="42"/>
        <v>#DIV/0!</v>
      </c>
    </row>
    <row r="446" spans="1:17" ht="15.75">
      <c r="A446" s="387">
        <f>'Conveyor Downtime (new)'!A460</f>
        <v>46260</v>
      </c>
      <c r="B446"/>
      <c r="C446"/>
      <c r="D446"/>
      <c r="E446"/>
      <c r="F446"/>
      <c r="G446"/>
      <c r="H446"/>
      <c r="I446"/>
      <c r="J446"/>
      <c r="K446"/>
      <c r="L446"/>
      <c r="M446"/>
      <c r="N446"/>
      <c r="O446"/>
      <c r="P446">
        <f t="shared" si="41"/>
        <v>0</v>
      </c>
      <c r="Q446" s="351" t="e">
        <f t="shared" si="42"/>
        <v>#DIV/0!</v>
      </c>
    </row>
    <row r="447" spans="1:17" ht="15.75">
      <c r="A447" s="387">
        <f>'Conveyor Downtime (new)'!A461</f>
        <v>46261</v>
      </c>
      <c r="B447" s="346"/>
      <c r="C447" s="346"/>
      <c r="D447" s="346"/>
      <c r="E447" s="346"/>
      <c r="F447" s="346"/>
      <c r="G447" s="346"/>
      <c r="H447" s="346"/>
      <c r="I447" s="346"/>
      <c r="J447" s="346"/>
      <c r="K447" s="346"/>
      <c r="L447" s="346"/>
      <c r="M447" s="346"/>
      <c r="N447" s="346"/>
      <c r="O447" s="346"/>
      <c r="P447">
        <f t="shared" si="41"/>
        <v>0</v>
      </c>
      <c r="Q447" s="351" t="e">
        <f t="shared" si="42"/>
        <v>#DIV/0!</v>
      </c>
    </row>
    <row r="448" spans="1:17" ht="15.75">
      <c r="A448" s="387">
        <f>'Conveyor Downtime (new)'!A462</f>
        <v>46261</v>
      </c>
      <c r="B448"/>
      <c r="C448"/>
      <c r="D448"/>
      <c r="E448"/>
      <c r="F448"/>
      <c r="G448"/>
      <c r="H448"/>
      <c r="I448"/>
      <c r="J448"/>
      <c r="K448"/>
      <c r="L448"/>
      <c r="M448"/>
      <c r="N448"/>
      <c r="O448"/>
      <c r="P448">
        <f t="shared" si="41"/>
        <v>0</v>
      </c>
      <c r="Q448" s="351" t="e">
        <f t="shared" si="42"/>
        <v>#DIV/0!</v>
      </c>
    </row>
    <row r="449" spans="1:17" ht="15.75">
      <c r="A449" s="387">
        <f>'Conveyor Downtime (new)'!A463</f>
        <v>46261</v>
      </c>
      <c r="B449" s="346"/>
      <c r="C449" s="346"/>
      <c r="D449" s="346"/>
      <c r="E449" s="346"/>
      <c r="F449" s="346"/>
      <c r="G449" s="346"/>
      <c r="H449" s="346"/>
      <c r="I449" s="346"/>
      <c r="J449" s="346"/>
      <c r="K449" s="346"/>
      <c r="L449" s="346"/>
      <c r="M449" s="346"/>
      <c r="N449" s="346"/>
      <c r="O449" s="346"/>
      <c r="P449">
        <f t="shared" si="41"/>
        <v>0</v>
      </c>
      <c r="Q449" s="351" t="e">
        <f t="shared" si="42"/>
        <v>#DIV/0!</v>
      </c>
    </row>
    <row r="450" spans="1:17" ht="15.75">
      <c r="A450" s="387">
        <f>'Conveyor Downtime (new)'!A464</f>
        <v>46262</v>
      </c>
      <c r="B450"/>
      <c r="C450"/>
      <c r="D450"/>
      <c r="E450"/>
      <c r="F450"/>
      <c r="G450"/>
      <c r="H450"/>
      <c r="I450"/>
      <c r="J450"/>
      <c r="K450"/>
      <c r="L450"/>
      <c r="M450"/>
      <c r="N450"/>
      <c r="O450"/>
      <c r="P450">
        <f t="shared" si="41"/>
        <v>0</v>
      </c>
      <c r="Q450" s="351" t="e">
        <f t="shared" si="42"/>
        <v>#DIV/0!</v>
      </c>
    </row>
    <row r="451" spans="1:17" ht="15.75">
      <c r="A451" s="387">
        <f>'Conveyor Downtime (new)'!A465</f>
        <v>46262</v>
      </c>
      <c r="B451" s="346"/>
      <c r="C451" s="346"/>
      <c r="D451" s="346"/>
      <c r="E451" s="346"/>
      <c r="F451" s="346"/>
      <c r="G451" s="346"/>
      <c r="H451" s="346"/>
      <c r="I451" s="346"/>
      <c r="J451" s="346"/>
      <c r="K451" s="346"/>
      <c r="L451" s="346"/>
      <c r="M451" s="346"/>
      <c r="N451" s="346"/>
      <c r="O451" s="346"/>
      <c r="P451">
        <f t="shared" ref="P451:P473" si="43">SUM(B451:O451)</f>
        <v>0</v>
      </c>
      <c r="Q451" s="351" t="e">
        <f t="shared" si="42"/>
        <v>#DIV/0!</v>
      </c>
    </row>
    <row r="452" spans="1:17" ht="15.75">
      <c r="A452" s="387">
        <f>'Conveyor Downtime (new)'!A466</f>
        <v>46262</v>
      </c>
      <c r="B452"/>
      <c r="C452"/>
      <c r="D452"/>
      <c r="E452"/>
      <c r="F452"/>
      <c r="G452"/>
      <c r="H452"/>
      <c r="I452"/>
      <c r="J452"/>
      <c r="K452"/>
      <c r="L452"/>
      <c r="M452"/>
      <c r="N452"/>
      <c r="O452"/>
      <c r="P452">
        <f t="shared" si="43"/>
        <v>0</v>
      </c>
      <c r="Q452" s="351" t="e">
        <f t="shared" si="42"/>
        <v>#DIV/0!</v>
      </c>
    </row>
    <row r="453" spans="1:17" ht="15.75">
      <c r="A453" s="387">
        <f>'Conveyor Downtime (new)'!A467</f>
        <v>46262</v>
      </c>
      <c r="B453" s="346"/>
      <c r="C453" s="346"/>
      <c r="D453" s="346"/>
      <c r="E453" s="346"/>
      <c r="F453" s="346"/>
      <c r="G453" s="346"/>
      <c r="H453" s="346"/>
      <c r="I453" s="346"/>
      <c r="J453" s="346"/>
      <c r="K453" s="346"/>
      <c r="L453" s="346"/>
      <c r="M453" s="346"/>
      <c r="N453" s="346"/>
      <c r="O453" s="346"/>
      <c r="P453">
        <f t="shared" si="43"/>
        <v>0</v>
      </c>
      <c r="Q453" s="351" t="e">
        <f t="shared" si="42"/>
        <v>#DIV/0!</v>
      </c>
    </row>
    <row r="454" spans="1:17" ht="15.75">
      <c r="A454" s="387">
        <f>'Conveyor Downtime (new)'!A468</f>
        <v>46265</v>
      </c>
      <c r="B454"/>
      <c r="C454"/>
      <c r="D454"/>
      <c r="E454"/>
      <c r="F454"/>
      <c r="G454"/>
      <c r="H454"/>
      <c r="I454"/>
      <c r="J454"/>
      <c r="K454"/>
      <c r="L454"/>
      <c r="M454"/>
      <c r="N454"/>
      <c r="O454"/>
      <c r="P454">
        <f t="shared" si="43"/>
        <v>0</v>
      </c>
      <c r="Q454" s="351" t="e">
        <f t="shared" si="42"/>
        <v>#DIV/0!</v>
      </c>
    </row>
    <row r="455" spans="1:17" ht="15.75">
      <c r="A455" s="387"/>
      <c r="B455" s="346"/>
      <c r="C455" s="346"/>
      <c r="D455" s="346"/>
      <c r="E455" s="346"/>
      <c r="F455" s="346"/>
      <c r="G455" s="346"/>
      <c r="H455" s="346"/>
      <c r="I455" s="346"/>
      <c r="J455" s="346"/>
      <c r="K455" s="346"/>
      <c r="L455" s="346"/>
      <c r="M455" s="346"/>
      <c r="N455" s="346"/>
      <c r="O455" s="346"/>
      <c r="P455">
        <f t="shared" si="43"/>
        <v>0</v>
      </c>
      <c r="Q455" s="351" t="e">
        <f t="shared" si="42"/>
        <v>#DIV/0!</v>
      </c>
    </row>
    <row r="456" spans="1:17" ht="15.75">
      <c r="A456" s="387"/>
      <c r="B456"/>
      <c r="C456"/>
      <c r="D456"/>
      <c r="E456"/>
      <c r="F456"/>
      <c r="G456"/>
      <c r="H456"/>
      <c r="I456"/>
      <c r="J456"/>
      <c r="K456"/>
      <c r="L456"/>
      <c r="M456"/>
      <c r="N456"/>
      <c r="O456"/>
      <c r="P456">
        <f t="shared" si="43"/>
        <v>0</v>
      </c>
      <c r="Q456" s="351" t="e">
        <f t="shared" si="42"/>
        <v>#DIV/0!</v>
      </c>
    </row>
    <row r="457" spans="1:17" ht="15.75">
      <c r="A457" s="387"/>
      <c r="B457" s="346"/>
      <c r="C457" s="346"/>
      <c r="D457" s="346"/>
      <c r="E457" s="346"/>
      <c r="F457" s="346"/>
      <c r="G457" s="346"/>
      <c r="H457" s="346"/>
      <c r="I457" s="346"/>
      <c r="J457" s="346"/>
      <c r="K457" s="346"/>
      <c r="L457" s="346"/>
      <c r="M457" s="346"/>
      <c r="N457" s="346"/>
      <c r="O457" s="346"/>
      <c r="P457">
        <f t="shared" si="43"/>
        <v>0</v>
      </c>
      <c r="Q457" s="351" t="e">
        <f t="shared" si="42"/>
        <v>#DIV/0!</v>
      </c>
    </row>
    <row r="458" spans="1:17" ht="15.75">
      <c r="A458" s="387"/>
      <c r="B458"/>
      <c r="C458"/>
      <c r="D458"/>
      <c r="E458"/>
      <c r="F458"/>
      <c r="G458"/>
      <c r="H458"/>
      <c r="I458"/>
      <c r="J458"/>
      <c r="K458"/>
      <c r="L458"/>
      <c r="M458"/>
      <c r="N458"/>
      <c r="O458"/>
      <c r="P458">
        <f t="shared" si="43"/>
        <v>0</v>
      </c>
      <c r="Q458" s="351" t="e">
        <f t="shared" si="42"/>
        <v>#DIV/0!</v>
      </c>
    </row>
    <row r="459" spans="1:17" ht="15.75">
      <c r="A459" s="387"/>
      <c r="B459" s="346"/>
      <c r="C459" s="346"/>
      <c r="D459" s="346"/>
      <c r="E459" s="346"/>
      <c r="F459" s="346"/>
      <c r="G459" s="346"/>
      <c r="H459" s="346"/>
      <c r="I459" s="346"/>
      <c r="J459" s="346"/>
      <c r="K459" s="346"/>
      <c r="L459" s="346"/>
      <c r="M459" s="77"/>
      <c r="N459" s="346"/>
      <c r="O459" s="346"/>
      <c r="P459">
        <f t="shared" si="43"/>
        <v>0</v>
      </c>
      <c r="Q459" s="351" t="e">
        <f t="shared" si="42"/>
        <v>#DIV/0!</v>
      </c>
    </row>
    <row r="460" spans="1:17" ht="15.75">
      <c r="A460" s="387"/>
      <c r="B460"/>
      <c r="C460"/>
      <c r="D460"/>
      <c r="E460"/>
      <c r="F460"/>
      <c r="G460"/>
      <c r="H460"/>
      <c r="I460"/>
      <c r="J460"/>
      <c r="K460"/>
      <c r="L460"/>
      <c r="M460"/>
      <c r="N460"/>
      <c r="O460"/>
      <c r="P460">
        <f t="shared" si="43"/>
        <v>0</v>
      </c>
      <c r="Q460" s="351" t="e">
        <f t="shared" si="42"/>
        <v>#DIV/0!</v>
      </c>
    </row>
    <row r="461" spans="1:17" ht="15.75">
      <c r="A461" s="387"/>
      <c r="B461" s="346"/>
      <c r="C461" s="346"/>
      <c r="D461" s="346"/>
      <c r="E461" s="346"/>
      <c r="F461" s="346"/>
      <c r="G461" s="346"/>
      <c r="H461" s="346"/>
      <c r="I461" s="346"/>
      <c r="J461" s="346"/>
      <c r="K461" s="346"/>
      <c r="L461" s="346"/>
      <c r="M461" s="346"/>
      <c r="N461" s="346"/>
      <c r="O461" s="346"/>
      <c r="P461">
        <f t="shared" si="43"/>
        <v>0</v>
      </c>
      <c r="Q461" s="351" t="e">
        <f t="shared" si="42"/>
        <v>#DIV/0!</v>
      </c>
    </row>
    <row r="462" spans="1:17" ht="15.75">
      <c r="A462" s="387"/>
      <c r="B462"/>
      <c r="C462"/>
      <c r="D462"/>
      <c r="E462"/>
      <c r="F462"/>
      <c r="G462"/>
      <c r="H462"/>
      <c r="I462"/>
      <c r="J462"/>
      <c r="K462"/>
      <c r="L462"/>
      <c r="M462"/>
      <c r="N462"/>
      <c r="O462"/>
      <c r="P462">
        <f t="shared" si="43"/>
        <v>0</v>
      </c>
      <c r="Q462" s="351" t="e">
        <f t="shared" si="42"/>
        <v>#DIV/0!</v>
      </c>
    </row>
    <row r="463" spans="1:17" ht="15.75">
      <c r="A463" s="387"/>
      <c r="B463" s="346"/>
      <c r="C463" s="346"/>
      <c r="D463" s="346"/>
      <c r="E463" s="346"/>
      <c r="F463" s="346"/>
      <c r="G463" s="346"/>
      <c r="H463" s="346"/>
      <c r="I463" s="346"/>
      <c r="J463" s="346"/>
      <c r="K463" s="346"/>
      <c r="L463" s="346"/>
      <c r="M463" s="346"/>
      <c r="N463" s="346"/>
      <c r="O463" s="346"/>
      <c r="P463">
        <f t="shared" si="43"/>
        <v>0</v>
      </c>
      <c r="Q463" s="351" t="e">
        <f t="shared" si="42"/>
        <v>#DIV/0!</v>
      </c>
    </row>
    <row r="464" spans="1:17" ht="15.75">
      <c r="A464" s="387"/>
      <c r="B464"/>
      <c r="C464"/>
      <c r="D464"/>
      <c r="E464"/>
      <c r="F464"/>
      <c r="G464"/>
      <c r="H464"/>
      <c r="I464"/>
      <c r="J464"/>
      <c r="K464"/>
      <c r="L464"/>
      <c r="M464"/>
      <c r="N464"/>
      <c r="O464"/>
      <c r="P464">
        <f t="shared" si="43"/>
        <v>0</v>
      </c>
      <c r="Q464" s="351" t="e">
        <f t="shared" si="42"/>
        <v>#DIV/0!</v>
      </c>
    </row>
    <row r="465" spans="1:17" ht="15.75">
      <c r="A465" s="387"/>
      <c r="B465" s="346"/>
      <c r="C465" s="346"/>
      <c r="D465" s="346"/>
      <c r="E465" s="346"/>
      <c r="F465" s="346"/>
      <c r="G465" s="346"/>
      <c r="H465" s="346"/>
      <c r="I465" s="346"/>
      <c r="J465" s="346"/>
      <c r="K465" s="346"/>
      <c r="L465" s="346"/>
      <c r="M465" s="346"/>
      <c r="N465" s="346"/>
      <c r="O465" s="346"/>
      <c r="P465">
        <f t="shared" si="43"/>
        <v>0</v>
      </c>
      <c r="Q465" s="351" t="e">
        <f t="shared" si="42"/>
        <v>#DIV/0!</v>
      </c>
    </row>
    <row r="466" spans="1:17" ht="15.75">
      <c r="A466" s="387"/>
      <c r="B466"/>
      <c r="C466"/>
      <c r="D466"/>
      <c r="E466"/>
      <c r="F466"/>
      <c r="G466"/>
      <c r="H466"/>
      <c r="I466"/>
      <c r="J466"/>
      <c r="K466"/>
      <c r="L466"/>
      <c r="M466"/>
      <c r="N466"/>
      <c r="O466"/>
      <c r="P466">
        <f t="shared" si="43"/>
        <v>0</v>
      </c>
      <c r="Q466" s="351" t="e">
        <f t="shared" si="42"/>
        <v>#DIV/0!</v>
      </c>
    </row>
    <row r="467" spans="1:17" ht="15.75">
      <c r="A467" s="387"/>
      <c r="B467" s="346"/>
      <c r="C467" s="346"/>
      <c r="D467" s="346"/>
      <c r="E467" s="346"/>
      <c r="F467" s="346"/>
      <c r="G467" s="346"/>
      <c r="H467" s="346"/>
      <c r="I467" s="346"/>
      <c r="J467" s="346"/>
      <c r="K467" s="346"/>
      <c r="L467" s="346"/>
      <c r="M467" s="346"/>
      <c r="N467" s="346"/>
      <c r="O467" s="346"/>
      <c r="P467">
        <f t="shared" si="43"/>
        <v>0</v>
      </c>
      <c r="Q467" s="351" t="e">
        <f t="shared" si="42"/>
        <v>#DIV/0!</v>
      </c>
    </row>
    <row r="468" spans="1:17" ht="15.75">
      <c r="A468" s="387"/>
      <c r="B468"/>
      <c r="C468"/>
      <c r="D468"/>
      <c r="E468"/>
      <c r="F468"/>
      <c r="G468"/>
      <c r="H468"/>
      <c r="I468"/>
      <c r="J468"/>
      <c r="K468"/>
      <c r="L468"/>
      <c r="M468"/>
      <c r="N468"/>
      <c r="O468"/>
      <c r="P468">
        <f t="shared" si="43"/>
        <v>0</v>
      </c>
      <c r="Q468" s="351" t="e">
        <f t="shared" si="42"/>
        <v>#DIV/0!</v>
      </c>
    </row>
    <row r="469" spans="1:17" ht="15.75">
      <c r="A469" s="387"/>
      <c r="B469" s="346"/>
      <c r="C469" s="346"/>
      <c r="D469" s="346"/>
      <c r="E469" s="346"/>
      <c r="F469" s="346"/>
      <c r="G469" s="346"/>
      <c r="H469" s="346"/>
      <c r="I469" s="346"/>
      <c r="J469" s="346"/>
      <c r="K469" s="346"/>
      <c r="L469" s="346"/>
      <c r="M469" s="346"/>
      <c r="N469" s="346"/>
      <c r="O469" s="346"/>
      <c r="P469">
        <f t="shared" si="43"/>
        <v>0</v>
      </c>
      <c r="Q469" s="351" t="e">
        <f t="shared" si="42"/>
        <v>#DIV/0!</v>
      </c>
    </row>
    <row r="470" spans="1:17" ht="15.75">
      <c r="A470" s="387"/>
      <c r="B470"/>
      <c r="C470"/>
      <c r="D470"/>
      <c r="E470"/>
      <c r="F470"/>
      <c r="G470"/>
      <c r="H470"/>
      <c r="I470"/>
      <c r="J470"/>
      <c r="K470"/>
      <c r="L470"/>
      <c r="M470"/>
      <c r="N470"/>
      <c r="O470"/>
      <c r="P470">
        <f t="shared" si="43"/>
        <v>0</v>
      </c>
      <c r="Q470" s="351" t="e">
        <f t="shared" si="42"/>
        <v>#DIV/0!</v>
      </c>
    </row>
    <row r="471" spans="1:17" ht="15.75">
      <c r="A471" s="387"/>
      <c r="B471" s="346"/>
      <c r="C471" s="346"/>
      <c r="D471" s="346"/>
      <c r="E471" s="346"/>
      <c r="F471" s="346"/>
      <c r="G471" s="346"/>
      <c r="H471" s="346"/>
      <c r="I471" s="346"/>
      <c r="J471" s="346"/>
      <c r="K471" s="346"/>
      <c r="L471" s="346"/>
      <c r="M471" s="346"/>
      <c r="N471" s="346"/>
      <c r="O471" s="346"/>
      <c r="P471">
        <f t="shared" si="43"/>
        <v>0</v>
      </c>
      <c r="Q471" s="351" t="e">
        <f t="shared" si="42"/>
        <v>#DIV/0!</v>
      </c>
    </row>
    <row r="472" spans="1:17" ht="15.75">
      <c r="A472" s="387"/>
      <c r="B472"/>
      <c r="C472"/>
      <c r="D472"/>
      <c r="E472"/>
      <c r="F472"/>
      <c r="G472"/>
      <c r="H472"/>
      <c r="I472"/>
      <c r="J472"/>
      <c r="K472"/>
      <c r="L472"/>
      <c r="M472"/>
      <c r="N472"/>
      <c r="O472"/>
      <c r="P472">
        <f t="shared" si="43"/>
        <v>0</v>
      </c>
      <c r="Q472" s="351" t="e">
        <f t="shared" si="42"/>
        <v>#DIV/0!</v>
      </c>
    </row>
    <row r="473" spans="1:17" ht="15.75">
      <c r="A473" s="387"/>
      <c r="B473" s="346"/>
      <c r="C473" s="346"/>
      <c r="D473" s="346"/>
      <c r="E473" s="346"/>
      <c r="F473" s="346"/>
      <c r="G473" s="346"/>
      <c r="H473" s="346"/>
      <c r="I473" s="346"/>
      <c r="J473" s="346"/>
      <c r="K473" s="346"/>
      <c r="L473" s="346"/>
      <c r="M473" s="346"/>
      <c r="N473" s="346"/>
      <c r="O473" s="346"/>
      <c r="P473">
        <f t="shared" si="43"/>
        <v>0</v>
      </c>
      <c r="Q473" s="351" t="e">
        <f t="shared" si="42"/>
        <v>#DIV/0!</v>
      </c>
    </row>
    <row r="474" spans="1:17" ht="15">
      <c r="A474" s="347" t="s">
        <v>113</v>
      </c>
      <c r="B474" s="347">
        <f>SUM(B419:B473)</f>
        <v>82</v>
      </c>
      <c r="C474" s="347">
        <f>SUM(C419:C473)</f>
        <v>0</v>
      </c>
      <c r="D474" s="347">
        <f>SUM(D419:D473)</f>
        <v>0</v>
      </c>
      <c r="E474" s="347">
        <f>SUM(E419:E473)</f>
        <v>0</v>
      </c>
      <c r="F474" s="347">
        <f>SUM(F419:F473)</f>
        <v>0</v>
      </c>
      <c r="G474" s="347">
        <f t="shared" ref="G474:O474" si="44">SUM(G419:G473)</f>
        <v>0</v>
      </c>
      <c r="H474" s="347">
        <f t="shared" si="44"/>
        <v>0</v>
      </c>
      <c r="I474" s="347">
        <f t="shared" si="44"/>
        <v>0</v>
      </c>
      <c r="J474" s="347">
        <f t="shared" si="44"/>
        <v>0</v>
      </c>
      <c r="K474" s="347">
        <f t="shared" si="44"/>
        <v>10</v>
      </c>
      <c r="L474" s="347">
        <f t="shared" si="44"/>
        <v>6</v>
      </c>
      <c r="M474" s="347">
        <f t="shared" si="44"/>
        <v>0</v>
      </c>
      <c r="N474" s="347">
        <f t="shared" si="44"/>
        <v>0</v>
      </c>
      <c r="O474" s="347">
        <f t="shared" si="44"/>
        <v>80</v>
      </c>
      <c r="P474" s="347">
        <f>SUM(P419:P473)</f>
        <v>178</v>
      </c>
      <c r="Q474" s="351"/>
    </row>
    <row r="475" spans="1:17" ht="15.75" thickBot="1">
      <c r="A475" s="348" t="s">
        <v>174</v>
      </c>
      <c r="B475" s="348">
        <f t="shared" ref="B475:O475" si="45">B474/$P474</f>
        <v>0.4606741573033708</v>
      </c>
      <c r="C475" s="348">
        <f t="shared" si="45"/>
        <v>0</v>
      </c>
      <c r="D475" s="348">
        <f t="shared" si="45"/>
        <v>0</v>
      </c>
      <c r="E475" s="348">
        <f t="shared" si="45"/>
        <v>0</v>
      </c>
      <c r="F475" s="348">
        <f t="shared" si="45"/>
        <v>0</v>
      </c>
      <c r="G475" s="348">
        <f t="shared" si="45"/>
        <v>0</v>
      </c>
      <c r="H475" s="348">
        <f t="shared" si="45"/>
        <v>0</v>
      </c>
      <c r="I475" s="348">
        <f t="shared" si="45"/>
        <v>0</v>
      </c>
      <c r="J475" s="348">
        <f t="shared" si="45"/>
        <v>0</v>
      </c>
      <c r="K475" s="348">
        <f t="shared" si="45"/>
        <v>5.6179775280898875E-2</v>
      </c>
      <c r="L475" s="348">
        <f t="shared" si="45"/>
        <v>3.3707865168539325E-2</v>
      </c>
      <c r="M475" s="348">
        <f t="shared" si="45"/>
        <v>0</v>
      </c>
      <c r="N475" s="348">
        <f t="shared" si="45"/>
        <v>0</v>
      </c>
      <c r="O475" s="348">
        <f t="shared" si="45"/>
        <v>0.449438202247191</v>
      </c>
      <c r="P475"/>
      <c r="Q475" s="351"/>
    </row>
    <row r="479" spans="1:17" ht="15.75">
      <c r="A479" s="387">
        <f>'Conveyor Downtime (new)'!A494</f>
        <v>46266</v>
      </c>
      <c r="B479"/>
      <c r="C479"/>
      <c r="D479"/>
      <c r="E479"/>
      <c r="F479"/>
      <c r="G479"/>
      <c r="H479"/>
      <c r="I479"/>
      <c r="J479"/>
      <c r="K479"/>
      <c r="L479"/>
      <c r="M479"/>
      <c r="N479"/>
      <c r="O479"/>
      <c r="P479">
        <f t="shared" ref="P479:P510" si="46">SUM(B479:O479)</f>
        <v>0</v>
      </c>
      <c r="Q479" s="351" t="e">
        <f t="shared" ref="Q479:Q490" si="47">P479/$P$350</f>
        <v>#DIV/0!</v>
      </c>
    </row>
    <row r="480" spans="1:17" ht="15.75">
      <c r="A480" s="387">
        <f>'Conveyor Downtime (new)'!A495</f>
        <v>46266</v>
      </c>
      <c r="B480" s="346"/>
      <c r="C480" s="346"/>
      <c r="D480" s="346"/>
      <c r="E480" s="346">
        <f>10</f>
        <v>10</v>
      </c>
      <c r="F480" s="346"/>
      <c r="G480" s="346"/>
      <c r="H480" s="346"/>
      <c r="I480" s="346"/>
      <c r="J480" s="346"/>
      <c r="K480" s="346">
        <f>5+20+18+10</f>
        <v>53</v>
      </c>
      <c r="L480" s="346"/>
      <c r="M480" s="346"/>
      <c r="N480" s="346"/>
      <c r="O480" s="346"/>
      <c r="P480">
        <f t="shared" si="46"/>
        <v>63</v>
      </c>
      <c r="Q480" s="351" t="e">
        <f t="shared" si="47"/>
        <v>#DIV/0!</v>
      </c>
    </row>
    <row r="481" spans="1:17" ht="15.75">
      <c r="A481" s="387">
        <f>'Conveyor Downtime (new)'!A496</f>
        <v>46267</v>
      </c>
      <c r="B481"/>
      <c r="C481"/>
      <c r="D481"/>
      <c r="E481"/>
      <c r="F481"/>
      <c r="G481"/>
      <c r="H481"/>
      <c r="I481"/>
      <c r="J481"/>
      <c r="K481"/>
      <c r="L481"/>
      <c r="M481"/>
      <c r="N481"/>
      <c r="O481">
        <f>10+10+6+9+3+12+6</f>
        <v>56</v>
      </c>
      <c r="P481">
        <f t="shared" si="46"/>
        <v>56</v>
      </c>
      <c r="Q481" s="351" t="e">
        <f t="shared" si="47"/>
        <v>#DIV/0!</v>
      </c>
    </row>
    <row r="482" spans="1:17" ht="15.75">
      <c r="A482" s="387">
        <f>'Conveyor Downtime (new)'!A497</f>
        <v>46267</v>
      </c>
      <c r="B482" s="346"/>
      <c r="C482" s="346"/>
      <c r="D482" s="346"/>
      <c r="E482" s="346"/>
      <c r="F482" s="346"/>
      <c r="G482" s="346"/>
      <c r="H482" s="346"/>
      <c r="I482" s="346"/>
      <c r="J482" s="346"/>
      <c r="K482" s="346"/>
      <c r="L482" s="346"/>
      <c r="M482" s="346"/>
      <c r="N482" s="346"/>
      <c r="O482" s="346"/>
      <c r="P482">
        <f t="shared" si="46"/>
        <v>0</v>
      </c>
      <c r="Q482" s="351" t="e">
        <f t="shared" si="47"/>
        <v>#DIV/0!</v>
      </c>
    </row>
    <row r="483" spans="1:17" ht="15.75">
      <c r="A483" s="387">
        <f>'Conveyor Downtime (new)'!A498</f>
        <v>46267</v>
      </c>
      <c r="B483"/>
      <c r="C483"/>
      <c r="D483"/>
      <c r="E483"/>
      <c r="F483"/>
      <c r="G483"/>
      <c r="H483"/>
      <c r="I483"/>
      <c r="J483"/>
      <c r="K483"/>
      <c r="L483"/>
      <c r="M483"/>
      <c r="N483"/>
      <c r="O483"/>
      <c r="P483">
        <f t="shared" si="46"/>
        <v>0</v>
      </c>
      <c r="Q483" s="360" t="e">
        <f t="shared" si="47"/>
        <v>#DIV/0!</v>
      </c>
    </row>
    <row r="484" spans="1:17" ht="15.75">
      <c r="A484" s="387">
        <f>'Conveyor Downtime (new)'!A499</f>
        <v>46268</v>
      </c>
      <c r="B484" s="346"/>
      <c r="C484" s="346"/>
      <c r="D484" s="346"/>
      <c r="E484" s="346"/>
      <c r="F484" s="346"/>
      <c r="G484" s="346"/>
      <c r="H484" s="346"/>
      <c r="I484" s="346"/>
      <c r="J484" s="346"/>
      <c r="K484" s="346"/>
      <c r="L484" s="346"/>
      <c r="M484" s="346"/>
      <c r="N484" s="346"/>
      <c r="O484" s="346"/>
      <c r="P484">
        <f t="shared" si="46"/>
        <v>0</v>
      </c>
      <c r="Q484" s="351" t="e">
        <f t="shared" si="47"/>
        <v>#DIV/0!</v>
      </c>
    </row>
    <row r="485" spans="1:17" ht="15.75">
      <c r="A485" s="387">
        <f>'Conveyor Downtime (new)'!A500</f>
        <v>46268</v>
      </c>
      <c r="B485"/>
      <c r="C485"/>
      <c r="D485"/>
      <c r="E485"/>
      <c r="F485"/>
      <c r="G485"/>
      <c r="H485"/>
      <c r="I485"/>
      <c r="J485"/>
      <c r="K485"/>
      <c r="L485"/>
      <c r="M485"/>
      <c r="O485"/>
      <c r="P485">
        <f t="shared" si="46"/>
        <v>0</v>
      </c>
      <c r="Q485" s="351" t="e">
        <f t="shared" si="47"/>
        <v>#DIV/0!</v>
      </c>
    </row>
    <row r="486" spans="1:17" ht="15.75">
      <c r="A486" s="387">
        <f>'Conveyor Downtime (new)'!A501</f>
        <v>46268</v>
      </c>
      <c r="B486" s="346"/>
      <c r="C486" s="346"/>
      <c r="D486" s="346"/>
      <c r="E486" s="346"/>
      <c r="F486" s="346"/>
      <c r="G486" s="346"/>
      <c r="H486" s="346"/>
      <c r="I486" s="346"/>
      <c r="J486" s="346"/>
      <c r="K486" s="346"/>
      <c r="L486" s="346"/>
      <c r="M486" s="346"/>
      <c r="N486" s="346"/>
      <c r="O486" s="346"/>
      <c r="P486">
        <f t="shared" si="46"/>
        <v>0</v>
      </c>
      <c r="Q486" s="351" t="e">
        <f t="shared" si="47"/>
        <v>#DIV/0!</v>
      </c>
    </row>
    <row r="487" spans="1:17" ht="15.75">
      <c r="A487" s="387">
        <f>'Conveyor Downtime (new)'!A502</f>
        <v>46269</v>
      </c>
      <c r="B487"/>
      <c r="C487"/>
      <c r="D487"/>
      <c r="E487"/>
      <c r="F487"/>
      <c r="G487"/>
      <c r="H487"/>
      <c r="I487"/>
      <c r="J487"/>
      <c r="K487"/>
      <c r="L487"/>
      <c r="M487"/>
      <c r="N487"/>
      <c r="O487"/>
      <c r="P487">
        <f t="shared" si="46"/>
        <v>0</v>
      </c>
      <c r="Q487" s="351" t="e">
        <f t="shared" si="47"/>
        <v>#DIV/0!</v>
      </c>
    </row>
    <row r="488" spans="1:17" ht="15.75">
      <c r="A488" s="387">
        <f>'Conveyor Downtime (new)'!A503</f>
        <v>46273</v>
      </c>
      <c r="B488" s="346"/>
      <c r="C488" s="346"/>
      <c r="D488" s="346"/>
      <c r="E488" s="346"/>
      <c r="F488" s="346"/>
      <c r="G488" s="346"/>
      <c r="H488" s="346"/>
      <c r="I488" s="346"/>
      <c r="J488" s="346"/>
      <c r="K488" s="346"/>
      <c r="L488" s="346"/>
      <c r="M488" s="346"/>
      <c r="N488" s="346"/>
      <c r="O488" s="346"/>
      <c r="P488">
        <f t="shared" si="46"/>
        <v>0</v>
      </c>
      <c r="Q488" s="351" t="e">
        <f t="shared" si="47"/>
        <v>#DIV/0!</v>
      </c>
    </row>
    <row r="489" spans="1:17" ht="15.75">
      <c r="A489" s="387">
        <f>'Conveyor Downtime (new)'!A504</f>
        <v>46274</v>
      </c>
      <c r="B489"/>
      <c r="C489"/>
      <c r="D489"/>
      <c r="E489"/>
      <c r="F489"/>
      <c r="G489"/>
      <c r="H489"/>
      <c r="I489"/>
      <c r="J489"/>
      <c r="K489"/>
      <c r="L489"/>
      <c r="M489"/>
      <c r="N489"/>
      <c r="O489"/>
      <c r="P489">
        <f t="shared" si="46"/>
        <v>0</v>
      </c>
      <c r="Q489" s="351" t="e">
        <f t="shared" si="47"/>
        <v>#DIV/0!</v>
      </c>
    </row>
    <row r="490" spans="1:17" ht="15.75">
      <c r="A490" s="387">
        <f>'Conveyor Downtime (new)'!A505</f>
        <v>46275</v>
      </c>
      <c r="B490" s="346"/>
      <c r="C490" s="346"/>
      <c r="D490" s="346"/>
      <c r="E490" s="346"/>
      <c r="F490" s="346"/>
      <c r="G490" s="346"/>
      <c r="H490" s="346"/>
      <c r="I490" s="346"/>
      <c r="J490" s="346"/>
      <c r="K490" s="346"/>
      <c r="L490" s="346"/>
      <c r="M490" s="346"/>
      <c r="N490" s="346"/>
      <c r="O490" s="346"/>
      <c r="P490">
        <f t="shared" si="46"/>
        <v>0</v>
      </c>
      <c r="Q490" s="351" t="e">
        <f t="shared" si="47"/>
        <v>#DIV/0!</v>
      </c>
    </row>
    <row r="491" spans="1:17" ht="15.75">
      <c r="A491" s="387">
        <f>'Conveyor Downtime (new)'!A506</f>
        <v>46276</v>
      </c>
      <c r="B491"/>
      <c r="C491"/>
      <c r="D491"/>
      <c r="E491"/>
      <c r="F491"/>
      <c r="G491"/>
      <c r="H491"/>
      <c r="I491"/>
      <c r="J491"/>
      <c r="K491"/>
      <c r="L491"/>
      <c r="M491"/>
      <c r="N491"/>
      <c r="O491"/>
      <c r="P491">
        <f t="shared" si="46"/>
        <v>0</v>
      </c>
      <c r="Q491" s="351" t="e">
        <f t="shared" ref="Q491:Q497" si="48">P491/$P$350</f>
        <v>#DIV/0!</v>
      </c>
    </row>
    <row r="492" spans="1:17" ht="15.75">
      <c r="A492" s="387">
        <f>'Conveyor Downtime (new)'!A507</f>
        <v>46276</v>
      </c>
      <c r="B492" s="346"/>
      <c r="C492" s="346"/>
      <c r="D492" s="346"/>
      <c r="E492" s="346"/>
      <c r="F492" s="346"/>
      <c r="G492" s="346"/>
      <c r="H492" s="346"/>
      <c r="I492" s="346"/>
      <c r="J492" s="346"/>
      <c r="K492" s="346"/>
      <c r="L492" s="346"/>
      <c r="M492" s="346"/>
      <c r="N492" s="346"/>
      <c r="O492" s="346"/>
      <c r="P492">
        <f t="shared" si="46"/>
        <v>0</v>
      </c>
      <c r="Q492" s="351" t="e">
        <f t="shared" si="48"/>
        <v>#DIV/0!</v>
      </c>
    </row>
    <row r="493" spans="1:17" ht="15.75">
      <c r="A493" s="387">
        <f>'Conveyor Downtime (new)'!A508</f>
        <v>46279</v>
      </c>
      <c r="B493"/>
      <c r="C493"/>
      <c r="D493"/>
      <c r="E493"/>
      <c r="F493"/>
      <c r="G493"/>
      <c r="H493"/>
      <c r="I493"/>
      <c r="J493"/>
      <c r="K493"/>
      <c r="L493"/>
      <c r="M493"/>
      <c r="N493"/>
      <c r="O493"/>
      <c r="P493">
        <f t="shared" si="46"/>
        <v>0</v>
      </c>
      <c r="Q493" s="351" t="e">
        <f t="shared" si="48"/>
        <v>#DIV/0!</v>
      </c>
    </row>
    <row r="494" spans="1:17" ht="15.75">
      <c r="A494" s="387">
        <f>'Conveyor Downtime (new)'!A509</f>
        <v>46279</v>
      </c>
      <c r="B494" s="346"/>
      <c r="C494" s="346"/>
      <c r="D494" s="346"/>
      <c r="E494" s="346"/>
      <c r="F494" s="346"/>
      <c r="G494" s="346"/>
      <c r="H494" s="346"/>
      <c r="I494" s="346"/>
      <c r="J494" s="346"/>
      <c r="K494" s="346"/>
      <c r="L494" s="346"/>
      <c r="M494" s="346"/>
      <c r="N494" s="346"/>
      <c r="O494" s="346"/>
      <c r="P494">
        <f t="shared" si="46"/>
        <v>0</v>
      </c>
      <c r="Q494" s="351" t="e">
        <f t="shared" si="48"/>
        <v>#DIV/0!</v>
      </c>
    </row>
    <row r="495" spans="1:17" ht="15.75">
      <c r="A495" s="387">
        <f>'Conveyor Downtime (new)'!A510</f>
        <v>46280</v>
      </c>
      <c r="B495"/>
      <c r="C495"/>
      <c r="D495"/>
      <c r="E495"/>
      <c r="F495"/>
      <c r="G495"/>
      <c r="H495"/>
      <c r="I495"/>
      <c r="J495"/>
      <c r="K495"/>
      <c r="L495"/>
      <c r="M495"/>
      <c r="N495"/>
      <c r="O495"/>
      <c r="P495">
        <f t="shared" si="46"/>
        <v>0</v>
      </c>
      <c r="Q495" s="351" t="e">
        <f t="shared" si="48"/>
        <v>#DIV/0!</v>
      </c>
    </row>
    <row r="496" spans="1:17" ht="15.75">
      <c r="A496" s="387">
        <f>'Conveyor Downtime (new)'!A511</f>
        <v>46280</v>
      </c>
      <c r="B496" s="346"/>
      <c r="C496" s="346"/>
      <c r="D496" s="346"/>
      <c r="E496" s="346"/>
      <c r="F496" s="346"/>
      <c r="G496" s="346"/>
      <c r="H496" s="346"/>
      <c r="I496" s="346"/>
      <c r="J496" s="346"/>
      <c r="K496" s="346"/>
      <c r="L496" s="346"/>
      <c r="M496" s="346"/>
      <c r="N496" s="346"/>
      <c r="O496" s="346"/>
      <c r="P496">
        <f t="shared" si="46"/>
        <v>0</v>
      </c>
      <c r="Q496" s="351" t="e">
        <f t="shared" si="48"/>
        <v>#DIV/0!</v>
      </c>
    </row>
    <row r="497" spans="1:17" ht="15.75">
      <c r="A497" s="387">
        <f>'Conveyor Downtime (new)'!A512</f>
        <v>46281</v>
      </c>
      <c r="B497"/>
      <c r="C497"/>
      <c r="D497"/>
      <c r="E497"/>
      <c r="F497"/>
      <c r="G497"/>
      <c r="H497"/>
      <c r="I497"/>
      <c r="J497"/>
      <c r="K497"/>
      <c r="L497"/>
      <c r="M497"/>
      <c r="N497"/>
      <c r="O497"/>
      <c r="P497">
        <f t="shared" si="46"/>
        <v>0</v>
      </c>
      <c r="Q497" s="351" t="e">
        <f t="shared" si="48"/>
        <v>#DIV/0!</v>
      </c>
    </row>
    <row r="498" spans="1:17" ht="15.75">
      <c r="A498" s="387">
        <f>'Conveyor Downtime (new)'!A513</f>
        <v>46281</v>
      </c>
      <c r="B498" s="346">
        <v>14</v>
      </c>
      <c r="C498" s="346"/>
      <c r="D498" s="346"/>
      <c r="E498" s="346"/>
      <c r="F498" s="346"/>
      <c r="G498" s="346"/>
      <c r="H498" s="346"/>
      <c r="I498" s="346"/>
      <c r="J498" s="346"/>
      <c r="K498" s="346"/>
      <c r="L498" s="346"/>
      <c r="M498" s="346"/>
      <c r="N498" s="346"/>
      <c r="O498" s="346"/>
      <c r="P498">
        <f t="shared" si="46"/>
        <v>14</v>
      </c>
      <c r="Q498" s="351" t="e">
        <f t="shared" ref="Q498:Q535" si="49">P498/$P$350</f>
        <v>#DIV/0!</v>
      </c>
    </row>
    <row r="499" spans="1:17" ht="15.75">
      <c r="A499" s="387">
        <f>'Conveyor Downtime (new)'!A514</f>
        <v>46282</v>
      </c>
      <c r="B499">
        <v>50</v>
      </c>
      <c r="C499"/>
      <c r="D499"/>
      <c r="E499"/>
      <c r="F499"/>
      <c r="G499"/>
      <c r="H499"/>
      <c r="I499"/>
      <c r="J499"/>
      <c r="K499"/>
      <c r="L499"/>
      <c r="M499"/>
      <c r="N499"/>
      <c r="O499"/>
      <c r="P499">
        <f t="shared" si="46"/>
        <v>50</v>
      </c>
      <c r="Q499" s="351" t="e">
        <f t="shared" si="49"/>
        <v>#DIV/0!</v>
      </c>
    </row>
    <row r="500" spans="1:17" ht="15.75">
      <c r="A500" s="387">
        <f>'Conveyor Downtime (new)'!A515</f>
        <v>46282</v>
      </c>
      <c r="B500" s="346"/>
      <c r="C500" s="346"/>
      <c r="D500" s="346"/>
      <c r="E500" s="346"/>
      <c r="F500" s="346"/>
      <c r="G500" s="346"/>
      <c r="H500" s="346"/>
      <c r="I500" s="346"/>
      <c r="J500" s="346"/>
      <c r="K500" s="346">
        <f>3</f>
        <v>3</v>
      </c>
      <c r="L500" s="346"/>
      <c r="M500" s="346"/>
      <c r="N500" s="346"/>
      <c r="O500" s="346">
        <v>3</v>
      </c>
      <c r="P500">
        <f t="shared" si="46"/>
        <v>6</v>
      </c>
      <c r="Q500" s="351" t="e">
        <f t="shared" si="49"/>
        <v>#DIV/0!</v>
      </c>
    </row>
    <row r="501" spans="1:17" ht="15.75">
      <c r="A501" s="387">
        <f>'Conveyor Downtime (new)'!A516</f>
        <v>46282</v>
      </c>
      <c r="B501"/>
      <c r="C501"/>
      <c r="D501"/>
      <c r="E501"/>
      <c r="F501"/>
      <c r="G501"/>
      <c r="H501"/>
      <c r="I501">
        <f>3+2+13+8+10+7+3+36+6+35+8+11</f>
        <v>142</v>
      </c>
      <c r="J501"/>
      <c r="K501"/>
      <c r="L501"/>
      <c r="M501"/>
      <c r="N501"/>
      <c r="O501">
        <f>15</f>
        <v>15</v>
      </c>
      <c r="P501">
        <f t="shared" si="46"/>
        <v>157</v>
      </c>
      <c r="Q501" s="351" t="e">
        <f t="shared" si="49"/>
        <v>#DIV/0!</v>
      </c>
    </row>
    <row r="502" spans="1:17" ht="15.75">
      <c r="A502" s="387">
        <f>'Conveyor Downtime (new)'!A517</f>
        <v>46283</v>
      </c>
      <c r="B502" s="346"/>
      <c r="C502" s="346"/>
      <c r="D502" s="346"/>
      <c r="E502" s="346"/>
      <c r="F502" s="346"/>
      <c r="G502" s="346"/>
      <c r="H502" s="346"/>
      <c r="I502" s="346"/>
      <c r="J502" s="346"/>
      <c r="K502" s="346"/>
      <c r="L502" s="346"/>
      <c r="M502" s="346"/>
      <c r="N502" s="346"/>
      <c r="O502" s="346"/>
      <c r="P502">
        <f t="shared" si="46"/>
        <v>0</v>
      </c>
      <c r="Q502" s="351" t="e">
        <f t="shared" si="49"/>
        <v>#DIV/0!</v>
      </c>
    </row>
    <row r="503" spans="1:17" ht="15.75">
      <c r="A503" s="387">
        <f>'Conveyor Downtime (new)'!A518</f>
        <v>46283</v>
      </c>
      <c r="B503"/>
      <c r="C503"/>
      <c r="D503"/>
      <c r="E503"/>
      <c r="F503"/>
      <c r="G503"/>
      <c r="H503"/>
      <c r="I503"/>
      <c r="J503"/>
      <c r="K503"/>
      <c r="L503"/>
      <c r="M503"/>
      <c r="N503"/>
      <c r="O503"/>
      <c r="P503">
        <f t="shared" si="46"/>
        <v>0</v>
      </c>
      <c r="Q503" s="351" t="e">
        <f t="shared" si="49"/>
        <v>#DIV/0!</v>
      </c>
    </row>
    <row r="504" spans="1:17" ht="15.75">
      <c r="A504" s="387">
        <f>'Conveyor Downtime (new)'!A519</f>
        <v>46283</v>
      </c>
      <c r="B504" s="346"/>
      <c r="C504" s="346"/>
      <c r="D504" s="346"/>
      <c r="E504" s="346"/>
      <c r="F504" s="346"/>
      <c r="G504" s="346"/>
      <c r="H504" s="346"/>
      <c r="I504" s="346"/>
      <c r="J504" s="346"/>
      <c r="K504" s="346"/>
      <c r="L504" s="346"/>
      <c r="M504" s="346"/>
      <c r="N504" s="346"/>
      <c r="O504" s="346"/>
      <c r="P504">
        <f t="shared" si="46"/>
        <v>0</v>
      </c>
      <c r="Q504" s="351" t="e">
        <f t="shared" si="49"/>
        <v>#DIV/0!</v>
      </c>
    </row>
    <row r="505" spans="1:17" ht="15.75">
      <c r="A505" s="387">
        <f>'Conveyor Downtime (new)'!A520</f>
        <v>46286</v>
      </c>
      <c r="B505"/>
      <c r="C505"/>
      <c r="D505"/>
      <c r="E505"/>
      <c r="F505"/>
      <c r="G505"/>
      <c r="H505"/>
      <c r="I505"/>
      <c r="J505"/>
      <c r="K505"/>
      <c r="L505"/>
      <c r="M505"/>
      <c r="N505"/>
      <c r="O505">
        <f>5</f>
        <v>5</v>
      </c>
      <c r="P505">
        <f t="shared" si="46"/>
        <v>5</v>
      </c>
      <c r="Q505" s="351" t="e">
        <f t="shared" si="49"/>
        <v>#DIV/0!</v>
      </c>
    </row>
    <row r="506" spans="1:17" ht="15.75">
      <c r="A506" s="387">
        <f>'Conveyor Downtime (new)'!A521</f>
        <v>46286</v>
      </c>
      <c r="B506" s="346"/>
      <c r="C506" s="346"/>
      <c r="D506" s="346"/>
      <c r="E506" s="346"/>
      <c r="F506" s="346"/>
      <c r="G506" s="346"/>
      <c r="H506" s="346"/>
      <c r="I506" s="346"/>
      <c r="J506" s="346"/>
      <c r="K506" s="346"/>
      <c r="L506" s="346"/>
      <c r="M506" s="346"/>
      <c r="N506" s="346"/>
      <c r="O506" s="346"/>
      <c r="P506">
        <f t="shared" si="46"/>
        <v>0</v>
      </c>
      <c r="Q506" s="351" t="e">
        <f t="shared" si="49"/>
        <v>#DIV/0!</v>
      </c>
    </row>
    <row r="507" spans="1:17" ht="15.75">
      <c r="A507" s="387">
        <f>'Conveyor Downtime (new)'!A522</f>
        <v>46287</v>
      </c>
      <c r="B507"/>
      <c r="C507"/>
      <c r="D507"/>
      <c r="E507"/>
      <c r="F507"/>
      <c r="G507"/>
      <c r="H507"/>
      <c r="I507"/>
      <c r="J507"/>
      <c r="K507"/>
      <c r="L507"/>
      <c r="M507"/>
      <c r="N507"/>
      <c r="O507"/>
      <c r="P507">
        <f t="shared" si="46"/>
        <v>0</v>
      </c>
      <c r="Q507" s="351" t="e">
        <f t="shared" si="49"/>
        <v>#DIV/0!</v>
      </c>
    </row>
    <row r="508" spans="1:17" ht="15.75">
      <c r="A508" s="387">
        <f>'Conveyor Downtime (new)'!A523</f>
        <v>46288</v>
      </c>
      <c r="B508" s="346"/>
      <c r="C508" s="346"/>
      <c r="D508" s="346"/>
      <c r="E508" s="346"/>
      <c r="F508" s="346"/>
      <c r="G508" s="346"/>
      <c r="H508" s="346"/>
      <c r="I508" s="346"/>
      <c r="J508" s="346"/>
      <c r="K508" s="346"/>
      <c r="L508" s="346"/>
      <c r="M508" s="346"/>
      <c r="N508" s="346"/>
      <c r="O508" s="346"/>
      <c r="P508">
        <f t="shared" si="46"/>
        <v>0</v>
      </c>
      <c r="Q508" s="351" t="e">
        <f t="shared" si="49"/>
        <v>#DIV/0!</v>
      </c>
    </row>
    <row r="509" spans="1:17" ht="15.75">
      <c r="A509" s="387">
        <f>'Conveyor Downtime (new)'!A524</f>
        <v>46288</v>
      </c>
      <c r="B509"/>
      <c r="C509"/>
      <c r="D509"/>
      <c r="E509"/>
      <c r="F509"/>
      <c r="G509"/>
      <c r="H509"/>
      <c r="I509"/>
      <c r="J509"/>
      <c r="K509"/>
      <c r="L509"/>
      <c r="M509"/>
      <c r="N509"/>
      <c r="O509"/>
      <c r="P509">
        <f t="shared" si="46"/>
        <v>0</v>
      </c>
      <c r="Q509" s="351" t="e">
        <f t="shared" si="49"/>
        <v>#DIV/0!</v>
      </c>
    </row>
    <row r="510" spans="1:17" ht="15.75">
      <c r="A510" s="387">
        <f>'Conveyor Downtime (new)'!A525</f>
        <v>46289</v>
      </c>
      <c r="B510" s="346"/>
      <c r="C510" s="346"/>
      <c r="D510" s="346"/>
      <c r="E510" s="346"/>
      <c r="F510" s="346"/>
      <c r="G510" s="346"/>
      <c r="H510" s="346"/>
      <c r="I510" s="346"/>
      <c r="J510" s="346"/>
      <c r="K510" s="346"/>
      <c r="L510" s="346"/>
      <c r="M510" s="346">
        <f>4</f>
        <v>4</v>
      </c>
      <c r="N510" s="346">
        <f>5+1+3</f>
        <v>9</v>
      </c>
      <c r="O510" s="346">
        <f>23+5+2</f>
        <v>30</v>
      </c>
      <c r="P510">
        <f t="shared" si="46"/>
        <v>43</v>
      </c>
      <c r="Q510" s="351" t="e">
        <f t="shared" si="49"/>
        <v>#DIV/0!</v>
      </c>
    </row>
    <row r="511" spans="1:17" ht="15.75">
      <c r="A511" s="387">
        <f>'Conveyor Downtime (new)'!A526</f>
        <v>46290</v>
      </c>
      <c r="B511"/>
      <c r="C511"/>
      <c r="D511"/>
      <c r="E511"/>
      <c r="F511"/>
      <c r="G511"/>
      <c r="H511"/>
      <c r="I511"/>
      <c r="J511"/>
      <c r="K511"/>
      <c r="L511"/>
      <c r="M511"/>
      <c r="N511"/>
      <c r="O511"/>
      <c r="P511">
        <f t="shared" ref="P511:P535" si="50">SUM(B511:O511)</f>
        <v>0</v>
      </c>
      <c r="Q511" s="351" t="e">
        <f t="shared" si="49"/>
        <v>#DIV/0!</v>
      </c>
    </row>
    <row r="512" spans="1:17" ht="15.75">
      <c r="A512" s="387">
        <f>'Conveyor Downtime (new)'!A527</f>
        <v>46290</v>
      </c>
      <c r="B512" s="346"/>
      <c r="C512" s="346"/>
      <c r="D512" s="346"/>
      <c r="E512" s="346"/>
      <c r="F512" s="346"/>
      <c r="G512" s="346"/>
      <c r="H512" s="346"/>
      <c r="I512" s="346"/>
      <c r="J512" s="346"/>
      <c r="K512" s="346"/>
      <c r="L512" s="346"/>
      <c r="M512" s="346"/>
      <c r="N512" s="346"/>
      <c r="O512" s="346"/>
      <c r="P512">
        <f t="shared" si="50"/>
        <v>0</v>
      </c>
      <c r="Q512" s="351" t="e">
        <f t="shared" si="49"/>
        <v>#DIV/0!</v>
      </c>
    </row>
    <row r="513" spans="1:17" ht="15.75">
      <c r="A513" s="387">
        <f>'Conveyor Downtime (new)'!A528</f>
        <v>46293</v>
      </c>
      <c r="B513"/>
      <c r="C513"/>
      <c r="D513"/>
      <c r="E513"/>
      <c r="F513"/>
      <c r="G513"/>
      <c r="H513"/>
      <c r="I513"/>
      <c r="J513"/>
      <c r="K513"/>
      <c r="L513"/>
      <c r="M513"/>
      <c r="N513"/>
      <c r="O513"/>
      <c r="P513">
        <f t="shared" si="50"/>
        <v>0</v>
      </c>
      <c r="Q513" s="351" t="e">
        <f t="shared" si="49"/>
        <v>#DIV/0!</v>
      </c>
    </row>
    <row r="514" spans="1:17" ht="15.75">
      <c r="A514" s="387">
        <f>'Conveyor Downtime (new)'!A529</f>
        <v>46294</v>
      </c>
      <c r="B514" s="346"/>
      <c r="C514" s="346"/>
      <c r="D514" s="346"/>
      <c r="E514" s="346"/>
      <c r="F514" s="346"/>
      <c r="G514" s="346"/>
      <c r="H514" s="346"/>
      <c r="I514" s="346"/>
      <c r="J514" s="346"/>
      <c r="K514" s="346"/>
      <c r="L514" s="346"/>
      <c r="M514" s="346"/>
      <c r="N514" s="346"/>
      <c r="O514" s="346"/>
      <c r="P514">
        <f t="shared" si="50"/>
        <v>0</v>
      </c>
      <c r="Q514" s="351" t="e">
        <f t="shared" si="49"/>
        <v>#DIV/0!</v>
      </c>
    </row>
    <row r="515" spans="1:17" ht="15.75">
      <c r="A515" s="387">
        <f>'Conveyor Downtime (new)'!A530</f>
        <v>46294</v>
      </c>
      <c r="B515"/>
      <c r="C515"/>
      <c r="D515"/>
      <c r="E515"/>
      <c r="F515"/>
      <c r="G515"/>
      <c r="H515"/>
      <c r="I515"/>
      <c r="J515"/>
      <c r="K515"/>
      <c r="L515"/>
      <c r="M515"/>
      <c r="N515"/>
      <c r="O515"/>
      <c r="P515">
        <f t="shared" si="50"/>
        <v>0</v>
      </c>
      <c r="Q515" s="351" t="e">
        <f t="shared" si="49"/>
        <v>#DIV/0!</v>
      </c>
    </row>
    <row r="516" spans="1:17" ht="15.75">
      <c r="A516" s="387">
        <f>'Conveyor Downtime (new)'!A531</f>
        <v>46295</v>
      </c>
      <c r="B516" s="346"/>
      <c r="C516" s="346"/>
      <c r="D516" s="346"/>
      <c r="E516" s="346"/>
      <c r="F516" s="346"/>
      <c r="G516" s="346"/>
      <c r="H516" s="346"/>
      <c r="I516" s="346"/>
      <c r="J516" s="346"/>
      <c r="K516" s="346"/>
      <c r="L516" s="346"/>
      <c r="M516" s="346"/>
      <c r="N516" s="346"/>
      <c r="O516" s="346"/>
      <c r="P516">
        <f t="shared" si="50"/>
        <v>0</v>
      </c>
      <c r="Q516" s="351" t="e">
        <f t="shared" si="49"/>
        <v>#DIV/0!</v>
      </c>
    </row>
    <row r="517" spans="1:17" ht="15.75">
      <c r="A517" s="387">
        <f>'Conveyor Downtime (new)'!A532</f>
        <v>46295</v>
      </c>
      <c r="B517"/>
      <c r="C517"/>
      <c r="D517"/>
      <c r="E517"/>
      <c r="F517"/>
      <c r="G517"/>
      <c r="H517"/>
      <c r="I517"/>
      <c r="J517"/>
      <c r="K517"/>
      <c r="L517"/>
      <c r="M517"/>
      <c r="N517"/>
      <c r="O517"/>
      <c r="P517">
        <f t="shared" si="50"/>
        <v>0</v>
      </c>
      <c r="Q517" s="351" t="e">
        <f t="shared" si="49"/>
        <v>#DIV/0!</v>
      </c>
    </row>
    <row r="518" spans="1:17" ht="15.75">
      <c r="A518" s="387">
        <f>'Conveyor Downtime (new)'!A533</f>
        <v>0</v>
      </c>
      <c r="B518" s="346"/>
      <c r="C518" s="346"/>
      <c r="D518" s="346"/>
      <c r="E518" s="346"/>
      <c r="F518" s="346"/>
      <c r="G518" s="346"/>
      <c r="H518" s="346"/>
      <c r="I518" s="346"/>
      <c r="J518" s="346"/>
      <c r="K518" s="346"/>
      <c r="L518" s="346"/>
      <c r="M518" s="346"/>
      <c r="N518" s="346"/>
      <c r="O518" s="346"/>
      <c r="P518">
        <f t="shared" si="50"/>
        <v>0</v>
      </c>
      <c r="Q518" s="351" t="e">
        <f t="shared" si="49"/>
        <v>#DIV/0!</v>
      </c>
    </row>
    <row r="519" spans="1:17" ht="15.75">
      <c r="A519" s="387"/>
      <c r="B519"/>
      <c r="C519"/>
      <c r="D519"/>
      <c r="E519"/>
      <c r="F519"/>
      <c r="G519"/>
      <c r="H519"/>
      <c r="I519"/>
      <c r="J519"/>
      <c r="K519"/>
      <c r="L519"/>
      <c r="M519"/>
      <c r="O519"/>
      <c r="P519">
        <f t="shared" si="50"/>
        <v>0</v>
      </c>
      <c r="Q519" s="351" t="e">
        <f t="shared" si="49"/>
        <v>#DIV/0!</v>
      </c>
    </row>
    <row r="520" spans="1:17" ht="15.75">
      <c r="A520" s="387"/>
      <c r="B520" s="346"/>
      <c r="C520" s="346"/>
      <c r="D520" s="346"/>
      <c r="E520" s="346"/>
      <c r="F520" s="346"/>
      <c r="G520" s="346"/>
      <c r="H520" s="346"/>
      <c r="I520" s="346"/>
      <c r="J520" s="346"/>
      <c r="K520" s="346"/>
      <c r="L520" s="346"/>
      <c r="M520" s="346"/>
      <c r="N520" s="346"/>
      <c r="O520" s="346"/>
      <c r="P520">
        <f t="shared" si="50"/>
        <v>0</v>
      </c>
      <c r="Q520" s="351" t="e">
        <f t="shared" si="49"/>
        <v>#DIV/0!</v>
      </c>
    </row>
    <row r="521" spans="1:17" ht="15.75">
      <c r="A521" s="387"/>
      <c r="B521"/>
      <c r="C521"/>
      <c r="D521"/>
      <c r="E521"/>
      <c r="F521"/>
      <c r="G521"/>
      <c r="H521"/>
      <c r="I521"/>
      <c r="J521"/>
      <c r="K521"/>
      <c r="L521"/>
      <c r="M521"/>
      <c r="N521"/>
      <c r="O521"/>
      <c r="P521">
        <f t="shared" si="50"/>
        <v>0</v>
      </c>
      <c r="Q521" s="351" t="e">
        <f t="shared" si="49"/>
        <v>#DIV/0!</v>
      </c>
    </row>
    <row r="522" spans="1:17" ht="15.75">
      <c r="A522" s="387"/>
      <c r="B522" s="346"/>
      <c r="C522" s="346"/>
      <c r="D522" s="346"/>
      <c r="E522" s="346"/>
      <c r="F522" s="346"/>
      <c r="G522" s="346"/>
      <c r="H522" s="346"/>
      <c r="I522" s="346"/>
      <c r="J522" s="346"/>
      <c r="K522" s="346"/>
      <c r="L522" s="346"/>
      <c r="M522" s="346"/>
      <c r="N522" s="346"/>
      <c r="O522" s="346"/>
      <c r="P522">
        <f t="shared" si="50"/>
        <v>0</v>
      </c>
      <c r="Q522" s="351" t="e">
        <f t="shared" si="49"/>
        <v>#DIV/0!</v>
      </c>
    </row>
    <row r="523" spans="1:17" ht="15.75">
      <c r="A523" s="387"/>
      <c r="B523"/>
      <c r="C523"/>
      <c r="D523"/>
      <c r="E523"/>
      <c r="F523"/>
      <c r="G523"/>
      <c r="H523"/>
      <c r="I523"/>
      <c r="J523"/>
      <c r="K523"/>
      <c r="L523"/>
      <c r="M523"/>
      <c r="N523"/>
      <c r="O523"/>
      <c r="P523">
        <f t="shared" si="50"/>
        <v>0</v>
      </c>
      <c r="Q523" s="351" t="e">
        <f t="shared" si="49"/>
        <v>#DIV/0!</v>
      </c>
    </row>
    <row r="524" spans="1:17" ht="15.75">
      <c r="A524" s="387"/>
      <c r="B524" s="346"/>
      <c r="C524" s="346"/>
      <c r="D524" s="346"/>
      <c r="E524" s="346"/>
      <c r="F524" s="346"/>
      <c r="G524" s="346"/>
      <c r="H524" s="346"/>
      <c r="I524" s="346"/>
      <c r="J524" s="346"/>
      <c r="K524" s="346"/>
      <c r="L524" s="346"/>
      <c r="M524" s="346"/>
      <c r="N524" s="346"/>
      <c r="O524" s="346"/>
      <c r="P524">
        <f t="shared" si="50"/>
        <v>0</v>
      </c>
      <c r="Q524" s="351" t="e">
        <f t="shared" si="49"/>
        <v>#DIV/0!</v>
      </c>
    </row>
    <row r="525" spans="1:17" ht="15.75">
      <c r="A525" s="387"/>
      <c r="B525"/>
      <c r="C525"/>
      <c r="D525"/>
      <c r="E525"/>
      <c r="F525"/>
      <c r="G525"/>
      <c r="H525"/>
      <c r="I525"/>
      <c r="J525"/>
      <c r="K525"/>
      <c r="L525"/>
      <c r="M525"/>
      <c r="N525"/>
      <c r="O525"/>
      <c r="P525">
        <f t="shared" si="50"/>
        <v>0</v>
      </c>
      <c r="Q525" s="351" t="e">
        <f t="shared" si="49"/>
        <v>#DIV/0!</v>
      </c>
    </row>
    <row r="526" spans="1:17" ht="15.75">
      <c r="A526" s="387"/>
      <c r="B526" s="346"/>
      <c r="C526" s="346"/>
      <c r="D526" s="346"/>
      <c r="E526" s="346"/>
      <c r="F526" s="346"/>
      <c r="G526" s="346"/>
      <c r="H526" s="346"/>
      <c r="I526" s="346"/>
      <c r="J526" s="346"/>
      <c r="K526" s="346"/>
      <c r="L526" s="346"/>
      <c r="M526" s="346"/>
      <c r="N526" s="346"/>
      <c r="O526" s="346"/>
      <c r="P526">
        <f t="shared" si="50"/>
        <v>0</v>
      </c>
      <c r="Q526" s="351" t="e">
        <f t="shared" si="49"/>
        <v>#DIV/0!</v>
      </c>
    </row>
    <row r="527" spans="1:17" ht="15.75">
      <c r="A527" s="387"/>
      <c r="B527"/>
      <c r="C527"/>
      <c r="D527"/>
      <c r="E527"/>
      <c r="F527"/>
      <c r="G527"/>
      <c r="H527"/>
      <c r="I527"/>
      <c r="J527"/>
      <c r="K527"/>
      <c r="L527"/>
      <c r="M527"/>
      <c r="O527"/>
      <c r="P527">
        <f t="shared" si="50"/>
        <v>0</v>
      </c>
      <c r="Q527" s="351" t="e">
        <f t="shared" si="49"/>
        <v>#DIV/0!</v>
      </c>
    </row>
    <row r="528" spans="1:17" ht="15.75">
      <c r="A528" s="387"/>
      <c r="B528" s="346"/>
      <c r="C528" s="346"/>
      <c r="D528" s="346"/>
      <c r="E528" s="346"/>
      <c r="F528" s="346"/>
      <c r="G528" s="346"/>
      <c r="H528" s="346"/>
      <c r="I528" s="346"/>
      <c r="J528" s="346"/>
      <c r="K528" s="346"/>
      <c r="L528" s="346"/>
      <c r="M528" s="346"/>
      <c r="N528" s="346"/>
      <c r="O528" s="346"/>
      <c r="P528">
        <f t="shared" si="50"/>
        <v>0</v>
      </c>
      <c r="Q528" s="351" t="e">
        <f t="shared" si="49"/>
        <v>#DIV/0!</v>
      </c>
    </row>
    <row r="529" spans="1:17" ht="15.75">
      <c r="A529" s="387"/>
      <c r="B529"/>
      <c r="C529"/>
      <c r="D529"/>
      <c r="E529"/>
      <c r="F529"/>
      <c r="G529"/>
      <c r="H529"/>
      <c r="I529"/>
      <c r="J529"/>
      <c r="K529"/>
      <c r="L529"/>
      <c r="M529"/>
      <c r="N529"/>
      <c r="O529"/>
      <c r="P529">
        <f t="shared" si="50"/>
        <v>0</v>
      </c>
      <c r="Q529" s="351" t="e">
        <f t="shared" si="49"/>
        <v>#DIV/0!</v>
      </c>
    </row>
    <row r="530" spans="1:17" ht="15.75">
      <c r="A530" s="387"/>
      <c r="B530" s="346"/>
      <c r="C530" s="346"/>
      <c r="D530" s="346"/>
      <c r="E530" s="346"/>
      <c r="F530" s="346"/>
      <c r="G530" s="346"/>
      <c r="H530" s="346"/>
      <c r="I530" s="346"/>
      <c r="J530" s="346"/>
      <c r="K530" s="346"/>
      <c r="L530" s="346"/>
      <c r="M530" s="346"/>
      <c r="N530" s="346"/>
      <c r="O530" s="346"/>
      <c r="P530">
        <f t="shared" si="50"/>
        <v>0</v>
      </c>
      <c r="Q530" s="351" t="e">
        <f t="shared" si="49"/>
        <v>#DIV/0!</v>
      </c>
    </row>
    <row r="531" spans="1:17" ht="15.75">
      <c r="A531" s="387"/>
      <c r="B531"/>
      <c r="C531"/>
      <c r="D531"/>
      <c r="E531"/>
      <c r="F531"/>
      <c r="G531"/>
      <c r="H531"/>
      <c r="I531"/>
      <c r="J531"/>
      <c r="K531"/>
      <c r="L531"/>
      <c r="M531"/>
      <c r="N531"/>
      <c r="O531"/>
      <c r="P531">
        <f t="shared" si="50"/>
        <v>0</v>
      </c>
      <c r="Q531" s="351" t="e">
        <f t="shared" si="49"/>
        <v>#DIV/0!</v>
      </c>
    </row>
    <row r="532" spans="1:17" ht="15.75">
      <c r="A532" s="387"/>
      <c r="B532" s="346"/>
      <c r="C532" s="346"/>
      <c r="D532" s="346"/>
      <c r="E532" s="346"/>
      <c r="F532" s="346"/>
      <c r="G532" s="346"/>
      <c r="H532" s="346"/>
      <c r="I532" s="346"/>
      <c r="J532" s="346"/>
      <c r="K532" s="346"/>
      <c r="L532" s="346"/>
      <c r="M532" s="346"/>
      <c r="N532" s="346"/>
      <c r="O532" s="346"/>
      <c r="P532">
        <f t="shared" si="50"/>
        <v>0</v>
      </c>
      <c r="Q532" s="351" t="e">
        <f t="shared" si="49"/>
        <v>#DIV/0!</v>
      </c>
    </row>
    <row r="533" spans="1:17" ht="15.75">
      <c r="A533" s="387"/>
      <c r="B533"/>
      <c r="C533"/>
      <c r="D533"/>
      <c r="E533"/>
      <c r="F533"/>
      <c r="G533"/>
      <c r="H533"/>
      <c r="I533"/>
      <c r="J533"/>
      <c r="K533"/>
      <c r="L533"/>
      <c r="M533"/>
      <c r="N533"/>
      <c r="O533"/>
      <c r="P533">
        <f t="shared" si="50"/>
        <v>0</v>
      </c>
      <c r="Q533" s="351" t="e">
        <f t="shared" si="49"/>
        <v>#DIV/0!</v>
      </c>
    </row>
    <row r="534" spans="1:17" ht="15.75">
      <c r="A534" s="387"/>
      <c r="B534"/>
      <c r="C534"/>
      <c r="D534"/>
      <c r="E534"/>
      <c r="F534"/>
      <c r="G534"/>
      <c r="H534"/>
      <c r="I534"/>
      <c r="J534"/>
      <c r="K534"/>
      <c r="L534"/>
      <c r="M534"/>
      <c r="N534"/>
      <c r="O534"/>
      <c r="P534">
        <f t="shared" si="50"/>
        <v>0</v>
      </c>
      <c r="Q534" s="351" t="e">
        <f t="shared" si="49"/>
        <v>#DIV/0!</v>
      </c>
    </row>
    <row r="535" spans="1:17" ht="15.75">
      <c r="A535" s="387"/>
      <c r="B535" s="346"/>
      <c r="C535" s="346"/>
      <c r="D535" s="346"/>
      <c r="E535" s="346"/>
      <c r="F535" s="346"/>
      <c r="G535" s="346"/>
      <c r="H535" s="346"/>
      <c r="I535" s="346"/>
      <c r="J535" s="346"/>
      <c r="K535" s="346"/>
      <c r="L535" s="346"/>
      <c r="M535" s="346"/>
      <c r="N535" s="346"/>
      <c r="O535" s="346"/>
      <c r="P535">
        <f t="shared" si="50"/>
        <v>0</v>
      </c>
      <c r="Q535" s="351" t="e">
        <f t="shared" si="49"/>
        <v>#DIV/0!</v>
      </c>
    </row>
    <row r="536" spans="1:17" ht="15">
      <c r="A536" s="347" t="s">
        <v>113</v>
      </c>
      <c r="B536" s="347">
        <f t="shared" ref="B536:P536" si="51">SUM(B479:B535)</f>
        <v>64</v>
      </c>
      <c r="C536" s="347">
        <f t="shared" si="51"/>
        <v>0</v>
      </c>
      <c r="D536" s="347">
        <f t="shared" si="51"/>
        <v>0</v>
      </c>
      <c r="E536" s="347">
        <f t="shared" si="51"/>
        <v>10</v>
      </c>
      <c r="F536" s="347">
        <f t="shared" si="51"/>
        <v>0</v>
      </c>
      <c r="G536" s="347">
        <f t="shared" si="51"/>
        <v>0</v>
      </c>
      <c r="H536" s="347">
        <f t="shared" si="51"/>
        <v>0</v>
      </c>
      <c r="I536" s="347">
        <f t="shared" si="51"/>
        <v>142</v>
      </c>
      <c r="J536" s="347">
        <f t="shared" si="51"/>
        <v>0</v>
      </c>
      <c r="K536" s="347">
        <f t="shared" si="51"/>
        <v>56</v>
      </c>
      <c r="L536" s="347">
        <f t="shared" si="51"/>
        <v>0</v>
      </c>
      <c r="M536" s="347">
        <f t="shared" si="51"/>
        <v>4</v>
      </c>
      <c r="N536" s="347">
        <f t="shared" si="51"/>
        <v>9</v>
      </c>
      <c r="O536" s="347">
        <f t="shared" si="51"/>
        <v>109</v>
      </c>
      <c r="P536" s="347">
        <f t="shared" si="51"/>
        <v>394</v>
      </c>
      <c r="Q536" s="351"/>
    </row>
    <row r="537" spans="1:17" ht="15.75" thickBot="1">
      <c r="A537" s="348" t="s">
        <v>174</v>
      </c>
      <c r="B537" s="348">
        <f t="shared" ref="B537:O537" si="52">B536/$P536</f>
        <v>0.16243654822335024</v>
      </c>
      <c r="C537" s="348">
        <f t="shared" si="52"/>
        <v>0</v>
      </c>
      <c r="D537" s="348">
        <f t="shared" si="52"/>
        <v>0</v>
      </c>
      <c r="E537" s="348">
        <f t="shared" si="52"/>
        <v>2.5380710659898477E-2</v>
      </c>
      <c r="F537" s="348">
        <f t="shared" si="52"/>
        <v>0</v>
      </c>
      <c r="G537" s="348">
        <f t="shared" si="52"/>
        <v>0</v>
      </c>
      <c r="H537" s="348">
        <f t="shared" si="52"/>
        <v>0</v>
      </c>
      <c r="I537" s="348">
        <f t="shared" si="52"/>
        <v>0.3604060913705584</v>
      </c>
      <c r="J537" s="348">
        <f t="shared" si="52"/>
        <v>0</v>
      </c>
      <c r="K537" s="348">
        <f t="shared" si="52"/>
        <v>0.14213197969543148</v>
      </c>
      <c r="L537" s="348">
        <f t="shared" si="52"/>
        <v>0</v>
      </c>
      <c r="M537" s="348">
        <f t="shared" si="52"/>
        <v>1.015228426395939E-2</v>
      </c>
      <c r="N537" s="348">
        <f t="shared" si="52"/>
        <v>2.2842639593908629E-2</v>
      </c>
      <c r="O537" s="348">
        <f t="shared" si="52"/>
        <v>0.2766497461928934</v>
      </c>
      <c r="P537"/>
      <c r="Q537" s="351"/>
    </row>
    <row r="539" spans="1:17" ht="15.75" customHeight="1"/>
    <row r="540" spans="1:17" ht="15.75">
      <c r="A540" s="387">
        <f>'Conveyor Downtime (new)'!A556</f>
        <v>46296</v>
      </c>
      <c r="B540" s="346"/>
      <c r="C540" s="346"/>
      <c r="D540" s="346"/>
      <c r="E540" s="346"/>
      <c r="F540" s="346"/>
      <c r="G540" s="346"/>
      <c r="H540" s="346"/>
      <c r="I540" s="346"/>
      <c r="J540" s="346"/>
      <c r="K540" s="346"/>
      <c r="L540" s="346"/>
      <c r="M540" s="346"/>
      <c r="N540" s="346"/>
      <c r="O540" s="346"/>
      <c r="P540">
        <f t="shared" ref="P540:P571" si="53">SUM(B540:O540)</f>
        <v>0</v>
      </c>
      <c r="Q540" s="351" t="e">
        <f>P540/$P$350</f>
        <v>#DIV/0!</v>
      </c>
    </row>
    <row r="541" spans="1:17" ht="15.75">
      <c r="A541" s="387">
        <f>'Conveyor Downtime (new)'!A557</f>
        <v>0</v>
      </c>
      <c r="B541"/>
      <c r="C541"/>
      <c r="D541"/>
      <c r="E541"/>
      <c r="F541"/>
      <c r="G541"/>
      <c r="H541"/>
      <c r="I541"/>
      <c r="J541"/>
      <c r="K541"/>
      <c r="L541"/>
      <c r="M541"/>
      <c r="N541"/>
      <c r="O541"/>
      <c r="P541">
        <f t="shared" si="53"/>
        <v>0</v>
      </c>
      <c r="Q541" s="351" t="e">
        <f t="shared" ref="Q541:Q595" si="54">P541/$P$350</f>
        <v>#DIV/0!</v>
      </c>
    </row>
    <row r="542" spans="1:17" ht="15.75">
      <c r="A542" s="387">
        <f>'Conveyor Downtime (new)'!A558</f>
        <v>0</v>
      </c>
      <c r="B542" s="346"/>
      <c r="C542" s="346"/>
      <c r="D542" s="346"/>
      <c r="E542" s="346"/>
      <c r="F542" s="346"/>
      <c r="G542" s="346"/>
      <c r="H542" s="346"/>
      <c r="I542" s="346"/>
      <c r="J542" s="346"/>
      <c r="K542" s="346"/>
      <c r="L542" s="346"/>
      <c r="M542" s="346"/>
      <c r="N542" s="346"/>
      <c r="O542" s="346"/>
      <c r="P542">
        <f t="shared" si="53"/>
        <v>0</v>
      </c>
      <c r="Q542" s="351" t="e">
        <f t="shared" si="54"/>
        <v>#DIV/0!</v>
      </c>
    </row>
    <row r="543" spans="1:17" ht="15.75">
      <c r="A543" s="387">
        <f>'Conveyor Downtime (new)'!A559</f>
        <v>0</v>
      </c>
      <c r="B543"/>
      <c r="C543"/>
      <c r="D543"/>
      <c r="E543"/>
      <c r="F543"/>
      <c r="G543"/>
      <c r="H543"/>
      <c r="I543"/>
      <c r="J543"/>
      <c r="K543"/>
      <c r="L543"/>
      <c r="N543"/>
      <c r="O543"/>
      <c r="P543">
        <f t="shared" si="53"/>
        <v>0</v>
      </c>
      <c r="Q543" s="351" t="e">
        <f t="shared" si="54"/>
        <v>#DIV/0!</v>
      </c>
    </row>
    <row r="544" spans="1:17" ht="15.75">
      <c r="A544" s="387">
        <f>'Conveyor Downtime (new)'!A560</f>
        <v>0</v>
      </c>
      <c r="B544" s="346"/>
      <c r="C544" s="346"/>
      <c r="D544" s="346"/>
      <c r="E544" s="346"/>
      <c r="F544" s="346"/>
      <c r="G544" s="346"/>
      <c r="H544" s="346"/>
      <c r="I544" s="346"/>
      <c r="J544" s="346"/>
      <c r="K544" s="346"/>
      <c r="L544" s="346"/>
      <c r="M544" s="346"/>
      <c r="N544" s="346"/>
      <c r="O544" s="346"/>
      <c r="P544">
        <f t="shared" si="53"/>
        <v>0</v>
      </c>
      <c r="Q544" s="351" t="e">
        <f t="shared" si="54"/>
        <v>#DIV/0!</v>
      </c>
    </row>
    <row r="545" spans="1:17" ht="15.75">
      <c r="A545" s="387">
        <f>'Conveyor Downtime (new)'!A561</f>
        <v>0</v>
      </c>
      <c r="B545"/>
      <c r="C545"/>
      <c r="D545"/>
      <c r="E545"/>
      <c r="F545"/>
      <c r="G545"/>
      <c r="H545"/>
      <c r="I545"/>
      <c r="J545"/>
      <c r="K545"/>
      <c r="L545"/>
      <c r="M545"/>
      <c r="N545"/>
      <c r="O545"/>
      <c r="P545">
        <f t="shared" si="53"/>
        <v>0</v>
      </c>
      <c r="Q545" s="351" t="e">
        <f t="shared" si="54"/>
        <v>#DIV/0!</v>
      </c>
    </row>
    <row r="546" spans="1:17" ht="15.75">
      <c r="A546" s="387">
        <f>'Conveyor Downtime (new)'!A562</f>
        <v>0</v>
      </c>
      <c r="B546" s="346"/>
      <c r="C546" s="346"/>
      <c r="D546" s="346"/>
      <c r="E546" s="346"/>
      <c r="F546" s="346"/>
      <c r="G546" s="346"/>
      <c r="H546" s="346"/>
      <c r="I546" s="346"/>
      <c r="J546" s="346"/>
      <c r="K546" s="346"/>
      <c r="L546" s="346"/>
      <c r="M546" s="346"/>
      <c r="N546" s="346"/>
      <c r="O546" s="346"/>
      <c r="P546">
        <f t="shared" si="53"/>
        <v>0</v>
      </c>
      <c r="Q546" s="351" t="e">
        <f t="shared" si="54"/>
        <v>#DIV/0!</v>
      </c>
    </row>
    <row r="547" spans="1:17" ht="15.75">
      <c r="A547" s="387">
        <f>'Conveyor Downtime (new)'!A563</f>
        <v>0</v>
      </c>
      <c r="B547"/>
      <c r="C547"/>
      <c r="D547"/>
      <c r="E547"/>
      <c r="F547"/>
      <c r="G547"/>
      <c r="H547"/>
      <c r="I547"/>
      <c r="J547"/>
      <c r="K547"/>
      <c r="L547"/>
      <c r="M547"/>
      <c r="N547"/>
      <c r="O547"/>
      <c r="P547">
        <f t="shared" si="53"/>
        <v>0</v>
      </c>
      <c r="Q547" s="351" t="e">
        <f t="shared" si="54"/>
        <v>#DIV/0!</v>
      </c>
    </row>
    <row r="548" spans="1:17" ht="15.75">
      <c r="A548" s="387">
        <f>'Conveyor Downtime (new)'!A564</f>
        <v>0</v>
      </c>
      <c r="B548" s="346"/>
      <c r="C548" s="346"/>
      <c r="D548" s="346"/>
      <c r="E548" s="346"/>
      <c r="F548" s="346"/>
      <c r="G548" s="346"/>
      <c r="H548" s="346"/>
      <c r="I548" s="346"/>
      <c r="J548" s="346"/>
      <c r="K548" s="346"/>
      <c r="L548" s="346"/>
      <c r="M548" s="346"/>
      <c r="N548" s="346"/>
      <c r="O548" s="346"/>
      <c r="P548">
        <f t="shared" si="53"/>
        <v>0</v>
      </c>
      <c r="Q548" s="351" t="e">
        <f t="shared" si="54"/>
        <v>#DIV/0!</v>
      </c>
    </row>
    <row r="549" spans="1:17" ht="15.75">
      <c r="A549" s="387">
        <f>'Conveyor Downtime (new)'!A565</f>
        <v>0</v>
      </c>
      <c r="B549"/>
      <c r="C549"/>
      <c r="D549"/>
      <c r="E549"/>
      <c r="F549"/>
      <c r="G549"/>
      <c r="H549"/>
      <c r="I549"/>
      <c r="J549"/>
      <c r="K549"/>
      <c r="L549"/>
      <c r="M549"/>
      <c r="N549"/>
      <c r="O549"/>
      <c r="P549">
        <f t="shared" si="53"/>
        <v>0</v>
      </c>
      <c r="Q549" s="351" t="e">
        <f t="shared" si="54"/>
        <v>#DIV/0!</v>
      </c>
    </row>
    <row r="550" spans="1:17" ht="15.75">
      <c r="A550" s="387">
        <f>'Conveyor Downtime (new)'!A566</f>
        <v>0</v>
      </c>
      <c r="B550" s="346"/>
      <c r="C550" s="346"/>
      <c r="D550" s="346"/>
      <c r="E550" s="346"/>
      <c r="F550" s="346"/>
      <c r="G550" s="346"/>
      <c r="H550" s="346"/>
      <c r="I550" s="346"/>
      <c r="J550" s="346"/>
      <c r="K550" s="346"/>
      <c r="L550" s="346"/>
      <c r="M550" s="346"/>
      <c r="N550" s="346"/>
      <c r="O550" s="346"/>
      <c r="P550">
        <f t="shared" si="53"/>
        <v>0</v>
      </c>
      <c r="Q550" s="351" t="e">
        <f t="shared" si="54"/>
        <v>#DIV/0!</v>
      </c>
    </row>
    <row r="551" spans="1:17" ht="15.75">
      <c r="A551" s="387">
        <f>'Conveyor Downtime (new)'!A567</f>
        <v>0</v>
      </c>
      <c r="B551"/>
      <c r="C551"/>
      <c r="D551"/>
      <c r="E551"/>
      <c r="F551"/>
      <c r="G551"/>
      <c r="H551"/>
      <c r="I551"/>
      <c r="J551"/>
      <c r="K551"/>
      <c r="L551"/>
      <c r="M551" s="77"/>
      <c r="N551"/>
      <c r="O551"/>
      <c r="P551">
        <f t="shared" si="53"/>
        <v>0</v>
      </c>
      <c r="Q551" s="351" t="e">
        <f t="shared" si="54"/>
        <v>#DIV/0!</v>
      </c>
    </row>
    <row r="552" spans="1:17" ht="15.75">
      <c r="A552" s="387">
        <f>'Conveyor Downtime (new)'!A568</f>
        <v>0</v>
      </c>
      <c r="B552" s="346"/>
      <c r="C552" s="346"/>
      <c r="D552" s="346"/>
      <c r="E552" s="346"/>
      <c r="F552" s="346"/>
      <c r="G552" s="346"/>
      <c r="H552" s="346"/>
      <c r="I552" s="346"/>
      <c r="J552" s="346"/>
      <c r="K552" s="346"/>
      <c r="L552" s="346"/>
      <c r="M552" s="346"/>
      <c r="N552" s="346"/>
      <c r="O552" s="346"/>
      <c r="P552">
        <f t="shared" si="53"/>
        <v>0</v>
      </c>
      <c r="Q552" s="351" t="e">
        <f t="shared" si="54"/>
        <v>#DIV/0!</v>
      </c>
    </row>
    <row r="553" spans="1:17" ht="15.75">
      <c r="A553" s="387">
        <f>'Conveyor Downtime (new)'!A569</f>
        <v>0</v>
      </c>
      <c r="B553"/>
      <c r="C553"/>
      <c r="D553"/>
      <c r="E553"/>
      <c r="F553"/>
      <c r="G553"/>
      <c r="H553"/>
      <c r="I553"/>
      <c r="J553"/>
      <c r="K553"/>
      <c r="L553"/>
      <c r="M553"/>
      <c r="N553"/>
      <c r="O553"/>
      <c r="P553">
        <f t="shared" si="53"/>
        <v>0</v>
      </c>
      <c r="Q553" s="351" t="e">
        <f t="shared" si="54"/>
        <v>#DIV/0!</v>
      </c>
    </row>
    <row r="554" spans="1:17" ht="15.75">
      <c r="A554" s="387">
        <f>'Conveyor Downtime (new)'!A570</f>
        <v>0</v>
      </c>
      <c r="B554" s="346"/>
      <c r="C554" s="346"/>
      <c r="D554" s="346"/>
      <c r="E554" s="346"/>
      <c r="F554" s="346"/>
      <c r="G554" s="346"/>
      <c r="H554" s="346"/>
      <c r="I554" s="346"/>
      <c r="J554" s="346"/>
      <c r="K554" s="346"/>
      <c r="L554" s="346"/>
      <c r="M554" s="346"/>
      <c r="N554" s="346"/>
      <c r="O554" s="346"/>
      <c r="P554">
        <f t="shared" si="53"/>
        <v>0</v>
      </c>
      <c r="Q554" s="351" t="e">
        <f t="shared" si="54"/>
        <v>#DIV/0!</v>
      </c>
    </row>
    <row r="555" spans="1:17" ht="15.75">
      <c r="A555" s="387">
        <f>'Conveyor Downtime (new)'!A571</f>
        <v>0</v>
      </c>
      <c r="B555"/>
      <c r="C555"/>
      <c r="D555"/>
      <c r="E555"/>
      <c r="F555"/>
      <c r="G555"/>
      <c r="H555"/>
      <c r="I555"/>
      <c r="J555"/>
      <c r="K555"/>
      <c r="L555"/>
      <c r="M555"/>
      <c r="N555"/>
      <c r="O555"/>
      <c r="P555">
        <f t="shared" si="53"/>
        <v>0</v>
      </c>
      <c r="Q555" s="351" t="e">
        <f t="shared" si="54"/>
        <v>#DIV/0!</v>
      </c>
    </row>
    <row r="556" spans="1:17" ht="15.75">
      <c r="A556" s="387">
        <f>'Conveyor Downtime (new)'!A572</f>
        <v>0</v>
      </c>
      <c r="B556" s="346"/>
      <c r="C556" s="346"/>
      <c r="D556" s="346"/>
      <c r="E556" s="346"/>
      <c r="F556" s="346"/>
      <c r="G556" s="346"/>
      <c r="H556" s="346"/>
      <c r="I556" s="346"/>
      <c r="J556" s="346"/>
      <c r="K556" s="346"/>
      <c r="L556" s="346"/>
      <c r="M556" s="346"/>
      <c r="N556" s="346"/>
      <c r="O556" s="346"/>
      <c r="P556">
        <f t="shared" si="53"/>
        <v>0</v>
      </c>
      <c r="Q556" s="351" t="e">
        <f t="shared" si="54"/>
        <v>#DIV/0!</v>
      </c>
    </row>
    <row r="557" spans="1:17" ht="15.75">
      <c r="A557" s="387">
        <f>'Conveyor Downtime (new)'!A573</f>
        <v>0</v>
      </c>
      <c r="B557"/>
      <c r="C557"/>
      <c r="D557"/>
      <c r="E557"/>
      <c r="F557"/>
      <c r="G557"/>
      <c r="H557"/>
      <c r="I557"/>
      <c r="J557"/>
      <c r="K557"/>
      <c r="L557"/>
      <c r="M557"/>
      <c r="N557"/>
      <c r="O557"/>
      <c r="P557">
        <f t="shared" si="53"/>
        <v>0</v>
      </c>
      <c r="Q557" s="351" t="e">
        <f t="shared" si="54"/>
        <v>#DIV/0!</v>
      </c>
    </row>
    <row r="558" spans="1:17" ht="15.75">
      <c r="A558" s="387">
        <f>'Conveyor Downtime (new)'!A574</f>
        <v>0</v>
      </c>
      <c r="B558" s="346"/>
      <c r="C558" s="346"/>
      <c r="D558" s="346"/>
      <c r="E558" s="346"/>
      <c r="F558" s="346"/>
      <c r="G558" s="346"/>
      <c r="H558" s="346"/>
      <c r="I558" s="346"/>
      <c r="J558" s="346"/>
      <c r="K558" s="346"/>
      <c r="L558" s="346"/>
      <c r="M558" s="346"/>
      <c r="N558" s="346"/>
      <c r="O558" s="346"/>
      <c r="P558">
        <f t="shared" si="53"/>
        <v>0</v>
      </c>
      <c r="Q558" s="351" t="e">
        <f t="shared" si="54"/>
        <v>#DIV/0!</v>
      </c>
    </row>
    <row r="559" spans="1:17" ht="15.75">
      <c r="A559" s="387">
        <f>'Conveyor Downtime (new)'!A575</f>
        <v>0</v>
      </c>
      <c r="B559"/>
      <c r="C559"/>
      <c r="D559"/>
      <c r="E559"/>
      <c r="F559"/>
      <c r="G559"/>
      <c r="H559"/>
      <c r="I559"/>
      <c r="J559"/>
      <c r="K559"/>
      <c r="L559"/>
      <c r="M559"/>
      <c r="N559"/>
      <c r="O559"/>
      <c r="P559">
        <f t="shared" si="53"/>
        <v>0</v>
      </c>
      <c r="Q559" s="351" t="e">
        <f t="shared" si="54"/>
        <v>#DIV/0!</v>
      </c>
    </row>
    <row r="560" spans="1:17" ht="15.75">
      <c r="A560" s="387">
        <f>'Conveyor Downtime (new)'!A576</f>
        <v>0</v>
      </c>
      <c r="B560" s="346"/>
      <c r="C560" s="346"/>
      <c r="D560" s="346"/>
      <c r="E560" s="346"/>
      <c r="F560" s="346"/>
      <c r="G560" s="346"/>
      <c r="H560" s="346"/>
      <c r="I560" s="346"/>
      <c r="J560" s="346"/>
      <c r="K560" s="346"/>
      <c r="L560" s="346"/>
      <c r="M560" s="346"/>
      <c r="N560" s="346"/>
      <c r="O560" s="346"/>
      <c r="P560">
        <f t="shared" si="53"/>
        <v>0</v>
      </c>
      <c r="Q560" s="351" t="e">
        <f t="shared" si="54"/>
        <v>#DIV/0!</v>
      </c>
    </row>
    <row r="561" spans="1:17" ht="15.75">
      <c r="A561" s="387">
        <f>'Conveyor Downtime (new)'!A577</f>
        <v>0</v>
      </c>
      <c r="B561"/>
      <c r="C561"/>
      <c r="D561"/>
      <c r="E561"/>
      <c r="F561"/>
      <c r="G561"/>
      <c r="H561"/>
      <c r="I561"/>
      <c r="J561"/>
      <c r="K561"/>
      <c r="L561"/>
      <c r="M561"/>
      <c r="N561"/>
      <c r="O561"/>
      <c r="P561">
        <f t="shared" si="53"/>
        <v>0</v>
      </c>
      <c r="Q561" s="351" t="e">
        <f t="shared" si="54"/>
        <v>#DIV/0!</v>
      </c>
    </row>
    <row r="562" spans="1:17" ht="15.75">
      <c r="A562" s="387">
        <f>'Conveyor Downtime (new)'!A578</f>
        <v>0</v>
      </c>
      <c r="B562" s="346"/>
      <c r="C562" s="346"/>
      <c r="D562" s="346"/>
      <c r="E562" s="346"/>
      <c r="F562" s="346"/>
      <c r="G562" s="346"/>
      <c r="H562" s="346"/>
      <c r="I562" s="346"/>
      <c r="J562" s="346"/>
      <c r="K562" s="346"/>
      <c r="L562" s="346"/>
      <c r="M562" s="346"/>
      <c r="N562" s="346"/>
      <c r="O562" s="346"/>
      <c r="P562">
        <f t="shared" si="53"/>
        <v>0</v>
      </c>
      <c r="Q562" s="351" t="e">
        <f t="shared" si="54"/>
        <v>#DIV/0!</v>
      </c>
    </row>
    <row r="563" spans="1:17" ht="15.75">
      <c r="A563" s="387">
        <f>'Conveyor Downtime (new)'!A579</f>
        <v>0</v>
      </c>
      <c r="B563"/>
      <c r="C563"/>
      <c r="D563"/>
      <c r="E563"/>
      <c r="F563"/>
      <c r="G563"/>
      <c r="H563"/>
      <c r="I563"/>
      <c r="J563"/>
      <c r="K563"/>
      <c r="L563"/>
      <c r="M563"/>
      <c r="N563"/>
      <c r="O563"/>
      <c r="P563">
        <f t="shared" si="53"/>
        <v>0</v>
      </c>
      <c r="Q563" s="351" t="e">
        <f t="shared" si="54"/>
        <v>#DIV/0!</v>
      </c>
    </row>
    <row r="564" spans="1:17" ht="15.75">
      <c r="A564" s="387">
        <f>'Conveyor Downtime (new)'!A580</f>
        <v>0</v>
      </c>
      <c r="B564" s="346"/>
      <c r="C564" s="346"/>
      <c r="D564" s="346"/>
      <c r="E564" s="346"/>
      <c r="F564" s="346"/>
      <c r="G564" s="346"/>
      <c r="H564" s="346"/>
      <c r="I564" s="346"/>
      <c r="J564" s="346"/>
      <c r="K564" s="346"/>
      <c r="L564" s="346"/>
      <c r="M564" s="346"/>
      <c r="N564" s="346"/>
      <c r="O564" s="346"/>
      <c r="P564">
        <f t="shared" si="53"/>
        <v>0</v>
      </c>
      <c r="Q564" s="351" t="e">
        <f t="shared" si="54"/>
        <v>#DIV/0!</v>
      </c>
    </row>
    <row r="565" spans="1:17" ht="15.75">
      <c r="A565" s="387">
        <f>'Conveyor Downtime (new)'!A581</f>
        <v>0</v>
      </c>
      <c r="B565"/>
      <c r="C565"/>
      <c r="D565"/>
      <c r="E565"/>
      <c r="F565"/>
      <c r="G565"/>
      <c r="H565"/>
      <c r="I565"/>
      <c r="J565"/>
      <c r="K565"/>
      <c r="L565"/>
      <c r="M565"/>
      <c r="N565"/>
      <c r="O565"/>
      <c r="P565">
        <f t="shared" si="53"/>
        <v>0</v>
      </c>
      <c r="Q565" s="351" t="e">
        <f t="shared" si="54"/>
        <v>#DIV/0!</v>
      </c>
    </row>
    <row r="566" spans="1:17" ht="15.75">
      <c r="A566" s="387">
        <f>'Conveyor Downtime (new)'!A582</f>
        <v>0</v>
      </c>
      <c r="B566" s="346"/>
      <c r="C566" s="346"/>
      <c r="D566" s="346"/>
      <c r="E566" s="346"/>
      <c r="F566" s="346"/>
      <c r="G566" s="346"/>
      <c r="H566" s="346"/>
      <c r="I566" s="346"/>
      <c r="J566" s="346"/>
      <c r="K566" s="346"/>
      <c r="L566" s="346"/>
      <c r="M566" s="346"/>
      <c r="N566" s="346"/>
      <c r="O566" s="346"/>
      <c r="P566">
        <f t="shared" si="53"/>
        <v>0</v>
      </c>
      <c r="Q566" s="351" t="e">
        <f t="shared" si="54"/>
        <v>#DIV/0!</v>
      </c>
    </row>
    <row r="567" spans="1:17" ht="15.75">
      <c r="A567" s="387">
        <f>'Conveyor Downtime (new)'!A583</f>
        <v>0</v>
      </c>
      <c r="B567"/>
      <c r="C567"/>
      <c r="D567"/>
      <c r="E567"/>
      <c r="F567"/>
      <c r="G567"/>
      <c r="H567"/>
      <c r="I567"/>
      <c r="J567"/>
      <c r="K567"/>
      <c r="L567"/>
      <c r="M567"/>
      <c r="N567"/>
      <c r="O567"/>
      <c r="P567">
        <f t="shared" si="53"/>
        <v>0</v>
      </c>
      <c r="Q567" s="351" t="e">
        <f t="shared" si="54"/>
        <v>#DIV/0!</v>
      </c>
    </row>
    <row r="568" spans="1:17" ht="15.75">
      <c r="A568" s="387">
        <f>'Conveyor Downtime (new)'!A584</f>
        <v>0</v>
      </c>
      <c r="B568" s="346"/>
      <c r="C568" s="346"/>
      <c r="D568" s="346"/>
      <c r="E568" s="346"/>
      <c r="F568" s="346"/>
      <c r="G568" s="346"/>
      <c r="H568" s="346"/>
      <c r="I568" s="346"/>
      <c r="J568" s="346"/>
      <c r="K568" s="346"/>
      <c r="L568" s="346"/>
      <c r="M568" s="346"/>
      <c r="N568" s="346"/>
      <c r="O568" s="346"/>
      <c r="P568">
        <f t="shared" si="53"/>
        <v>0</v>
      </c>
      <c r="Q568" s="351" t="e">
        <f t="shared" si="54"/>
        <v>#DIV/0!</v>
      </c>
    </row>
    <row r="569" spans="1:17" ht="15.75">
      <c r="A569" s="387">
        <f>'Conveyor Downtime (new)'!A585</f>
        <v>0</v>
      </c>
      <c r="B569"/>
      <c r="C569"/>
      <c r="D569"/>
      <c r="E569"/>
      <c r="F569"/>
      <c r="G569"/>
      <c r="H569"/>
      <c r="I569"/>
      <c r="J569"/>
      <c r="K569"/>
      <c r="L569"/>
      <c r="M569"/>
      <c r="N569"/>
      <c r="O569"/>
      <c r="P569">
        <f t="shared" si="53"/>
        <v>0</v>
      </c>
      <c r="Q569" s="351" t="e">
        <f t="shared" si="54"/>
        <v>#DIV/0!</v>
      </c>
    </row>
    <row r="570" spans="1:17" ht="15.75">
      <c r="A570" s="387">
        <f>'Conveyor Downtime (new)'!A586</f>
        <v>0</v>
      </c>
      <c r="B570" s="346"/>
      <c r="C570" s="346"/>
      <c r="D570" s="346"/>
      <c r="E570" s="346"/>
      <c r="F570" s="346"/>
      <c r="G570" s="346"/>
      <c r="H570" s="346"/>
      <c r="I570" s="346"/>
      <c r="J570" s="346"/>
      <c r="K570" s="346"/>
      <c r="L570" s="346"/>
      <c r="M570" s="346"/>
      <c r="N570" s="346"/>
      <c r="O570" s="346"/>
      <c r="P570">
        <f t="shared" si="53"/>
        <v>0</v>
      </c>
      <c r="Q570" s="351" t="e">
        <f t="shared" si="54"/>
        <v>#DIV/0!</v>
      </c>
    </row>
    <row r="571" spans="1:17" ht="15.75">
      <c r="A571" s="387">
        <f>'Conveyor Downtime (new)'!A587</f>
        <v>0</v>
      </c>
      <c r="B571"/>
      <c r="C571"/>
      <c r="D571"/>
      <c r="E571"/>
      <c r="F571"/>
      <c r="G571"/>
      <c r="H571"/>
      <c r="I571"/>
      <c r="J571"/>
      <c r="K571"/>
      <c r="L571"/>
      <c r="M571"/>
      <c r="N571"/>
      <c r="O571"/>
      <c r="P571">
        <f t="shared" si="53"/>
        <v>0</v>
      </c>
      <c r="Q571" s="351" t="e">
        <f t="shared" si="54"/>
        <v>#DIV/0!</v>
      </c>
    </row>
    <row r="572" spans="1:17" ht="15.75">
      <c r="A572" s="387">
        <f>'Conveyor Downtime (new)'!A588</f>
        <v>0</v>
      </c>
      <c r="B572" s="346"/>
      <c r="C572" s="346"/>
      <c r="D572" s="346"/>
      <c r="E572" s="346"/>
      <c r="F572" s="346"/>
      <c r="G572" s="346"/>
      <c r="H572" s="346"/>
      <c r="I572" s="346"/>
      <c r="J572" s="346"/>
      <c r="K572" s="346"/>
      <c r="L572" s="346"/>
      <c r="M572" s="346"/>
      <c r="N572" s="346"/>
      <c r="O572" s="346"/>
      <c r="P572">
        <f t="shared" ref="P572:P595" si="55">SUM(B572:O572)</f>
        <v>0</v>
      </c>
      <c r="Q572" s="351" t="e">
        <f t="shared" si="54"/>
        <v>#DIV/0!</v>
      </c>
    </row>
    <row r="573" spans="1:17" ht="15.75">
      <c r="A573" s="387">
        <f>'Conveyor Downtime (new)'!A589</f>
        <v>0</v>
      </c>
      <c r="B573"/>
      <c r="C573"/>
      <c r="D573"/>
      <c r="E573"/>
      <c r="F573"/>
      <c r="G573"/>
      <c r="H573"/>
      <c r="I573"/>
      <c r="J573"/>
      <c r="K573"/>
      <c r="L573"/>
      <c r="M573"/>
      <c r="N573"/>
      <c r="O573"/>
      <c r="P573">
        <f t="shared" si="55"/>
        <v>0</v>
      </c>
      <c r="Q573" s="351" t="e">
        <f t="shared" si="54"/>
        <v>#DIV/0!</v>
      </c>
    </row>
    <row r="574" spans="1:17" ht="15.75">
      <c r="A574" s="387">
        <f>'Conveyor Downtime (new)'!A590</f>
        <v>0</v>
      </c>
      <c r="B574" s="77"/>
      <c r="C574" s="346"/>
      <c r="D574" s="346"/>
      <c r="E574" s="346"/>
      <c r="F574" s="346"/>
      <c r="G574" s="346"/>
      <c r="H574" s="346"/>
      <c r="I574" s="346"/>
      <c r="J574" s="346"/>
      <c r="K574" s="346"/>
      <c r="L574" s="346"/>
      <c r="M574" s="346"/>
      <c r="N574" s="346"/>
      <c r="O574" s="346"/>
      <c r="P574">
        <f t="shared" si="55"/>
        <v>0</v>
      </c>
      <c r="Q574" s="351" t="e">
        <f t="shared" si="54"/>
        <v>#DIV/0!</v>
      </c>
    </row>
    <row r="575" spans="1:17" ht="15.75">
      <c r="A575" s="387">
        <f>'Conveyor Downtime (new)'!A591</f>
        <v>0</v>
      </c>
      <c r="B575"/>
      <c r="C575"/>
      <c r="D575"/>
      <c r="E575"/>
      <c r="F575"/>
      <c r="G575"/>
      <c r="H575"/>
      <c r="I575"/>
      <c r="J575"/>
      <c r="K575"/>
      <c r="L575"/>
      <c r="M575"/>
      <c r="N575"/>
      <c r="O575"/>
      <c r="P575">
        <f t="shared" si="55"/>
        <v>0</v>
      </c>
      <c r="Q575" s="351" t="e">
        <f t="shared" si="54"/>
        <v>#DIV/0!</v>
      </c>
    </row>
    <row r="576" spans="1:17" ht="15.75">
      <c r="A576" s="387">
        <f>'Conveyor Downtime (new)'!A592</f>
        <v>0</v>
      </c>
      <c r="B576" s="346"/>
      <c r="C576" s="346"/>
      <c r="D576" s="346"/>
      <c r="E576" s="346"/>
      <c r="F576" s="346"/>
      <c r="G576" s="346"/>
      <c r="H576" s="346"/>
      <c r="I576" s="346"/>
      <c r="J576" s="346"/>
      <c r="K576" s="346"/>
      <c r="L576" s="346"/>
      <c r="M576" s="346"/>
      <c r="N576" s="346"/>
      <c r="O576" s="346"/>
      <c r="P576">
        <f t="shared" si="55"/>
        <v>0</v>
      </c>
      <c r="Q576" s="351" t="e">
        <f t="shared" si="54"/>
        <v>#DIV/0!</v>
      </c>
    </row>
    <row r="577" spans="1:17" ht="15.75">
      <c r="A577" s="387">
        <f>'Conveyor Downtime (new)'!A593</f>
        <v>0</v>
      </c>
      <c r="B577"/>
      <c r="C577"/>
      <c r="D577"/>
      <c r="E577"/>
      <c r="F577"/>
      <c r="G577"/>
      <c r="H577"/>
      <c r="I577"/>
      <c r="J577"/>
      <c r="K577"/>
      <c r="L577"/>
      <c r="M577"/>
      <c r="N577"/>
      <c r="O577"/>
      <c r="P577">
        <f t="shared" si="55"/>
        <v>0</v>
      </c>
      <c r="Q577" s="351" t="e">
        <f t="shared" si="54"/>
        <v>#DIV/0!</v>
      </c>
    </row>
    <row r="578" spans="1:17" ht="15.75">
      <c r="A578" s="387">
        <f>'Conveyor Downtime (new)'!A594</f>
        <v>0</v>
      </c>
      <c r="B578" s="346"/>
      <c r="C578" s="346"/>
      <c r="D578" s="346"/>
      <c r="E578" s="346"/>
      <c r="F578" s="346"/>
      <c r="G578" s="346"/>
      <c r="H578" s="346"/>
      <c r="I578" s="346"/>
      <c r="J578" s="346"/>
      <c r="K578" s="346"/>
      <c r="L578" s="346"/>
      <c r="M578" s="346"/>
      <c r="N578" s="346"/>
      <c r="O578" s="346"/>
      <c r="P578">
        <f t="shared" si="55"/>
        <v>0</v>
      </c>
      <c r="Q578" s="351" t="e">
        <f t="shared" si="54"/>
        <v>#DIV/0!</v>
      </c>
    </row>
    <row r="579" spans="1:17" ht="15.75">
      <c r="A579" s="387">
        <f>'Conveyor Downtime (new)'!A595</f>
        <v>0</v>
      </c>
      <c r="B579"/>
      <c r="C579"/>
      <c r="D579"/>
      <c r="E579"/>
      <c r="F579"/>
      <c r="G579"/>
      <c r="H579"/>
      <c r="I579"/>
      <c r="J579"/>
      <c r="K579"/>
      <c r="L579"/>
      <c r="M579"/>
      <c r="N579"/>
      <c r="O579"/>
      <c r="P579">
        <f t="shared" si="55"/>
        <v>0</v>
      </c>
      <c r="Q579" s="351" t="e">
        <f t="shared" si="54"/>
        <v>#DIV/0!</v>
      </c>
    </row>
    <row r="580" spans="1:17" ht="15.75">
      <c r="A580" s="387">
        <f>'Conveyor Downtime (new)'!A596</f>
        <v>0</v>
      </c>
      <c r="B580" s="346"/>
      <c r="C580" s="346"/>
      <c r="D580" s="346"/>
      <c r="E580" s="346"/>
      <c r="F580" s="346"/>
      <c r="G580" s="346"/>
      <c r="H580" s="346"/>
      <c r="I580" s="346"/>
      <c r="J580" s="346"/>
      <c r="K580" s="346"/>
      <c r="L580" s="346"/>
      <c r="M580" s="346"/>
      <c r="N580" s="346"/>
      <c r="O580" s="346"/>
      <c r="P580">
        <f t="shared" si="55"/>
        <v>0</v>
      </c>
      <c r="Q580" s="351" t="e">
        <f t="shared" si="54"/>
        <v>#DIV/0!</v>
      </c>
    </row>
    <row r="581" spans="1:17" ht="15.75">
      <c r="A581" s="387">
        <f>'Conveyor Downtime (new)'!A597</f>
        <v>0</v>
      </c>
      <c r="B581"/>
      <c r="C581"/>
      <c r="D581"/>
      <c r="E581"/>
      <c r="F581"/>
      <c r="G581"/>
      <c r="H581"/>
      <c r="I581"/>
      <c r="J581"/>
      <c r="K581"/>
      <c r="L581"/>
      <c r="M581"/>
      <c r="N581"/>
      <c r="O581"/>
      <c r="P581">
        <f t="shared" si="55"/>
        <v>0</v>
      </c>
      <c r="Q581" s="351" t="e">
        <f t="shared" si="54"/>
        <v>#DIV/0!</v>
      </c>
    </row>
    <row r="582" spans="1:17" ht="15.75">
      <c r="A582" s="387">
        <f>'Conveyor Downtime (new)'!A598</f>
        <v>0</v>
      </c>
      <c r="B582" s="346"/>
      <c r="C582" s="346"/>
      <c r="D582" s="346"/>
      <c r="E582" s="346"/>
      <c r="F582" s="346"/>
      <c r="G582" s="346"/>
      <c r="H582" s="346"/>
      <c r="I582" s="346"/>
      <c r="J582" s="346"/>
      <c r="K582" s="346"/>
      <c r="L582" s="346"/>
      <c r="M582" s="346"/>
      <c r="N582" s="346"/>
      <c r="O582" s="346"/>
      <c r="P582">
        <f t="shared" si="55"/>
        <v>0</v>
      </c>
      <c r="Q582" s="351" t="e">
        <f t="shared" si="54"/>
        <v>#DIV/0!</v>
      </c>
    </row>
    <row r="583" spans="1:17" ht="15.75">
      <c r="A583" s="387">
        <f>'Conveyor Downtime (new)'!A599</f>
        <v>0</v>
      </c>
      <c r="B583"/>
      <c r="C583"/>
      <c r="D583"/>
      <c r="E583"/>
      <c r="F583"/>
      <c r="G583"/>
      <c r="H583"/>
      <c r="I583"/>
      <c r="J583"/>
      <c r="K583"/>
      <c r="L583"/>
      <c r="M583"/>
      <c r="N583"/>
      <c r="O583"/>
      <c r="P583">
        <f t="shared" si="55"/>
        <v>0</v>
      </c>
      <c r="Q583" s="351" t="e">
        <f t="shared" si="54"/>
        <v>#DIV/0!</v>
      </c>
    </row>
    <row r="584" spans="1:17" ht="15.75">
      <c r="A584" s="387">
        <f>'Conveyor Downtime (new)'!A600</f>
        <v>0</v>
      </c>
      <c r="B584" s="346"/>
      <c r="C584" s="346"/>
      <c r="D584" s="346"/>
      <c r="E584" s="346"/>
      <c r="F584" s="346"/>
      <c r="G584" s="346"/>
      <c r="H584" s="346"/>
      <c r="I584" s="346"/>
      <c r="J584" s="346"/>
      <c r="K584" s="346"/>
      <c r="L584" s="346"/>
      <c r="M584" s="346"/>
      <c r="N584" s="346"/>
      <c r="O584" s="346"/>
      <c r="P584">
        <f t="shared" si="55"/>
        <v>0</v>
      </c>
      <c r="Q584" s="351" t="e">
        <f t="shared" si="54"/>
        <v>#DIV/0!</v>
      </c>
    </row>
    <row r="585" spans="1:17" ht="15.75">
      <c r="A585" s="387">
        <f>'Conveyor Downtime (new)'!A601</f>
        <v>0</v>
      </c>
      <c r="B585"/>
      <c r="C585"/>
      <c r="D585"/>
      <c r="E585"/>
      <c r="F585"/>
      <c r="G585"/>
      <c r="H585"/>
      <c r="I585"/>
      <c r="J585"/>
      <c r="K585"/>
      <c r="L585"/>
      <c r="M585"/>
      <c r="N585"/>
      <c r="O585"/>
      <c r="P585">
        <f t="shared" si="55"/>
        <v>0</v>
      </c>
      <c r="Q585" s="351" t="e">
        <f t="shared" si="54"/>
        <v>#DIV/0!</v>
      </c>
    </row>
    <row r="586" spans="1:17" ht="15.75">
      <c r="A586" s="387">
        <f>'Conveyor Downtime (new)'!A602</f>
        <v>0</v>
      </c>
      <c r="B586" s="346"/>
      <c r="C586" s="346"/>
      <c r="D586" s="346"/>
      <c r="E586" s="346"/>
      <c r="F586" s="346"/>
      <c r="G586" s="346"/>
      <c r="H586" s="346"/>
      <c r="I586" s="346"/>
      <c r="J586" s="346"/>
      <c r="K586" s="346"/>
      <c r="L586" s="346"/>
      <c r="M586" s="346"/>
      <c r="N586" s="346"/>
      <c r="O586" s="346"/>
      <c r="P586">
        <f t="shared" si="55"/>
        <v>0</v>
      </c>
      <c r="Q586" s="351" t="e">
        <f t="shared" si="54"/>
        <v>#DIV/0!</v>
      </c>
    </row>
    <row r="587" spans="1:17" ht="15.75">
      <c r="A587" s="387">
        <f>'Conveyor Downtime (new)'!A603</f>
        <v>0</v>
      </c>
      <c r="B587"/>
      <c r="C587"/>
      <c r="D587"/>
      <c r="E587"/>
      <c r="F587"/>
      <c r="G587"/>
      <c r="H587"/>
      <c r="I587"/>
      <c r="J587"/>
      <c r="K587"/>
      <c r="L587"/>
      <c r="M587"/>
      <c r="N587"/>
      <c r="O587"/>
      <c r="P587">
        <f t="shared" si="55"/>
        <v>0</v>
      </c>
      <c r="Q587" s="351" t="e">
        <f t="shared" si="54"/>
        <v>#DIV/0!</v>
      </c>
    </row>
    <row r="588" spans="1:17" ht="15.75">
      <c r="A588" s="387">
        <f>'Conveyor Downtime (new)'!A604</f>
        <v>0</v>
      </c>
      <c r="B588" s="77"/>
      <c r="C588" s="346"/>
      <c r="D588" s="346"/>
      <c r="E588" s="346"/>
      <c r="F588" s="346"/>
      <c r="G588" s="346"/>
      <c r="H588" s="346"/>
      <c r="I588" s="346"/>
      <c r="J588" s="346"/>
      <c r="K588" s="346"/>
      <c r="L588" s="346"/>
      <c r="M588" s="346"/>
      <c r="N588" s="346"/>
      <c r="O588" s="346"/>
      <c r="P588">
        <f t="shared" si="55"/>
        <v>0</v>
      </c>
      <c r="Q588" s="351" t="e">
        <f t="shared" si="54"/>
        <v>#DIV/0!</v>
      </c>
    </row>
    <row r="589" spans="1:17" ht="15.75">
      <c r="A589" s="387">
        <f>'Conveyor Downtime (new)'!A605</f>
        <v>0</v>
      </c>
      <c r="B589"/>
      <c r="C589"/>
      <c r="D589"/>
      <c r="E589"/>
      <c r="F589"/>
      <c r="G589"/>
      <c r="H589"/>
      <c r="I589"/>
      <c r="J589"/>
      <c r="K589"/>
      <c r="L589"/>
      <c r="M589"/>
      <c r="N589"/>
      <c r="O589"/>
      <c r="P589">
        <f t="shared" si="55"/>
        <v>0</v>
      </c>
      <c r="Q589" s="351" t="e">
        <f t="shared" si="54"/>
        <v>#DIV/0!</v>
      </c>
    </row>
    <row r="590" spans="1:17" ht="15.75">
      <c r="A590" s="387">
        <f>'Conveyor Downtime (new)'!A606</f>
        <v>0</v>
      </c>
      <c r="B590" s="346"/>
      <c r="C590" s="346"/>
      <c r="D590" s="346"/>
      <c r="E590" s="346"/>
      <c r="F590" s="346"/>
      <c r="G590" s="346"/>
      <c r="H590" s="346"/>
      <c r="I590" s="346"/>
      <c r="J590" s="346"/>
      <c r="K590" s="346"/>
      <c r="L590" s="346"/>
      <c r="M590" s="346"/>
      <c r="N590" s="346"/>
      <c r="O590" s="346"/>
      <c r="P590">
        <f t="shared" si="55"/>
        <v>0</v>
      </c>
      <c r="Q590" s="351" t="e">
        <f t="shared" si="54"/>
        <v>#DIV/0!</v>
      </c>
    </row>
    <row r="591" spans="1:17" ht="15.75">
      <c r="A591" s="387">
        <f>'Conveyor Downtime (new)'!A607</f>
        <v>0</v>
      </c>
      <c r="B591"/>
      <c r="C591"/>
      <c r="D591"/>
      <c r="E591"/>
      <c r="F591"/>
      <c r="G591"/>
      <c r="H591"/>
      <c r="I591"/>
      <c r="J591"/>
      <c r="K591"/>
      <c r="L591"/>
      <c r="M591"/>
      <c r="N591"/>
      <c r="O591"/>
      <c r="P591">
        <f t="shared" si="55"/>
        <v>0</v>
      </c>
      <c r="Q591" s="351" t="e">
        <f t="shared" si="54"/>
        <v>#DIV/0!</v>
      </c>
    </row>
    <row r="592" spans="1:17" ht="15.75">
      <c r="A592" s="387">
        <f>'Conveyor Downtime (new)'!A608</f>
        <v>0</v>
      </c>
      <c r="B592" s="346"/>
      <c r="C592" s="346"/>
      <c r="D592" s="346"/>
      <c r="E592" s="346"/>
      <c r="F592" s="346"/>
      <c r="G592" s="346"/>
      <c r="H592" s="346"/>
      <c r="I592" s="346"/>
      <c r="J592" s="346"/>
      <c r="K592" s="346"/>
      <c r="L592" s="346"/>
      <c r="M592" s="346"/>
      <c r="N592" s="346"/>
      <c r="O592" s="346"/>
      <c r="P592">
        <f t="shared" si="55"/>
        <v>0</v>
      </c>
      <c r="Q592" s="351" t="e">
        <f t="shared" si="54"/>
        <v>#DIV/0!</v>
      </c>
    </row>
    <row r="593" spans="1:17" ht="15.75">
      <c r="A593" s="387">
        <f>'Conveyor Downtime (new)'!A609</f>
        <v>0</v>
      </c>
      <c r="B593"/>
      <c r="C593"/>
      <c r="D593"/>
      <c r="E593"/>
      <c r="F593"/>
      <c r="G593"/>
      <c r="H593"/>
      <c r="I593"/>
      <c r="J593"/>
      <c r="K593"/>
      <c r="L593"/>
      <c r="M593"/>
      <c r="N593"/>
      <c r="O593"/>
      <c r="P593">
        <f t="shared" si="55"/>
        <v>0</v>
      </c>
      <c r="Q593" s="351" t="e">
        <f t="shared" si="54"/>
        <v>#DIV/0!</v>
      </c>
    </row>
    <row r="594" spans="1:17" ht="15.75">
      <c r="A594" s="387">
        <f>'Conveyor Downtime (new)'!A610</f>
        <v>0</v>
      </c>
      <c r="B594" s="346"/>
      <c r="C594" s="346"/>
      <c r="D594" s="346"/>
      <c r="E594" s="346"/>
      <c r="F594" s="346"/>
      <c r="G594" s="346"/>
      <c r="H594" s="346"/>
      <c r="I594" s="346"/>
      <c r="J594" s="346"/>
      <c r="K594" s="346"/>
      <c r="L594" s="346"/>
      <c r="M594" s="346"/>
      <c r="N594" s="346"/>
      <c r="O594" s="346"/>
      <c r="P594">
        <f t="shared" si="55"/>
        <v>0</v>
      </c>
      <c r="Q594" s="351" t="e">
        <f t="shared" si="54"/>
        <v>#DIV/0!</v>
      </c>
    </row>
    <row r="595" spans="1:17" ht="15.75">
      <c r="A595" s="387">
        <f>'Conveyor Downtime (new)'!A611</f>
        <v>0</v>
      </c>
      <c r="B595"/>
      <c r="C595"/>
      <c r="D595"/>
      <c r="E595"/>
      <c r="F595"/>
      <c r="G595"/>
      <c r="H595"/>
      <c r="I595"/>
      <c r="J595"/>
      <c r="K595"/>
      <c r="L595"/>
      <c r="M595"/>
      <c r="N595"/>
      <c r="O595"/>
      <c r="P595">
        <f t="shared" si="55"/>
        <v>0</v>
      </c>
      <c r="Q595" s="351" t="e">
        <f t="shared" si="54"/>
        <v>#DIV/0!</v>
      </c>
    </row>
    <row r="596" spans="1:17" ht="15">
      <c r="A596" s="347" t="s">
        <v>113</v>
      </c>
      <c r="B596" s="347">
        <f>SUM(B540:B595)</f>
        <v>0</v>
      </c>
      <c r="C596" s="347">
        <f>SUM(C540:C595)</f>
        <v>0</v>
      </c>
      <c r="D596" s="347">
        <f t="shared" ref="D596:P596" si="56">SUM(D540:D595)</f>
        <v>0</v>
      </c>
      <c r="E596" s="347">
        <f t="shared" si="56"/>
        <v>0</v>
      </c>
      <c r="F596" s="347">
        <f t="shared" si="56"/>
        <v>0</v>
      </c>
      <c r="G596" s="347">
        <f t="shared" si="56"/>
        <v>0</v>
      </c>
      <c r="H596" s="347">
        <f t="shared" si="56"/>
        <v>0</v>
      </c>
      <c r="I596" s="347">
        <f t="shared" si="56"/>
        <v>0</v>
      </c>
      <c r="J596" s="347">
        <f t="shared" si="56"/>
        <v>0</v>
      </c>
      <c r="K596" s="347">
        <f t="shared" si="56"/>
        <v>0</v>
      </c>
      <c r="L596" s="347">
        <f t="shared" si="56"/>
        <v>0</v>
      </c>
      <c r="M596" s="347">
        <f t="shared" si="56"/>
        <v>0</v>
      </c>
      <c r="N596" s="347">
        <f t="shared" si="56"/>
        <v>0</v>
      </c>
      <c r="O596" s="347">
        <f t="shared" si="56"/>
        <v>0</v>
      </c>
      <c r="P596" s="347">
        <f t="shared" si="56"/>
        <v>0</v>
      </c>
      <c r="Q596" s="351"/>
    </row>
    <row r="597" spans="1:17" ht="15.75" thickBot="1">
      <c r="A597" s="348" t="s">
        <v>174</v>
      </c>
      <c r="B597" s="348" t="e">
        <f t="shared" ref="B597:O597" si="57">B596/$P596</f>
        <v>#DIV/0!</v>
      </c>
      <c r="C597" s="348" t="e">
        <f t="shared" si="57"/>
        <v>#DIV/0!</v>
      </c>
      <c r="D597" s="348" t="e">
        <f t="shared" si="57"/>
        <v>#DIV/0!</v>
      </c>
      <c r="E597" s="348" t="e">
        <f t="shared" si="57"/>
        <v>#DIV/0!</v>
      </c>
      <c r="F597" s="348" t="e">
        <f t="shared" si="57"/>
        <v>#DIV/0!</v>
      </c>
      <c r="G597" s="348" t="e">
        <f t="shared" si="57"/>
        <v>#DIV/0!</v>
      </c>
      <c r="H597" s="348" t="e">
        <f t="shared" si="57"/>
        <v>#DIV/0!</v>
      </c>
      <c r="I597" s="348" t="e">
        <f t="shared" si="57"/>
        <v>#DIV/0!</v>
      </c>
      <c r="J597" s="348" t="e">
        <f t="shared" si="57"/>
        <v>#DIV/0!</v>
      </c>
      <c r="K597" s="348" t="e">
        <f t="shared" si="57"/>
        <v>#DIV/0!</v>
      </c>
      <c r="L597" s="348" t="e">
        <f t="shared" si="57"/>
        <v>#DIV/0!</v>
      </c>
      <c r="M597" s="348" t="e">
        <f t="shared" si="57"/>
        <v>#DIV/0!</v>
      </c>
      <c r="N597" s="348" t="e">
        <f t="shared" si="57"/>
        <v>#DIV/0!</v>
      </c>
      <c r="O597" s="348" t="e">
        <f t="shared" si="57"/>
        <v>#DIV/0!</v>
      </c>
      <c r="P597"/>
      <c r="Q597" s="351"/>
    </row>
    <row r="599" spans="1:17" ht="13.5" customHeight="1"/>
    <row r="600" spans="1:17" ht="13.5" customHeight="1"/>
    <row r="601" spans="1:17" ht="13.5" customHeight="1">
      <c r="A601" s="387">
        <f>'Conveyor Downtime (new)'!A617</f>
        <v>0</v>
      </c>
      <c r="B601" s="346"/>
      <c r="C601" s="346"/>
      <c r="D601" s="346"/>
      <c r="E601" s="346"/>
      <c r="F601" s="346"/>
      <c r="G601" s="346"/>
      <c r="H601" s="346"/>
      <c r="I601" s="346"/>
      <c r="J601" s="346"/>
      <c r="K601" s="346"/>
      <c r="L601" s="346"/>
      <c r="M601" s="346"/>
      <c r="N601" s="346"/>
      <c r="O601" s="346"/>
      <c r="P601">
        <f t="shared" ref="P601:P632" si="58">SUM(B601:O601)</f>
        <v>0</v>
      </c>
      <c r="Q601" s="351" t="e">
        <f>P601/$P$350</f>
        <v>#DIV/0!</v>
      </c>
    </row>
    <row r="602" spans="1:17" ht="13.5" customHeight="1">
      <c r="A602" s="387">
        <f>'Conveyor Downtime (new)'!A618</f>
        <v>0</v>
      </c>
      <c r="B602"/>
      <c r="C602"/>
      <c r="D602"/>
      <c r="E602"/>
      <c r="F602"/>
      <c r="G602"/>
      <c r="H602"/>
      <c r="I602"/>
      <c r="J602"/>
      <c r="K602"/>
      <c r="L602"/>
      <c r="M602"/>
      <c r="N602"/>
      <c r="O602"/>
      <c r="P602">
        <f t="shared" si="58"/>
        <v>0</v>
      </c>
      <c r="Q602" s="351" t="e">
        <f t="shared" ref="Q602:Q656" si="59">P602/$P$350</f>
        <v>#DIV/0!</v>
      </c>
    </row>
    <row r="603" spans="1:17" ht="13.5" customHeight="1">
      <c r="A603" s="387">
        <f>'Conveyor Downtime (new)'!A619</f>
        <v>0</v>
      </c>
      <c r="B603" s="346"/>
      <c r="C603" s="346"/>
      <c r="D603" s="346"/>
      <c r="E603" s="346"/>
      <c r="F603" s="346"/>
      <c r="G603" s="346"/>
      <c r="H603" s="346"/>
      <c r="I603" s="346"/>
      <c r="J603" s="346"/>
      <c r="K603" s="346"/>
      <c r="L603" s="346"/>
      <c r="M603" s="346"/>
      <c r="N603" s="346"/>
      <c r="O603" s="346"/>
      <c r="P603">
        <f t="shared" si="58"/>
        <v>0</v>
      </c>
      <c r="Q603" s="351" t="e">
        <f t="shared" si="59"/>
        <v>#DIV/0!</v>
      </c>
    </row>
    <row r="604" spans="1:17" ht="13.5" customHeight="1">
      <c r="A604" s="387">
        <f>'Conveyor Downtime (new)'!A620</f>
        <v>0</v>
      </c>
      <c r="B604"/>
      <c r="C604"/>
      <c r="D604"/>
      <c r="E604"/>
      <c r="F604"/>
      <c r="G604"/>
      <c r="H604"/>
      <c r="I604"/>
      <c r="J604"/>
      <c r="K604"/>
      <c r="L604"/>
      <c r="M604"/>
      <c r="N604"/>
      <c r="O604"/>
      <c r="P604">
        <f t="shared" si="58"/>
        <v>0</v>
      </c>
      <c r="Q604" s="351" t="e">
        <f t="shared" si="59"/>
        <v>#DIV/0!</v>
      </c>
    </row>
    <row r="605" spans="1:17" ht="13.5" customHeight="1">
      <c r="A605" s="387">
        <f>'Conveyor Downtime (new)'!A621</f>
        <v>0</v>
      </c>
      <c r="B605" s="346"/>
      <c r="C605" s="346"/>
      <c r="D605" s="346"/>
      <c r="E605" s="346"/>
      <c r="F605" s="346"/>
      <c r="G605" s="346"/>
      <c r="H605" s="346"/>
      <c r="I605" s="346"/>
      <c r="J605" s="346"/>
      <c r="K605" s="346"/>
      <c r="L605" s="346"/>
      <c r="M605" s="346"/>
      <c r="N605" s="346"/>
      <c r="O605" s="346"/>
      <c r="P605">
        <f t="shared" si="58"/>
        <v>0</v>
      </c>
      <c r="Q605" s="351" t="e">
        <f t="shared" si="59"/>
        <v>#DIV/0!</v>
      </c>
    </row>
    <row r="606" spans="1:17" ht="13.5" customHeight="1">
      <c r="A606" s="387">
        <f>'Conveyor Downtime (new)'!A622</f>
        <v>0</v>
      </c>
      <c r="B606"/>
      <c r="C606"/>
      <c r="D606"/>
      <c r="E606"/>
      <c r="F606"/>
      <c r="G606"/>
      <c r="H606"/>
      <c r="I606"/>
      <c r="J606"/>
      <c r="K606"/>
      <c r="L606"/>
      <c r="M606"/>
      <c r="N606"/>
      <c r="O606"/>
      <c r="P606">
        <f t="shared" si="58"/>
        <v>0</v>
      </c>
      <c r="Q606" s="351" t="e">
        <f t="shared" si="59"/>
        <v>#DIV/0!</v>
      </c>
    </row>
    <row r="607" spans="1:17" ht="13.5" customHeight="1">
      <c r="A607" s="387">
        <f>'Conveyor Downtime (new)'!A623</f>
        <v>0</v>
      </c>
      <c r="B607" s="346"/>
      <c r="C607" s="346"/>
      <c r="D607" s="346"/>
      <c r="E607" s="346"/>
      <c r="F607" s="346"/>
      <c r="G607" s="346"/>
      <c r="H607" s="346"/>
      <c r="I607" s="346"/>
      <c r="J607" s="346"/>
      <c r="K607" s="346"/>
      <c r="L607" s="346"/>
      <c r="M607" s="346"/>
      <c r="N607" s="346"/>
      <c r="O607" s="346"/>
      <c r="P607">
        <f t="shared" si="58"/>
        <v>0</v>
      </c>
      <c r="Q607" s="351" t="e">
        <f t="shared" si="59"/>
        <v>#DIV/0!</v>
      </c>
    </row>
    <row r="608" spans="1:17" ht="13.5" customHeight="1">
      <c r="A608" s="387">
        <f>'Conveyor Downtime (new)'!A624</f>
        <v>0</v>
      </c>
      <c r="B608"/>
      <c r="C608"/>
      <c r="D608"/>
      <c r="E608"/>
      <c r="F608"/>
      <c r="G608"/>
      <c r="H608"/>
      <c r="I608"/>
      <c r="J608"/>
      <c r="K608"/>
      <c r="L608"/>
      <c r="M608"/>
      <c r="N608"/>
      <c r="O608"/>
      <c r="P608">
        <f t="shared" si="58"/>
        <v>0</v>
      </c>
      <c r="Q608" s="351" t="e">
        <f t="shared" si="59"/>
        <v>#DIV/0!</v>
      </c>
    </row>
    <row r="609" spans="1:17" ht="13.5" customHeight="1">
      <c r="A609" s="387">
        <f>'Conveyor Downtime (new)'!A625</f>
        <v>0</v>
      </c>
      <c r="B609" s="346"/>
      <c r="C609" s="346"/>
      <c r="D609" s="346"/>
      <c r="E609" s="346"/>
      <c r="F609" s="346"/>
      <c r="G609" s="346"/>
      <c r="H609" s="346"/>
      <c r="I609" s="346"/>
      <c r="J609" s="346"/>
      <c r="K609" s="346"/>
      <c r="L609" s="346"/>
      <c r="M609" s="346"/>
      <c r="N609" s="346"/>
      <c r="O609" s="346"/>
      <c r="P609">
        <f t="shared" si="58"/>
        <v>0</v>
      </c>
      <c r="Q609" s="351" t="e">
        <f t="shared" si="59"/>
        <v>#DIV/0!</v>
      </c>
    </row>
    <row r="610" spans="1:17" ht="13.5" customHeight="1">
      <c r="A610" s="387">
        <f>'Conveyor Downtime (new)'!A626</f>
        <v>0</v>
      </c>
      <c r="B610"/>
      <c r="C610"/>
      <c r="D610"/>
      <c r="E610"/>
      <c r="F610"/>
      <c r="G610"/>
      <c r="H610"/>
      <c r="I610"/>
      <c r="J610"/>
      <c r="K610"/>
      <c r="L610"/>
      <c r="M610"/>
      <c r="N610"/>
      <c r="O610"/>
      <c r="P610">
        <f t="shared" si="58"/>
        <v>0</v>
      </c>
      <c r="Q610" s="351" t="e">
        <f t="shared" si="59"/>
        <v>#DIV/0!</v>
      </c>
    </row>
    <row r="611" spans="1:17" ht="13.5" customHeight="1">
      <c r="A611" s="387">
        <f>'Conveyor Downtime (new)'!A627</f>
        <v>0</v>
      </c>
      <c r="B611" s="346"/>
      <c r="C611" s="346"/>
      <c r="D611" s="346"/>
      <c r="E611" s="346"/>
      <c r="F611" s="346"/>
      <c r="G611" s="346"/>
      <c r="H611" s="346"/>
      <c r="I611" s="346"/>
      <c r="J611" s="346"/>
      <c r="K611" s="346"/>
      <c r="L611" s="346"/>
      <c r="M611" s="346"/>
      <c r="N611" s="346"/>
      <c r="O611" s="346"/>
      <c r="P611">
        <f t="shared" si="58"/>
        <v>0</v>
      </c>
      <c r="Q611" s="351" t="e">
        <f t="shared" si="59"/>
        <v>#DIV/0!</v>
      </c>
    </row>
    <row r="612" spans="1:17" ht="13.5" customHeight="1">
      <c r="A612" s="387">
        <f>'Conveyor Downtime (new)'!A628</f>
        <v>0</v>
      </c>
      <c r="B612"/>
      <c r="C612"/>
      <c r="D612"/>
      <c r="E612"/>
      <c r="F612"/>
      <c r="G612"/>
      <c r="H612"/>
      <c r="I612"/>
      <c r="J612"/>
      <c r="K612"/>
      <c r="L612"/>
      <c r="M612"/>
      <c r="N612"/>
      <c r="O612"/>
      <c r="P612">
        <f t="shared" si="58"/>
        <v>0</v>
      </c>
      <c r="Q612" s="351" t="e">
        <f t="shared" si="59"/>
        <v>#DIV/0!</v>
      </c>
    </row>
    <row r="613" spans="1:17" ht="13.5" customHeight="1">
      <c r="A613" s="387">
        <f>'Conveyor Downtime (new)'!A629</f>
        <v>0</v>
      </c>
      <c r="B613" s="346"/>
      <c r="C613" s="346"/>
      <c r="D613" s="346"/>
      <c r="E613" s="346"/>
      <c r="F613" s="346"/>
      <c r="G613" s="346"/>
      <c r="H613" s="346"/>
      <c r="I613" s="346"/>
      <c r="J613" s="346"/>
      <c r="K613" s="346"/>
      <c r="L613" s="346"/>
      <c r="M613" s="346"/>
      <c r="N613" s="346"/>
      <c r="O613" s="346"/>
      <c r="P613">
        <f t="shared" si="58"/>
        <v>0</v>
      </c>
      <c r="Q613" s="351" t="e">
        <f t="shared" si="59"/>
        <v>#DIV/0!</v>
      </c>
    </row>
    <row r="614" spans="1:17" ht="13.5" customHeight="1">
      <c r="A614" s="387">
        <f>'Conveyor Downtime (new)'!A630</f>
        <v>0</v>
      </c>
      <c r="B614"/>
      <c r="C614"/>
      <c r="D614"/>
      <c r="E614"/>
      <c r="F614"/>
      <c r="G614"/>
      <c r="H614"/>
      <c r="I614"/>
      <c r="J614"/>
      <c r="K614"/>
      <c r="L614"/>
      <c r="M614"/>
      <c r="N614"/>
      <c r="O614"/>
      <c r="P614">
        <f t="shared" si="58"/>
        <v>0</v>
      </c>
      <c r="Q614" s="351" t="e">
        <f t="shared" si="59"/>
        <v>#DIV/0!</v>
      </c>
    </row>
    <row r="615" spans="1:17" ht="13.5" customHeight="1">
      <c r="A615" s="387">
        <f>'Conveyor Downtime (new)'!A631</f>
        <v>0</v>
      </c>
      <c r="B615" s="346"/>
      <c r="C615" s="346"/>
      <c r="D615" s="346"/>
      <c r="E615" s="346"/>
      <c r="F615" s="346"/>
      <c r="G615" s="346"/>
      <c r="H615" s="346"/>
      <c r="I615" s="346"/>
      <c r="J615" s="346"/>
      <c r="K615" s="346"/>
      <c r="L615" s="346"/>
      <c r="M615" s="346"/>
      <c r="N615" s="346"/>
      <c r="O615" s="346"/>
      <c r="P615">
        <f t="shared" si="58"/>
        <v>0</v>
      </c>
      <c r="Q615" s="351" t="e">
        <f t="shared" si="59"/>
        <v>#DIV/0!</v>
      </c>
    </row>
    <row r="616" spans="1:17" ht="13.5" customHeight="1">
      <c r="A616" s="387">
        <f>'Conveyor Downtime (new)'!A632</f>
        <v>0</v>
      </c>
      <c r="B616"/>
      <c r="C616"/>
      <c r="D616"/>
      <c r="E616"/>
      <c r="F616"/>
      <c r="G616"/>
      <c r="H616"/>
      <c r="I616"/>
      <c r="J616"/>
      <c r="K616"/>
      <c r="L616"/>
      <c r="M616"/>
      <c r="N616"/>
      <c r="O616"/>
      <c r="P616">
        <f t="shared" si="58"/>
        <v>0</v>
      </c>
      <c r="Q616" s="351" t="e">
        <f t="shared" si="59"/>
        <v>#DIV/0!</v>
      </c>
    </row>
    <row r="617" spans="1:17" ht="13.5" customHeight="1">
      <c r="A617" s="387">
        <f>'Conveyor Downtime (new)'!A633</f>
        <v>0</v>
      </c>
      <c r="B617" s="346"/>
      <c r="C617" s="346"/>
      <c r="D617" s="346"/>
      <c r="E617" s="346"/>
      <c r="F617" s="346"/>
      <c r="G617" s="346"/>
      <c r="H617" s="346"/>
      <c r="I617" s="346"/>
      <c r="J617" s="346"/>
      <c r="K617" s="346"/>
      <c r="L617" s="346"/>
      <c r="M617" s="346"/>
      <c r="N617" s="346"/>
      <c r="O617" s="346"/>
      <c r="P617">
        <f t="shared" si="58"/>
        <v>0</v>
      </c>
      <c r="Q617" s="351" t="e">
        <f t="shared" si="59"/>
        <v>#DIV/0!</v>
      </c>
    </row>
    <row r="618" spans="1:17" ht="13.5" customHeight="1">
      <c r="A618" s="387">
        <f>'Conveyor Downtime (new)'!A634</f>
        <v>0</v>
      </c>
      <c r="B618"/>
      <c r="C618"/>
      <c r="D618"/>
      <c r="E618"/>
      <c r="F618"/>
      <c r="G618"/>
      <c r="H618"/>
      <c r="I618"/>
      <c r="J618"/>
      <c r="K618"/>
      <c r="L618"/>
      <c r="M618"/>
      <c r="N618"/>
      <c r="O618"/>
      <c r="P618">
        <f t="shared" si="58"/>
        <v>0</v>
      </c>
      <c r="Q618" s="351" t="e">
        <f t="shared" si="59"/>
        <v>#DIV/0!</v>
      </c>
    </row>
    <row r="619" spans="1:17" ht="13.5" customHeight="1">
      <c r="A619" s="387">
        <f>'Conveyor Downtime (new)'!A635</f>
        <v>0</v>
      </c>
      <c r="B619" s="346"/>
      <c r="C619" s="346"/>
      <c r="D619" s="346"/>
      <c r="E619" s="346"/>
      <c r="F619" s="346"/>
      <c r="G619" s="346"/>
      <c r="H619" s="346"/>
      <c r="I619" s="346"/>
      <c r="J619" s="346"/>
      <c r="K619" s="346"/>
      <c r="L619" s="346"/>
      <c r="M619" s="346"/>
      <c r="N619" s="346"/>
      <c r="O619" s="346"/>
      <c r="P619">
        <f t="shared" si="58"/>
        <v>0</v>
      </c>
      <c r="Q619" s="351" t="e">
        <f t="shared" si="59"/>
        <v>#DIV/0!</v>
      </c>
    </row>
    <row r="620" spans="1:17" ht="13.5" customHeight="1">
      <c r="A620" s="387">
        <f>'Conveyor Downtime (new)'!A636</f>
        <v>0</v>
      </c>
      <c r="B620" s="346"/>
      <c r="C620" s="346"/>
      <c r="D620" s="346"/>
      <c r="E620" s="346"/>
      <c r="F620" s="346"/>
      <c r="G620" s="346"/>
      <c r="H620" s="346"/>
      <c r="I620" s="346"/>
      <c r="J620" s="346"/>
      <c r="K620"/>
      <c r="L620"/>
      <c r="M620"/>
      <c r="N620"/>
      <c r="O620"/>
      <c r="P620">
        <f t="shared" si="58"/>
        <v>0</v>
      </c>
      <c r="Q620" s="351" t="e">
        <f t="shared" si="59"/>
        <v>#DIV/0!</v>
      </c>
    </row>
    <row r="621" spans="1:17" ht="13.5" customHeight="1">
      <c r="A621" s="387">
        <f>'Conveyor Downtime (new)'!A637</f>
        <v>0</v>
      </c>
      <c r="B621"/>
      <c r="C621"/>
      <c r="D621"/>
      <c r="E621"/>
      <c r="F621"/>
      <c r="G621"/>
      <c r="H621"/>
      <c r="I621"/>
      <c r="J621"/>
      <c r="K621"/>
      <c r="L621"/>
      <c r="M621"/>
      <c r="N621"/>
      <c r="O621"/>
      <c r="P621">
        <f t="shared" si="58"/>
        <v>0</v>
      </c>
      <c r="Q621" s="351" t="e">
        <f t="shared" si="59"/>
        <v>#DIV/0!</v>
      </c>
    </row>
    <row r="622" spans="1:17" ht="13.5" customHeight="1">
      <c r="A622" s="387">
        <f>'Conveyor Downtime (new)'!A638</f>
        <v>0</v>
      </c>
      <c r="B622" s="346"/>
      <c r="C622" s="346"/>
      <c r="D622" s="346"/>
      <c r="E622" s="346"/>
      <c r="F622" s="346"/>
      <c r="G622" s="346"/>
      <c r="H622" s="346"/>
      <c r="I622" s="346"/>
      <c r="J622" s="346"/>
      <c r="K622" s="346"/>
      <c r="L622" s="346"/>
      <c r="M622" s="346"/>
      <c r="N622" s="346"/>
      <c r="O622" s="346"/>
      <c r="P622">
        <f t="shared" si="58"/>
        <v>0</v>
      </c>
      <c r="Q622" s="351" t="e">
        <f t="shared" si="59"/>
        <v>#DIV/0!</v>
      </c>
    </row>
    <row r="623" spans="1:17" ht="13.5" customHeight="1">
      <c r="A623" s="387">
        <f>'Conveyor Downtime (new)'!A639</f>
        <v>0</v>
      </c>
      <c r="B623"/>
      <c r="C623"/>
      <c r="D623"/>
      <c r="E623"/>
      <c r="F623"/>
      <c r="G623"/>
      <c r="H623"/>
      <c r="I623"/>
      <c r="J623"/>
      <c r="K623"/>
      <c r="L623"/>
      <c r="M623"/>
      <c r="N623"/>
      <c r="O623"/>
      <c r="P623">
        <f t="shared" si="58"/>
        <v>0</v>
      </c>
      <c r="Q623" s="351" t="e">
        <f t="shared" si="59"/>
        <v>#DIV/0!</v>
      </c>
    </row>
    <row r="624" spans="1:17" ht="13.5" customHeight="1">
      <c r="A624" s="387">
        <f>'Conveyor Downtime (new)'!A640</f>
        <v>0</v>
      </c>
      <c r="B624" s="346"/>
      <c r="C624" s="346"/>
      <c r="D624" s="346"/>
      <c r="E624" s="346"/>
      <c r="F624" s="346"/>
      <c r="G624" s="346"/>
      <c r="H624" s="346"/>
      <c r="I624" s="346"/>
      <c r="J624" s="346"/>
      <c r="K624" s="346"/>
      <c r="L624" s="346"/>
      <c r="M624" s="346"/>
      <c r="N624" s="346"/>
      <c r="O624" s="346"/>
      <c r="P624">
        <f t="shared" si="58"/>
        <v>0</v>
      </c>
      <c r="Q624" s="351" t="e">
        <f t="shared" si="59"/>
        <v>#DIV/0!</v>
      </c>
    </row>
    <row r="625" spans="1:17" ht="13.5" customHeight="1">
      <c r="A625" s="387">
        <f>'Conveyor Downtime (new)'!A641</f>
        <v>0</v>
      </c>
      <c r="B625"/>
      <c r="C625"/>
      <c r="D625"/>
      <c r="E625"/>
      <c r="F625"/>
      <c r="G625"/>
      <c r="H625"/>
      <c r="I625"/>
      <c r="J625"/>
      <c r="K625"/>
      <c r="L625"/>
      <c r="M625"/>
      <c r="N625"/>
      <c r="O625"/>
      <c r="P625">
        <f t="shared" si="58"/>
        <v>0</v>
      </c>
      <c r="Q625" s="351" t="e">
        <f t="shared" si="59"/>
        <v>#DIV/0!</v>
      </c>
    </row>
    <row r="626" spans="1:17" ht="13.5" customHeight="1">
      <c r="A626" s="387">
        <f>'Conveyor Downtime (new)'!A642</f>
        <v>0</v>
      </c>
      <c r="B626" s="346"/>
      <c r="C626" s="346"/>
      <c r="D626" s="346"/>
      <c r="E626" s="346"/>
      <c r="F626" s="346"/>
      <c r="G626" s="346"/>
      <c r="H626" s="346"/>
      <c r="I626" s="346"/>
      <c r="J626" s="346"/>
      <c r="K626" s="346"/>
      <c r="L626" s="346"/>
      <c r="M626" s="346"/>
      <c r="N626" s="346"/>
      <c r="O626" s="346"/>
      <c r="P626">
        <f t="shared" si="58"/>
        <v>0</v>
      </c>
      <c r="Q626" s="351" t="e">
        <f t="shared" si="59"/>
        <v>#DIV/0!</v>
      </c>
    </row>
    <row r="627" spans="1:17" ht="12.75" customHeight="1">
      <c r="A627" s="387">
        <f>'Conveyor Downtime (new)'!A643</f>
        <v>0</v>
      </c>
      <c r="B627"/>
      <c r="C627"/>
      <c r="D627"/>
      <c r="E627"/>
      <c r="F627"/>
      <c r="G627"/>
      <c r="H627"/>
      <c r="I627"/>
      <c r="J627"/>
      <c r="K627"/>
      <c r="L627"/>
      <c r="M627"/>
      <c r="N627"/>
      <c r="O627"/>
      <c r="P627">
        <f t="shared" si="58"/>
        <v>0</v>
      </c>
      <c r="Q627" s="351" t="e">
        <f t="shared" si="59"/>
        <v>#DIV/0!</v>
      </c>
    </row>
    <row r="628" spans="1:17" ht="13.5" customHeight="1">
      <c r="A628" s="387">
        <f>'Conveyor Downtime (new)'!A644</f>
        <v>0</v>
      </c>
      <c r="B628" s="346"/>
      <c r="C628" s="346"/>
      <c r="D628" s="346"/>
      <c r="E628" s="346"/>
      <c r="F628" s="346"/>
      <c r="G628" s="346"/>
      <c r="H628" s="346"/>
      <c r="I628" s="346"/>
      <c r="J628" s="346"/>
      <c r="K628" s="346"/>
      <c r="L628" s="346"/>
      <c r="M628" s="346"/>
      <c r="N628" s="346"/>
      <c r="O628" s="346"/>
      <c r="P628">
        <f t="shared" si="58"/>
        <v>0</v>
      </c>
      <c r="Q628" s="351" t="e">
        <f t="shared" si="59"/>
        <v>#DIV/0!</v>
      </c>
    </row>
    <row r="629" spans="1:17" ht="13.5" customHeight="1">
      <c r="A629" s="387">
        <f>'Conveyor Downtime (new)'!A645</f>
        <v>0</v>
      </c>
      <c r="B629"/>
      <c r="C629"/>
      <c r="D629"/>
      <c r="E629"/>
      <c r="F629"/>
      <c r="G629"/>
      <c r="H629"/>
      <c r="I629"/>
      <c r="J629"/>
      <c r="K629"/>
      <c r="L629"/>
      <c r="M629"/>
      <c r="N629"/>
      <c r="O629"/>
      <c r="P629">
        <f t="shared" si="58"/>
        <v>0</v>
      </c>
      <c r="Q629" s="351" t="e">
        <f t="shared" si="59"/>
        <v>#DIV/0!</v>
      </c>
    </row>
    <row r="630" spans="1:17" ht="13.5" customHeight="1">
      <c r="A630" s="387">
        <f>'Conveyor Downtime (new)'!A646</f>
        <v>0</v>
      </c>
      <c r="B630" s="346"/>
      <c r="C630" s="346"/>
      <c r="D630" s="346"/>
      <c r="E630" s="346"/>
      <c r="F630" s="346"/>
      <c r="G630" s="346"/>
      <c r="H630" s="346"/>
      <c r="I630" s="346"/>
      <c r="J630" s="346"/>
      <c r="K630" s="346"/>
      <c r="L630" s="346"/>
      <c r="M630" s="346"/>
      <c r="N630" s="346"/>
      <c r="O630" s="346"/>
      <c r="P630">
        <f t="shared" si="58"/>
        <v>0</v>
      </c>
      <c r="Q630" s="351" t="e">
        <f t="shared" si="59"/>
        <v>#DIV/0!</v>
      </c>
    </row>
    <row r="631" spans="1:17" ht="13.5" customHeight="1">
      <c r="A631" s="387">
        <f>'Conveyor Downtime (new)'!A647</f>
        <v>0</v>
      </c>
      <c r="B631"/>
      <c r="C631"/>
      <c r="D631"/>
      <c r="E631"/>
      <c r="F631"/>
      <c r="G631"/>
      <c r="H631"/>
      <c r="I631"/>
      <c r="J631"/>
      <c r="K631"/>
      <c r="L631"/>
      <c r="M631"/>
      <c r="N631"/>
      <c r="O631"/>
      <c r="P631">
        <f t="shared" si="58"/>
        <v>0</v>
      </c>
      <c r="Q631" s="351" t="e">
        <f t="shared" si="59"/>
        <v>#DIV/0!</v>
      </c>
    </row>
    <row r="632" spans="1:17" ht="13.5" customHeight="1">
      <c r="A632" s="387">
        <f>'Conveyor Downtime (new)'!A648</f>
        <v>0</v>
      </c>
      <c r="B632" s="346"/>
      <c r="C632" s="346"/>
      <c r="D632" s="346"/>
      <c r="E632" s="346"/>
      <c r="F632" s="346"/>
      <c r="G632" s="346"/>
      <c r="H632" s="346"/>
      <c r="I632" s="346"/>
      <c r="J632" s="346"/>
      <c r="K632" s="346"/>
      <c r="L632" s="346"/>
      <c r="M632" s="346"/>
      <c r="N632" s="346"/>
      <c r="O632" s="346"/>
      <c r="P632">
        <f t="shared" si="58"/>
        <v>0</v>
      </c>
      <c r="Q632" s="351" t="e">
        <f t="shared" si="59"/>
        <v>#DIV/0!</v>
      </c>
    </row>
    <row r="633" spans="1:17" ht="13.5" customHeight="1">
      <c r="A633" s="387">
        <f>'Conveyor Downtime (new)'!A649</f>
        <v>0</v>
      </c>
      <c r="B633"/>
      <c r="C633"/>
      <c r="D633"/>
      <c r="E633"/>
      <c r="F633"/>
      <c r="G633"/>
      <c r="H633"/>
      <c r="I633"/>
      <c r="J633"/>
      <c r="K633"/>
      <c r="L633"/>
      <c r="M633"/>
      <c r="N633"/>
      <c r="O633"/>
      <c r="P633">
        <f t="shared" ref="P633:P656" si="60">SUM(B633:O633)</f>
        <v>0</v>
      </c>
      <c r="Q633" s="351" t="e">
        <f t="shared" si="59"/>
        <v>#DIV/0!</v>
      </c>
    </row>
    <row r="634" spans="1:17" ht="13.5" customHeight="1">
      <c r="A634" s="387">
        <f>'Conveyor Downtime (new)'!A650</f>
        <v>0</v>
      </c>
      <c r="B634" s="346"/>
      <c r="C634" s="346"/>
      <c r="D634" s="346"/>
      <c r="E634" s="346"/>
      <c r="F634" s="346"/>
      <c r="G634" s="346"/>
      <c r="H634" s="346"/>
      <c r="I634" s="346"/>
      <c r="J634" s="346"/>
      <c r="K634" s="346"/>
      <c r="L634" s="346"/>
      <c r="M634" s="346"/>
      <c r="N634" s="346"/>
      <c r="O634" s="346"/>
      <c r="P634">
        <f t="shared" si="60"/>
        <v>0</v>
      </c>
      <c r="Q634" s="351" t="e">
        <f t="shared" si="59"/>
        <v>#DIV/0!</v>
      </c>
    </row>
    <row r="635" spans="1:17" ht="13.5" customHeight="1">
      <c r="A635" s="387">
        <f>'Conveyor Downtime (new)'!A651</f>
        <v>0</v>
      </c>
      <c r="B635"/>
      <c r="C635"/>
      <c r="D635"/>
      <c r="E635"/>
      <c r="F635"/>
      <c r="G635"/>
      <c r="H635"/>
      <c r="I635"/>
      <c r="J635"/>
      <c r="K635"/>
      <c r="L635"/>
      <c r="M635"/>
      <c r="O635"/>
      <c r="P635">
        <f t="shared" si="60"/>
        <v>0</v>
      </c>
      <c r="Q635" s="351" t="e">
        <f t="shared" si="59"/>
        <v>#DIV/0!</v>
      </c>
    </row>
    <row r="636" spans="1:17" ht="13.5" customHeight="1">
      <c r="A636" s="387">
        <f>'Conveyor Downtime (new)'!A652</f>
        <v>0</v>
      </c>
      <c r="B636" s="346"/>
      <c r="C636" s="346"/>
      <c r="D636" s="346"/>
      <c r="E636" s="346"/>
      <c r="F636" s="346"/>
      <c r="G636" s="346"/>
      <c r="H636" s="346"/>
      <c r="I636" s="346"/>
      <c r="J636" s="346"/>
      <c r="K636" s="346"/>
      <c r="L636" s="346"/>
      <c r="M636" s="346"/>
      <c r="N636" s="346"/>
      <c r="O636" s="346"/>
      <c r="P636">
        <f t="shared" si="60"/>
        <v>0</v>
      </c>
      <c r="Q636" s="351" t="e">
        <f t="shared" si="59"/>
        <v>#DIV/0!</v>
      </c>
    </row>
    <row r="637" spans="1:17" ht="13.5" customHeight="1">
      <c r="A637" s="387">
        <f>'Conveyor Downtime (new)'!A653</f>
        <v>0</v>
      </c>
      <c r="B637"/>
      <c r="C637"/>
      <c r="D637"/>
      <c r="E637"/>
      <c r="F637"/>
      <c r="G637"/>
      <c r="H637"/>
      <c r="I637"/>
      <c r="J637"/>
      <c r="K637"/>
      <c r="L637"/>
      <c r="M637"/>
      <c r="N637"/>
      <c r="O637"/>
      <c r="P637">
        <f t="shared" si="60"/>
        <v>0</v>
      </c>
      <c r="Q637" s="351" t="e">
        <f t="shared" si="59"/>
        <v>#DIV/0!</v>
      </c>
    </row>
    <row r="638" spans="1:17" ht="13.5" customHeight="1">
      <c r="A638" s="387">
        <f>'Conveyor Downtime (new)'!A654</f>
        <v>0</v>
      </c>
      <c r="B638" s="346"/>
      <c r="C638" s="346"/>
      <c r="D638" s="346"/>
      <c r="E638" s="346"/>
      <c r="F638" s="346"/>
      <c r="G638" s="346"/>
      <c r="H638" s="346"/>
      <c r="I638" s="346"/>
      <c r="J638" s="346"/>
      <c r="K638" s="346"/>
      <c r="L638" s="346"/>
      <c r="M638" s="346"/>
      <c r="N638" s="346"/>
      <c r="O638" s="346"/>
      <c r="P638">
        <f t="shared" si="60"/>
        <v>0</v>
      </c>
      <c r="Q638" s="351" t="e">
        <f t="shared" si="59"/>
        <v>#DIV/0!</v>
      </c>
    </row>
    <row r="639" spans="1:17" ht="13.5" customHeight="1">
      <c r="A639" s="387">
        <f>'Conveyor Downtime (new)'!A655</f>
        <v>0</v>
      </c>
      <c r="B639"/>
      <c r="C639"/>
      <c r="D639"/>
      <c r="E639"/>
      <c r="F639"/>
      <c r="G639"/>
      <c r="H639"/>
      <c r="I639"/>
      <c r="J639"/>
      <c r="K639"/>
      <c r="L639"/>
      <c r="M639"/>
      <c r="N639"/>
      <c r="O639"/>
      <c r="P639">
        <f t="shared" si="60"/>
        <v>0</v>
      </c>
      <c r="Q639" s="351" t="e">
        <f t="shared" si="59"/>
        <v>#DIV/0!</v>
      </c>
    </row>
    <row r="640" spans="1:17" ht="13.5" customHeight="1">
      <c r="A640" s="387">
        <f>'Conveyor Downtime (new)'!A656</f>
        <v>0</v>
      </c>
      <c r="B640" s="346"/>
      <c r="C640" s="346"/>
      <c r="D640" s="346"/>
      <c r="E640" s="346"/>
      <c r="F640" s="346"/>
      <c r="G640" s="346"/>
      <c r="H640" s="346"/>
      <c r="I640" s="346"/>
      <c r="J640" s="346"/>
      <c r="K640" s="346"/>
      <c r="L640" s="346"/>
      <c r="M640" s="346"/>
      <c r="N640" s="346"/>
      <c r="O640" s="346"/>
      <c r="P640">
        <f t="shared" si="60"/>
        <v>0</v>
      </c>
      <c r="Q640" s="351" t="e">
        <f t="shared" si="59"/>
        <v>#DIV/0!</v>
      </c>
    </row>
    <row r="641" spans="1:17" ht="13.5" customHeight="1">
      <c r="A641" s="387">
        <f>'Conveyor Downtime (new)'!A657</f>
        <v>0</v>
      </c>
      <c r="B641"/>
      <c r="C641"/>
      <c r="D641"/>
      <c r="E641"/>
      <c r="F641"/>
      <c r="G641"/>
      <c r="H641"/>
      <c r="I641"/>
      <c r="J641"/>
      <c r="K641"/>
      <c r="L641"/>
      <c r="M641"/>
      <c r="N641"/>
      <c r="O641"/>
      <c r="P641">
        <f t="shared" si="60"/>
        <v>0</v>
      </c>
      <c r="Q641" s="351" t="e">
        <f t="shared" si="59"/>
        <v>#DIV/0!</v>
      </c>
    </row>
    <row r="642" spans="1:17" ht="13.5" customHeight="1">
      <c r="A642" s="387">
        <f>'Conveyor Downtime (new)'!A658</f>
        <v>0</v>
      </c>
      <c r="B642" s="346"/>
      <c r="C642" s="346"/>
      <c r="D642" s="346"/>
      <c r="E642" s="346"/>
      <c r="F642" s="346"/>
      <c r="G642" s="346"/>
      <c r="H642" s="346"/>
      <c r="I642" s="346"/>
      <c r="J642" s="346"/>
      <c r="K642" s="346"/>
      <c r="L642" s="346"/>
      <c r="M642" s="346"/>
      <c r="N642" s="346"/>
      <c r="O642" s="346"/>
      <c r="P642">
        <f t="shared" si="60"/>
        <v>0</v>
      </c>
      <c r="Q642" s="351" t="e">
        <f t="shared" si="59"/>
        <v>#DIV/0!</v>
      </c>
    </row>
    <row r="643" spans="1:17" ht="13.5" customHeight="1">
      <c r="A643" s="387">
        <f>'Conveyor Downtime (new)'!A659</f>
        <v>0</v>
      </c>
      <c r="B643"/>
      <c r="C643"/>
      <c r="D643"/>
      <c r="E643"/>
      <c r="F643"/>
      <c r="G643"/>
      <c r="H643"/>
      <c r="I643"/>
      <c r="J643"/>
      <c r="K643"/>
      <c r="L643"/>
      <c r="M643"/>
      <c r="N643"/>
      <c r="O643"/>
      <c r="P643">
        <f t="shared" si="60"/>
        <v>0</v>
      </c>
      <c r="Q643" s="351" t="e">
        <f t="shared" si="59"/>
        <v>#DIV/0!</v>
      </c>
    </row>
    <row r="644" spans="1:17" ht="13.5" customHeight="1">
      <c r="A644" s="387">
        <f>'Conveyor Downtime (new)'!A660</f>
        <v>0</v>
      </c>
      <c r="B644" s="346"/>
      <c r="C644" s="346"/>
      <c r="D644" s="346"/>
      <c r="E644" s="346"/>
      <c r="F644" s="346"/>
      <c r="G644" s="346"/>
      <c r="H644" s="346"/>
      <c r="I644" s="346"/>
      <c r="J644" s="346"/>
      <c r="K644" s="346"/>
      <c r="L644" s="346"/>
      <c r="M644" s="346"/>
      <c r="N644" s="346"/>
      <c r="O644" s="346"/>
      <c r="P644">
        <f t="shared" si="60"/>
        <v>0</v>
      </c>
      <c r="Q644" s="351" t="e">
        <f t="shared" si="59"/>
        <v>#DIV/0!</v>
      </c>
    </row>
    <row r="645" spans="1:17" ht="13.5" customHeight="1">
      <c r="A645" s="387">
        <f>'Conveyor Downtime (new)'!A661</f>
        <v>0</v>
      </c>
      <c r="B645"/>
      <c r="C645"/>
      <c r="D645"/>
      <c r="E645"/>
      <c r="F645"/>
      <c r="G645"/>
      <c r="H645"/>
      <c r="I645"/>
      <c r="J645"/>
      <c r="K645"/>
      <c r="L645"/>
      <c r="M645"/>
      <c r="N645"/>
      <c r="O645"/>
      <c r="P645">
        <f t="shared" si="60"/>
        <v>0</v>
      </c>
      <c r="Q645" s="351" t="e">
        <f t="shared" si="59"/>
        <v>#DIV/0!</v>
      </c>
    </row>
    <row r="646" spans="1:17" ht="13.5" customHeight="1">
      <c r="A646" s="387">
        <f>'Conveyor Downtime (new)'!A662</f>
        <v>0</v>
      </c>
      <c r="B646" s="346"/>
      <c r="C646" s="346"/>
      <c r="D646" s="346"/>
      <c r="E646" s="346"/>
      <c r="F646" s="346"/>
      <c r="G646" s="346"/>
      <c r="H646" s="346"/>
      <c r="I646" s="346"/>
      <c r="J646" s="346"/>
      <c r="K646" s="346"/>
      <c r="L646" s="346"/>
      <c r="M646" s="346"/>
      <c r="N646" s="346"/>
      <c r="O646" s="346"/>
      <c r="P646">
        <f t="shared" si="60"/>
        <v>0</v>
      </c>
      <c r="Q646" s="351" t="e">
        <f t="shared" si="59"/>
        <v>#DIV/0!</v>
      </c>
    </row>
    <row r="647" spans="1:17" ht="13.5" customHeight="1">
      <c r="A647" s="387">
        <f>'Conveyor Downtime (new)'!A663</f>
        <v>0</v>
      </c>
      <c r="B647"/>
      <c r="C647"/>
      <c r="D647"/>
      <c r="E647"/>
      <c r="F647"/>
      <c r="G647"/>
      <c r="H647"/>
      <c r="I647"/>
      <c r="J647"/>
      <c r="K647"/>
      <c r="L647"/>
      <c r="M647"/>
      <c r="N647"/>
      <c r="O647"/>
      <c r="P647">
        <f t="shared" si="60"/>
        <v>0</v>
      </c>
      <c r="Q647" s="351" t="e">
        <f t="shared" si="59"/>
        <v>#DIV/0!</v>
      </c>
    </row>
    <row r="648" spans="1:17" ht="13.5" customHeight="1">
      <c r="A648" s="387"/>
      <c r="B648" s="346"/>
      <c r="C648" s="346"/>
      <c r="D648" s="346"/>
      <c r="E648" s="346"/>
      <c r="F648" s="346"/>
      <c r="G648" s="346"/>
      <c r="H648" s="346"/>
      <c r="I648" s="346"/>
      <c r="J648" s="346"/>
      <c r="K648" s="346"/>
      <c r="L648" s="346"/>
      <c r="M648" s="346"/>
      <c r="N648" s="346"/>
      <c r="O648" s="346"/>
      <c r="P648">
        <f t="shared" si="60"/>
        <v>0</v>
      </c>
      <c r="Q648" s="351" t="e">
        <f t="shared" si="59"/>
        <v>#DIV/0!</v>
      </c>
    </row>
    <row r="649" spans="1:17" ht="13.5" customHeight="1">
      <c r="A649" s="387"/>
      <c r="B649"/>
      <c r="C649"/>
      <c r="D649"/>
      <c r="E649"/>
      <c r="F649"/>
      <c r="G649"/>
      <c r="H649"/>
      <c r="I649"/>
      <c r="J649"/>
      <c r="K649"/>
      <c r="L649"/>
      <c r="M649"/>
      <c r="N649"/>
      <c r="O649"/>
      <c r="P649">
        <f t="shared" si="60"/>
        <v>0</v>
      </c>
      <c r="Q649" s="351" t="e">
        <f t="shared" si="59"/>
        <v>#DIV/0!</v>
      </c>
    </row>
    <row r="650" spans="1:17" ht="13.5" customHeight="1">
      <c r="A650" s="387"/>
      <c r="B650" s="346"/>
      <c r="C650" s="346"/>
      <c r="D650" s="346"/>
      <c r="E650" s="346"/>
      <c r="F650" s="346"/>
      <c r="G650" s="346"/>
      <c r="H650" s="346"/>
      <c r="I650" s="346"/>
      <c r="J650" s="346"/>
      <c r="K650" s="346"/>
      <c r="L650" s="346"/>
      <c r="M650" s="346"/>
      <c r="N650" s="346"/>
      <c r="O650" s="346"/>
      <c r="P650">
        <f t="shared" si="60"/>
        <v>0</v>
      </c>
      <c r="Q650" s="351" t="e">
        <f t="shared" si="59"/>
        <v>#DIV/0!</v>
      </c>
    </row>
    <row r="651" spans="1:17" ht="13.5" customHeight="1">
      <c r="A651" s="387"/>
      <c r="B651"/>
      <c r="C651"/>
      <c r="D651"/>
      <c r="E651"/>
      <c r="F651"/>
      <c r="G651"/>
      <c r="H651"/>
      <c r="I651"/>
      <c r="J651"/>
      <c r="K651"/>
      <c r="L651"/>
      <c r="M651"/>
      <c r="N651"/>
      <c r="O651"/>
      <c r="P651">
        <f t="shared" si="60"/>
        <v>0</v>
      </c>
      <c r="Q651" s="351" t="e">
        <f t="shared" si="59"/>
        <v>#DIV/0!</v>
      </c>
    </row>
    <row r="652" spans="1:17" ht="13.5" customHeight="1">
      <c r="A652" s="387"/>
      <c r="B652" s="346"/>
      <c r="C652" s="346"/>
      <c r="D652" s="346"/>
      <c r="E652" s="346"/>
      <c r="F652" s="346"/>
      <c r="G652" s="346"/>
      <c r="H652" s="346"/>
      <c r="I652" s="346"/>
      <c r="J652" s="346"/>
      <c r="K652" s="346"/>
      <c r="L652" s="346"/>
      <c r="M652" s="346"/>
      <c r="N652" s="346"/>
      <c r="O652" s="346"/>
      <c r="P652">
        <f t="shared" si="60"/>
        <v>0</v>
      </c>
      <c r="Q652" s="351" t="e">
        <f t="shared" si="59"/>
        <v>#DIV/0!</v>
      </c>
    </row>
    <row r="653" spans="1:17" ht="13.5" customHeight="1">
      <c r="A653" s="387"/>
      <c r="B653"/>
      <c r="C653"/>
      <c r="D653"/>
      <c r="E653"/>
      <c r="F653"/>
      <c r="G653"/>
      <c r="H653"/>
      <c r="I653"/>
      <c r="J653"/>
      <c r="K653"/>
      <c r="L653"/>
      <c r="M653"/>
      <c r="N653"/>
      <c r="O653"/>
      <c r="P653">
        <f t="shared" si="60"/>
        <v>0</v>
      </c>
      <c r="Q653" s="351" t="e">
        <f t="shared" si="59"/>
        <v>#DIV/0!</v>
      </c>
    </row>
    <row r="654" spans="1:17" ht="13.5" customHeight="1">
      <c r="A654" s="387"/>
      <c r="B654" s="346"/>
      <c r="C654" s="346"/>
      <c r="D654" s="346"/>
      <c r="E654" s="346"/>
      <c r="F654" s="346"/>
      <c r="G654" s="346"/>
      <c r="H654" s="346"/>
      <c r="I654" s="346"/>
      <c r="J654" s="346"/>
      <c r="K654" s="346"/>
      <c r="L654" s="346"/>
      <c r="M654" s="346"/>
      <c r="N654" s="346"/>
      <c r="O654" s="346"/>
      <c r="P654">
        <f t="shared" si="60"/>
        <v>0</v>
      </c>
      <c r="Q654" s="351" t="e">
        <f t="shared" si="59"/>
        <v>#DIV/0!</v>
      </c>
    </row>
    <row r="655" spans="1:17" ht="13.5" customHeight="1">
      <c r="A655" s="387"/>
      <c r="B655"/>
      <c r="C655"/>
      <c r="D655"/>
      <c r="E655"/>
      <c r="F655"/>
      <c r="G655"/>
      <c r="H655"/>
      <c r="I655"/>
      <c r="J655"/>
      <c r="K655"/>
      <c r="L655"/>
      <c r="M655"/>
      <c r="N655"/>
      <c r="O655"/>
      <c r="P655">
        <f t="shared" si="60"/>
        <v>0</v>
      </c>
      <c r="Q655" s="351" t="e">
        <f t="shared" si="59"/>
        <v>#DIV/0!</v>
      </c>
    </row>
    <row r="656" spans="1:17" ht="13.5" customHeight="1">
      <c r="A656" s="387"/>
      <c r="B656" s="346"/>
      <c r="C656" s="346"/>
      <c r="D656" s="346"/>
      <c r="E656" s="346"/>
      <c r="F656" s="346"/>
      <c r="G656" s="346"/>
      <c r="H656" s="346"/>
      <c r="I656" s="346"/>
      <c r="J656" s="346"/>
      <c r="K656" s="346"/>
      <c r="L656" s="346"/>
      <c r="M656" s="346"/>
      <c r="N656" s="346"/>
      <c r="O656" s="346"/>
      <c r="P656">
        <f t="shared" si="60"/>
        <v>0</v>
      </c>
      <c r="Q656" s="351" t="e">
        <f t="shared" si="59"/>
        <v>#DIV/0!</v>
      </c>
    </row>
    <row r="657" spans="1:17" ht="13.5" customHeight="1">
      <c r="A657" s="347" t="s">
        <v>113</v>
      </c>
      <c r="B657" s="347">
        <f>SUM(B601:B656)</f>
        <v>0</v>
      </c>
      <c r="C657" s="347">
        <f>SUM(C601:C656)</f>
        <v>0</v>
      </c>
      <c r="D657" s="347">
        <f t="shared" ref="D657:P657" si="61">SUM(D601:D656)</f>
        <v>0</v>
      </c>
      <c r="E657" s="347">
        <f t="shared" si="61"/>
        <v>0</v>
      </c>
      <c r="F657" s="347">
        <f t="shared" si="61"/>
        <v>0</v>
      </c>
      <c r="G657" s="347">
        <f t="shared" si="61"/>
        <v>0</v>
      </c>
      <c r="H657" s="347">
        <f t="shared" si="61"/>
        <v>0</v>
      </c>
      <c r="I657" s="347">
        <f t="shared" si="61"/>
        <v>0</v>
      </c>
      <c r="J657" s="347">
        <f t="shared" si="61"/>
        <v>0</v>
      </c>
      <c r="K657" s="347">
        <f t="shared" si="61"/>
        <v>0</v>
      </c>
      <c r="L657" s="347">
        <f t="shared" si="61"/>
        <v>0</v>
      </c>
      <c r="M657" s="347">
        <f t="shared" si="61"/>
        <v>0</v>
      </c>
      <c r="N657" s="347">
        <f t="shared" si="61"/>
        <v>0</v>
      </c>
      <c r="O657" s="347">
        <f t="shared" si="61"/>
        <v>0</v>
      </c>
      <c r="P657" s="347">
        <f t="shared" si="61"/>
        <v>0</v>
      </c>
      <c r="Q657" s="351"/>
    </row>
    <row r="658" spans="1:17" ht="13.5" customHeight="1" thickBot="1">
      <c r="A658" s="348" t="s">
        <v>174</v>
      </c>
      <c r="B658" s="348" t="e">
        <f t="shared" ref="B658:O658" si="62">B657/$P657</f>
        <v>#DIV/0!</v>
      </c>
      <c r="C658" s="348" t="e">
        <f t="shared" si="62"/>
        <v>#DIV/0!</v>
      </c>
      <c r="D658" s="348" t="e">
        <f t="shared" si="62"/>
        <v>#DIV/0!</v>
      </c>
      <c r="E658" s="348" t="e">
        <f t="shared" si="62"/>
        <v>#DIV/0!</v>
      </c>
      <c r="F658" s="348" t="e">
        <f t="shared" si="62"/>
        <v>#DIV/0!</v>
      </c>
      <c r="G658" s="348" t="e">
        <f t="shared" si="62"/>
        <v>#DIV/0!</v>
      </c>
      <c r="H658" s="348" t="e">
        <f t="shared" si="62"/>
        <v>#DIV/0!</v>
      </c>
      <c r="I658" s="348" t="e">
        <f t="shared" si="62"/>
        <v>#DIV/0!</v>
      </c>
      <c r="J658" s="348" t="e">
        <f t="shared" si="62"/>
        <v>#DIV/0!</v>
      </c>
      <c r="K658" s="348" t="e">
        <f t="shared" si="62"/>
        <v>#DIV/0!</v>
      </c>
      <c r="L658" s="348" t="e">
        <f t="shared" si="62"/>
        <v>#DIV/0!</v>
      </c>
      <c r="M658" s="348" t="e">
        <f t="shared" si="62"/>
        <v>#DIV/0!</v>
      </c>
      <c r="N658" s="348" t="e">
        <f t="shared" si="62"/>
        <v>#DIV/0!</v>
      </c>
      <c r="O658" s="348" t="e">
        <f t="shared" si="62"/>
        <v>#DIV/0!</v>
      </c>
      <c r="P658"/>
      <c r="Q658" s="351"/>
    </row>
    <row r="659" spans="1:17" ht="13.5" customHeight="1"/>
    <row r="660" spans="1:17" ht="13.5" customHeight="1"/>
    <row r="661" spans="1:17" ht="13.5" customHeight="1"/>
    <row r="662" spans="1:17" ht="15.75">
      <c r="A662" s="387">
        <f>'Conveyor Downtime (new)'!A678</f>
        <v>0</v>
      </c>
      <c r="B662" s="346"/>
      <c r="C662" s="346"/>
      <c r="D662" s="346"/>
      <c r="E662" s="346"/>
      <c r="F662" s="346"/>
      <c r="G662" s="346"/>
      <c r="H662" s="346"/>
      <c r="I662" s="346"/>
      <c r="J662" s="346"/>
      <c r="K662" s="346"/>
      <c r="L662" s="346"/>
      <c r="M662" s="346"/>
      <c r="N662" s="346"/>
      <c r="O662" s="346"/>
      <c r="P662">
        <f t="shared" ref="P662:P693" si="63">SUM(B662:O662)</f>
        <v>0</v>
      </c>
      <c r="Q662" s="351" t="e">
        <f>P662/$P$350</f>
        <v>#DIV/0!</v>
      </c>
    </row>
    <row r="663" spans="1:17" ht="15.75">
      <c r="A663" s="387">
        <f>'Conveyor Downtime (new)'!A679</f>
        <v>0</v>
      </c>
      <c r="B663"/>
      <c r="C663"/>
      <c r="D663"/>
      <c r="E663"/>
      <c r="F663"/>
      <c r="G663"/>
      <c r="H663"/>
      <c r="I663"/>
      <c r="J663"/>
      <c r="K663"/>
      <c r="L663"/>
      <c r="M663"/>
      <c r="N663"/>
      <c r="O663"/>
      <c r="P663">
        <f t="shared" si="63"/>
        <v>0</v>
      </c>
      <c r="Q663" s="351" t="e">
        <f t="shared" ref="Q663:Q716" si="64">P663/$P$350</f>
        <v>#DIV/0!</v>
      </c>
    </row>
    <row r="664" spans="1:17" ht="15.75">
      <c r="A664" s="387">
        <f>'Conveyor Downtime (new)'!A680</f>
        <v>0</v>
      </c>
      <c r="B664" s="346"/>
      <c r="C664" s="346"/>
      <c r="D664" s="346"/>
      <c r="E664" s="346"/>
      <c r="F664" s="346"/>
      <c r="G664" s="346"/>
      <c r="H664" s="346"/>
      <c r="I664" s="346"/>
      <c r="J664" s="346"/>
      <c r="K664" s="346"/>
      <c r="L664" s="346"/>
      <c r="M664" s="346"/>
      <c r="N664" s="346"/>
      <c r="O664" s="346"/>
      <c r="P664">
        <f t="shared" si="63"/>
        <v>0</v>
      </c>
      <c r="Q664" s="351" t="e">
        <f t="shared" si="64"/>
        <v>#DIV/0!</v>
      </c>
    </row>
    <row r="665" spans="1:17" ht="15.75">
      <c r="A665" s="387">
        <f>'Conveyor Downtime (new)'!A681</f>
        <v>0</v>
      </c>
      <c r="B665"/>
      <c r="C665"/>
      <c r="D665"/>
      <c r="E665"/>
      <c r="F665"/>
      <c r="G665"/>
      <c r="H665"/>
      <c r="I665"/>
      <c r="J665"/>
      <c r="K665"/>
      <c r="L665"/>
      <c r="M665"/>
      <c r="N665"/>
      <c r="O665"/>
      <c r="P665">
        <f t="shared" si="63"/>
        <v>0</v>
      </c>
      <c r="Q665" s="351" t="e">
        <f t="shared" si="64"/>
        <v>#DIV/0!</v>
      </c>
    </row>
    <row r="666" spans="1:17" ht="15.75">
      <c r="A666" s="387">
        <f>'Conveyor Downtime (new)'!A682</f>
        <v>0</v>
      </c>
      <c r="B666" s="346"/>
      <c r="C666" s="346"/>
      <c r="D666" s="346"/>
      <c r="E666" s="346"/>
      <c r="F666" s="346"/>
      <c r="G666" s="346"/>
      <c r="H666" s="346"/>
      <c r="I666" s="346"/>
      <c r="J666" s="346"/>
      <c r="K666" s="346"/>
      <c r="L666" s="346"/>
      <c r="M666" s="346"/>
      <c r="N666" s="346"/>
      <c r="O666" s="346"/>
      <c r="P666">
        <f t="shared" si="63"/>
        <v>0</v>
      </c>
      <c r="Q666" s="351" t="e">
        <f t="shared" si="64"/>
        <v>#DIV/0!</v>
      </c>
    </row>
    <row r="667" spans="1:17" ht="15.75">
      <c r="A667" s="387">
        <f>'[1]Conveyor Downtime (new)'!A681</f>
        <v>45995</v>
      </c>
      <c r="B667"/>
      <c r="C667"/>
      <c r="D667"/>
      <c r="E667"/>
      <c r="F667"/>
      <c r="G667"/>
      <c r="H667"/>
      <c r="I667"/>
      <c r="J667"/>
      <c r="K667"/>
      <c r="L667"/>
      <c r="M667"/>
      <c r="N667"/>
      <c r="O667"/>
      <c r="P667">
        <f t="shared" si="63"/>
        <v>0</v>
      </c>
      <c r="Q667" s="351" t="e">
        <f t="shared" si="64"/>
        <v>#DIV/0!</v>
      </c>
    </row>
    <row r="668" spans="1:17" ht="15.75">
      <c r="A668" s="387">
        <f>'[1]Conveyor Downtime (new)'!A682</f>
        <v>45995</v>
      </c>
      <c r="B668" s="346"/>
      <c r="C668" s="346"/>
      <c r="D668" s="346"/>
      <c r="E668" s="346"/>
      <c r="F668" s="346"/>
      <c r="G668" s="346"/>
      <c r="H668" s="346"/>
      <c r="I668" s="346"/>
      <c r="J668" s="346"/>
      <c r="K668" s="346"/>
      <c r="L668" s="346"/>
      <c r="M668" s="346"/>
      <c r="N668" s="346"/>
      <c r="O668" s="346"/>
      <c r="P668">
        <f t="shared" si="63"/>
        <v>0</v>
      </c>
      <c r="Q668" s="351" t="e">
        <f t="shared" si="64"/>
        <v>#DIV/0!</v>
      </c>
    </row>
    <row r="669" spans="1:17" ht="15.75">
      <c r="A669" s="387">
        <f>'[1]Conveyor Downtime (new)'!A683</f>
        <v>45995</v>
      </c>
      <c r="B669"/>
      <c r="C669"/>
      <c r="D669"/>
      <c r="E669"/>
      <c r="F669"/>
      <c r="G669"/>
      <c r="H669"/>
      <c r="I669"/>
      <c r="J669"/>
      <c r="K669"/>
      <c r="L669"/>
      <c r="M669"/>
      <c r="N669"/>
      <c r="O669"/>
      <c r="P669">
        <f t="shared" si="63"/>
        <v>0</v>
      </c>
      <c r="Q669" s="351" t="e">
        <f t="shared" si="64"/>
        <v>#DIV/0!</v>
      </c>
    </row>
    <row r="670" spans="1:17" ht="15.75">
      <c r="A670" s="387">
        <f>'[1]Conveyor Downtime (new)'!A684</f>
        <v>45996</v>
      </c>
      <c r="B670" s="346"/>
      <c r="C670" s="346"/>
      <c r="D670" s="346"/>
      <c r="E670" s="346"/>
      <c r="F670" s="346"/>
      <c r="G670" s="346"/>
      <c r="H670" s="346"/>
      <c r="I670" s="346"/>
      <c r="J670" s="346"/>
      <c r="K670" s="346"/>
      <c r="L670" s="346"/>
      <c r="M670" s="346"/>
      <c r="N670" s="346"/>
      <c r="O670" s="346"/>
      <c r="P670">
        <f t="shared" si="63"/>
        <v>0</v>
      </c>
      <c r="Q670" s="351" t="e">
        <f t="shared" si="64"/>
        <v>#DIV/0!</v>
      </c>
    </row>
    <row r="671" spans="1:17" ht="15.75">
      <c r="A671" s="387">
        <f>'Conveyor Downtime (new)'!A687</f>
        <v>0</v>
      </c>
      <c r="B671"/>
      <c r="C671"/>
      <c r="D671"/>
      <c r="E671"/>
      <c r="F671"/>
      <c r="G671"/>
      <c r="H671"/>
      <c r="I671"/>
      <c r="J671"/>
      <c r="K671"/>
      <c r="L671"/>
      <c r="M671"/>
      <c r="N671"/>
      <c r="O671"/>
      <c r="P671">
        <f t="shared" si="63"/>
        <v>0</v>
      </c>
      <c r="Q671" s="351" t="e">
        <f t="shared" si="64"/>
        <v>#DIV/0!</v>
      </c>
    </row>
    <row r="672" spans="1:17" ht="15.75">
      <c r="A672" s="387">
        <f>'Conveyor Downtime (new)'!A688</f>
        <v>0</v>
      </c>
      <c r="B672" s="346"/>
      <c r="C672" s="346"/>
      <c r="D672" s="346"/>
      <c r="E672" s="346"/>
      <c r="F672" s="346"/>
      <c r="G672" s="346"/>
      <c r="H672" s="346"/>
      <c r="I672" s="346"/>
      <c r="J672" s="346"/>
      <c r="K672" s="346"/>
      <c r="L672" s="346"/>
      <c r="M672" s="346"/>
      <c r="N672" s="346"/>
      <c r="O672" s="346"/>
      <c r="P672">
        <f t="shared" si="63"/>
        <v>0</v>
      </c>
      <c r="Q672" s="351" t="e">
        <f t="shared" si="64"/>
        <v>#DIV/0!</v>
      </c>
    </row>
    <row r="673" spans="1:17" ht="15.75">
      <c r="A673" s="387">
        <f>'Conveyor Downtime (new)'!A689</f>
        <v>0</v>
      </c>
      <c r="B673"/>
      <c r="C673"/>
      <c r="D673"/>
      <c r="E673"/>
      <c r="F673"/>
      <c r="G673"/>
      <c r="H673"/>
      <c r="I673"/>
      <c r="J673"/>
      <c r="K673"/>
      <c r="L673"/>
      <c r="M673"/>
      <c r="N673"/>
      <c r="O673"/>
      <c r="P673">
        <f t="shared" si="63"/>
        <v>0</v>
      </c>
      <c r="Q673" s="351" t="e">
        <f t="shared" si="64"/>
        <v>#DIV/0!</v>
      </c>
    </row>
    <row r="674" spans="1:17" ht="15.75">
      <c r="A674" s="387">
        <f>'Conveyor Downtime (new)'!A690</f>
        <v>0</v>
      </c>
      <c r="B674" s="346"/>
      <c r="C674" s="346"/>
      <c r="D674" s="346"/>
      <c r="E674" s="346"/>
      <c r="F674" s="346"/>
      <c r="G674" s="346"/>
      <c r="H674" s="346"/>
      <c r="I674" s="346"/>
      <c r="J674" s="346"/>
      <c r="K674" s="346"/>
      <c r="L674" s="346"/>
      <c r="M674" s="346"/>
      <c r="N674" s="346"/>
      <c r="O674" s="346"/>
      <c r="P674">
        <f t="shared" si="63"/>
        <v>0</v>
      </c>
      <c r="Q674" s="351" t="e">
        <f t="shared" si="64"/>
        <v>#DIV/0!</v>
      </c>
    </row>
    <row r="675" spans="1:17" ht="15.75">
      <c r="A675" s="387">
        <f>'Conveyor Downtime (new)'!A691</f>
        <v>0</v>
      </c>
      <c r="B675"/>
      <c r="C675"/>
      <c r="D675"/>
      <c r="E675"/>
      <c r="F675"/>
      <c r="G675"/>
      <c r="H675"/>
      <c r="I675"/>
      <c r="J675"/>
      <c r="K675"/>
      <c r="L675"/>
      <c r="M675"/>
      <c r="N675"/>
      <c r="O675"/>
      <c r="P675">
        <f t="shared" si="63"/>
        <v>0</v>
      </c>
      <c r="Q675" s="351" t="e">
        <f t="shared" si="64"/>
        <v>#DIV/0!</v>
      </c>
    </row>
    <row r="676" spans="1:17" ht="15.75">
      <c r="A676" s="387">
        <f>'Conveyor Downtime (new)'!A692</f>
        <v>0</v>
      </c>
      <c r="B676" s="346"/>
      <c r="C676" s="346"/>
      <c r="D676" s="346"/>
      <c r="E676" s="346"/>
      <c r="F676" s="346"/>
      <c r="G676" s="346"/>
      <c r="H676" s="346"/>
      <c r="I676" s="346"/>
      <c r="J676" s="346"/>
      <c r="K676" s="346"/>
      <c r="L676" s="346"/>
      <c r="M676" s="346"/>
      <c r="N676" s="346"/>
      <c r="O676" s="346"/>
      <c r="P676">
        <f t="shared" si="63"/>
        <v>0</v>
      </c>
      <c r="Q676" s="351" t="e">
        <f t="shared" si="64"/>
        <v>#DIV/0!</v>
      </c>
    </row>
    <row r="677" spans="1:17" ht="15.75">
      <c r="A677" s="387">
        <f>'Conveyor Downtime (new)'!A693</f>
        <v>0</v>
      </c>
      <c r="B677"/>
      <c r="C677"/>
      <c r="D677"/>
      <c r="E677"/>
      <c r="F677"/>
      <c r="G677"/>
      <c r="H677"/>
      <c r="I677"/>
      <c r="J677"/>
      <c r="K677"/>
      <c r="L677"/>
      <c r="M677"/>
      <c r="N677"/>
      <c r="O677"/>
      <c r="P677">
        <f t="shared" si="63"/>
        <v>0</v>
      </c>
      <c r="Q677" s="351" t="e">
        <f t="shared" si="64"/>
        <v>#DIV/0!</v>
      </c>
    </row>
    <row r="678" spans="1:17" ht="15.75">
      <c r="A678" s="387">
        <f>'Conveyor Downtime (new)'!A694</f>
        <v>0</v>
      </c>
      <c r="B678" s="346"/>
      <c r="C678" s="346"/>
      <c r="D678" s="346"/>
      <c r="E678" s="346"/>
      <c r="F678" s="346"/>
      <c r="G678" s="346"/>
      <c r="H678" s="346"/>
      <c r="I678" s="346"/>
      <c r="J678" s="346"/>
      <c r="K678" s="346"/>
      <c r="L678" s="346"/>
      <c r="M678" s="346"/>
      <c r="N678" s="346"/>
      <c r="O678" s="346"/>
      <c r="P678">
        <f t="shared" si="63"/>
        <v>0</v>
      </c>
      <c r="Q678" s="351" t="e">
        <f t="shared" si="64"/>
        <v>#DIV/0!</v>
      </c>
    </row>
    <row r="679" spans="1:17" ht="15.75">
      <c r="A679" s="387">
        <f>'Conveyor Downtime (new)'!A695</f>
        <v>0</v>
      </c>
      <c r="B679"/>
      <c r="C679"/>
      <c r="D679"/>
      <c r="E679"/>
      <c r="F679"/>
      <c r="G679"/>
      <c r="H679"/>
      <c r="I679"/>
      <c r="J679"/>
      <c r="K679"/>
      <c r="L679"/>
      <c r="M679"/>
      <c r="N679"/>
      <c r="O679"/>
      <c r="P679">
        <f t="shared" si="63"/>
        <v>0</v>
      </c>
      <c r="Q679" s="351" t="e">
        <f t="shared" si="64"/>
        <v>#DIV/0!</v>
      </c>
    </row>
    <row r="680" spans="1:17" ht="15.75">
      <c r="A680" s="387">
        <f>'Conveyor Downtime (new)'!A696</f>
        <v>0</v>
      </c>
      <c r="B680" s="346"/>
      <c r="C680" s="346"/>
      <c r="D680" s="346"/>
      <c r="E680" s="346"/>
      <c r="F680" s="346"/>
      <c r="G680" s="346"/>
      <c r="H680" s="346"/>
      <c r="I680" s="346"/>
      <c r="J680" s="346"/>
      <c r="K680" s="346"/>
      <c r="L680" s="346"/>
      <c r="M680" s="346"/>
      <c r="N680" s="346"/>
      <c r="O680" s="346"/>
      <c r="P680">
        <f t="shared" si="63"/>
        <v>0</v>
      </c>
      <c r="Q680" s="351" t="e">
        <f t="shared" si="64"/>
        <v>#DIV/0!</v>
      </c>
    </row>
    <row r="681" spans="1:17" ht="15.75">
      <c r="A681" s="387">
        <f>'Conveyor Downtime (new)'!A697</f>
        <v>0</v>
      </c>
      <c r="B681"/>
      <c r="C681"/>
      <c r="D681"/>
      <c r="E681"/>
      <c r="F681"/>
      <c r="G681"/>
      <c r="H681"/>
      <c r="I681"/>
      <c r="J681"/>
      <c r="K681"/>
      <c r="L681"/>
      <c r="M681"/>
      <c r="N681"/>
      <c r="O681"/>
      <c r="P681">
        <f t="shared" si="63"/>
        <v>0</v>
      </c>
      <c r="Q681" s="351" t="e">
        <f t="shared" si="64"/>
        <v>#DIV/0!</v>
      </c>
    </row>
    <row r="682" spans="1:17" ht="15.75">
      <c r="A682" s="387">
        <f>'Conveyor Downtime (new)'!A698</f>
        <v>0</v>
      </c>
      <c r="B682" s="346"/>
      <c r="C682" s="346"/>
      <c r="D682" s="346"/>
      <c r="E682" s="346"/>
      <c r="F682" s="346"/>
      <c r="G682" s="346"/>
      <c r="H682" s="346"/>
      <c r="I682" s="346"/>
      <c r="J682" s="346"/>
      <c r="K682" s="346"/>
      <c r="L682" s="346"/>
      <c r="M682" s="346"/>
      <c r="N682" s="346"/>
      <c r="O682" s="346"/>
      <c r="P682">
        <f t="shared" si="63"/>
        <v>0</v>
      </c>
      <c r="Q682" s="351" t="e">
        <f t="shared" si="64"/>
        <v>#DIV/0!</v>
      </c>
    </row>
    <row r="683" spans="1:17" ht="15.75">
      <c r="A683" s="387">
        <f>'Conveyor Downtime (new)'!A699</f>
        <v>0</v>
      </c>
      <c r="B683"/>
      <c r="C683"/>
      <c r="D683"/>
      <c r="E683"/>
      <c r="F683"/>
      <c r="G683"/>
      <c r="H683"/>
      <c r="I683"/>
      <c r="J683"/>
      <c r="K683"/>
      <c r="L683"/>
      <c r="M683"/>
      <c r="N683"/>
      <c r="O683"/>
      <c r="P683">
        <f t="shared" si="63"/>
        <v>0</v>
      </c>
      <c r="Q683" s="351" t="e">
        <f t="shared" si="64"/>
        <v>#DIV/0!</v>
      </c>
    </row>
    <row r="684" spans="1:17" ht="15.75">
      <c r="A684" s="387">
        <f>'Conveyor Downtime (new)'!A700</f>
        <v>0</v>
      </c>
      <c r="B684" s="346"/>
      <c r="C684" s="346"/>
      <c r="D684" s="346"/>
      <c r="E684" s="346"/>
      <c r="F684" s="346"/>
      <c r="G684" s="346"/>
      <c r="H684" s="346"/>
      <c r="I684" s="346"/>
      <c r="J684" s="346"/>
      <c r="K684" s="346"/>
      <c r="L684" s="346"/>
      <c r="M684" s="346"/>
      <c r="N684" s="346"/>
      <c r="O684" s="346"/>
      <c r="P684">
        <f t="shared" si="63"/>
        <v>0</v>
      </c>
      <c r="Q684" s="351" t="e">
        <f t="shared" si="64"/>
        <v>#DIV/0!</v>
      </c>
    </row>
    <row r="685" spans="1:17" ht="15.75">
      <c r="A685" s="387">
        <f>'Conveyor Downtime (new)'!A701</f>
        <v>0</v>
      </c>
      <c r="B685"/>
      <c r="C685"/>
      <c r="D685"/>
      <c r="E685"/>
      <c r="F685"/>
      <c r="G685"/>
      <c r="H685"/>
      <c r="I685"/>
      <c r="J685"/>
      <c r="K685"/>
      <c r="L685"/>
      <c r="M685"/>
      <c r="N685"/>
      <c r="O685"/>
      <c r="P685">
        <f t="shared" si="63"/>
        <v>0</v>
      </c>
      <c r="Q685" s="351" t="e">
        <f t="shared" si="64"/>
        <v>#DIV/0!</v>
      </c>
    </row>
    <row r="686" spans="1:17" ht="15.75">
      <c r="A686" s="387">
        <f>'Conveyor Downtime (new)'!A702</f>
        <v>0</v>
      </c>
      <c r="B686" s="346"/>
      <c r="C686" s="346"/>
      <c r="D686" s="346"/>
      <c r="E686" s="346"/>
      <c r="F686" s="346"/>
      <c r="G686" s="346"/>
      <c r="H686" s="346"/>
      <c r="I686" s="346"/>
      <c r="J686" s="346"/>
      <c r="K686" s="346"/>
      <c r="L686" s="346"/>
      <c r="M686" s="346"/>
      <c r="N686" s="346"/>
      <c r="O686" s="346"/>
      <c r="P686">
        <f t="shared" si="63"/>
        <v>0</v>
      </c>
      <c r="Q686" s="351" t="e">
        <f t="shared" si="64"/>
        <v>#DIV/0!</v>
      </c>
    </row>
    <row r="687" spans="1:17" ht="15.75">
      <c r="A687" s="387">
        <f>'Conveyor Downtime (new)'!A703</f>
        <v>0</v>
      </c>
      <c r="B687"/>
      <c r="C687"/>
      <c r="D687"/>
      <c r="E687"/>
      <c r="F687"/>
      <c r="G687"/>
      <c r="H687"/>
      <c r="I687"/>
      <c r="J687"/>
      <c r="K687"/>
      <c r="L687"/>
      <c r="M687"/>
      <c r="N687"/>
      <c r="O687"/>
      <c r="P687">
        <f t="shared" si="63"/>
        <v>0</v>
      </c>
      <c r="Q687" s="351" t="e">
        <f t="shared" si="64"/>
        <v>#DIV/0!</v>
      </c>
    </row>
    <row r="688" spans="1:17" ht="15.75">
      <c r="A688" s="387">
        <f>'Conveyor Downtime (new)'!A704</f>
        <v>0</v>
      </c>
      <c r="B688" s="346"/>
      <c r="C688" s="346"/>
      <c r="D688" s="346"/>
      <c r="E688" s="346"/>
      <c r="F688" s="346"/>
      <c r="G688" s="346"/>
      <c r="H688" s="346"/>
      <c r="I688" s="346"/>
      <c r="J688" s="346"/>
      <c r="K688" s="346"/>
      <c r="L688" s="346"/>
      <c r="M688" s="346"/>
      <c r="N688" s="346"/>
      <c r="O688" s="346"/>
      <c r="P688">
        <f t="shared" si="63"/>
        <v>0</v>
      </c>
      <c r="Q688" s="351" t="e">
        <f t="shared" si="64"/>
        <v>#DIV/0!</v>
      </c>
    </row>
    <row r="689" spans="1:17" ht="15.75">
      <c r="A689" s="387">
        <f>'Conveyor Downtime (new)'!A705</f>
        <v>0</v>
      </c>
      <c r="B689"/>
      <c r="C689"/>
      <c r="D689"/>
      <c r="E689"/>
      <c r="F689"/>
      <c r="G689"/>
      <c r="H689"/>
      <c r="I689"/>
      <c r="J689"/>
      <c r="K689"/>
      <c r="L689"/>
      <c r="M689"/>
      <c r="N689"/>
      <c r="O689"/>
      <c r="P689">
        <f t="shared" si="63"/>
        <v>0</v>
      </c>
      <c r="Q689" s="351" t="e">
        <f t="shared" si="64"/>
        <v>#DIV/0!</v>
      </c>
    </row>
    <row r="690" spans="1:17" ht="15.75">
      <c r="A690" s="387">
        <f>'Conveyor Downtime (new)'!A706</f>
        <v>0</v>
      </c>
      <c r="B690" s="346"/>
      <c r="C690" s="346"/>
      <c r="D690" s="346"/>
      <c r="E690" s="346"/>
      <c r="F690" s="346"/>
      <c r="G690" s="346"/>
      <c r="H690" s="346"/>
      <c r="I690" s="346"/>
      <c r="J690" s="346"/>
      <c r="K690" s="346"/>
      <c r="L690" s="346"/>
      <c r="M690" s="346"/>
      <c r="N690" s="346"/>
      <c r="O690" s="346"/>
      <c r="P690">
        <f t="shared" si="63"/>
        <v>0</v>
      </c>
      <c r="Q690" s="351" t="e">
        <f t="shared" si="64"/>
        <v>#DIV/0!</v>
      </c>
    </row>
    <row r="691" spans="1:17" ht="15.75">
      <c r="A691" s="387">
        <f>'Conveyor Downtime (new)'!A707</f>
        <v>0</v>
      </c>
      <c r="B691"/>
      <c r="C691"/>
      <c r="D691"/>
      <c r="E691"/>
      <c r="F691"/>
      <c r="G691"/>
      <c r="H691"/>
      <c r="I691"/>
      <c r="J691"/>
      <c r="K691"/>
      <c r="L691"/>
      <c r="M691"/>
      <c r="N691"/>
      <c r="O691"/>
      <c r="P691">
        <f t="shared" si="63"/>
        <v>0</v>
      </c>
      <c r="Q691" s="351" t="e">
        <f t="shared" si="64"/>
        <v>#DIV/0!</v>
      </c>
    </row>
    <row r="692" spans="1:17" ht="15.75">
      <c r="A692" s="387">
        <f>'Conveyor Downtime (new)'!A708</f>
        <v>0</v>
      </c>
      <c r="B692" s="346"/>
      <c r="C692" s="346"/>
      <c r="D692" s="346"/>
      <c r="E692" s="346"/>
      <c r="F692" s="346"/>
      <c r="G692" s="346"/>
      <c r="H692" s="346"/>
      <c r="I692" s="346"/>
      <c r="J692" s="346"/>
      <c r="K692" s="346"/>
      <c r="L692" s="346"/>
      <c r="M692" s="346"/>
      <c r="N692" s="346"/>
      <c r="O692" s="346"/>
      <c r="P692">
        <f t="shared" si="63"/>
        <v>0</v>
      </c>
      <c r="Q692" s="351" t="e">
        <f t="shared" si="64"/>
        <v>#DIV/0!</v>
      </c>
    </row>
    <row r="693" spans="1:17" ht="15.75">
      <c r="A693" s="387">
        <f>'Conveyor Downtime (new)'!A709</f>
        <v>0</v>
      </c>
      <c r="B693"/>
      <c r="C693"/>
      <c r="D693"/>
      <c r="E693"/>
      <c r="F693"/>
      <c r="G693"/>
      <c r="H693"/>
      <c r="I693"/>
      <c r="J693"/>
      <c r="K693"/>
      <c r="L693"/>
      <c r="M693"/>
      <c r="N693"/>
      <c r="O693"/>
      <c r="P693">
        <f t="shared" si="63"/>
        <v>0</v>
      </c>
      <c r="Q693" s="351" t="e">
        <f t="shared" si="64"/>
        <v>#DIV/0!</v>
      </c>
    </row>
    <row r="694" spans="1:17" ht="15.75">
      <c r="A694" s="387">
        <f>'Conveyor Downtime (new)'!A710</f>
        <v>0</v>
      </c>
      <c r="B694" s="346"/>
      <c r="C694" s="346"/>
      <c r="D694" s="346"/>
      <c r="E694" s="346"/>
      <c r="F694" s="346"/>
      <c r="G694" s="346"/>
      <c r="H694" s="346"/>
      <c r="I694" s="346"/>
      <c r="J694" s="346"/>
      <c r="K694" s="346"/>
      <c r="L694" s="346"/>
      <c r="M694" s="346"/>
      <c r="N694" s="346"/>
      <c r="O694" s="346"/>
      <c r="P694">
        <f t="shared" ref="P694:P716" si="65">SUM(B694:O694)</f>
        <v>0</v>
      </c>
      <c r="Q694" s="351" t="e">
        <f t="shared" si="64"/>
        <v>#DIV/0!</v>
      </c>
    </row>
    <row r="695" spans="1:17" ht="15.75">
      <c r="A695" s="387">
        <f>'Conveyor Downtime (new)'!A711</f>
        <v>0</v>
      </c>
      <c r="B695"/>
      <c r="C695"/>
      <c r="D695"/>
      <c r="E695"/>
      <c r="F695"/>
      <c r="G695"/>
      <c r="H695"/>
      <c r="I695"/>
      <c r="J695"/>
      <c r="K695"/>
      <c r="L695"/>
      <c r="M695"/>
      <c r="O695"/>
      <c r="P695">
        <f t="shared" si="65"/>
        <v>0</v>
      </c>
      <c r="Q695" s="351" t="e">
        <f t="shared" si="64"/>
        <v>#DIV/0!</v>
      </c>
    </row>
    <row r="696" spans="1:17" ht="15.75">
      <c r="A696" s="387">
        <f>'Conveyor Downtime (new)'!A712</f>
        <v>0</v>
      </c>
      <c r="B696" s="346"/>
      <c r="C696" s="346"/>
      <c r="D696" s="346"/>
      <c r="E696" s="346"/>
      <c r="F696" s="346"/>
      <c r="G696" s="346"/>
      <c r="H696" s="346"/>
      <c r="I696" s="346"/>
      <c r="J696" s="346"/>
      <c r="K696" s="346"/>
      <c r="L696" s="346"/>
      <c r="M696" s="346"/>
      <c r="N696" s="346"/>
      <c r="O696" s="346"/>
      <c r="P696">
        <f t="shared" si="65"/>
        <v>0</v>
      </c>
      <c r="Q696" s="351" t="e">
        <f t="shared" si="64"/>
        <v>#DIV/0!</v>
      </c>
    </row>
    <row r="697" spans="1:17" ht="15.75">
      <c r="A697" s="387">
        <f>'Conveyor Downtime (new)'!A713</f>
        <v>0</v>
      </c>
      <c r="B697"/>
      <c r="C697"/>
      <c r="D697"/>
      <c r="E697"/>
      <c r="F697"/>
      <c r="G697"/>
      <c r="H697"/>
      <c r="I697"/>
      <c r="J697"/>
      <c r="K697"/>
      <c r="L697"/>
      <c r="M697"/>
      <c r="N697"/>
      <c r="O697"/>
      <c r="P697">
        <f t="shared" si="65"/>
        <v>0</v>
      </c>
      <c r="Q697" s="351" t="e">
        <f t="shared" si="64"/>
        <v>#DIV/0!</v>
      </c>
    </row>
    <row r="698" spans="1:17" ht="15.75">
      <c r="A698" s="387">
        <f>'Conveyor Downtime (new)'!A714</f>
        <v>0</v>
      </c>
      <c r="B698" s="346"/>
      <c r="C698" s="346"/>
      <c r="D698" s="346"/>
      <c r="E698" s="346"/>
      <c r="F698" s="346"/>
      <c r="G698" s="346"/>
      <c r="H698" s="346"/>
      <c r="I698" s="346"/>
      <c r="J698" s="346"/>
      <c r="K698" s="346"/>
      <c r="L698" s="346"/>
      <c r="M698" s="346"/>
      <c r="N698" s="346"/>
      <c r="O698" s="346"/>
      <c r="P698">
        <f t="shared" si="65"/>
        <v>0</v>
      </c>
      <c r="Q698" s="351" t="e">
        <f t="shared" si="64"/>
        <v>#DIV/0!</v>
      </c>
    </row>
    <row r="699" spans="1:17" ht="15.75">
      <c r="A699" s="387">
        <f>'Conveyor Downtime (new)'!A715</f>
        <v>0</v>
      </c>
      <c r="B699"/>
      <c r="C699"/>
      <c r="D699"/>
      <c r="E699"/>
      <c r="F699"/>
      <c r="G699"/>
      <c r="H699"/>
      <c r="I699"/>
      <c r="J699"/>
      <c r="K699"/>
      <c r="L699"/>
      <c r="M699"/>
      <c r="N699"/>
      <c r="O699"/>
      <c r="P699">
        <f t="shared" si="65"/>
        <v>0</v>
      </c>
      <c r="Q699" s="351" t="e">
        <f t="shared" si="64"/>
        <v>#DIV/0!</v>
      </c>
    </row>
    <row r="700" spans="1:17" ht="15.75">
      <c r="A700" s="387">
        <f>'Conveyor Downtime (new)'!A716</f>
        <v>0</v>
      </c>
      <c r="B700" s="346"/>
      <c r="C700" s="346"/>
      <c r="D700" s="346"/>
      <c r="E700" s="346"/>
      <c r="F700" s="346"/>
      <c r="G700" s="346"/>
      <c r="H700" s="346"/>
      <c r="I700" s="346"/>
      <c r="J700" s="346"/>
      <c r="K700" s="346"/>
      <c r="L700" s="346"/>
      <c r="M700" s="346"/>
      <c r="N700" s="346"/>
      <c r="O700" s="346"/>
      <c r="P700">
        <f t="shared" si="65"/>
        <v>0</v>
      </c>
      <c r="Q700" s="351" t="e">
        <f t="shared" si="64"/>
        <v>#DIV/0!</v>
      </c>
    </row>
    <row r="701" spans="1:17" ht="15.75">
      <c r="A701" s="387">
        <f>'Conveyor Downtime (new)'!A717</f>
        <v>0</v>
      </c>
      <c r="B701"/>
      <c r="C701"/>
      <c r="D701"/>
      <c r="E701"/>
      <c r="F701"/>
      <c r="G701"/>
      <c r="H701"/>
      <c r="I701"/>
      <c r="J701"/>
      <c r="K701"/>
      <c r="L701"/>
      <c r="M701"/>
      <c r="N701"/>
      <c r="O701"/>
      <c r="P701">
        <f t="shared" si="65"/>
        <v>0</v>
      </c>
      <c r="Q701" s="351" t="e">
        <f t="shared" si="64"/>
        <v>#DIV/0!</v>
      </c>
    </row>
    <row r="702" spans="1:17" ht="15.75">
      <c r="A702" s="387">
        <f>'Conveyor Downtime (new)'!A718</f>
        <v>0</v>
      </c>
      <c r="B702" s="346"/>
      <c r="C702" s="346"/>
      <c r="D702" s="346"/>
      <c r="E702" s="346"/>
      <c r="F702" s="346"/>
      <c r="G702" s="346"/>
      <c r="H702" s="346"/>
      <c r="I702" s="346"/>
      <c r="J702" s="346"/>
      <c r="K702" s="346"/>
      <c r="L702" s="346"/>
      <c r="M702" s="346"/>
      <c r="N702" s="346"/>
      <c r="O702" s="346"/>
      <c r="P702">
        <f t="shared" si="65"/>
        <v>0</v>
      </c>
      <c r="Q702" s="351" t="e">
        <f t="shared" si="64"/>
        <v>#DIV/0!</v>
      </c>
    </row>
    <row r="703" spans="1:17" ht="15.75">
      <c r="A703" s="387">
        <f>'Conveyor Downtime (new)'!A719</f>
        <v>0</v>
      </c>
      <c r="B703"/>
      <c r="C703"/>
      <c r="D703"/>
      <c r="E703"/>
      <c r="F703"/>
      <c r="G703"/>
      <c r="H703"/>
      <c r="I703"/>
      <c r="J703"/>
      <c r="K703"/>
      <c r="L703"/>
      <c r="M703"/>
      <c r="N703"/>
      <c r="O703"/>
      <c r="P703">
        <f t="shared" si="65"/>
        <v>0</v>
      </c>
      <c r="Q703" s="351" t="e">
        <f t="shared" si="64"/>
        <v>#DIV/0!</v>
      </c>
    </row>
    <row r="704" spans="1:17" ht="15.75">
      <c r="A704" s="387">
        <f>'Conveyor Downtime (new)'!A720</f>
        <v>0</v>
      </c>
      <c r="B704" s="346"/>
      <c r="C704" s="346"/>
      <c r="D704" s="346"/>
      <c r="E704" s="346"/>
      <c r="F704" s="346"/>
      <c r="G704" s="346"/>
      <c r="H704" s="346"/>
      <c r="I704" s="346"/>
      <c r="J704" s="346"/>
      <c r="K704" s="346"/>
      <c r="L704" s="346"/>
      <c r="M704" s="346"/>
      <c r="N704" s="346"/>
      <c r="O704" s="346"/>
      <c r="P704">
        <f t="shared" si="65"/>
        <v>0</v>
      </c>
      <c r="Q704" s="351" t="e">
        <f t="shared" si="64"/>
        <v>#DIV/0!</v>
      </c>
    </row>
    <row r="705" spans="1:17" ht="15.75">
      <c r="A705" s="387">
        <f>'Conveyor Downtime (new)'!A721</f>
        <v>0</v>
      </c>
      <c r="B705"/>
      <c r="C705"/>
      <c r="D705"/>
      <c r="E705"/>
      <c r="F705"/>
      <c r="G705"/>
      <c r="H705"/>
      <c r="I705"/>
      <c r="J705"/>
      <c r="K705"/>
      <c r="L705"/>
      <c r="M705"/>
      <c r="N705"/>
      <c r="O705"/>
      <c r="P705">
        <f t="shared" si="65"/>
        <v>0</v>
      </c>
      <c r="Q705" s="351" t="e">
        <f t="shared" si="64"/>
        <v>#DIV/0!</v>
      </c>
    </row>
    <row r="706" spans="1:17" ht="15.75">
      <c r="A706" s="387">
        <f>'Conveyor Downtime (new)'!A722</f>
        <v>0</v>
      </c>
      <c r="B706" s="346"/>
      <c r="C706" s="346"/>
      <c r="D706" s="346"/>
      <c r="E706" s="346"/>
      <c r="F706" s="346"/>
      <c r="G706" s="346"/>
      <c r="H706" s="346"/>
      <c r="I706" s="346"/>
      <c r="J706" s="346"/>
      <c r="K706" s="346"/>
      <c r="L706" s="346"/>
      <c r="M706" s="346"/>
      <c r="N706" s="346"/>
      <c r="O706" s="346"/>
      <c r="P706">
        <f t="shared" si="65"/>
        <v>0</v>
      </c>
      <c r="Q706" s="351" t="e">
        <f t="shared" si="64"/>
        <v>#DIV/0!</v>
      </c>
    </row>
    <row r="707" spans="1:17" ht="15.75">
      <c r="A707" s="387">
        <f>'Conveyor Downtime (new)'!A723</f>
        <v>0</v>
      </c>
      <c r="B707"/>
      <c r="C707"/>
      <c r="D707"/>
      <c r="E707"/>
      <c r="F707"/>
      <c r="G707"/>
      <c r="H707"/>
      <c r="I707"/>
      <c r="J707"/>
      <c r="K707"/>
      <c r="L707"/>
      <c r="M707"/>
      <c r="N707"/>
      <c r="O707"/>
      <c r="P707">
        <f t="shared" si="65"/>
        <v>0</v>
      </c>
      <c r="Q707" s="351" t="e">
        <f t="shared" si="64"/>
        <v>#DIV/0!</v>
      </c>
    </row>
    <row r="708" spans="1:17" ht="15.75">
      <c r="A708" s="387">
        <f>'Conveyor Downtime (new)'!A724</f>
        <v>0</v>
      </c>
      <c r="B708" s="346"/>
      <c r="C708" s="346"/>
      <c r="D708" s="346"/>
      <c r="E708" s="346"/>
      <c r="F708" s="346"/>
      <c r="G708" s="346"/>
      <c r="H708" s="346"/>
      <c r="I708" s="346"/>
      <c r="J708" s="346"/>
      <c r="K708" s="346"/>
      <c r="L708" s="346"/>
      <c r="M708" s="346"/>
      <c r="N708" s="346"/>
      <c r="O708" s="346"/>
      <c r="P708">
        <f t="shared" si="65"/>
        <v>0</v>
      </c>
      <c r="Q708" s="351" t="e">
        <f t="shared" si="64"/>
        <v>#DIV/0!</v>
      </c>
    </row>
    <row r="709" spans="1:17" ht="15.75">
      <c r="A709" s="387">
        <f>'Conveyor Downtime (new)'!A725</f>
        <v>0</v>
      </c>
      <c r="B709"/>
      <c r="C709"/>
      <c r="D709"/>
      <c r="E709"/>
      <c r="F709"/>
      <c r="G709"/>
      <c r="H709"/>
      <c r="I709"/>
      <c r="J709"/>
      <c r="K709"/>
      <c r="L709"/>
      <c r="M709"/>
      <c r="N709"/>
      <c r="O709"/>
      <c r="P709">
        <f t="shared" si="65"/>
        <v>0</v>
      </c>
      <c r="Q709" s="351" t="e">
        <f t="shared" si="64"/>
        <v>#DIV/0!</v>
      </c>
    </row>
    <row r="710" spans="1:17" ht="15.75">
      <c r="A710" s="387">
        <f>'Conveyor Downtime (new)'!A726</f>
        <v>0</v>
      </c>
      <c r="B710" s="346"/>
      <c r="C710" s="346"/>
      <c r="D710" s="346"/>
      <c r="E710" s="346"/>
      <c r="F710" s="346"/>
      <c r="G710" s="346"/>
      <c r="H710" s="346"/>
      <c r="I710" s="346"/>
      <c r="J710" s="346"/>
      <c r="K710" s="346"/>
      <c r="L710" s="346"/>
      <c r="M710" s="346"/>
      <c r="N710" s="346"/>
      <c r="O710" s="346"/>
      <c r="P710">
        <f t="shared" si="65"/>
        <v>0</v>
      </c>
      <c r="Q710" s="351" t="e">
        <f t="shared" si="64"/>
        <v>#DIV/0!</v>
      </c>
    </row>
    <row r="711" spans="1:17" ht="15.75">
      <c r="A711" s="387">
        <f>'Conveyor Downtime (new)'!A727</f>
        <v>0</v>
      </c>
      <c r="B711"/>
      <c r="C711"/>
      <c r="D711"/>
      <c r="E711"/>
      <c r="F711"/>
      <c r="G711"/>
      <c r="H711"/>
      <c r="I711"/>
      <c r="J711"/>
      <c r="K711"/>
      <c r="L711"/>
      <c r="M711"/>
      <c r="N711"/>
      <c r="O711"/>
      <c r="P711">
        <f t="shared" si="65"/>
        <v>0</v>
      </c>
      <c r="Q711" s="351" t="e">
        <f t="shared" si="64"/>
        <v>#DIV/0!</v>
      </c>
    </row>
    <row r="712" spans="1:17" ht="15.75">
      <c r="A712" s="387">
        <f>'Conveyor Downtime (new)'!A728</f>
        <v>0</v>
      </c>
      <c r="B712" s="346"/>
      <c r="C712" s="346"/>
      <c r="D712" s="346"/>
      <c r="E712" s="346"/>
      <c r="F712" s="346"/>
      <c r="G712" s="346"/>
      <c r="H712" s="346"/>
      <c r="I712" s="346"/>
      <c r="J712" s="346"/>
      <c r="K712" s="346"/>
      <c r="L712" s="346"/>
      <c r="M712" s="346"/>
      <c r="N712" s="346"/>
      <c r="O712" s="346"/>
      <c r="P712">
        <f t="shared" si="65"/>
        <v>0</v>
      </c>
      <c r="Q712" s="351" t="e">
        <f t="shared" si="64"/>
        <v>#DIV/0!</v>
      </c>
    </row>
    <row r="713" spans="1:17" ht="15.75">
      <c r="A713" s="387"/>
      <c r="B713"/>
      <c r="C713"/>
      <c r="D713"/>
      <c r="E713"/>
      <c r="F713"/>
      <c r="G713"/>
      <c r="H713"/>
      <c r="I713"/>
      <c r="J713"/>
      <c r="K713"/>
      <c r="L713"/>
      <c r="M713"/>
      <c r="N713"/>
      <c r="O713"/>
      <c r="P713">
        <f t="shared" si="65"/>
        <v>0</v>
      </c>
      <c r="Q713" s="351" t="e">
        <f t="shared" si="64"/>
        <v>#DIV/0!</v>
      </c>
    </row>
    <row r="714" spans="1:17" ht="15.75">
      <c r="A714" s="387"/>
      <c r="B714" s="346"/>
      <c r="C714" s="346"/>
      <c r="D714" s="346"/>
      <c r="E714" s="346"/>
      <c r="F714" s="346"/>
      <c r="G714" s="346"/>
      <c r="H714" s="346"/>
      <c r="I714" s="346"/>
      <c r="J714" s="346"/>
      <c r="K714" s="346"/>
      <c r="L714" s="346"/>
      <c r="M714" s="346"/>
      <c r="N714" s="346"/>
      <c r="O714" s="346"/>
      <c r="P714">
        <f t="shared" si="65"/>
        <v>0</v>
      </c>
      <c r="Q714" s="351" t="e">
        <f t="shared" si="64"/>
        <v>#DIV/0!</v>
      </c>
    </row>
    <row r="715" spans="1:17" ht="15.75">
      <c r="A715" s="387"/>
      <c r="B715"/>
      <c r="C715"/>
      <c r="D715"/>
      <c r="E715"/>
      <c r="F715"/>
      <c r="G715"/>
      <c r="H715"/>
      <c r="I715"/>
      <c r="J715"/>
      <c r="K715"/>
      <c r="L715"/>
      <c r="M715"/>
      <c r="N715"/>
      <c r="O715"/>
      <c r="P715">
        <f t="shared" si="65"/>
        <v>0</v>
      </c>
      <c r="Q715" s="351" t="e">
        <f t="shared" si="64"/>
        <v>#DIV/0!</v>
      </c>
    </row>
    <row r="716" spans="1:17" ht="15.75">
      <c r="A716" s="387"/>
      <c r="B716" s="346"/>
      <c r="C716" s="346"/>
      <c r="D716" s="346"/>
      <c r="E716" s="346"/>
      <c r="F716" s="346"/>
      <c r="G716" s="346"/>
      <c r="H716" s="346"/>
      <c r="I716" s="346"/>
      <c r="J716" s="346"/>
      <c r="K716" s="346"/>
      <c r="L716" s="346"/>
      <c r="M716" s="346"/>
      <c r="N716" s="346"/>
      <c r="O716" s="346"/>
      <c r="P716">
        <f t="shared" si="65"/>
        <v>0</v>
      </c>
      <c r="Q716" s="351" t="e">
        <f t="shared" si="64"/>
        <v>#DIV/0!</v>
      </c>
    </row>
    <row r="717" spans="1:17" ht="15">
      <c r="A717" s="347" t="s">
        <v>113</v>
      </c>
      <c r="B717" s="347">
        <f>SUM(B662:B716)</f>
        <v>0</v>
      </c>
      <c r="C717" s="347">
        <f>SUM(C662:C716)</f>
        <v>0</v>
      </c>
      <c r="D717" s="347">
        <f t="shared" ref="D717:P717" si="66">SUM(D662:D716)</f>
        <v>0</v>
      </c>
      <c r="E717" s="347">
        <f t="shared" si="66"/>
        <v>0</v>
      </c>
      <c r="F717" s="347">
        <f t="shared" si="66"/>
        <v>0</v>
      </c>
      <c r="G717" s="347">
        <f t="shared" si="66"/>
        <v>0</v>
      </c>
      <c r="H717" s="347">
        <f t="shared" si="66"/>
        <v>0</v>
      </c>
      <c r="I717" s="347">
        <f t="shared" si="66"/>
        <v>0</v>
      </c>
      <c r="J717" s="347">
        <f t="shared" si="66"/>
        <v>0</v>
      </c>
      <c r="K717" s="347">
        <f t="shared" si="66"/>
        <v>0</v>
      </c>
      <c r="L717" s="347">
        <f t="shared" si="66"/>
        <v>0</v>
      </c>
      <c r="M717" s="347">
        <f t="shared" si="66"/>
        <v>0</v>
      </c>
      <c r="N717" s="347">
        <f t="shared" si="66"/>
        <v>0</v>
      </c>
      <c r="O717" s="347">
        <f t="shared" si="66"/>
        <v>0</v>
      </c>
      <c r="P717" s="347">
        <f t="shared" si="66"/>
        <v>0</v>
      </c>
      <c r="Q717" s="351"/>
    </row>
    <row r="718" spans="1:17" ht="15.75" thickBot="1">
      <c r="A718" s="348" t="s">
        <v>174</v>
      </c>
      <c r="B718" s="348" t="e">
        <f t="shared" ref="B718:O718" si="67">B717/$P717</f>
        <v>#DIV/0!</v>
      </c>
      <c r="C718" s="348" t="e">
        <f t="shared" si="67"/>
        <v>#DIV/0!</v>
      </c>
      <c r="D718" s="348" t="e">
        <f t="shared" si="67"/>
        <v>#DIV/0!</v>
      </c>
      <c r="E718" s="348" t="e">
        <f t="shared" si="67"/>
        <v>#DIV/0!</v>
      </c>
      <c r="F718" s="348" t="e">
        <f t="shared" si="67"/>
        <v>#DIV/0!</v>
      </c>
      <c r="G718" s="348" t="e">
        <f t="shared" si="67"/>
        <v>#DIV/0!</v>
      </c>
      <c r="H718" s="348" t="e">
        <f t="shared" si="67"/>
        <v>#DIV/0!</v>
      </c>
      <c r="I718" s="348" t="e">
        <f t="shared" si="67"/>
        <v>#DIV/0!</v>
      </c>
      <c r="J718" s="348" t="e">
        <f t="shared" si="67"/>
        <v>#DIV/0!</v>
      </c>
      <c r="K718" s="348" t="e">
        <f t="shared" si="67"/>
        <v>#DIV/0!</v>
      </c>
      <c r="L718" s="348" t="e">
        <f t="shared" si="67"/>
        <v>#DIV/0!</v>
      </c>
      <c r="M718" s="348" t="e">
        <f t="shared" si="67"/>
        <v>#DIV/0!</v>
      </c>
      <c r="N718" s="348" t="e">
        <f t="shared" si="67"/>
        <v>#DIV/0!</v>
      </c>
      <c r="O718" s="348" t="e">
        <f t="shared" si="67"/>
        <v>#DIV/0!</v>
      </c>
      <c r="P718"/>
      <c r="Q718" s="351"/>
    </row>
    <row r="720" spans="1:17" s="524" customFormat="1" ht="15">
      <c r="A720" s="519" t="s">
        <v>465</v>
      </c>
      <c r="B720" s="519">
        <f t="shared" ref="B720:P720" si="68">SUM(B717,B657,B596,B536,B474,B415,B350,B291,B231,B169,B107,B52)</f>
        <v>241</v>
      </c>
      <c r="C720" s="519">
        <f t="shared" si="68"/>
        <v>3</v>
      </c>
      <c r="D720" s="519">
        <f t="shared" si="68"/>
        <v>35</v>
      </c>
      <c r="E720" s="519">
        <f t="shared" si="68"/>
        <v>51</v>
      </c>
      <c r="F720" s="519">
        <f t="shared" si="68"/>
        <v>0</v>
      </c>
      <c r="G720" s="519">
        <f t="shared" si="68"/>
        <v>0</v>
      </c>
      <c r="H720" s="519">
        <f t="shared" si="68"/>
        <v>140</v>
      </c>
      <c r="I720" s="519">
        <f t="shared" si="68"/>
        <v>295</v>
      </c>
      <c r="J720" s="519">
        <f t="shared" si="68"/>
        <v>0</v>
      </c>
      <c r="K720" s="519">
        <f t="shared" si="68"/>
        <v>443</v>
      </c>
      <c r="L720" s="519">
        <f t="shared" si="68"/>
        <v>50</v>
      </c>
      <c r="M720" s="519">
        <f t="shared" si="68"/>
        <v>177</v>
      </c>
      <c r="N720" s="519">
        <f t="shared" si="68"/>
        <v>9</v>
      </c>
      <c r="O720" s="519">
        <f t="shared" si="68"/>
        <v>739</v>
      </c>
      <c r="P720" s="519">
        <f t="shared" si="68"/>
        <v>2183</v>
      </c>
      <c r="Q720" s="520"/>
    </row>
    <row r="721" spans="1:17" s="524" customFormat="1" ht="15.75" thickBot="1">
      <c r="A721" s="521" t="s">
        <v>43</v>
      </c>
      <c r="B721" s="521">
        <f t="shared" ref="B721:O721" si="69">B720/$P720</f>
        <v>0.11039853412734768</v>
      </c>
      <c r="C721" s="521">
        <f t="shared" si="69"/>
        <v>1.3742556115437471E-3</v>
      </c>
      <c r="D721" s="521">
        <f t="shared" si="69"/>
        <v>1.6032982134677048E-2</v>
      </c>
      <c r="E721" s="521">
        <f t="shared" si="69"/>
        <v>2.3362345396243701E-2</v>
      </c>
      <c r="F721" s="521">
        <f t="shared" si="69"/>
        <v>0</v>
      </c>
      <c r="G721" s="521">
        <f t="shared" si="69"/>
        <v>0</v>
      </c>
      <c r="H721" s="521">
        <f t="shared" si="69"/>
        <v>6.4131928538708194E-2</v>
      </c>
      <c r="I721" s="521">
        <f t="shared" si="69"/>
        <v>0.13513513513513514</v>
      </c>
      <c r="J721" s="521">
        <f t="shared" si="69"/>
        <v>0</v>
      </c>
      <c r="K721" s="521">
        <f t="shared" si="69"/>
        <v>0.20293174530462665</v>
      </c>
      <c r="L721" s="521">
        <f t="shared" si="69"/>
        <v>2.2904260192395786E-2</v>
      </c>
      <c r="M721" s="521">
        <f t="shared" si="69"/>
        <v>8.1081081081081086E-2</v>
      </c>
      <c r="N721" s="521">
        <f t="shared" si="69"/>
        <v>4.1227668346312417E-3</v>
      </c>
      <c r="O721" s="521">
        <f t="shared" si="69"/>
        <v>0.33852496564360973</v>
      </c>
      <c r="P721" s="184"/>
      <c r="Q721" s="520"/>
    </row>
  </sheetData>
  <mergeCells count="1">
    <mergeCell ref="A4:XFD5"/>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0">
    <tabColor theme="9" tint="-0.249977111117893"/>
  </sheetPr>
  <dimension ref="A2:AW768"/>
  <sheetViews>
    <sheetView zoomScaleNormal="100" workbookViewId="0">
      <pane xSplit="1" ySplit="3" topLeftCell="Q546" activePane="bottomRight" state="frozen"/>
      <selection pane="topRight"/>
      <selection pane="bottomLeft"/>
      <selection pane="bottomRight" activeCell="Y559" sqref="Y559"/>
    </sheetView>
  </sheetViews>
  <sheetFormatPr defaultColWidth="9.42578125" defaultRowHeight="12.75" outlineLevelCol="1"/>
  <cols>
    <col min="1" max="1" width="11.5703125" style="70" customWidth="1"/>
    <col min="2" max="2" width="8.5703125" style="70" customWidth="1"/>
    <col min="3" max="3" width="12.42578125" style="70" customWidth="1" outlineLevel="1"/>
    <col min="4" max="11" width="14" style="70" customWidth="1" outlineLevel="1"/>
    <col min="12" max="12" width="8.42578125" style="70" customWidth="1" outlineLevel="1"/>
    <col min="13" max="13" width="10.42578125" style="70" customWidth="1" outlineLevel="1"/>
    <col min="14" max="14" width="12" style="70" customWidth="1" outlineLevel="1"/>
    <col min="15" max="15" width="12.42578125" style="70" customWidth="1" outlineLevel="1"/>
    <col min="16" max="16" width="11.5703125" style="70" customWidth="1" outlineLevel="1"/>
    <col min="17" max="17" width="12.42578125" style="70" customWidth="1" outlineLevel="1"/>
    <col min="18" max="18" width="10.42578125" style="70" customWidth="1" outlineLevel="1"/>
    <col min="19" max="19" width="11.42578125" style="70" customWidth="1" outlineLevel="1"/>
    <col min="20" max="20" width="10.5703125" style="70" customWidth="1" outlineLevel="1"/>
    <col min="21" max="21" width="10.42578125" style="70" customWidth="1" outlineLevel="1"/>
    <col min="22" max="28" width="11.42578125" style="70" customWidth="1" outlineLevel="1"/>
    <col min="29" max="29" width="13" style="70" customWidth="1" outlineLevel="1"/>
    <col min="30" max="30" width="13.140625" style="70" customWidth="1" outlineLevel="1"/>
    <col min="31" max="31" width="12.42578125" style="70" customWidth="1" outlineLevel="1"/>
    <col min="32" max="33" width="13.5703125" style="70" customWidth="1" outlineLevel="1"/>
    <col min="34" max="36" width="11.42578125" style="70" customWidth="1" outlineLevel="1"/>
    <col min="37" max="38" width="13.5703125" style="70" customWidth="1" outlineLevel="1"/>
    <col min="39" max="39" width="13.42578125" style="70" customWidth="1" outlineLevel="1"/>
    <col min="40" max="40" width="13.5703125" style="70" customWidth="1" outlineLevel="1"/>
    <col min="41" max="41" width="11.42578125" style="70" customWidth="1" outlineLevel="1"/>
    <col min="42" max="42" width="14.5703125" style="70" customWidth="1" outlineLevel="1"/>
    <col min="43" max="47" width="11.42578125" style="70" customWidth="1" outlineLevel="1"/>
    <col min="48" max="16384" width="9.42578125" style="70"/>
  </cols>
  <sheetData>
    <row r="2" spans="1:49" ht="9" customHeight="1">
      <c r="B2" s="343"/>
      <c r="C2" s="343"/>
      <c r="D2" s="343"/>
      <c r="E2" s="343"/>
      <c r="F2" s="343"/>
      <c r="G2" s="343"/>
      <c r="H2" s="343"/>
      <c r="I2" s="343"/>
      <c r="J2" s="343"/>
      <c r="K2" s="343"/>
      <c r="L2" s="343"/>
      <c r="M2" s="343"/>
      <c r="N2" s="343"/>
      <c r="O2" s="343"/>
      <c r="P2" s="343"/>
      <c r="Q2" s="343"/>
      <c r="R2" s="343"/>
      <c r="S2" s="343"/>
      <c r="T2" s="343"/>
      <c r="U2" s="343"/>
      <c r="V2" s="343"/>
      <c r="W2" s="343"/>
      <c r="X2" s="343"/>
      <c r="Y2" s="343"/>
      <c r="Z2" s="343"/>
      <c r="AA2" s="343"/>
      <c r="AB2" s="343"/>
      <c r="AC2" s="343"/>
      <c r="AD2" s="343"/>
      <c r="AE2" s="343"/>
      <c r="AF2" s="343"/>
      <c r="AG2" s="343"/>
      <c r="AH2" s="343"/>
      <c r="AI2" s="343"/>
      <c r="AJ2" s="343"/>
      <c r="AK2" s="343"/>
      <c r="AL2" s="343"/>
      <c r="AM2" s="343"/>
      <c r="AN2" s="343"/>
      <c r="AO2" s="343"/>
      <c r="AP2" s="343"/>
      <c r="AQ2" s="343"/>
      <c r="AR2" s="343"/>
      <c r="AS2" s="343"/>
      <c r="AT2" s="343"/>
      <c r="AU2" s="343"/>
    </row>
    <row r="3" spans="1:49" ht="39">
      <c r="A3" s="279" t="s">
        <v>81</v>
      </c>
      <c r="B3" s="344" t="s">
        <v>349</v>
      </c>
      <c r="C3" s="344" t="s">
        <v>350</v>
      </c>
      <c r="D3" s="344" t="s">
        <v>351</v>
      </c>
      <c r="E3" s="345" t="s">
        <v>352</v>
      </c>
      <c r="F3" s="344" t="s">
        <v>353</v>
      </c>
      <c r="G3" s="344" t="s">
        <v>354</v>
      </c>
      <c r="H3" s="344" t="s">
        <v>355</v>
      </c>
      <c r="I3" s="344" t="s">
        <v>356</v>
      </c>
      <c r="J3" s="344" t="s">
        <v>357</v>
      </c>
      <c r="K3" s="344" t="s">
        <v>358</v>
      </c>
      <c r="L3" s="344" t="s">
        <v>359</v>
      </c>
      <c r="M3" s="344" t="s">
        <v>360</v>
      </c>
      <c r="N3" s="344" t="s">
        <v>361</v>
      </c>
      <c r="O3" s="344" t="s">
        <v>362</v>
      </c>
      <c r="P3" s="344" t="s">
        <v>363</v>
      </c>
      <c r="Q3" s="344" t="s">
        <v>364</v>
      </c>
      <c r="R3" s="349" t="s">
        <v>365</v>
      </c>
      <c r="S3" s="350" t="s">
        <v>366</v>
      </c>
      <c r="T3" s="349" t="s">
        <v>367</v>
      </c>
      <c r="U3" s="349" t="s">
        <v>368</v>
      </c>
      <c r="V3" s="344" t="s">
        <v>369</v>
      </c>
      <c r="W3" s="349" t="s">
        <v>370</v>
      </c>
      <c r="X3" s="349" t="s">
        <v>371</v>
      </c>
      <c r="Y3" s="344" t="s">
        <v>372</v>
      </c>
      <c r="Z3" s="344" t="s">
        <v>373</v>
      </c>
      <c r="AA3" s="344" t="s">
        <v>374</v>
      </c>
      <c r="AB3" s="344" t="s">
        <v>375</v>
      </c>
      <c r="AC3" s="344" t="s">
        <v>376</v>
      </c>
      <c r="AD3" s="344" t="s">
        <v>377</v>
      </c>
      <c r="AE3" s="344" t="s">
        <v>378</v>
      </c>
      <c r="AF3" s="344" t="s">
        <v>379</v>
      </c>
      <c r="AG3" s="349" t="s">
        <v>380</v>
      </c>
      <c r="AH3" s="344" t="s">
        <v>381</v>
      </c>
      <c r="AI3" s="344" t="s">
        <v>382</v>
      </c>
      <c r="AJ3" s="344" t="s">
        <v>383</v>
      </c>
      <c r="AK3" s="344" t="s">
        <v>384</v>
      </c>
      <c r="AL3" s="344" t="s">
        <v>385</v>
      </c>
      <c r="AM3" s="344" t="s">
        <v>386</v>
      </c>
      <c r="AN3" s="344" t="s">
        <v>387</v>
      </c>
      <c r="AO3" s="344" t="s">
        <v>388</v>
      </c>
      <c r="AP3" s="349" t="s">
        <v>389</v>
      </c>
      <c r="AQ3" s="344" t="s">
        <v>390</v>
      </c>
      <c r="AR3" s="344" t="s">
        <v>391</v>
      </c>
      <c r="AS3" s="344" t="s">
        <v>392</v>
      </c>
      <c r="AT3" s="349" t="s">
        <v>393</v>
      </c>
      <c r="AU3" s="344" t="s">
        <v>394</v>
      </c>
    </row>
    <row r="4" spans="1:49" s="648" customFormat="1" ht="12.75" customHeight="1">
      <c r="A4" s="648">
        <v>2026</v>
      </c>
    </row>
    <row r="5" spans="1:49" s="648" customFormat="1" ht="12.75" customHeight="1"/>
    <row r="6" spans="1:49">
      <c r="A6" s="165">
        <v>46024</v>
      </c>
      <c r="B6" s="346"/>
      <c r="C6" s="346"/>
      <c r="D6" s="346"/>
      <c r="E6" s="346"/>
      <c r="F6" s="346"/>
      <c r="G6" s="346"/>
      <c r="H6" s="346"/>
      <c r="I6" s="346"/>
      <c r="J6" s="346"/>
      <c r="K6" s="346"/>
      <c r="L6" s="346"/>
      <c r="M6" s="346"/>
      <c r="N6" s="346"/>
      <c r="O6" s="346"/>
      <c r="P6" s="346"/>
      <c r="Q6" s="346"/>
      <c r="R6" s="346"/>
      <c r="S6" s="346">
        <f>2+3</f>
        <v>5</v>
      </c>
      <c r="T6" s="346"/>
      <c r="U6" s="346"/>
      <c r="V6" s="346"/>
      <c r="W6" s="346"/>
      <c r="X6" s="346"/>
      <c r="Y6" s="346"/>
      <c r="Z6" s="346"/>
      <c r="AA6" s="346"/>
      <c r="AB6" s="346"/>
      <c r="AC6" s="346"/>
      <c r="AD6" s="346"/>
      <c r="AE6" s="346"/>
      <c r="AF6" s="346"/>
      <c r="AG6" s="346"/>
      <c r="AH6" s="346"/>
      <c r="AI6" s="346"/>
      <c r="AJ6" s="346"/>
      <c r="AK6" s="346"/>
      <c r="AL6" s="346"/>
      <c r="AM6" s="346"/>
      <c r="AN6" s="346"/>
      <c r="AO6" s="346"/>
      <c r="AP6" s="346"/>
      <c r="AQ6" s="346"/>
      <c r="AR6" s="346"/>
      <c r="AS6" s="346"/>
      <c r="AT6" s="346"/>
      <c r="AU6" s="346"/>
      <c r="AV6">
        <f t="shared" ref="AV6:AV37" si="0">SUM(B6:AU6)</f>
        <v>5</v>
      </c>
      <c r="AW6" s="351">
        <f t="shared" ref="AW6:AW50" si="1">AV6/$AV$63</f>
        <v>8.2277439526081948E-4</v>
      </c>
    </row>
    <row r="7" spans="1:49">
      <c r="A7" s="165">
        <v>46027</v>
      </c>
      <c r="B7"/>
      <c r="C7"/>
      <c r="D7"/>
      <c r="E7"/>
      <c r="F7"/>
      <c r="G7"/>
      <c r="H7"/>
      <c r="I7"/>
      <c r="J7"/>
      <c r="K7"/>
      <c r="L7"/>
      <c r="M7"/>
      <c r="N7"/>
      <c r="O7"/>
      <c r="P7"/>
      <c r="Q7"/>
      <c r="R7"/>
      <c r="S7"/>
      <c r="T7"/>
      <c r="U7"/>
      <c r="V7" s="77">
        <v>1320</v>
      </c>
      <c r="W7"/>
      <c r="X7"/>
      <c r="Y7"/>
      <c r="Z7"/>
      <c r="AA7"/>
      <c r="AB7"/>
      <c r="AC7"/>
      <c r="AD7"/>
      <c r="AE7"/>
      <c r="AF7"/>
      <c r="AG7"/>
      <c r="AH7"/>
      <c r="AI7"/>
      <c r="AJ7"/>
      <c r="AK7"/>
      <c r="AL7"/>
      <c r="AM7"/>
      <c r="AN7"/>
      <c r="AO7"/>
      <c r="AP7"/>
      <c r="AQ7"/>
      <c r="AR7"/>
      <c r="AS7"/>
      <c r="AT7"/>
      <c r="AU7"/>
      <c r="AV7">
        <f t="shared" si="0"/>
        <v>1320</v>
      </c>
      <c r="AW7" s="351">
        <f t="shared" si="1"/>
        <v>0.21721244034885634</v>
      </c>
    </row>
    <row r="8" spans="1:49" ht="13.5" customHeight="1">
      <c r="A8" s="165">
        <v>46028</v>
      </c>
      <c r="B8" s="346"/>
      <c r="C8" s="346"/>
      <c r="D8" s="346"/>
      <c r="E8" s="346"/>
      <c r="F8" s="346"/>
      <c r="G8" s="346"/>
      <c r="H8" s="346"/>
      <c r="I8" s="346"/>
      <c r="J8" s="346"/>
      <c r="K8" s="346"/>
      <c r="L8" s="346"/>
      <c r="M8" s="346"/>
      <c r="N8" s="346"/>
      <c r="O8" s="346"/>
      <c r="P8" s="346"/>
      <c r="Q8" s="346"/>
      <c r="R8" s="346"/>
      <c r="S8" s="346"/>
      <c r="T8" s="346"/>
      <c r="U8" s="346"/>
      <c r="V8" s="77">
        <v>1440</v>
      </c>
      <c r="W8" s="346"/>
      <c r="X8" s="346"/>
      <c r="Y8" s="346"/>
      <c r="Z8" s="346"/>
      <c r="AA8" s="346"/>
      <c r="AB8" s="346"/>
      <c r="AC8" s="346"/>
      <c r="AD8" s="346"/>
      <c r="AE8" s="346"/>
      <c r="AF8" s="346"/>
      <c r="AG8" s="346"/>
      <c r="AH8" s="346"/>
      <c r="AI8" s="346"/>
      <c r="AJ8" s="346"/>
      <c r="AK8" s="346"/>
      <c r="AL8" s="346"/>
      <c r="AM8" s="346"/>
      <c r="AN8" s="346"/>
      <c r="AO8" s="346"/>
      <c r="AP8" s="346"/>
      <c r="AQ8" s="346"/>
      <c r="AR8" s="346"/>
      <c r="AS8" s="346"/>
      <c r="AT8" s="346"/>
      <c r="AU8" s="346"/>
      <c r="AV8">
        <f t="shared" si="0"/>
        <v>1440</v>
      </c>
      <c r="AW8" s="351">
        <f t="shared" si="1"/>
        <v>0.23695902583511602</v>
      </c>
    </row>
    <row r="9" spans="1:49">
      <c r="A9" s="165">
        <v>46029</v>
      </c>
      <c r="B9"/>
      <c r="C9"/>
      <c r="D9"/>
      <c r="E9"/>
      <c r="F9"/>
      <c r="G9"/>
      <c r="H9"/>
      <c r="I9"/>
      <c r="J9"/>
      <c r="K9"/>
      <c r="L9"/>
      <c r="M9"/>
      <c r="N9"/>
      <c r="O9"/>
      <c r="P9"/>
      <c r="Q9"/>
      <c r="R9"/>
      <c r="S9"/>
      <c r="T9"/>
      <c r="U9"/>
      <c r="V9" s="77">
        <v>1440</v>
      </c>
      <c r="W9"/>
      <c r="X9"/>
      <c r="Y9"/>
      <c r="Z9"/>
      <c r="AA9"/>
      <c r="AB9"/>
      <c r="AC9"/>
      <c r="AD9"/>
      <c r="AE9"/>
      <c r="AF9"/>
      <c r="AG9"/>
      <c r="AH9"/>
      <c r="AI9"/>
      <c r="AJ9"/>
      <c r="AK9"/>
      <c r="AL9"/>
      <c r="AM9"/>
      <c r="AN9"/>
      <c r="AO9"/>
      <c r="AP9"/>
      <c r="AQ9"/>
      <c r="AR9"/>
      <c r="AS9"/>
      <c r="AT9"/>
      <c r="AU9"/>
      <c r="AV9">
        <f t="shared" si="0"/>
        <v>1440</v>
      </c>
      <c r="AW9" s="351">
        <f t="shared" si="1"/>
        <v>0.23695902583511602</v>
      </c>
    </row>
    <row r="10" spans="1:49" ht="13.5" customHeight="1">
      <c r="A10" s="165">
        <v>46030</v>
      </c>
      <c r="B10" s="346"/>
      <c r="C10" s="346"/>
      <c r="D10" s="346"/>
      <c r="E10" s="346"/>
      <c r="F10" s="346"/>
      <c r="G10" s="346"/>
      <c r="H10" s="346"/>
      <c r="I10" s="346"/>
      <c r="J10" s="346"/>
      <c r="K10" s="346"/>
      <c r="L10" s="346"/>
      <c r="M10" s="346"/>
      <c r="N10" s="346"/>
      <c r="O10" s="346"/>
      <c r="P10" s="346"/>
      <c r="Q10" s="346"/>
      <c r="R10" s="346"/>
      <c r="S10" s="346"/>
      <c r="T10" s="346"/>
      <c r="U10" s="346"/>
      <c r="V10" s="77">
        <f>1180+6+5+26</f>
        <v>1217</v>
      </c>
      <c r="W10" s="346"/>
      <c r="X10" s="346"/>
      <c r="Y10" s="346"/>
      <c r="Z10" s="346"/>
      <c r="AA10" s="346"/>
      <c r="AB10" s="346"/>
      <c r="AC10" s="346"/>
      <c r="AD10" s="346"/>
      <c r="AE10" s="346"/>
      <c r="AF10" s="346"/>
      <c r="AG10" s="346"/>
      <c r="AH10" s="346"/>
      <c r="AI10" s="346"/>
      <c r="AJ10" s="346"/>
      <c r="AK10" s="346"/>
      <c r="AL10" s="346"/>
      <c r="AM10" s="346"/>
      <c r="AN10" s="346"/>
      <c r="AO10" s="346"/>
      <c r="AP10" s="346"/>
      <c r="AQ10" s="346"/>
      <c r="AR10" s="346"/>
      <c r="AS10" s="346"/>
      <c r="AT10" s="346"/>
      <c r="AU10" s="346"/>
      <c r="AV10">
        <f t="shared" si="0"/>
        <v>1217</v>
      </c>
      <c r="AW10" s="351">
        <f t="shared" si="1"/>
        <v>0.20026328780648348</v>
      </c>
    </row>
    <row r="11" spans="1:49">
      <c r="A11" s="165">
        <v>46031</v>
      </c>
      <c r="B11"/>
      <c r="C11"/>
      <c r="D11"/>
      <c r="E11"/>
      <c r="F11"/>
      <c r="G11"/>
      <c r="H11"/>
      <c r="I11"/>
      <c r="J11"/>
      <c r="K11"/>
      <c r="L11"/>
      <c r="M11"/>
      <c r="N11"/>
      <c r="O11"/>
      <c r="P11"/>
      <c r="Q11"/>
      <c r="R11"/>
      <c r="S11"/>
      <c r="T11"/>
      <c r="U11"/>
      <c r="V11"/>
      <c r="W11"/>
      <c r="X11"/>
      <c r="Y11"/>
      <c r="Z11"/>
      <c r="AA11"/>
      <c r="AB11"/>
      <c r="AC11"/>
      <c r="AD11"/>
      <c r="AE11">
        <f>4</f>
        <v>4</v>
      </c>
      <c r="AF11"/>
      <c r="AG11"/>
      <c r="AH11">
        <f>2+3+2+3+3+2+2+3+6+57</f>
        <v>83</v>
      </c>
      <c r="AI11"/>
      <c r="AJ11"/>
      <c r="AK11"/>
      <c r="AL11"/>
      <c r="AM11"/>
      <c r="AN11"/>
      <c r="AO11"/>
      <c r="AP11"/>
      <c r="AQ11"/>
      <c r="AR11"/>
      <c r="AS11"/>
      <c r="AT11"/>
      <c r="AU11"/>
      <c r="AV11">
        <f t="shared" si="0"/>
        <v>87</v>
      </c>
      <c r="AW11" s="351">
        <f t="shared" si="1"/>
        <v>1.4316274477538259E-2</v>
      </c>
    </row>
    <row r="12" spans="1:49">
      <c r="A12" s="165">
        <v>46031</v>
      </c>
      <c r="B12" s="346"/>
      <c r="C12" s="346"/>
      <c r="D12" s="346"/>
      <c r="E12" s="346"/>
      <c r="F12" s="346"/>
      <c r="G12" s="346"/>
      <c r="H12" s="346"/>
      <c r="I12" s="346"/>
      <c r="J12" s="346"/>
      <c r="K12" s="346"/>
      <c r="L12" s="346"/>
      <c r="M12" s="346"/>
      <c r="N12" s="346"/>
      <c r="O12" s="346"/>
      <c r="P12" s="346"/>
      <c r="Q12" s="346"/>
      <c r="R12" s="346"/>
      <c r="S12" s="346">
        <f>2+2</f>
        <v>4</v>
      </c>
      <c r="T12" s="346"/>
      <c r="U12" s="346"/>
      <c r="V12" s="346"/>
      <c r="W12" s="346"/>
      <c r="X12" s="346"/>
      <c r="Y12" s="346"/>
      <c r="Z12" s="346"/>
      <c r="AA12" s="346"/>
      <c r="AB12" s="346"/>
      <c r="AC12" s="346"/>
      <c r="AD12" s="346"/>
      <c r="AE12" s="346"/>
      <c r="AF12" s="346"/>
      <c r="AG12" s="346"/>
      <c r="AH12" s="346"/>
      <c r="AI12" s="346"/>
      <c r="AJ12" s="346"/>
      <c r="AK12" s="346"/>
      <c r="AL12" s="346"/>
      <c r="AM12" s="346"/>
      <c r="AN12" s="346"/>
      <c r="AO12" s="346"/>
      <c r="AP12" s="346"/>
      <c r="AQ12" s="346"/>
      <c r="AR12" s="346"/>
      <c r="AS12" s="346"/>
      <c r="AT12" s="346"/>
      <c r="AU12" s="346"/>
      <c r="AV12">
        <f t="shared" si="0"/>
        <v>4</v>
      </c>
      <c r="AW12" s="351">
        <f t="shared" si="1"/>
        <v>6.5821951620865561E-4</v>
      </c>
    </row>
    <row r="13" spans="1:49">
      <c r="A13" s="165">
        <v>46032</v>
      </c>
      <c r="B13"/>
      <c r="C13"/>
      <c r="D13"/>
      <c r="E13"/>
      <c r="F13"/>
      <c r="G13"/>
      <c r="H13"/>
      <c r="I13"/>
      <c r="J13"/>
      <c r="K13"/>
      <c r="L13"/>
      <c r="M13"/>
      <c r="N13"/>
      <c r="O13"/>
      <c r="P13"/>
      <c r="Q13"/>
      <c r="R13"/>
      <c r="S13">
        <f>3+3+2+3</f>
        <v>11</v>
      </c>
      <c r="T13"/>
      <c r="U13"/>
      <c r="V13"/>
      <c r="W13"/>
      <c r="X13"/>
      <c r="Y13"/>
      <c r="Z13"/>
      <c r="AA13"/>
      <c r="AB13"/>
      <c r="AC13"/>
      <c r="AD13">
        <f>4</f>
        <v>4</v>
      </c>
      <c r="AE13"/>
      <c r="AF13"/>
      <c r="AG13"/>
      <c r="AH13"/>
      <c r="AI13"/>
      <c r="AJ13"/>
      <c r="AK13"/>
      <c r="AL13"/>
      <c r="AM13"/>
      <c r="AN13"/>
      <c r="AO13"/>
      <c r="AP13"/>
      <c r="AQ13"/>
      <c r="AR13"/>
      <c r="AS13"/>
      <c r="AT13"/>
      <c r="AU13"/>
      <c r="AV13">
        <f t="shared" si="0"/>
        <v>15</v>
      </c>
      <c r="AW13" s="351">
        <f t="shared" si="1"/>
        <v>2.4683231857824586E-3</v>
      </c>
    </row>
    <row r="14" spans="1:49">
      <c r="A14" s="165">
        <v>46034</v>
      </c>
      <c r="B14" s="346"/>
      <c r="C14" s="346"/>
      <c r="D14" s="346"/>
      <c r="E14" s="346">
        <f>10</f>
        <v>10</v>
      </c>
      <c r="F14" s="346"/>
      <c r="G14" s="346"/>
      <c r="H14" s="346"/>
      <c r="I14" s="346"/>
      <c r="J14" s="346"/>
      <c r="K14" s="346"/>
      <c r="L14" s="346"/>
      <c r="M14" s="346"/>
      <c r="N14" s="346"/>
      <c r="O14" s="346"/>
      <c r="P14" s="346"/>
      <c r="Q14" s="346"/>
      <c r="R14" s="346"/>
      <c r="S14" s="346">
        <v>2</v>
      </c>
      <c r="T14" s="346">
        <f>2+1+2+2+3</f>
        <v>10</v>
      </c>
      <c r="U14" s="346"/>
      <c r="V14" s="346"/>
      <c r="W14" s="346"/>
      <c r="X14" s="346"/>
      <c r="Y14" s="346"/>
      <c r="Z14" s="346"/>
      <c r="AA14" s="346"/>
      <c r="AB14" s="346"/>
      <c r="AC14" s="346"/>
      <c r="AD14" s="346"/>
      <c r="AE14" s="346"/>
      <c r="AF14" s="346"/>
      <c r="AG14" s="346"/>
      <c r="AH14" s="346"/>
      <c r="AI14" s="346"/>
      <c r="AJ14" s="346"/>
      <c r="AK14" s="346"/>
      <c r="AL14" s="346"/>
      <c r="AM14" s="346"/>
      <c r="AN14" s="346"/>
      <c r="AO14" s="346"/>
      <c r="AP14" s="346"/>
      <c r="AQ14" s="346"/>
      <c r="AR14" s="346"/>
      <c r="AS14" s="346"/>
      <c r="AT14" s="346"/>
      <c r="AU14" s="346"/>
      <c r="AV14">
        <f t="shared" si="0"/>
        <v>22</v>
      </c>
      <c r="AW14" s="351">
        <f t="shared" si="1"/>
        <v>3.6202073391476057E-3</v>
      </c>
    </row>
    <row r="15" spans="1:49">
      <c r="A15" s="165">
        <v>46034</v>
      </c>
      <c r="B15"/>
      <c r="C15"/>
      <c r="D15"/>
      <c r="E15"/>
      <c r="F15"/>
      <c r="G15"/>
      <c r="H15"/>
      <c r="I15"/>
      <c r="J15"/>
      <c r="K15"/>
      <c r="L15"/>
      <c r="M15"/>
      <c r="N15"/>
      <c r="O15"/>
      <c r="P15"/>
      <c r="Q15"/>
      <c r="R15"/>
      <c r="S15">
        <f>2+2+3+3+3+3</f>
        <v>16</v>
      </c>
      <c r="T15"/>
      <c r="U15"/>
      <c r="V15"/>
      <c r="W15"/>
      <c r="X15"/>
      <c r="Y15"/>
      <c r="Z15"/>
      <c r="AA15"/>
      <c r="AB15"/>
      <c r="AC15"/>
      <c r="AD15"/>
      <c r="AE15"/>
      <c r="AF15"/>
      <c r="AG15"/>
      <c r="AH15"/>
      <c r="AI15"/>
      <c r="AJ15"/>
      <c r="AK15"/>
      <c r="AL15"/>
      <c r="AM15"/>
      <c r="AN15"/>
      <c r="AO15"/>
      <c r="AP15"/>
      <c r="AQ15"/>
      <c r="AR15"/>
      <c r="AS15"/>
      <c r="AT15"/>
      <c r="AU15"/>
      <c r="AV15">
        <f t="shared" si="0"/>
        <v>16</v>
      </c>
      <c r="AW15" s="351">
        <f t="shared" si="1"/>
        <v>2.6328780648346224E-3</v>
      </c>
    </row>
    <row r="16" spans="1:49">
      <c r="A16" s="165">
        <v>46034</v>
      </c>
      <c r="B16" s="346"/>
      <c r="C16" s="346"/>
      <c r="D16" s="346"/>
      <c r="E16" s="346"/>
      <c r="F16" s="346"/>
      <c r="G16" s="346"/>
      <c r="H16" s="346"/>
      <c r="I16" s="346"/>
      <c r="J16" s="346"/>
      <c r="K16" s="346"/>
      <c r="L16" s="346"/>
      <c r="M16" s="346"/>
      <c r="N16" s="346"/>
      <c r="O16" s="346"/>
      <c r="P16" s="346"/>
      <c r="Q16" s="346"/>
      <c r="R16" s="346"/>
      <c r="S16" s="346">
        <f>2</f>
        <v>2</v>
      </c>
      <c r="T16" s="346"/>
      <c r="U16" s="346"/>
      <c r="V16" s="346"/>
      <c r="W16" s="346"/>
      <c r="X16" s="346"/>
      <c r="Y16" s="346"/>
      <c r="Z16" s="346"/>
      <c r="AA16" s="346"/>
      <c r="AB16" s="346"/>
      <c r="AC16" s="346"/>
      <c r="AD16" s="346">
        <f>3</f>
        <v>3</v>
      </c>
      <c r="AE16" s="346"/>
      <c r="AF16" s="346"/>
      <c r="AG16" s="346"/>
      <c r="AH16" s="346"/>
      <c r="AI16" s="346"/>
      <c r="AJ16" s="346"/>
      <c r="AK16" s="346"/>
      <c r="AL16" s="346"/>
      <c r="AM16" s="346"/>
      <c r="AN16" s="346"/>
      <c r="AO16" s="346"/>
      <c r="AP16" s="346"/>
      <c r="AQ16" s="346"/>
      <c r="AR16" s="346"/>
      <c r="AS16" s="346"/>
      <c r="AT16" s="346"/>
      <c r="AU16" s="346"/>
      <c r="AV16">
        <f t="shared" si="0"/>
        <v>5</v>
      </c>
      <c r="AW16" s="351">
        <f t="shared" si="1"/>
        <v>8.2277439526081948E-4</v>
      </c>
    </row>
    <row r="17" spans="1:49">
      <c r="A17" s="165">
        <v>46035</v>
      </c>
      <c r="B17"/>
      <c r="C17"/>
      <c r="D17"/>
      <c r="E17"/>
      <c r="F17"/>
      <c r="G17"/>
      <c r="H17"/>
      <c r="I17"/>
      <c r="J17"/>
      <c r="K17"/>
      <c r="L17"/>
      <c r="M17"/>
      <c r="N17"/>
      <c r="O17"/>
      <c r="P17"/>
      <c r="Q17"/>
      <c r="R17"/>
      <c r="S17">
        <f>2+3</f>
        <v>5</v>
      </c>
      <c r="T17"/>
      <c r="U17"/>
      <c r="V17">
        <f>3</f>
        <v>3</v>
      </c>
      <c r="W17"/>
      <c r="X17"/>
      <c r="Y17"/>
      <c r="Z17"/>
      <c r="AA17"/>
      <c r="AB17"/>
      <c r="AC17"/>
      <c r="AD17"/>
      <c r="AE17"/>
      <c r="AF17"/>
      <c r="AG17"/>
      <c r="AH17">
        <f>57+50+10</f>
        <v>117</v>
      </c>
      <c r="AI17"/>
      <c r="AJ17"/>
      <c r="AK17"/>
      <c r="AL17"/>
      <c r="AM17"/>
      <c r="AN17"/>
      <c r="AO17"/>
      <c r="AP17"/>
      <c r="AQ17"/>
      <c r="AR17"/>
      <c r="AS17"/>
      <c r="AT17"/>
      <c r="AU17"/>
      <c r="AV17">
        <f t="shared" si="0"/>
        <v>125</v>
      </c>
      <c r="AW17" s="351">
        <f t="shared" si="1"/>
        <v>2.0569359881520487E-2</v>
      </c>
    </row>
    <row r="18" spans="1:49">
      <c r="A18" s="165">
        <v>46035</v>
      </c>
      <c r="B18" s="346"/>
      <c r="C18" s="346"/>
      <c r="D18" s="346"/>
      <c r="E18" s="346"/>
      <c r="F18" s="346"/>
      <c r="G18" s="346"/>
      <c r="H18" s="346"/>
      <c r="I18" s="346"/>
      <c r="J18" s="346"/>
      <c r="K18" s="346"/>
      <c r="L18" s="346"/>
      <c r="M18" s="346"/>
      <c r="N18" s="346"/>
      <c r="O18" s="346"/>
      <c r="P18" s="346"/>
      <c r="Q18" s="346"/>
      <c r="R18" s="346"/>
      <c r="S18" s="346">
        <f>3+3</f>
        <v>6</v>
      </c>
      <c r="T18" s="346"/>
      <c r="U18" s="346"/>
      <c r="V18" s="346"/>
      <c r="W18" s="346"/>
      <c r="X18" s="346"/>
      <c r="Y18" s="346"/>
      <c r="Z18" s="346"/>
      <c r="AA18" s="346"/>
      <c r="AB18" s="346"/>
      <c r="AC18" s="346"/>
      <c r="AD18" s="346"/>
      <c r="AE18" s="346"/>
      <c r="AF18" s="346"/>
      <c r="AG18" s="346"/>
      <c r="AH18" s="346">
        <f>7+7+33</f>
        <v>47</v>
      </c>
      <c r="AI18" s="346"/>
      <c r="AJ18" s="346"/>
      <c r="AK18" s="346"/>
      <c r="AL18" s="346"/>
      <c r="AM18" s="346"/>
      <c r="AN18" s="346"/>
      <c r="AO18" s="346"/>
      <c r="AP18" s="346"/>
      <c r="AQ18" s="346"/>
      <c r="AR18" s="346"/>
      <c r="AS18" s="346"/>
      <c r="AT18" s="346"/>
      <c r="AU18" s="346"/>
      <c r="AV18">
        <f t="shared" si="0"/>
        <v>53</v>
      </c>
      <c r="AW18" s="351">
        <f t="shared" si="1"/>
        <v>8.7214085897646867E-3</v>
      </c>
    </row>
    <row r="19" spans="1:49">
      <c r="A19" s="165">
        <v>46036</v>
      </c>
      <c r="B19"/>
      <c r="C19"/>
      <c r="D19"/>
      <c r="E19"/>
      <c r="F19">
        <f>3</f>
        <v>3</v>
      </c>
      <c r="G19"/>
      <c r="H19"/>
      <c r="I19"/>
      <c r="J19"/>
      <c r="K19"/>
      <c r="L19"/>
      <c r="M19"/>
      <c r="N19"/>
      <c r="O19"/>
      <c r="P19"/>
      <c r="Q19"/>
      <c r="R19"/>
      <c r="S19">
        <f>2+2</f>
        <v>4</v>
      </c>
      <c r="T19"/>
      <c r="U19"/>
      <c r="V19"/>
      <c r="W19"/>
      <c r="X19"/>
      <c r="Y19"/>
      <c r="Z19"/>
      <c r="AA19"/>
      <c r="AB19"/>
      <c r="AC19"/>
      <c r="AD19"/>
      <c r="AE19"/>
      <c r="AF19"/>
      <c r="AG19"/>
      <c r="AH19"/>
      <c r="AI19"/>
      <c r="AJ19"/>
      <c r="AK19"/>
      <c r="AL19"/>
      <c r="AM19"/>
      <c r="AN19"/>
      <c r="AO19"/>
      <c r="AP19"/>
      <c r="AQ19"/>
      <c r="AR19"/>
      <c r="AS19"/>
      <c r="AT19"/>
      <c r="AU19"/>
      <c r="AV19">
        <f t="shared" si="0"/>
        <v>7</v>
      </c>
      <c r="AW19" s="351">
        <f t="shared" si="1"/>
        <v>1.1518841533651473E-3</v>
      </c>
    </row>
    <row r="20" spans="1:49">
      <c r="A20" s="165">
        <v>46036</v>
      </c>
      <c r="B20" s="346"/>
      <c r="C20" s="346"/>
      <c r="D20" s="346"/>
      <c r="E20" s="346"/>
      <c r="F20" s="346"/>
      <c r="G20" s="346"/>
      <c r="H20" s="346"/>
      <c r="I20" s="346"/>
      <c r="J20" s="346"/>
      <c r="K20" s="346"/>
      <c r="L20" s="346"/>
      <c r="M20" s="346"/>
      <c r="N20" s="346"/>
      <c r="O20" s="346"/>
      <c r="P20" s="346"/>
      <c r="Q20" s="346"/>
      <c r="R20" s="346">
        <f>5+11</f>
        <v>16</v>
      </c>
      <c r="S20" s="346">
        <f>2+1+1+2+3+2</f>
        <v>11</v>
      </c>
      <c r="T20" s="346"/>
      <c r="U20" s="346"/>
      <c r="V20" s="346"/>
      <c r="W20" s="346"/>
      <c r="X20" s="346"/>
      <c r="Y20" s="346"/>
      <c r="Z20" s="346"/>
      <c r="AA20" s="346"/>
      <c r="AB20" s="346"/>
      <c r="AC20" s="346"/>
      <c r="AD20" s="346"/>
      <c r="AE20" s="346"/>
      <c r="AF20" s="346"/>
      <c r="AG20" s="346"/>
      <c r="AH20" s="346">
        <f>15+5</f>
        <v>20</v>
      </c>
      <c r="AI20" s="346"/>
      <c r="AJ20" s="346"/>
      <c r="AK20" s="346"/>
      <c r="AL20" s="346"/>
      <c r="AM20" s="346"/>
      <c r="AN20" s="346"/>
      <c r="AO20" s="346"/>
      <c r="AP20" s="346"/>
      <c r="AQ20" s="346"/>
      <c r="AR20" s="346"/>
      <c r="AS20" s="346"/>
      <c r="AT20" s="346"/>
      <c r="AU20" s="346"/>
      <c r="AV20">
        <f t="shared" si="0"/>
        <v>47</v>
      </c>
      <c r="AW20" s="351">
        <f t="shared" si="1"/>
        <v>7.7340793154517034E-3</v>
      </c>
    </row>
    <row r="21" spans="1:49">
      <c r="A21" s="165">
        <v>46037</v>
      </c>
      <c r="B21"/>
      <c r="C21"/>
      <c r="D21"/>
      <c r="E21"/>
      <c r="F21"/>
      <c r="G21"/>
      <c r="H21"/>
      <c r="I21"/>
      <c r="J21"/>
      <c r="K21"/>
      <c r="L21"/>
      <c r="M21"/>
      <c r="N21"/>
      <c r="O21"/>
      <c r="P21"/>
      <c r="Q21"/>
      <c r="R21">
        <f>2</f>
        <v>2</v>
      </c>
      <c r="S21">
        <f>2+1+2</f>
        <v>5</v>
      </c>
      <c r="T21"/>
      <c r="U21"/>
      <c r="V21"/>
      <c r="W21"/>
      <c r="X21"/>
      <c r="Y21"/>
      <c r="Z21"/>
      <c r="AA21"/>
      <c r="AB21"/>
      <c r="AC21">
        <v>1</v>
      </c>
      <c r="AD21"/>
      <c r="AE21"/>
      <c r="AF21"/>
      <c r="AG21"/>
      <c r="AH21"/>
      <c r="AI21"/>
      <c r="AJ21"/>
      <c r="AK21"/>
      <c r="AL21"/>
      <c r="AM21"/>
      <c r="AN21"/>
      <c r="AO21"/>
      <c r="AP21"/>
      <c r="AQ21"/>
      <c r="AR21"/>
      <c r="AS21"/>
      <c r="AT21"/>
      <c r="AU21"/>
      <c r="AV21">
        <f t="shared" si="0"/>
        <v>8</v>
      </c>
      <c r="AW21" s="351">
        <f t="shared" si="1"/>
        <v>1.3164390324173112E-3</v>
      </c>
    </row>
    <row r="22" spans="1:49">
      <c r="A22" s="165">
        <v>46037</v>
      </c>
      <c r="B22" s="346"/>
      <c r="C22" s="346"/>
      <c r="D22" s="346"/>
      <c r="E22" s="346"/>
      <c r="F22" s="346"/>
      <c r="G22" s="346"/>
      <c r="H22" s="346"/>
      <c r="I22" s="346"/>
      <c r="J22" s="346"/>
      <c r="K22" s="346"/>
      <c r="L22" s="346"/>
      <c r="M22" s="346"/>
      <c r="N22" s="346"/>
      <c r="O22" s="346"/>
      <c r="P22" s="346"/>
      <c r="Q22" s="346"/>
      <c r="R22" s="346"/>
      <c r="S22" s="346">
        <v>2</v>
      </c>
      <c r="T22" s="346"/>
      <c r="U22" s="346"/>
      <c r="V22" s="346"/>
      <c r="W22" s="346"/>
      <c r="X22" s="346"/>
      <c r="Y22" s="346"/>
      <c r="Z22"/>
      <c r="AA22" s="346"/>
      <c r="AB22" s="346"/>
      <c r="AC22" s="346"/>
      <c r="AD22" s="346"/>
      <c r="AE22" s="346"/>
      <c r="AF22" s="346"/>
      <c r="AG22" s="346"/>
      <c r="AH22" s="346"/>
      <c r="AI22" s="346"/>
      <c r="AJ22" s="346"/>
      <c r="AK22" s="346"/>
      <c r="AL22" s="346"/>
      <c r="AM22" s="346"/>
      <c r="AN22" s="346"/>
      <c r="AO22" s="346"/>
      <c r="AP22" s="346"/>
      <c r="AQ22" s="346"/>
      <c r="AR22" s="346"/>
      <c r="AS22" s="346"/>
      <c r="AT22" s="346"/>
      <c r="AU22" s="346"/>
      <c r="AV22">
        <f t="shared" si="0"/>
        <v>2</v>
      </c>
      <c r="AW22" s="351">
        <f t="shared" si="1"/>
        <v>3.291097581043278E-4</v>
      </c>
    </row>
    <row r="23" spans="1:49">
      <c r="A23" s="165">
        <v>46038</v>
      </c>
      <c r="B23"/>
      <c r="C23"/>
      <c r="D23"/>
      <c r="E23"/>
      <c r="F23"/>
      <c r="G23"/>
      <c r="H23"/>
      <c r="I23"/>
      <c r="J23"/>
      <c r="K23"/>
      <c r="L23"/>
      <c r="M23"/>
      <c r="N23"/>
      <c r="O23"/>
      <c r="P23"/>
      <c r="Q23"/>
      <c r="R23"/>
      <c r="S23">
        <f>2+2</f>
        <v>4</v>
      </c>
      <c r="T23"/>
      <c r="U23"/>
      <c r="V23"/>
      <c r="W23"/>
      <c r="X23"/>
      <c r="Y23"/>
      <c r="AA23"/>
      <c r="AB23"/>
      <c r="AC23"/>
      <c r="AD23"/>
      <c r="AE23"/>
      <c r="AF23"/>
      <c r="AG23"/>
      <c r="AH23"/>
      <c r="AI23"/>
      <c r="AJ23"/>
      <c r="AK23"/>
      <c r="AL23"/>
      <c r="AM23"/>
      <c r="AN23"/>
      <c r="AO23"/>
      <c r="AP23"/>
      <c r="AQ23"/>
      <c r="AR23"/>
      <c r="AS23"/>
      <c r="AT23"/>
      <c r="AU23"/>
      <c r="AV23">
        <f t="shared" si="0"/>
        <v>4</v>
      </c>
      <c r="AW23" s="351">
        <f t="shared" si="1"/>
        <v>6.5821951620865561E-4</v>
      </c>
    </row>
    <row r="24" spans="1:49">
      <c r="A24" s="165">
        <v>46038</v>
      </c>
      <c r="B24" s="346"/>
      <c r="C24" s="346"/>
      <c r="D24" s="346"/>
      <c r="E24" s="346"/>
      <c r="F24" s="346"/>
      <c r="G24" s="346"/>
      <c r="H24" s="346"/>
      <c r="I24" s="346"/>
      <c r="J24" s="346"/>
      <c r="K24" s="346"/>
      <c r="L24" s="346"/>
      <c r="M24" s="346"/>
      <c r="N24" s="346"/>
      <c r="O24" s="346"/>
      <c r="P24" s="346"/>
      <c r="Q24" s="346"/>
      <c r="R24" s="346"/>
      <c r="S24" s="346">
        <f>2+2+1+2+3+2</f>
        <v>12</v>
      </c>
      <c r="T24" s="346"/>
      <c r="U24" s="346"/>
      <c r="V24" s="346"/>
      <c r="W24" s="346"/>
      <c r="X24" s="346"/>
      <c r="Y24" s="346"/>
      <c r="Z24" s="346"/>
      <c r="AA24" s="346"/>
      <c r="AB24" s="346"/>
      <c r="AC24" s="346"/>
      <c r="AD24" s="346">
        <f>2</f>
        <v>2</v>
      </c>
      <c r="AE24" s="346"/>
      <c r="AF24" s="346"/>
      <c r="AG24" s="346"/>
      <c r="AH24" s="346"/>
      <c r="AI24" s="346"/>
      <c r="AJ24" s="346"/>
      <c r="AK24" s="346"/>
      <c r="AL24" s="346"/>
      <c r="AM24" s="346"/>
      <c r="AN24" s="346"/>
      <c r="AO24" s="346"/>
      <c r="AP24" s="346"/>
      <c r="AQ24" s="346"/>
      <c r="AR24" s="346"/>
      <c r="AS24" s="346"/>
      <c r="AT24" s="346"/>
      <c r="AU24" s="346"/>
      <c r="AV24">
        <f t="shared" si="0"/>
        <v>14</v>
      </c>
      <c r="AW24" s="351">
        <f t="shared" si="1"/>
        <v>2.3037683067302947E-3</v>
      </c>
    </row>
    <row r="25" spans="1:49" ht="12" customHeight="1">
      <c r="A25" s="165">
        <v>46041</v>
      </c>
      <c r="B25"/>
      <c r="C25"/>
      <c r="D25"/>
      <c r="E25"/>
      <c r="F25"/>
      <c r="G25"/>
      <c r="H25"/>
      <c r="I25"/>
      <c r="J25"/>
      <c r="K25"/>
      <c r="L25"/>
      <c r="M25"/>
      <c r="N25"/>
      <c r="O25"/>
      <c r="P25"/>
      <c r="Q25"/>
      <c r="R25"/>
      <c r="S25">
        <f>3+5+3+4+1+1+2+1+1+1+1+1+1+1+2+1+1+2+2</f>
        <v>34</v>
      </c>
      <c r="T25"/>
      <c r="U25"/>
      <c r="V25"/>
      <c r="W25">
        <v>3</v>
      </c>
      <c r="X25"/>
      <c r="Y25">
        <f>1</f>
        <v>1</v>
      </c>
      <c r="Z25"/>
      <c r="AA25"/>
      <c r="AB25"/>
      <c r="AC25"/>
      <c r="AD25"/>
      <c r="AE25"/>
      <c r="AF25"/>
      <c r="AG25"/>
      <c r="AH25"/>
      <c r="AI25"/>
      <c r="AJ25"/>
      <c r="AK25"/>
      <c r="AL25"/>
      <c r="AM25"/>
      <c r="AN25"/>
      <c r="AO25"/>
      <c r="AP25"/>
      <c r="AQ25"/>
      <c r="AR25"/>
      <c r="AS25"/>
      <c r="AT25"/>
      <c r="AU25"/>
      <c r="AV25">
        <f t="shared" si="0"/>
        <v>38</v>
      </c>
      <c r="AW25" s="351">
        <f t="shared" si="1"/>
        <v>6.2530854039822281E-3</v>
      </c>
    </row>
    <row r="26" spans="1:49">
      <c r="A26" s="165">
        <v>46041</v>
      </c>
      <c r="B26" s="346"/>
      <c r="C26" s="346"/>
      <c r="D26" s="346"/>
      <c r="E26" s="346"/>
      <c r="F26" s="346"/>
      <c r="G26" s="346"/>
      <c r="H26" s="346"/>
      <c r="I26" s="346"/>
      <c r="J26" s="346"/>
      <c r="K26" s="346"/>
      <c r="L26" s="346"/>
      <c r="M26" s="346"/>
      <c r="N26" s="346"/>
      <c r="O26" s="346"/>
      <c r="P26" s="346"/>
      <c r="Q26" s="346"/>
      <c r="R26" s="346"/>
      <c r="S26" s="346">
        <f>2+1+2+1</f>
        <v>6</v>
      </c>
      <c r="T26" s="346"/>
      <c r="U26" s="346"/>
      <c r="V26" s="346"/>
      <c r="W26" s="346"/>
      <c r="X26" s="346"/>
      <c r="Y26" s="346"/>
      <c r="Z26" s="346"/>
      <c r="AA26" s="346"/>
      <c r="AB26" s="346"/>
      <c r="AC26" s="346"/>
      <c r="AD26" s="346"/>
      <c r="AE26" s="346"/>
      <c r="AF26" s="346"/>
      <c r="AG26" s="346"/>
      <c r="AH26" s="346"/>
      <c r="AI26" s="346"/>
      <c r="AJ26" s="346"/>
      <c r="AK26" s="346"/>
      <c r="AL26" s="346"/>
      <c r="AM26" s="346"/>
      <c r="AN26" s="346"/>
      <c r="AO26" s="346"/>
      <c r="AP26" s="346"/>
      <c r="AQ26" s="346"/>
      <c r="AR26" s="346"/>
      <c r="AS26" s="346"/>
      <c r="AT26" s="346"/>
      <c r="AU26" s="346"/>
      <c r="AV26">
        <f t="shared" si="0"/>
        <v>6</v>
      </c>
      <c r="AW26" s="351">
        <f t="shared" si="1"/>
        <v>9.8732927431298347E-4</v>
      </c>
    </row>
    <row r="27" spans="1:49">
      <c r="A27" s="139">
        <v>46042</v>
      </c>
      <c r="B27"/>
      <c r="C27"/>
      <c r="D27"/>
      <c r="E27"/>
      <c r="F27"/>
      <c r="G27"/>
      <c r="H27"/>
      <c r="I27"/>
      <c r="J27"/>
      <c r="K27"/>
      <c r="L27"/>
      <c r="M27"/>
      <c r="N27"/>
      <c r="O27"/>
      <c r="P27"/>
      <c r="Q27"/>
      <c r="R27">
        <f>2</f>
        <v>2</v>
      </c>
      <c r="S27">
        <f>2+3+2+3+3+1+1</f>
        <v>15</v>
      </c>
      <c r="T27"/>
      <c r="U27"/>
      <c r="V27"/>
      <c r="W27"/>
      <c r="X27"/>
      <c r="Y27"/>
      <c r="Z27"/>
      <c r="AA27"/>
      <c r="AB27"/>
      <c r="AC27"/>
      <c r="AD27">
        <f>5+3+3</f>
        <v>11</v>
      </c>
      <c r="AE27"/>
      <c r="AF27"/>
      <c r="AG27"/>
      <c r="AH27"/>
      <c r="AI27"/>
      <c r="AJ27"/>
      <c r="AK27"/>
      <c r="AL27"/>
      <c r="AM27"/>
      <c r="AN27"/>
      <c r="AO27"/>
      <c r="AP27"/>
      <c r="AQ27"/>
      <c r="AR27"/>
      <c r="AS27"/>
      <c r="AT27"/>
      <c r="AU27"/>
      <c r="AV27">
        <f t="shared" si="0"/>
        <v>28</v>
      </c>
      <c r="AW27" s="351">
        <f t="shared" si="1"/>
        <v>4.6075366134605894E-3</v>
      </c>
    </row>
    <row r="28" spans="1:49">
      <c r="A28" s="139">
        <v>46042</v>
      </c>
      <c r="B28" s="346"/>
      <c r="C28" s="346"/>
      <c r="D28" s="346"/>
      <c r="E28" s="346"/>
      <c r="F28" s="346"/>
      <c r="G28" s="346"/>
      <c r="H28" s="346"/>
      <c r="I28" s="346"/>
      <c r="J28" s="346"/>
      <c r="K28" s="346"/>
      <c r="L28" s="346"/>
      <c r="M28" s="346"/>
      <c r="N28" s="346"/>
      <c r="O28" s="346"/>
      <c r="P28" s="346"/>
      <c r="Q28" s="346"/>
      <c r="R28" s="346"/>
      <c r="S28" s="346"/>
      <c r="T28" s="346"/>
      <c r="U28" s="346"/>
      <c r="V28" s="346"/>
      <c r="W28" s="346"/>
      <c r="X28" s="346"/>
      <c r="Y28" s="346"/>
      <c r="Z28" s="346">
        <f>3</f>
        <v>3</v>
      </c>
      <c r="AA28" s="346"/>
      <c r="AB28" s="346"/>
      <c r="AC28" s="346"/>
      <c r="AD28" s="346">
        <f>1</f>
        <v>1</v>
      </c>
      <c r="AE28" s="346"/>
      <c r="AF28" s="346"/>
      <c r="AG28" s="346"/>
      <c r="AH28" s="346"/>
      <c r="AI28" s="346"/>
      <c r="AJ28" s="346"/>
      <c r="AK28" s="346"/>
      <c r="AL28" s="346"/>
      <c r="AM28" s="346"/>
      <c r="AN28" s="346"/>
      <c r="AO28" s="346"/>
      <c r="AP28" s="346"/>
      <c r="AQ28" s="346"/>
      <c r="AR28" s="346"/>
      <c r="AS28" s="346"/>
      <c r="AT28" s="346"/>
      <c r="AU28" s="346"/>
      <c r="AV28">
        <f t="shared" si="0"/>
        <v>4</v>
      </c>
      <c r="AW28" s="351">
        <f t="shared" si="1"/>
        <v>6.5821951620865561E-4</v>
      </c>
    </row>
    <row r="29" spans="1:49">
      <c r="A29" s="165">
        <v>46043</v>
      </c>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f t="shared" si="0"/>
        <v>0</v>
      </c>
      <c r="AW29" s="351">
        <f t="shared" si="1"/>
        <v>0</v>
      </c>
    </row>
    <row r="30" spans="1:49" ht="13.5" customHeight="1">
      <c r="A30" s="165">
        <v>46043</v>
      </c>
      <c r="B30" s="346"/>
      <c r="C30" s="346"/>
      <c r="D30" s="346"/>
      <c r="E30" s="346"/>
      <c r="F30" s="346"/>
      <c r="G30" s="346"/>
      <c r="H30" s="346"/>
      <c r="I30" s="346"/>
      <c r="J30" s="346"/>
      <c r="K30" s="346"/>
      <c r="L30" s="346"/>
      <c r="M30" s="346"/>
      <c r="N30" s="346"/>
      <c r="O30" s="346"/>
      <c r="P30" s="346"/>
      <c r="Q30" s="346"/>
      <c r="R30" s="346"/>
      <c r="S30" s="346"/>
      <c r="T30" s="346"/>
      <c r="U30" s="346"/>
      <c r="V30" s="346"/>
      <c r="W30" s="346"/>
      <c r="X30" s="346"/>
      <c r="Y30" s="346"/>
      <c r="Z30" s="346"/>
      <c r="AA30" s="346"/>
      <c r="AB30" s="346"/>
      <c r="AC30" s="346"/>
      <c r="AD30" s="346"/>
      <c r="AE30" s="346"/>
      <c r="AF30" s="346"/>
      <c r="AG30" s="346"/>
      <c r="AH30" s="346"/>
      <c r="AI30" s="346"/>
      <c r="AJ30" s="346"/>
      <c r="AK30" s="346"/>
      <c r="AL30" s="346"/>
      <c r="AM30" s="346"/>
      <c r="AN30" s="346"/>
      <c r="AO30" s="346"/>
      <c r="AP30" s="346"/>
      <c r="AQ30" s="346"/>
      <c r="AR30" s="346"/>
      <c r="AS30" s="346"/>
      <c r="AT30" s="346"/>
      <c r="AU30" s="346"/>
      <c r="AV30">
        <f t="shared" si="0"/>
        <v>0</v>
      </c>
      <c r="AW30" s="351">
        <f t="shared" si="1"/>
        <v>0</v>
      </c>
    </row>
    <row r="31" spans="1:49">
      <c r="A31" s="165">
        <v>46043</v>
      </c>
      <c r="B31"/>
      <c r="C31"/>
      <c r="D31"/>
      <c r="E31"/>
      <c r="F31"/>
      <c r="G31"/>
      <c r="H31"/>
      <c r="I31"/>
      <c r="J31"/>
      <c r="K31"/>
      <c r="L31"/>
      <c r="M31"/>
      <c r="N31"/>
      <c r="O31"/>
      <c r="P31"/>
      <c r="Q31"/>
      <c r="R31"/>
      <c r="S31"/>
      <c r="T31"/>
      <c r="U31"/>
      <c r="V31"/>
      <c r="W31"/>
      <c r="X31"/>
      <c r="Y31"/>
      <c r="Z31"/>
      <c r="AA31"/>
      <c r="AB31"/>
      <c r="AC31"/>
      <c r="AD31"/>
      <c r="AE31">
        <v>2</v>
      </c>
      <c r="AF31"/>
      <c r="AG31"/>
      <c r="AH31"/>
      <c r="AI31"/>
      <c r="AJ31"/>
      <c r="AK31"/>
      <c r="AL31"/>
      <c r="AM31"/>
      <c r="AN31"/>
      <c r="AO31"/>
      <c r="AP31"/>
      <c r="AQ31"/>
      <c r="AR31"/>
      <c r="AS31"/>
      <c r="AT31"/>
      <c r="AU31"/>
      <c r="AV31">
        <f t="shared" si="0"/>
        <v>2</v>
      </c>
      <c r="AW31" s="351">
        <f t="shared" si="1"/>
        <v>3.291097581043278E-4</v>
      </c>
    </row>
    <row r="32" spans="1:49">
      <c r="A32" s="165">
        <v>46043</v>
      </c>
      <c r="B32" s="346"/>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46"/>
      <c r="AH32" s="346"/>
      <c r="AI32" s="346"/>
      <c r="AJ32" s="346"/>
      <c r="AK32" s="346"/>
      <c r="AL32" s="346"/>
      <c r="AM32" s="346"/>
      <c r="AN32" s="346"/>
      <c r="AO32" s="346"/>
      <c r="AP32" s="346"/>
      <c r="AQ32" s="346"/>
      <c r="AR32" s="346"/>
      <c r="AS32" s="346"/>
      <c r="AT32" s="346"/>
      <c r="AU32" s="346"/>
      <c r="AV32">
        <f t="shared" si="0"/>
        <v>0</v>
      </c>
      <c r="AW32" s="351">
        <f t="shared" si="1"/>
        <v>0</v>
      </c>
    </row>
    <row r="33" spans="1:49">
      <c r="A33" s="165">
        <v>46044</v>
      </c>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f t="shared" si="0"/>
        <v>0</v>
      </c>
      <c r="AW33" s="351">
        <f t="shared" si="1"/>
        <v>0</v>
      </c>
    </row>
    <row r="34" spans="1:49">
      <c r="A34" s="165">
        <v>46045</v>
      </c>
      <c r="B34" s="346"/>
      <c r="C34" s="346"/>
      <c r="D34" s="346"/>
      <c r="E34" s="346"/>
      <c r="F34" s="346"/>
      <c r="G34" s="346"/>
      <c r="H34" s="346"/>
      <c r="I34" s="346"/>
      <c r="J34" s="346"/>
      <c r="K34" s="346"/>
      <c r="L34" s="346"/>
      <c r="M34" s="346"/>
      <c r="N34" s="346"/>
      <c r="O34" s="346"/>
      <c r="P34" s="346"/>
      <c r="Q34" s="346"/>
      <c r="R34" s="346"/>
      <c r="S34" s="346"/>
      <c r="T34" s="346"/>
      <c r="U34" s="346"/>
      <c r="V34" s="346"/>
      <c r="W34" s="346"/>
      <c r="X34" s="346"/>
      <c r="Y34" s="346"/>
      <c r="Z34" s="346"/>
      <c r="AA34" s="346"/>
      <c r="AB34" s="346"/>
      <c r="AC34" s="346"/>
      <c r="AD34" s="346"/>
      <c r="AE34" s="346"/>
      <c r="AF34" s="346"/>
      <c r="AG34" s="346"/>
      <c r="AH34" s="346"/>
      <c r="AI34" s="346"/>
      <c r="AJ34" s="346"/>
      <c r="AK34" s="346"/>
      <c r="AL34" s="346"/>
      <c r="AM34" s="346"/>
      <c r="AN34" s="346"/>
      <c r="AO34" s="346"/>
      <c r="AP34" s="346"/>
      <c r="AQ34" s="346"/>
      <c r="AR34" s="346"/>
      <c r="AS34" s="346"/>
      <c r="AT34" s="346"/>
      <c r="AU34" s="346"/>
      <c r="AV34">
        <f t="shared" si="0"/>
        <v>0</v>
      </c>
      <c r="AW34" s="351">
        <f t="shared" si="1"/>
        <v>0</v>
      </c>
    </row>
    <row r="35" spans="1:49">
      <c r="A35" s="165">
        <v>46045</v>
      </c>
      <c r="B35"/>
      <c r="C35"/>
      <c r="D35"/>
      <c r="E35"/>
      <c r="F35"/>
      <c r="G35"/>
      <c r="H35"/>
      <c r="I35"/>
      <c r="J35"/>
      <c r="K35"/>
      <c r="L35"/>
      <c r="M35"/>
      <c r="N35"/>
      <c r="O35"/>
      <c r="P35"/>
      <c r="Q35"/>
      <c r="R35"/>
      <c r="S35">
        <f>1</f>
        <v>1</v>
      </c>
      <c r="T35"/>
      <c r="U35"/>
      <c r="V35"/>
      <c r="W35"/>
      <c r="X35"/>
      <c r="Y35"/>
      <c r="Z35">
        <f>2</f>
        <v>2</v>
      </c>
      <c r="AA35"/>
      <c r="AB35"/>
      <c r="AC35"/>
      <c r="AD35"/>
      <c r="AE35"/>
      <c r="AF35"/>
      <c r="AG35"/>
      <c r="AH35"/>
      <c r="AI35"/>
      <c r="AJ35"/>
      <c r="AK35"/>
      <c r="AL35"/>
      <c r="AM35"/>
      <c r="AN35"/>
      <c r="AO35"/>
      <c r="AP35"/>
      <c r="AQ35"/>
      <c r="AR35"/>
      <c r="AS35"/>
      <c r="AT35"/>
      <c r="AU35"/>
      <c r="AV35">
        <f t="shared" si="0"/>
        <v>3</v>
      </c>
      <c r="AW35" s="351">
        <f t="shared" si="1"/>
        <v>4.9366463715649173E-4</v>
      </c>
    </row>
    <row r="36" spans="1:49">
      <c r="A36" s="165">
        <v>46045</v>
      </c>
      <c r="B36" s="346"/>
      <c r="C36" s="346"/>
      <c r="D36" s="346"/>
      <c r="E36" s="346"/>
      <c r="F36" s="346"/>
      <c r="G36" s="346"/>
      <c r="H36" s="346"/>
      <c r="I36" s="346"/>
      <c r="J36" s="346"/>
      <c r="K36" s="346"/>
      <c r="L36" s="346"/>
      <c r="M36" s="346"/>
      <c r="N36" s="346"/>
      <c r="O36" s="346"/>
      <c r="P36" s="346"/>
      <c r="Q36" s="346"/>
      <c r="R36" s="346"/>
      <c r="S36" s="346"/>
      <c r="T36" s="346"/>
      <c r="U36" s="346"/>
      <c r="V36" s="346"/>
      <c r="W36" s="346"/>
      <c r="X36" s="346"/>
      <c r="Y36" s="346"/>
      <c r="Z36" s="346"/>
      <c r="AA36" s="346"/>
      <c r="AB36" s="346"/>
      <c r="AC36" s="346"/>
      <c r="AD36" s="346"/>
      <c r="AE36" s="346"/>
      <c r="AF36" s="346"/>
      <c r="AG36" s="346"/>
      <c r="AH36" s="346"/>
      <c r="AI36" s="346"/>
      <c r="AJ36" s="346"/>
      <c r="AK36" s="346"/>
      <c r="AL36" s="346"/>
      <c r="AM36" s="346"/>
      <c r="AN36" s="346"/>
      <c r="AO36" s="346"/>
      <c r="AP36" s="346"/>
      <c r="AQ36" s="346"/>
      <c r="AR36" s="346"/>
      <c r="AS36" s="346"/>
      <c r="AT36" s="346"/>
      <c r="AU36" s="346"/>
      <c r="AV36">
        <f t="shared" si="0"/>
        <v>0</v>
      </c>
      <c r="AW36" s="351">
        <f t="shared" si="1"/>
        <v>0</v>
      </c>
    </row>
    <row r="37" spans="1:49">
      <c r="A37" s="165">
        <v>46045</v>
      </c>
      <c r="B37"/>
      <c r="C37"/>
      <c r="D37"/>
      <c r="E37"/>
      <c r="F37"/>
      <c r="G37"/>
      <c r="H37"/>
      <c r="I37"/>
      <c r="J37"/>
      <c r="K37"/>
      <c r="L37"/>
      <c r="M37"/>
      <c r="N37"/>
      <c r="O37"/>
      <c r="P37"/>
      <c r="Q37"/>
      <c r="R37"/>
      <c r="S37"/>
      <c r="T37"/>
      <c r="U37"/>
      <c r="V37"/>
      <c r="W37"/>
      <c r="X37"/>
      <c r="Y37"/>
      <c r="Z37"/>
      <c r="AA37"/>
      <c r="AB37"/>
      <c r="AC37"/>
      <c r="AD37"/>
      <c r="AE37"/>
      <c r="AF37"/>
      <c r="AG37"/>
      <c r="AH37"/>
      <c r="AI37"/>
      <c r="AJ37"/>
      <c r="AK37"/>
      <c r="AL37"/>
      <c r="AM37"/>
      <c r="AN37"/>
      <c r="AO37"/>
      <c r="AP37"/>
      <c r="AQ37"/>
      <c r="AR37"/>
      <c r="AS37"/>
      <c r="AT37"/>
      <c r="AU37"/>
      <c r="AV37">
        <f t="shared" si="0"/>
        <v>0</v>
      </c>
      <c r="AW37" s="351">
        <f t="shared" si="1"/>
        <v>0</v>
      </c>
    </row>
    <row r="38" spans="1:49">
      <c r="A38" s="165">
        <v>46048</v>
      </c>
      <c r="B38" s="346"/>
      <c r="C38" s="346"/>
      <c r="D38" s="346"/>
      <c r="E38" s="346"/>
      <c r="F38" s="346"/>
      <c r="G38" s="346"/>
      <c r="H38" s="346"/>
      <c r="I38" s="346"/>
      <c r="J38" s="346"/>
      <c r="K38" s="346"/>
      <c r="L38" s="346"/>
      <c r="M38" s="346"/>
      <c r="N38" s="346"/>
      <c r="O38" s="346"/>
      <c r="P38" s="346"/>
      <c r="Q38" s="346"/>
      <c r="R38" s="346">
        <v>2</v>
      </c>
      <c r="S38" s="346"/>
      <c r="T38" s="346"/>
      <c r="U38" s="346"/>
      <c r="V38" s="346"/>
      <c r="W38" s="346"/>
      <c r="X38" s="346"/>
      <c r="Y38" s="346"/>
      <c r="Z38" s="346"/>
      <c r="AA38" s="346"/>
      <c r="AB38" s="346"/>
      <c r="AC38" s="346"/>
      <c r="AD38" s="346"/>
      <c r="AE38" s="346"/>
      <c r="AF38" s="346"/>
      <c r="AG38" s="346"/>
      <c r="AH38" s="346"/>
      <c r="AI38" s="346"/>
      <c r="AJ38" s="346"/>
      <c r="AK38" s="346"/>
      <c r="AL38" s="346"/>
      <c r="AM38" s="346"/>
      <c r="AN38" s="346"/>
      <c r="AO38" s="346"/>
      <c r="AP38" s="346"/>
      <c r="AQ38" s="346"/>
      <c r="AR38" s="346"/>
      <c r="AS38" s="346"/>
      <c r="AT38" s="346"/>
      <c r="AU38" s="346"/>
      <c r="AV38">
        <f t="shared" ref="AV38:AV62" si="2">SUM(B38:AU38)</f>
        <v>2</v>
      </c>
      <c r="AW38" s="351">
        <f t="shared" si="1"/>
        <v>3.291097581043278E-4</v>
      </c>
    </row>
    <row r="39" spans="1:49">
      <c r="A39" s="165">
        <v>46048</v>
      </c>
      <c r="B39"/>
      <c r="C39"/>
      <c r="D39"/>
      <c r="E39"/>
      <c r="F39"/>
      <c r="G39"/>
      <c r="H39"/>
      <c r="I39"/>
      <c r="J39"/>
      <c r="K39"/>
      <c r="L39"/>
      <c r="M39"/>
      <c r="N39"/>
      <c r="O39"/>
      <c r="P39"/>
      <c r="Q39"/>
      <c r="R39">
        <f>4</f>
        <v>4</v>
      </c>
      <c r="S39">
        <f>3+2+2+2</f>
        <v>9</v>
      </c>
      <c r="T39"/>
      <c r="U39"/>
      <c r="V39"/>
      <c r="W39"/>
      <c r="X39"/>
      <c r="Y39"/>
      <c r="Z39"/>
      <c r="AA39"/>
      <c r="AB39"/>
      <c r="AC39"/>
      <c r="AD39"/>
      <c r="AE39"/>
      <c r="AF39"/>
      <c r="AG39"/>
      <c r="AH39"/>
      <c r="AI39"/>
      <c r="AJ39"/>
      <c r="AK39"/>
      <c r="AL39"/>
      <c r="AM39"/>
      <c r="AN39"/>
      <c r="AO39"/>
      <c r="AP39"/>
      <c r="AQ39"/>
      <c r="AR39"/>
      <c r="AS39"/>
      <c r="AT39"/>
      <c r="AU39"/>
      <c r="AV39">
        <f t="shared" si="2"/>
        <v>13</v>
      </c>
      <c r="AW39" s="351">
        <f t="shared" si="1"/>
        <v>2.1392134276781308E-3</v>
      </c>
    </row>
    <row r="40" spans="1:49">
      <c r="A40" s="165">
        <v>46049</v>
      </c>
      <c r="B40" s="346"/>
      <c r="C40" s="346"/>
      <c r="D40" s="346"/>
      <c r="E40" s="346"/>
      <c r="F40" s="346"/>
      <c r="G40" s="346"/>
      <c r="H40" s="346"/>
      <c r="I40" s="346"/>
      <c r="J40" s="346"/>
      <c r="K40" s="346"/>
      <c r="L40" s="346"/>
      <c r="M40" s="346"/>
      <c r="N40" s="346"/>
      <c r="O40" s="346"/>
      <c r="P40" s="346"/>
      <c r="Q40" s="346"/>
      <c r="R40" s="346"/>
      <c r="S40" s="346">
        <f>2+1+3</f>
        <v>6</v>
      </c>
      <c r="T40" s="346"/>
      <c r="U40" s="346"/>
      <c r="V40" s="346"/>
      <c r="W40" s="346"/>
      <c r="X40" s="346"/>
      <c r="Y40" s="346"/>
      <c r="Z40" s="346"/>
      <c r="AA40" s="346"/>
      <c r="AB40" s="346"/>
      <c r="AC40" s="346"/>
      <c r="AD40" s="346">
        <v>8</v>
      </c>
      <c r="AE40" s="346"/>
      <c r="AF40" s="346"/>
      <c r="AG40" s="346"/>
      <c r="AH40" s="346"/>
      <c r="AI40" s="346"/>
      <c r="AJ40" s="346"/>
      <c r="AK40" s="346"/>
      <c r="AL40" s="346"/>
      <c r="AM40" s="346"/>
      <c r="AN40" s="346"/>
      <c r="AO40" s="346"/>
      <c r="AP40" s="346"/>
      <c r="AQ40" s="346"/>
      <c r="AR40" s="346"/>
      <c r="AS40" s="346"/>
      <c r="AT40" s="346"/>
      <c r="AU40" s="346"/>
      <c r="AV40">
        <f t="shared" si="2"/>
        <v>14</v>
      </c>
      <c r="AW40" s="351">
        <f t="shared" si="1"/>
        <v>2.3037683067302947E-3</v>
      </c>
    </row>
    <row r="41" spans="1:49">
      <c r="A41" s="165">
        <v>46049</v>
      </c>
      <c r="B41"/>
      <c r="C41"/>
      <c r="D41"/>
      <c r="E41"/>
      <c r="F41"/>
      <c r="G41"/>
      <c r="H41"/>
      <c r="I41"/>
      <c r="J41"/>
      <c r="K41"/>
      <c r="L41"/>
      <c r="M41"/>
      <c r="N41"/>
      <c r="O41"/>
      <c r="P41"/>
      <c r="Q41"/>
      <c r="R41"/>
      <c r="S41"/>
      <c r="T41"/>
      <c r="U41"/>
      <c r="V41"/>
      <c r="W41"/>
      <c r="X41"/>
      <c r="Y41"/>
      <c r="Z41">
        <f>2+2+2</f>
        <v>6</v>
      </c>
      <c r="AA41"/>
      <c r="AB41"/>
      <c r="AC41"/>
      <c r="AD41"/>
      <c r="AE41"/>
      <c r="AF41"/>
      <c r="AG41"/>
      <c r="AH41"/>
      <c r="AI41"/>
      <c r="AJ41"/>
      <c r="AK41"/>
      <c r="AL41"/>
      <c r="AM41"/>
      <c r="AN41"/>
      <c r="AO41"/>
      <c r="AP41"/>
      <c r="AQ41"/>
      <c r="AR41"/>
      <c r="AS41"/>
      <c r="AT41"/>
      <c r="AU41"/>
      <c r="AV41">
        <f t="shared" si="2"/>
        <v>6</v>
      </c>
      <c r="AW41" s="351">
        <f t="shared" si="1"/>
        <v>9.8732927431298347E-4</v>
      </c>
    </row>
    <row r="42" spans="1:49">
      <c r="A42" s="165">
        <v>46050</v>
      </c>
      <c r="B42" s="346"/>
      <c r="C42" s="346"/>
      <c r="D42" s="346"/>
      <c r="E42" s="346"/>
      <c r="F42" s="346"/>
      <c r="G42" s="346"/>
      <c r="H42" s="346"/>
      <c r="I42" s="346"/>
      <c r="J42" s="346"/>
      <c r="K42" s="346"/>
      <c r="L42" s="346"/>
      <c r="M42" s="346"/>
      <c r="N42" s="346"/>
      <c r="O42" s="346"/>
      <c r="P42" s="346"/>
      <c r="Q42" s="346"/>
      <c r="R42" s="346">
        <f>2+1+2+2+1+2+1+1+1+1+2+2+2+3</f>
        <v>23</v>
      </c>
      <c r="S42" s="346">
        <f>2+2+1</f>
        <v>5</v>
      </c>
      <c r="T42" s="346"/>
      <c r="U42" s="346"/>
      <c r="V42" s="346"/>
      <c r="W42" s="346"/>
      <c r="X42" s="346"/>
      <c r="Y42" s="346"/>
      <c r="Z42" s="346"/>
      <c r="AA42" s="346"/>
      <c r="AB42" s="346"/>
      <c r="AC42" s="346"/>
      <c r="AD42" s="346"/>
      <c r="AE42" s="346"/>
      <c r="AF42" s="346"/>
      <c r="AG42" s="346"/>
      <c r="AH42" s="346"/>
      <c r="AI42" s="346"/>
      <c r="AJ42" s="346"/>
      <c r="AK42" s="346"/>
      <c r="AL42" s="346"/>
      <c r="AM42" s="346"/>
      <c r="AN42" s="346"/>
      <c r="AO42" s="346"/>
      <c r="AP42" s="346"/>
      <c r="AQ42" s="346"/>
      <c r="AR42" s="346"/>
      <c r="AS42" s="346"/>
      <c r="AT42" s="346"/>
      <c r="AU42" s="346"/>
      <c r="AV42">
        <f t="shared" si="2"/>
        <v>28</v>
      </c>
      <c r="AW42" s="351">
        <f t="shared" si="1"/>
        <v>4.6075366134605894E-3</v>
      </c>
    </row>
    <row r="43" spans="1:49">
      <c r="A43" s="165">
        <v>46050</v>
      </c>
      <c r="B43"/>
      <c r="C43"/>
      <c r="D43"/>
      <c r="E43"/>
      <c r="F43"/>
      <c r="G43"/>
      <c r="H43"/>
      <c r="I43"/>
      <c r="J43"/>
      <c r="K43"/>
      <c r="L43"/>
      <c r="M43"/>
      <c r="N43"/>
      <c r="O43"/>
      <c r="P43"/>
      <c r="Q43"/>
      <c r="S43" s="70">
        <f>3+3+4+4+4+3+4+3+2</f>
        <v>30</v>
      </c>
      <c r="T43"/>
      <c r="U43"/>
      <c r="V43"/>
      <c r="W43"/>
      <c r="X43"/>
      <c r="Y43"/>
      <c r="Z43"/>
      <c r="AA43"/>
      <c r="AB43"/>
      <c r="AC43"/>
      <c r="AD43" s="70">
        <f>5+6</f>
        <v>11</v>
      </c>
      <c r="AE43"/>
      <c r="AF43"/>
      <c r="AG43"/>
      <c r="AH43"/>
      <c r="AI43"/>
      <c r="AJ43"/>
      <c r="AK43"/>
      <c r="AL43"/>
      <c r="AM43"/>
      <c r="AN43"/>
      <c r="AO43"/>
      <c r="AP43"/>
      <c r="AQ43"/>
      <c r="AR43"/>
      <c r="AS43"/>
      <c r="AT43"/>
      <c r="AU43"/>
      <c r="AV43">
        <f t="shared" si="2"/>
        <v>41</v>
      </c>
      <c r="AW43" s="351">
        <f t="shared" si="1"/>
        <v>6.7467500411387202E-3</v>
      </c>
    </row>
    <row r="44" spans="1:49">
      <c r="A44" s="165">
        <v>46050</v>
      </c>
      <c r="B44" s="346"/>
      <c r="C44" s="346"/>
      <c r="D44" s="346"/>
      <c r="E44" s="346"/>
      <c r="F44" s="346"/>
      <c r="G44" s="346"/>
      <c r="H44" s="346"/>
      <c r="I44" s="346"/>
      <c r="J44" s="346"/>
      <c r="K44" s="346"/>
      <c r="L44" s="346"/>
      <c r="M44" s="346"/>
      <c r="N44" s="346"/>
      <c r="O44" s="346"/>
      <c r="P44" s="346"/>
      <c r="Q44" s="346"/>
      <c r="R44" s="346"/>
      <c r="S44" s="346">
        <f>1+1</f>
        <v>2</v>
      </c>
      <c r="T44" s="346"/>
      <c r="U44" s="346"/>
      <c r="V44" s="346"/>
      <c r="W44" s="346"/>
      <c r="X44" s="346"/>
      <c r="Y44" s="346"/>
      <c r="Z44" s="346"/>
      <c r="AA44" s="346"/>
      <c r="AB44" s="346"/>
      <c r="AC44" s="346"/>
      <c r="AD44" s="346"/>
      <c r="AE44" s="346"/>
      <c r="AF44" s="346"/>
      <c r="AG44" s="346"/>
      <c r="AH44" s="346"/>
      <c r="AI44" s="346"/>
      <c r="AJ44" s="346"/>
      <c r="AK44" s="346"/>
      <c r="AL44" s="346"/>
      <c r="AM44" s="346"/>
      <c r="AN44" s="346"/>
      <c r="AO44" s="346"/>
      <c r="AP44" s="346"/>
      <c r="AQ44" s="346"/>
      <c r="AR44" s="346"/>
      <c r="AS44" s="346"/>
      <c r="AT44" s="346"/>
      <c r="AU44" s="346"/>
      <c r="AV44">
        <f t="shared" si="2"/>
        <v>2</v>
      </c>
      <c r="AW44" s="351">
        <f t="shared" si="1"/>
        <v>3.291097581043278E-4</v>
      </c>
    </row>
    <row r="45" spans="1:49" ht="13.5" customHeight="1">
      <c r="A45" s="165">
        <v>46051</v>
      </c>
      <c r="B45"/>
      <c r="C45"/>
      <c r="D45"/>
      <c r="E45"/>
      <c r="F45"/>
      <c r="G45"/>
      <c r="H45"/>
      <c r="I45"/>
      <c r="J45"/>
      <c r="K45"/>
      <c r="L45"/>
      <c r="M45"/>
      <c r="N45"/>
      <c r="O45"/>
      <c r="P45"/>
      <c r="Q45"/>
      <c r="R45"/>
      <c r="S45"/>
      <c r="T45"/>
      <c r="U45"/>
      <c r="V45"/>
      <c r="W45"/>
      <c r="X45"/>
      <c r="Y45"/>
      <c r="Z45"/>
      <c r="AA45"/>
      <c r="AB45"/>
      <c r="AC45"/>
      <c r="AD45"/>
      <c r="AE45"/>
      <c r="AF45"/>
      <c r="AG45"/>
      <c r="AH45"/>
      <c r="AI45"/>
      <c r="AJ45"/>
      <c r="AK45"/>
      <c r="AL45"/>
      <c r="AM45"/>
      <c r="AN45"/>
      <c r="AO45"/>
      <c r="AP45"/>
      <c r="AQ45"/>
      <c r="AR45"/>
      <c r="AS45"/>
      <c r="AT45"/>
      <c r="AU45"/>
      <c r="AV45">
        <f t="shared" si="2"/>
        <v>0</v>
      </c>
      <c r="AW45" s="351">
        <f t="shared" si="1"/>
        <v>0</v>
      </c>
    </row>
    <row r="46" spans="1:49">
      <c r="A46" s="165">
        <v>46051</v>
      </c>
      <c r="B46" s="346"/>
      <c r="C46" s="346"/>
      <c r="D46" s="346"/>
      <c r="E46" s="346"/>
      <c r="F46" s="346"/>
      <c r="G46" s="346"/>
      <c r="H46" s="346"/>
      <c r="I46" s="346"/>
      <c r="J46" s="346"/>
      <c r="K46" s="346"/>
      <c r="L46" s="346"/>
      <c r="M46" s="346"/>
      <c r="N46" s="346"/>
      <c r="O46" s="346"/>
      <c r="P46" s="346"/>
      <c r="Q46" s="346"/>
      <c r="R46" s="346"/>
      <c r="S46" s="346"/>
      <c r="T46" s="346"/>
      <c r="U46" s="346"/>
      <c r="V46" s="346"/>
      <c r="W46" s="346"/>
      <c r="X46" s="346"/>
      <c r="Y46" s="346"/>
      <c r="Z46" s="346"/>
      <c r="AA46" s="346"/>
      <c r="AB46" s="346"/>
      <c r="AC46" s="346"/>
      <c r="AD46" s="346"/>
      <c r="AE46" s="346"/>
      <c r="AF46" s="346"/>
      <c r="AG46" s="346"/>
      <c r="AH46" s="346"/>
      <c r="AI46" s="346"/>
      <c r="AJ46" s="346"/>
      <c r="AK46" s="346"/>
      <c r="AL46" s="346"/>
      <c r="AM46" s="346"/>
      <c r="AN46" s="346"/>
      <c r="AO46" s="346"/>
      <c r="AP46" s="346"/>
      <c r="AQ46" s="346"/>
      <c r="AR46" s="346"/>
      <c r="AS46" s="346"/>
      <c r="AT46" s="346"/>
      <c r="AU46" s="346"/>
      <c r="AV46">
        <f t="shared" si="2"/>
        <v>0</v>
      </c>
      <c r="AW46" s="351">
        <f t="shared" si="1"/>
        <v>0</v>
      </c>
    </row>
    <row r="47" spans="1:49">
      <c r="A47" s="165">
        <v>46051</v>
      </c>
      <c r="B47"/>
      <c r="C47"/>
      <c r="D47"/>
      <c r="E47"/>
      <c r="F47">
        <f>15</f>
        <v>15</v>
      </c>
      <c r="G47"/>
      <c r="H47"/>
      <c r="I47"/>
      <c r="J47"/>
      <c r="K47"/>
      <c r="L47"/>
      <c r="M47"/>
      <c r="N47"/>
      <c r="O47"/>
      <c r="P47"/>
      <c r="Q47"/>
      <c r="R47"/>
      <c r="S47">
        <f>2+1+2</f>
        <v>5</v>
      </c>
      <c r="T47"/>
      <c r="U47"/>
      <c r="V47"/>
      <c r="W47"/>
      <c r="X47"/>
      <c r="Y47"/>
      <c r="Z47"/>
      <c r="AA47"/>
      <c r="AB47"/>
      <c r="AC47"/>
      <c r="AD47"/>
      <c r="AE47"/>
      <c r="AF47"/>
      <c r="AG47"/>
      <c r="AH47"/>
      <c r="AI47"/>
      <c r="AJ47"/>
      <c r="AK47"/>
      <c r="AL47"/>
      <c r="AM47"/>
      <c r="AN47"/>
      <c r="AO47"/>
      <c r="AP47">
        <f>8</f>
        <v>8</v>
      </c>
      <c r="AQ47"/>
      <c r="AR47"/>
      <c r="AS47"/>
      <c r="AT47"/>
      <c r="AU47"/>
      <c r="AV47">
        <f t="shared" si="2"/>
        <v>28</v>
      </c>
      <c r="AW47" s="351">
        <f t="shared" si="1"/>
        <v>4.6075366134605894E-3</v>
      </c>
    </row>
    <row r="48" spans="1:49">
      <c r="A48" s="165">
        <v>46051</v>
      </c>
      <c r="B48" s="346"/>
      <c r="C48" s="346"/>
      <c r="D48" s="346"/>
      <c r="E48" s="346"/>
      <c r="F48" s="346"/>
      <c r="G48" s="346"/>
      <c r="H48" s="346"/>
      <c r="I48" s="346"/>
      <c r="J48" s="346"/>
      <c r="K48" s="346"/>
      <c r="L48" s="346"/>
      <c r="M48" s="346"/>
      <c r="N48" s="346"/>
      <c r="O48" s="346"/>
      <c r="P48" s="346"/>
      <c r="Q48" s="346"/>
      <c r="R48" s="346"/>
      <c r="S48" s="346"/>
      <c r="T48" s="346"/>
      <c r="U48" s="346"/>
      <c r="V48" s="346"/>
      <c r="W48" s="346"/>
      <c r="X48" s="346"/>
      <c r="Y48" s="346"/>
      <c r="Z48" s="346"/>
      <c r="AA48" s="346"/>
      <c r="AB48" s="346"/>
      <c r="AC48" s="346"/>
      <c r="AD48" s="346"/>
      <c r="AE48" s="346"/>
      <c r="AF48" s="346"/>
      <c r="AG48" s="346"/>
      <c r="AH48" s="346"/>
      <c r="AI48" s="346"/>
      <c r="AJ48" s="346"/>
      <c r="AK48" s="346"/>
      <c r="AL48" s="346"/>
      <c r="AM48" s="346"/>
      <c r="AN48" s="346"/>
      <c r="AO48" s="346"/>
      <c r="AP48" s="346"/>
      <c r="AQ48" s="346"/>
      <c r="AR48" s="346"/>
      <c r="AS48" s="346"/>
      <c r="AT48" s="346"/>
      <c r="AU48" s="346"/>
      <c r="AV48">
        <f t="shared" si="2"/>
        <v>0</v>
      </c>
      <c r="AW48" s="351">
        <f t="shared" si="1"/>
        <v>0</v>
      </c>
    </row>
    <row r="49" spans="1:49">
      <c r="A49" s="165">
        <v>46052</v>
      </c>
      <c r="B49"/>
      <c r="C49"/>
      <c r="D49"/>
      <c r="E49"/>
      <c r="F49"/>
      <c r="G49"/>
      <c r="H49"/>
      <c r="I49"/>
      <c r="J49"/>
      <c r="K49"/>
      <c r="L49"/>
      <c r="M49"/>
      <c r="N49"/>
      <c r="O49"/>
      <c r="P49"/>
      <c r="Q49"/>
      <c r="R49"/>
      <c r="S49">
        <f>1+2</f>
        <v>3</v>
      </c>
      <c r="T49"/>
      <c r="U49"/>
      <c r="V49"/>
      <c r="W49"/>
      <c r="X49"/>
      <c r="Y49"/>
      <c r="Z49"/>
      <c r="AA49"/>
      <c r="AB49"/>
      <c r="AC49"/>
      <c r="AD49"/>
      <c r="AE49"/>
      <c r="AF49"/>
      <c r="AG49"/>
      <c r="AH49"/>
      <c r="AI49"/>
      <c r="AJ49"/>
      <c r="AK49"/>
      <c r="AL49"/>
      <c r="AM49"/>
      <c r="AN49"/>
      <c r="AO49"/>
      <c r="AP49"/>
      <c r="AQ49"/>
      <c r="AR49"/>
      <c r="AS49"/>
      <c r="AT49"/>
      <c r="AU49"/>
      <c r="AV49">
        <f t="shared" si="2"/>
        <v>3</v>
      </c>
      <c r="AW49" s="351">
        <f t="shared" si="1"/>
        <v>4.9366463715649173E-4</v>
      </c>
    </row>
    <row r="50" spans="1:49" ht="12" customHeight="1">
      <c r="A50" s="165">
        <v>46052</v>
      </c>
      <c r="B50" s="346"/>
      <c r="C50" s="346"/>
      <c r="D50" s="346"/>
      <c r="E50" s="346"/>
      <c r="F50" s="346"/>
      <c r="G50" s="346"/>
      <c r="H50" s="346"/>
      <c r="I50" s="346"/>
      <c r="J50" s="346"/>
      <c r="K50" s="346"/>
      <c r="L50" s="346"/>
      <c r="M50" s="346"/>
      <c r="N50" s="346"/>
      <c r="O50" s="346"/>
      <c r="P50" s="346"/>
      <c r="Q50" s="346"/>
      <c r="R50" s="346">
        <f>2</f>
        <v>2</v>
      </c>
      <c r="S50" s="346">
        <f>3+4+2+2+2+2</f>
        <v>15</v>
      </c>
      <c r="T50" s="346"/>
      <c r="U50" s="346"/>
      <c r="V50" s="346"/>
      <c r="W50" s="346"/>
      <c r="X50" s="346"/>
      <c r="Y50" s="346"/>
      <c r="Z50" s="346"/>
      <c r="AA50" s="346"/>
      <c r="AB50" s="346"/>
      <c r="AC50" s="346"/>
      <c r="AD50" s="346"/>
      <c r="AE50" s="346"/>
      <c r="AF50" s="346"/>
      <c r="AG50" s="346"/>
      <c r="AH50" s="346"/>
      <c r="AI50" s="346"/>
      <c r="AJ50" s="346"/>
      <c r="AK50" s="346"/>
      <c r="AL50" s="346"/>
      <c r="AM50" s="346"/>
      <c r="AN50" s="346"/>
      <c r="AO50" s="346"/>
      <c r="AP50" s="346"/>
      <c r="AQ50" s="346"/>
      <c r="AR50" s="346"/>
      <c r="AS50" s="346"/>
      <c r="AT50" s="346">
        <f>11</f>
        <v>11</v>
      </c>
      <c r="AU50" s="346"/>
      <c r="AV50">
        <f t="shared" si="2"/>
        <v>28</v>
      </c>
      <c r="AW50" s="351">
        <f t="shared" si="1"/>
        <v>4.6075366134605894E-3</v>
      </c>
    </row>
    <row r="51" spans="1:49">
      <c r="A51" s="165"/>
      <c r="B51"/>
      <c r="C51"/>
      <c r="D51"/>
      <c r="E51"/>
      <c r="F51"/>
      <c r="G51"/>
      <c r="H51"/>
      <c r="I51"/>
      <c r="J51"/>
      <c r="K51"/>
      <c r="L51"/>
      <c r="M51"/>
      <c r="N51"/>
      <c r="O51"/>
      <c r="P51"/>
      <c r="Q51"/>
      <c r="R51"/>
      <c r="S51"/>
      <c r="T51"/>
      <c r="U51"/>
      <c r="V51"/>
      <c r="W51"/>
      <c r="X51"/>
      <c r="Y51"/>
      <c r="Z51"/>
      <c r="AA51"/>
      <c r="AB51"/>
      <c r="AC51"/>
      <c r="AD51"/>
      <c r="AE51"/>
      <c r="AF51"/>
      <c r="AG51"/>
      <c r="AH51"/>
      <c r="AI51"/>
      <c r="AJ51"/>
      <c r="AK51"/>
      <c r="AL51"/>
      <c r="AM51"/>
      <c r="AN51"/>
      <c r="AO51"/>
      <c r="AP51"/>
      <c r="AQ51"/>
      <c r="AR51"/>
      <c r="AS51"/>
      <c r="AT51"/>
      <c r="AU51"/>
      <c r="AV51">
        <f t="shared" si="2"/>
        <v>0</v>
      </c>
      <c r="AW51" s="351">
        <f t="shared" ref="AW51:AW62" si="3">AV51/$AV$63</f>
        <v>0</v>
      </c>
    </row>
    <row r="52" spans="1:49">
      <c r="A52" s="165"/>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c r="AB52" s="346"/>
      <c r="AC52" s="346"/>
      <c r="AD52" s="346"/>
      <c r="AE52" s="346"/>
      <c r="AF52" s="346"/>
      <c r="AG52" s="346"/>
      <c r="AH52" s="346"/>
      <c r="AI52" s="346"/>
      <c r="AJ52" s="346"/>
      <c r="AK52" s="346"/>
      <c r="AL52" s="346"/>
      <c r="AM52" s="346"/>
      <c r="AN52" s="346"/>
      <c r="AO52" s="346"/>
      <c r="AP52" s="346"/>
      <c r="AQ52" s="346"/>
      <c r="AR52" s="346"/>
      <c r="AS52" s="346"/>
      <c r="AT52" s="346"/>
      <c r="AU52" s="346"/>
      <c r="AV52">
        <f t="shared" si="2"/>
        <v>0</v>
      </c>
      <c r="AW52" s="351">
        <f t="shared" si="3"/>
        <v>0</v>
      </c>
    </row>
    <row r="53" spans="1:49">
      <c r="A53" s="165"/>
      <c r="B53"/>
      <c r="C53"/>
      <c r="D53"/>
      <c r="E53"/>
      <c r="F53"/>
      <c r="G53"/>
      <c r="H53"/>
      <c r="I53"/>
      <c r="J53"/>
      <c r="K53"/>
      <c r="L53"/>
      <c r="M53"/>
      <c r="N53"/>
      <c r="O53"/>
      <c r="P53"/>
      <c r="Q53"/>
      <c r="R53"/>
      <c r="S53"/>
      <c r="T53"/>
      <c r="U53"/>
      <c r="V53"/>
      <c r="W53"/>
      <c r="X53"/>
      <c r="Y53"/>
      <c r="Z53"/>
      <c r="AA53"/>
      <c r="AB53"/>
      <c r="AC53"/>
      <c r="AD53"/>
      <c r="AE53"/>
      <c r="AF53"/>
      <c r="AG53"/>
      <c r="AH53"/>
      <c r="AI53"/>
      <c r="AJ53"/>
      <c r="AK53"/>
      <c r="AL53"/>
      <c r="AM53"/>
      <c r="AN53"/>
      <c r="AO53"/>
      <c r="AP53"/>
      <c r="AQ53"/>
      <c r="AR53"/>
      <c r="AS53"/>
      <c r="AT53"/>
      <c r="AU53"/>
      <c r="AV53">
        <f t="shared" si="2"/>
        <v>0</v>
      </c>
      <c r="AW53" s="351">
        <f t="shared" si="3"/>
        <v>0</v>
      </c>
    </row>
    <row r="54" spans="1:49">
      <c r="A54" s="165"/>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f t="shared" si="2"/>
        <v>0</v>
      </c>
      <c r="AW54" s="351">
        <f t="shared" si="3"/>
        <v>0</v>
      </c>
    </row>
    <row r="55" spans="1:49" ht="15" customHeight="1">
      <c r="A55" s="165"/>
      <c r="B55"/>
      <c r="C55"/>
      <c r="D55"/>
      <c r="E55"/>
      <c r="F55"/>
      <c r="G55"/>
      <c r="H55"/>
      <c r="I55"/>
      <c r="J55"/>
      <c r="K55"/>
      <c r="L55"/>
      <c r="M55"/>
      <c r="N55"/>
      <c r="O55"/>
      <c r="P55"/>
      <c r="Q55"/>
      <c r="R55"/>
      <c r="S55"/>
      <c r="T55"/>
      <c r="U55"/>
      <c r="V55"/>
      <c r="W55"/>
      <c r="X55"/>
      <c r="Y55"/>
      <c r="Z55"/>
      <c r="AA55"/>
      <c r="AB55"/>
      <c r="AC55"/>
      <c r="AD55"/>
      <c r="AE55"/>
      <c r="AF55"/>
      <c r="AG55"/>
      <c r="AH55"/>
      <c r="AI55"/>
      <c r="AJ55"/>
      <c r="AK55"/>
      <c r="AL55"/>
      <c r="AM55"/>
      <c r="AN55"/>
      <c r="AO55"/>
      <c r="AP55"/>
      <c r="AQ55"/>
      <c r="AR55"/>
      <c r="AS55"/>
      <c r="AT55"/>
      <c r="AU55"/>
      <c r="AV55">
        <f t="shared" si="2"/>
        <v>0</v>
      </c>
      <c r="AW55" s="351">
        <f t="shared" si="3"/>
        <v>0</v>
      </c>
    </row>
    <row r="56" spans="1:49">
      <c r="A56" s="165"/>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c r="AB56" s="346"/>
      <c r="AC56" s="346"/>
      <c r="AD56" s="346"/>
      <c r="AE56" s="346"/>
      <c r="AF56" s="346"/>
      <c r="AG56" s="346"/>
      <c r="AH56" s="346"/>
      <c r="AI56" s="346"/>
      <c r="AJ56" s="346"/>
      <c r="AK56" s="346"/>
      <c r="AL56" s="346"/>
      <c r="AM56" s="346"/>
      <c r="AN56" s="346"/>
      <c r="AO56" s="346"/>
      <c r="AP56" s="346"/>
      <c r="AQ56" s="346"/>
      <c r="AR56" s="346"/>
      <c r="AS56" s="346"/>
      <c r="AT56" s="346"/>
      <c r="AU56" s="346"/>
      <c r="AV56">
        <f t="shared" si="2"/>
        <v>0</v>
      </c>
      <c r="AW56" s="351">
        <f t="shared" si="3"/>
        <v>0</v>
      </c>
    </row>
    <row r="57" spans="1:49">
      <c r="A57" s="165"/>
      <c r="B57"/>
      <c r="C57"/>
      <c r="D57"/>
      <c r="E57" s="77"/>
      <c r="F57"/>
      <c r="G57"/>
      <c r="H57"/>
      <c r="I57"/>
      <c r="J57"/>
      <c r="K57"/>
      <c r="L57"/>
      <c r="M57"/>
      <c r="N57"/>
      <c r="O57"/>
      <c r="P57"/>
      <c r="Q57"/>
      <c r="R57"/>
      <c r="S57"/>
      <c r="T57"/>
      <c r="U57"/>
      <c r="V57"/>
      <c r="W57"/>
      <c r="X57"/>
      <c r="Y57"/>
      <c r="Z57"/>
      <c r="AA57"/>
      <c r="AB57"/>
      <c r="AC57"/>
      <c r="AD57"/>
      <c r="AE57"/>
      <c r="AF57"/>
      <c r="AG57"/>
      <c r="AH57"/>
      <c r="AI57"/>
      <c r="AJ57"/>
      <c r="AK57"/>
      <c r="AL57"/>
      <c r="AM57"/>
      <c r="AN57"/>
      <c r="AO57"/>
      <c r="AP57"/>
      <c r="AQ57"/>
      <c r="AR57"/>
      <c r="AS57"/>
      <c r="AT57"/>
      <c r="AU57"/>
      <c r="AV57">
        <f t="shared" si="2"/>
        <v>0</v>
      </c>
      <c r="AW57" s="351">
        <f t="shared" si="3"/>
        <v>0</v>
      </c>
    </row>
    <row r="58" spans="1:49">
      <c r="A58" s="165"/>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c r="AB58" s="346"/>
      <c r="AC58" s="346"/>
      <c r="AD58" s="346"/>
      <c r="AE58" s="346"/>
      <c r="AF58" s="346"/>
      <c r="AG58" s="346"/>
      <c r="AH58" s="346"/>
      <c r="AI58" s="346"/>
      <c r="AJ58" s="346"/>
      <c r="AK58" s="346"/>
      <c r="AL58" s="346"/>
      <c r="AM58" s="346"/>
      <c r="AN58" s="346"/>
      <c r="AO58" s="346"/>
      <c r="AP58" s="346"/>
      <c r="AQ58" s="346"/>
      <c r="AR58" s="346"/>
      <c r="AS58" s="346"/>
      <c r="AT58" s="346"/>
      <c r="AU58" s="346"/>
      <c r="AV58">
        <f t="shared" si="2"/>
        <v>0</v>
      </c>
      <c r="AW58" s="351">
        <f t="shared" si="3"/>
        <v>0</v>
      </c>
    </row>
    <row r="59" spans="1:49">
      <c r="A59" s="165"/>
      <c r="B59"/>
      <c r="C59"/>
      <c r="D59"/>
      <c r="E59"/>
      <c r="F59"/>
      <c r="G59"/>
      <c r="H59"/>
      <c r="I59"/>
      <c r="J59"/>
      <c r="K59"/>
      <c r="L59"/>
      <c r="M59"/>
      <c r="N59"/>
      <c r="O59"/>
      <c r="P59"/>
      <c r="Q59"/>
      <c r="R59"/>
      <c r="S59"/>
      <c r="T59"/>
      <c r="U59"/>
      <c r="V59"/>
      <c r="W59"/>
      <c r="X59"/>
      <c r="Y59"/>
      <c r="Z59"/>
      <c r="AA59"/>
      <c r="AB59"/>
      <c r="AC59"/>
      <c r="AD59"/>
      <c r="AE59"/>
      <c r="AF59"/>
      <c r="AG59"/>
      <c r="AH59"/>
      <c r="AI59"/>
      <c r="AJ59"/>
      <c r="AK59"/>
      <c r="AL59"/>
      <c r="AM59"/>
      <c r="AN59"/>
      <c r="AO59"/>
      <c r="AP59"/>
      <c r="AQ59"/>
      <c r="AR59"/>
      <c r="AS59"/>
      <c r="AT59"/>
      <c r="AU59"/>
      <c r="AV59">
        <f t="shared" si="2"/>
        <v>0</v>
      </c>
      <c r="AW59" s="351">
        <f t="shared" si="3"/>
        <v>0</v>
      </c>
    </row>
    <row r="60" spans="1:49">
      <c r="A60" s="165"/>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c r="AB60" s="346"/>
      <c r="AC60" s="346"/>
      <c r="AD60" s="346"/>
      <c r="AE60" s="346"/>
      <c r="AF60" s="346"/>
      <c r="AG60" s="346"/>
      <c r="AH60" s="346"/>
      <c r="AI60" s="346"/>
      <c r="AJ60" s="346"/>
      <c r="AK60" s="346"/>
      <c r="AL60" s="346"/>
      <c r="AM60" s="346"/>
      <c r="AN60" s="346"/>
      <c r="AO60" s="346"/>
      <c r="AP60" s="346"/>
      <c r="AQ60" s="346"/>
      <c r="AR60" s="346"/>
      <c r="AS60" s="346"/>
      <c r="AT60" s="346"/>
      <c r="AU60" s="346"/>
      <c r="AV60">
        <f t="shared" si="2"/>
        <v>0</v>
      </c>
      <c r="AW60" s="351">
        <f t="shared" si="3"/>
        <v>0</v>
      </c>
    </row>
    <row r="61" spans="1:49">
      <c r="A61" s="165"/>
      <c r="B61"/>
      <c r="C61"/>
      <c r="D61"/>
      <c r="E61"/>
      <c r="F61"/>
      <c r="G61"/>
      <c r="H61"/>
      <c r="I61"/>
      <c r="J61"/>
      <c r="K61"/>
      <c r="L61"/>
      <c r="M61"/>
      <c r="N61"/>
      <c r="O61"/>
      <c r="P61"/>
      <c r="Q61"/>
      <c r="R61"/>
      <c r="S61"/>
      <c r="T61"/>
      <c r="U61"/>
      <c r="V61"/>
      <c r="W61"/>
      <c r="X61"/>
      <c r="Y61"/>
      <c r="Z61"/>
      <c r="AA61"/>
      <c r="AB61"/>
      <c r="AC61"/>
      <c r="AD61"/>
      <c r="AE61"/>
      <c r="AF61"/>
      <c r="AG61"/>
      <c r="AH61"/>
      <c r="AI61"/>
      <c r="AJ61"/>
      <c r="AK61"/>
      <c r="AL61"/>
      <c r="AM61"/>
      <c r="AN61"/>
      <c r="AO61"/>
      <c r="AP61"/>
      <c r="AQ61"/>
      <c r="AR61"/>
      <c r="AS61"/>
      <c r="AT61"/>
      <c r="AU61"/>
      <c r="AV61">
        <f t="shared" si="2"/>
        <v>0</v>
      </c>
      <c r="AW61" s="351">
        <f t="shared" si="3"/>
        <v>0</v>
      </c>
    </row>
    <row r="62" spans="1:49">
      <c r="A62" s="165"/>
      <c r="B62" s="346"/>
      <c r="C62" s="346"/>
      <c r="D62" s="346"/>
      <c r="E62" s="346"/>
      <c r="F62" s="346"/>
      <c r="G62" s="346"/>
      <c r="H62" s="346"/>
      <c r="I62" s="346"/>
      <c r="J62" s="346"/>
      <c r="K62" s="346"/>
      <c r="L62" s="346"/>
      <c r="M62" s="346"/>
      <c r="N62" s="346"/>
      <c r="O62" s="346"/>
      <c r="P62" s="346"/>
      <c r="Q62" s="346"/>
      <c r="R62" s="346"/>
      <c r="S62" s="346"/>
      <c r="T62" s="346"/>
      <c r="U62" s="346"/>
      <c r="V62" s="346"/>
      <c r="W62" s="346"/>
      <c r="X62" s="346"/>
      <c r="Y62" s="346"/>
      <c r="Z62" s="346"/>
      <c r="AA62" s="346"/>
      <c r="AB62" s="346"/>
      <c r="AC62" s="346"/>
      <c r="AD62" s="346"/>
      <c r="AE62" s="346"/>
      <c r="AF62" s="346"/>
      <c r="AG62" s="346"/>
      <c r="AH62" s="346"/>
      <c r="AI62" s="346"/>
      <c r="AJ62" s="346"/>
      <c r="AK62" s="346"/>
      <c r="AL62" s="346"/>
      <c r="AM62" s="346"/>
      <c r="AN62" s="346"/>
      <c r="AO62" s="346"/>
      <c r="AP62" s="346"/>
      <c r="AQ62" s="346"/>
      <c r="AR62" s="346"/>
      <c r="AS62" s="346"/>
      <c r="AT62" s="346"/>
      <c r="AU62" s="346"/>
      <c r="AV62">
        <f t="shared" si="2"/>
        <v>0</v>
      </c>
      <c r="AW62" s="351">
        <f t="shared" si="3"/>
        <v>0</v>
      </c>
    </row>
    <row r="63" spans="1:49" ht="15">
      <c r="A63" s="347" t="s">
        <v>113</v>
      </c>
      <c r="B63" s="347">
        <f>SUM(B6:B62)</f>
        <v>0</v>
      </c>
      <c r="C63" s="347">
        <f t="shared" ref="C63:AV63" si="4">SUM(C6:C62)</f>
        <v>0</v>
      </c>
      <c r="D63" s="347">
        <f t="shared" si="4"/>
        <v>0</v>
      </c>
      <c r="E63" s="347">
        <f t="shared" si="4"/>
        <v>10</v>
      </c>
      <c r="F63" s="347">
        <f t="shared" si="4"/>
        <v>18</v>
      </c>
      <c r="G63" s="347">
        <f t="shared" si="4"/>
        <v>0</v>
      </c>
      <c r="H63" s="347">
        <f t="shared" si="4"/>
        <v>0</v>
      </c>
      <c r="I63" s="347">
        <f t="shared" si="4"/>
        <v>0</v>
      </c>
      <c r="J63" s="347">
        <f t="shared" si="4"/>
        <v>0</v>
      </c>
      <c r="K63" s="347">
        <f t="shared" si="4"/>
        <v>0</v>
      </c>
      <c r="L63" s="347">
        <f t="shared" si="4"/>
        <v>0</v>
      </c>
      <c r="M63" s="347">
        <f t="shared" si="4"/>
        <v>0</v>
      </c>
      <c r="N63" s="347">
        <f t="shared" si="4"/>
        <v>0</v>
      </c>
      <c r="O63" s="347">
        <f t="shared" si="4"/>
        <v>0</v>
      </c>
      <c r="P63" s="347">
        <f t="shared" si="4"/>
        <v>0</v>
      </c>
      <c r="Q63" s="347">
        <f t="shared" si="4"/>
        <v>0</v>
      </c>
      <c r="R63" s="347">
        <f t="shared" si="4"/>
        <v>51</v>
      </c>
      <c r="S63" s="347">
        <f t="shared" si="4"/>
        <v>220</v>
      </c>
      <c r="T63" s="347">
        <f t="shared" si="4"/>
        <v>10</v>
      </c>
      <c r="U63" s="347">
        <f t="shared" si="4"/>
        <v>0</v>
      </c>
      <c r="V63" s="347">
        <f t="shared" si="4"/>
        <v>5420</v>
      </c>
      <c r="W63" s="347">
        <f t="shared" si="4"/>
        <v>3</v>
      </c>
      <c r="X63" s="347">
        <f t="shared" si="4"/>
        <v>0</v>
      </c>
      <c r="Y63" s="347">
        <f t="shared" si="4"/>
        <v>1</v>
      </c>
      <c r="Z63" s="347">
        <f t="shared" si="4"/>
        <v>11</v>
      </c>
      <c r="AA63" s="347">
        <f t="shared" si="4"/>
        <v>0</v>
      </c>
      <c r="AB63" s="347">
        <f t="shared" si="4"/>
        <v>0</v>
      </c>
      <c r="AC63" s="347">
        <f t="shared" si="4"/>
        <v>1</v>
      </c>
      <c r="AD63" s="347">
        <f t="shared" si="4"/>
        <v>40</v>
      </c>
      <c r="AE63" s="347">
        <f t="shared" si="4"/>
        <v>6</v>
      </c>
      <c r="AF63" s="347">
        <f t="shared" si="4"/>
        <v>0</v>
      </c>
      <c r="AG63" s="347">
        <f t="shared" si="4"/>
        <v>0</v>
      </c>
      <c r="AH63" s="347">
        <f t="shared" si="4"/>
        <v>267</v>
      </c>
      <c r="AI63" s="347">
        <f t="shared" si="4"/>
        <v>0</v>
      </c>
      <c r="AJ63" s="347">
        <f t="shared" si="4"/>
        <v>0</v>
      </c>
      <c r="AK63" s="347">
        <f t="shared" si="4"/>
        <v>0</v>
      </c>
      <c r="AL63" s="347">
        <f t="shared" si="4"/>
        <v>0</v>
      </c>
      <c r="AM63" s="347">
        <f t="shared" si="4"/>
        <v>0</v>
      </c>
      <c r="AN63" s="347">
        <f t="shared" si="4"/>
        <v>0</v>
      </c>
      <c r="AO63" s="347">
        <f t="shared" si="4"/>
        <v>0</v>
      </c>
      <c r="AP63" s="347">
        <f t="shared" si="4"/>
        <v>8</v>
      </c>
      <c r="AQ63" s="347">
        <f t="shared" si="4"/>
        <v>0</v>
      </c>
      <c r="AR63" s="347">
        <f t="shared" si="4"/>
        <v>0</v>
      </c>
      <c r="AS63" s="347">
        <f t="shared" si="4"/>
        <v>0</v>
      </c>
      <c r="AT63" s="347">
        <f t="shared" si="4"/>
        <v>11</v>
      </c>
      <c r="AU63" s="347">
        <f t="shared" si="4"/>
        <v>0</v>
      </c>
      <c r="AV63" s="347">
        <f t="shared" si="4"/>
        <v>6077</v>
      </c>
      <c r="AW63" s="352"/>
    </row>
    <row r="64" spans="1:49" ht="15.75" thickBot="1">
      <c r="A64" s="348" t="s">
        <v>174</v>
      </c>
      <c r="B64" s="348">
        <f t="shared" ref="B64:AU64" si="5">B63/$AV63</f>
        <v>0</v>
      </c>
      <c r="C64" s="348">
        <f t="shared" si="5"/>
        <v>0</v>
      </c>
      <c r="D64" s="348">
        <f t="shared" si="5"/>
        <v>0</v>
      </c>
      <c r="E64" s="348">
        <f t="shared" si="5"/>
        <v>1.645548790521639E-3</v>
      </c>
      <c r="F64" s="348">
        <f t="shared" si="5"/>
        <v>2.9619878229389502E-3</v>
      </c>
      <c r="G64" s="348">
        <f t="shared" si="5"/>
        <v>0</v>
      </c>
      <c r="H64" s="348">
        <f t="shared" si="5"/>
        <v>0</v>
      </c>
      <c r="I64" s="348">
        <f t="shared" si="5"/>
        <v>0</v>
      </c>
      <c r="J64" s="348">
        <f t="shared" si="5"/>
        <v>0</v>
      </c>
      <c r="K64" s="348">
        <f t="shared" si="5"/>
        <v>0</v>
      </c>
      <c r="L64" s="348">
        <f t="shared" si="5"/>
        <v>0</v>
      </c>
      <c r="M64" s="348">
        <f t="shared" si="5"/>
        <v>0</v>
      </c>
      <c r="N64" s="348">
        <f t="shared" si="5"/>
        <v>0</v>
      </c>
      <c r="O64" s="348">
        <f t="shared" si="5"/>
        <v>0</v>
      </c>
      <c r="P64" s="348">
        <f t="shared" si="5"/>
        <v>0</v>
      </c>
      <c r="Q64" s="348">
        <f t="shared" si="5"/>
        <v>0</v>
      </c>
      <c r="R64" s="348">
        <f t="shared" si="5"/>
        <v>8.3922988316603581E-3</v>
      </c>
      <c r="S64" s="348">
        <f t="shared" si="5"/>
        <v>3.6202073391476054E-2</v>
      </c>
      <c r="T64" s="348">
        <f t="shared" si="5"/>
        <v>1.645548790521639E-3</v>
      </c>
      <c r="U64" s="348">
        <f t="shared" si="5"/>
        <v>0</v>
      </c>
      <c r="V64" s="348">
        <f t="shared" si="5"/>
        <v>0.89188744446272827</v>
      </c>
      <c r="W64" s="348">
        <f t="shared" si="5"/>
        <v>4.9366463715649173E-4</v>
      </c>
      <c r="X64" s="348">
        <f t="shared" si="5"/>
        <v>0</v>
      </c>
      <c r="Y64" s="348">
        <f t="shared" si="5"/>
        <v>1.645548790521639E-4</v>
      </c>
      <c r="Z64" s="348">
        <f t="shared" si="5"/>
        <v>1.8101036695738028E-3</v>
      </c>
      <c r="AA64" s="348">
        <f t="shared" si="5"/>
        <v>0</v>
      </c>
      <c r="AB64" s="348">
        <f t="shared" si="5"/>
        <v>0</v>
      </c>
      <c r="AC64" s="348">
        <f t="shared" si="5"/>
        <v>1.645548790521639E-4</v>
      </c>
      <c r="AD64" s="348">
        <f t="shared" si="5"/>
        <v>6.5821951620865559E-3</v>
      </c>
      <c r="AE64" s="348">
        <f t="shared" si="5"/>
        <v>9.8732927431298347E-4</v>
      </c>
      <c r="AF64" s="348">
        <f t="shared" si="5"/>
        <v>0</v>
      </c>
      <c r="AG64" s="348">
        <f t="shared" si="5"/>
        <v>0</v>
      </c>
      <c r="AH64" s="348">
        <f t="shared" si="5"/>
        <v>4.3936152706927759E-2</v>
      </c>
      <c r="AI64" s="348">
        <f t="shared" si="5"/>
        <v>0</v>
      </c>
      <c r="AJ64" s="348">
        <f t="shared" si="5"/>
        <v>0</v>
      </c>
      <c r="AK64" s="348">
        <f t="shared" si="5"/>
        <v>0</v>
      </c>
      <c r="AL64" s="348">
        <f t="shared" si="5"/>
        <v>0</v>
      </c>
      <c r="AM64" s="348">
        <f t="shared" si="5"/>
        <v>0</v>
      </c>
      <c r="AN64" s="348">
        <f t="shared" si="5"/>
        <v>0</v>
      </c>
      <c r="AO64" s="348">
        <f t="shared" si="5"/>
        <v>0</v>
      </c>
      <c r="AP64" s="348">
        <f t="shared" si="5"/>
        <v>1.3164390324173112E-3</v>
      </c>
      <c r="AQ64" s="348">
        <f t="shared" si="5"/>
        <v>0</v>
      </c>
      <c r="AR64" s="348">
        <f t="shared" si="5"/>
        <v>0</v>
      </c>
      <c r="AS64" s="348">
        <f t="shared" si="5"/>
        <v>0</v>
      </c>
      <c r="AT64" s="348">
        <f t="shared" si="5"/>
        <v>1.8101036695738028E-3</v>
      </c>
      <c r="AU64" s="348">
        <f t="shared" si="5"/>
        <v>0</v>
      </c>
      <c r="AV64"/>
      <c r="AW64" s="351"/>
    </row>
    <row r="67" spans="1:49">
      <c r="A67" s="165">
        <v>46055</v>
      </c>
      <c r="B67" s="346"/>
      <c r="C67" s="346"/>
      <c r="D67" s="346"/>
      <c r="E67" s="346"/>
      <c r="F67" s="346"/>
      <c r="G67" s="346"/>
      <c r="H67" s="346"/>
      <c r="I67" s="346"/>
      <c r="J67" s="346"/>
      <c r="K67" s="346"/>
      <c r="L67" s="346"/>
      <c r="M67" s="346"/>
      <c r="N67" s="346"/>
      <c r="O67" s="346"/>
      <c r="P67" s="346"/>
      <c r="Q67" s="346"/>
      <c r="R67" s="346"/>
      <c r="S67" s="346">
        <f>2+3+2</f>
        <v>7</v>
      </c>
      <c r="T67" s="346"/>
      <c r="U67" s="346"/>
      <c r="V67" s="346"/>
      <c r="W67" s="346"/>
      <c r="X67" s="346"/>
      <c r="Y67" s="346"/>
      <c r="Z67" s="346">
        <f>1</f>
        <v>1</v>
      </c>
      <c r="AA67" s="346"/>
      <c r="AB67" s="346"/>
      <c r="AC67" s="346"/>
      <c r="AD67" s="346"/>
      <c r="AE67" s="346">
        <f>4+18</f>
        <v>22</v>
      </c>
      <c r="AF67" s="346"/>
      <c r="AG67" s="346"/>
      <c r="AH67" s="346"/>
      <c r="AI67" s="346"/>
      <c r="AJ67" s="346"/>
      <c r="AK67" s="346"/>
      <c r="AL67" s="346"/>
      <c r="AM67" s="346"/>
      <c r="AN67" s="346"/>
      <c r="AO67" s="346"/>
      <c r="AP67" s="346"/>
      <c r="AQ67" s="346"/>
      <c r="AR67" s="346"/>
      <c r="AS67" s="346"/>
      <c r="AT67" s="346"/>
      <c r="AU67" s="346"/>
      <c r="AV67">
        <f t="shared" ref="AV67:AV98" si="6">SUM(B67:AU67)</f>
        <v>30</v>
      </c>
      <c r="AW67" s="351">
        <f t="shared" ref="AW67:AW85" si="7">AV67/$AV$118</f>
        <v>2.6292725679228746E-2</v>
      </c>
    </row>
    <row r="68" spans="1:49">
      <c r="A68" s="165">
        <v>46055</v>
      </c>
      <c r="B68"/>
      <c r="C68"/>
      <c r="D68"/>
      <c r="E68"/>
      <c r="F68"/>
      <c r="G68"/>
      <c r="H68"/>
      <c r="I68"/>
      <c r="J68"/>
      <c r="K68"/>
      <c r="L68"/>
      <c r="M68"/>
      <c r="N68"/>
      <c r="O68"/>
      <c r="P68"/>
      <c r="Q68"/>
      <c r="R68">
        <f>2</f>
        <v>2</v>
      </c>
      <c r="S68">
        <f>2+2+2+2+2</f>
        <v>10</v>
      </c>
      <c r="T68"/>
      <c r="U68"/>
      <c r="V68"/>
      <c r="W68"/>
      <c r="X68"/>
      <c r="Y68"/>
      <c r="Z68"/>
      <c r="AA68"/>
      <c r="AB68"/>
      <c r="AC68"/>
      <c r="AD68"/>
      <c r="AE68"/>
      <c r="AF68"/>
      <c r="AG68"/>
      <c r="AH68"/>
      <c r="AI68"/>
      <c r="AJ68"/>
      <c r="AK68"/>
      <c r="AL68"/>
      <c r="AM68"/>
      <c r="AN68"/>
      <c r="AO68"/>
      <c r="AP68"/>
      <c r="AQ68"/>
      <c r="AR68"/>
      <c r="AS68"/>
      <c r="AT68"/>
      <c r="AU68"/>
      <c r="AV68">
        <f t="shared" si="6"/>
        <v>12</v>
      </c>
      <c r="AW68" s="351">
        <f t="shared" si="7"/>
        <v>1.0517090271691499E-2</v>
      </c>
    </row>
    <row r="69" spans="1:49">
      <c r="A69" s="165">
        <v>46056</v>
      </c>
      <c r="B69" s="346"/>
      <c r="C69" s="346"/>
      <c r="D69" s="346"/>
      <c r="E69" s="346"/>
      <c r="F69" s="346"/>
      <c r="G69" s="346"/>
      <c r="H69" s="346"/>
      <c r="I69" s="346"/>
      <c r="J69" s="346"/>
      <c r="K69" s="346"/>
      <c r="L69" s="346"/>
      <c r="M69" s="346"/>
      <c r="N69" s="346"/>
      <c r="O69" s="346"/>
      <c r="P69" s="346"/>
      <c r="Q69" s="346"/>
      <c r="R69" s="346">
        <f>2</f>
        <v>2</v>
      </c>
      <c r="S69" s="346">
        <f>2+2</f>
        <v>4</v>
      </c>
      <c r="T69" s="346"/>
      <c r="U69" s="346"/>
      <c r="V69" s="346"/>
      <c r="W69" s="346"/>
      <c r="X69" s="346"/>
      <c r="Y69" s="346"/>
      <c r="Z69" s="346"/>
      <c r="AA69" s="346"/>
      <c r="AB69" s="346"/>
      <c r="AC69" s="346"/>
      <c r="AD69" s="346">
        <f>2</f>
        <v>2</v>
      </c>
      <c r="AE69" s="346"/>
      <c r="AF69" s="346"/>
      <c r="AG69" s="346"/>
      <c r="AH69" s="346"/>
      <c r="AI69" s="346"/>
      <c r="AJ69" s="346"/>
      <c r="AK69" s="346"/>
      <c r="AL69" s="346"/>
      <c r="AM69" s="346"/>
      <c r="AN69" s="346"/>
      <c r="AO69" s="346"/>
      <c r="AP69" s="346"/>
      <c r="AQ69" s="346"/>
      <c r="AR69" s="346"/>
      <c r="AS69" s="346"/>
      <c r="AT69" s="346"/>
      <c r="AU69" s="346"/>
      <c r="AV69">
        <f t="shared" si="6"/>
        <v>8</v>
      </c>
      <c r="AW69" s="351">
        <f t="shared" si="7"/>
        <v>7.0113935144609993E-3</v>
      </c>
    </row>
    <row r="70" spans="1:49">
      <c r="A70" s="165">
        <v>46057</v>
      </c>
      <c r="B70"/>
      <c r="C70"/>
      <c r="D70"/>
      <c r="E70"/>
      <c r="F70"/>
      <c r="G70"/>
      <c r="H70"/>
      <c r="I70"/>
      <c r="J70"/>
      <c r="K70"/>
      <c r="L70"/>
      <c r="M70"/>
      <c r="N70"/>
      <c r="O70"/>
      <c r="P70"/>
      <c r="Q70"/>
      <c r="R70"/>
      <c r="S70">
        <f>2+2</f>
        <v>4</v>
      </c>
      <c r="T70"/>
      <c r="U70"/>
      <c r="V70"/>
      <c r="W70"/>
      <c r="X70"/>
      <c r="Y70"/>
      <c r="Z70"/>
      <c r="AA70"/>
      <c r="AB70"/>
      <c r="AC70"/>
      <c r="AD70"/>
      <c r="AE70"/>
      <c r="AF70"/>
      <c r="AG70"/>
      <c r="AH70"/>
      <c r="AI70"/>
      <c r="AJ70"/>
      <c r="AK70"/>
      <c r="AL70"/>
      <c r="AM70"/>
      <c r="AN70"/>
      <c r="AO70"/>
      <c r="AP70"/>
      <c r="AQ70"/>
      <c r="AR70"/>
      <c r="AS70"/>
      <c r="AT70"/>
      <c r="AU70"/>
      <c r="AV70">
        <f t="shared" si="6"/>
        <v>4</v>
      </c>
      <c r="AW70" s="351">
        <f t="shared" si="7"/>
        <v>3.5056967572304996E-3</v>
      </c>
    </row>
    <row r="71" spans="1:49">
      <c r="A71" s="165">
        <v>46057</v>
      </c>
      <c r="B71" s="346">
        <f>8</f>
        <v>8</v>
      </c>
      <c r="C71" s="346"/>
      <c r="D71" s="346"/>
      <c r="E71" s="346"/>
      <c r="F71" s="346"/>
      <c r="G71" s="346"/>
      <c r="H71" s="346"/>
      <c r="I71" s="346"/>
      <c r="J71" s="346"/>
      <c r="K71" s="346"/>
      <c r="L71" s="346"/>
      <c r="M71" s="346"/>
      <c r="N71" s="346"/>
      <c r="O71" s="346"/>
      <c r="P71" s="346"/>
      <c r="Q71" s="346"/>
      <c r="R71" s="346"/>
      <c r="S71" s="346"/>
      <c r="T71" s="346"/>
      <c r="U71" s="346"/>
      <c r="V71" s="346"/>
      <c r="W71" s="346"/>
      <c r="X71" s="346"/>
      <c r="Y71" s="346"/>
      <c r="Z71" s="346"/>
      <c r="AA71" s="346"/>
      <c r="AB71" s="346"/>
      <c r="AC71" s="346"/>
      <c r="AD71" s="346"/>
      <c r="AE71" s="346"/>
      <c r="AF71" s="346"/>
      <c r="AG71" s="346"/>
      <c r="AH71" s="346"/>
      <c r="AI71" s="346"/>
      <c r="AJ71" s="346"/>
      <c r="AK71" s="346"/>
      <c r="AL71" s="346"/>
      <c r="AM71" s="346"/>
      <c r="AN71" s="346"/>
      <c r="AO71" s="346"/>
      <c r="AP71" s="346"/>
      <c r="AQ71" s="346"/>
      <c r="AR71" s="346"/>
      <c r="AS71" s="346"/>
      <c r="AT71" s="346"/>
      <c r="AU71" s="346"/>
      <c r="AV71">
        <f t="shared" si="6"/>
        <v>8</v>
      </c>
      <c r="AW71" s="351">
        <f t="shared" si="7"/>
        <v>7.0113935144609993E-3</v>
      </c>
    </row>
    <row r="72" spans="1:49">
      <c r="A72" s="165">
        <v>46058</v>
      </c>
      <c r="B72"/>
      <c r="C72"/>
      <c r="D72"/>
      <c r="E72"/>
      <c r="F72"/>
      <c r="G72"/>
      <c r="H72"/>
      <c r="I72"/>
      <c r="J72"/>
      <c r="K72"/>
      <c r="L72"/>
      <c r="M72"/>
      <c r="N72"/>
      <c r="O72"/>
      <c r="P72"/>
      <c r="Q72"/>
      <c r="R72">
        <f>3</f>
        <v>3</v>
      </c>
      <c r="S72"/>
      <c r="T72"/>
      <c r="U72"/>
      <c r="V72"/>
      <c r="W72"/>
      <c r="X72"/>
      <c r="Y72"/>
      <c r="Z72"/>
      <c r="AA72"/>
      <c r="AB72"/>
      <c r="AC72"/>
      <c r="AD72">
        <f>4+2</f>
        <v>6</v>
      </c>
      <c r="AE72"/>
      <c r="AF72"/>
      <c r="AG72"/>
      <c r="AH72"/>
      <c r="AI72"/>
      <c r="AJ72"/>
      <c r="AK72"/>
      <c r="AL72"/>
      <c r="AM72"/>
      <c r="AN72"/>
      <c r="AO72"/>
      <c r="AP72"/>
      <c r="AQ72"/>
      <c r="AR72"/>
      <c r="AS72"/>
      <c r="AT72"/>
      <c r="AU72"/>
      <c r="AV72">
        <f t="shared" si="6"/>
        <v>9</v>
      </c>
      <c r="AW72" s="351">
        <f t="shared" si="7"/>
        <v>7.8878177037686233E-3</v>
      </c>
    </row>
    <row r="73" spans="1:49">
      <c r="A73" s="165">
        <v>46058</v>
      </c>
      <c r="B73" s="346"/>
      <c r="C73" s="346"/>
      <c r="D73" s="346"/>
      <c r="E73" s="346"/>
      <c r="F73" s="346"/>
      <c r="G73" s="346"/>
      <c r="H73" s="346"/>
      <c r="I73" s="346"/>
      <c r="J73" s="346"/>
      <c r="K73" s="346"/>
      <c r="L73" s="346"/>
      <c r="M73" s="346"/>
      <c r="N73" s="346"/>
      <c r="O73" s="346"/>
      <c r="P73" s="346"/>
      <c r="Q73" s="346"/>
      <c r="R73" s="346"/>
      <c r="S73" s="346">
        <f>2+3</f>
        <v>5</v>
      </c>
      <c r="T73" s="346"/>
      <c r="U73" s="346"/>
      <c r="V73" s="346"/>
      <c r="W73" s="346"/>
      <c r="X73" s="346"/>
      <c r="Y73" s="346"/>
      <c r="Z73" s="346"/>
      <c r="AA73" s="346"/>
      <c r="AB73" s="346"/>
      <c r="AC73" s="346"/>
      <c r="AD73" s="346"/>
      <c r="AE73" s="346"/>
      <c r="AF73" s="346"/>
      <c r="AG73" s="346"/>
      <c r="AH73" s="346"/>
      <c r="AI73" s="346"/>
      <c r="AJ73" s="346"/>
      <c r="AK73" s="346"/>
      <c r="AL73" s="346"/>
      <c r="AM73" s="346"/>
      <c r="AN73" s="346"/>
      <c r="AO73" s="346"/>
      <c r="AP73" s="346"/>
      <c r="AQ73" s="346"/>
      <c r="AR73" s="346"/>
      <c r="AS73" s="346"/>
      <c r="AT73" s="346"/>
      <c r="AU73" s="346"/>
      <c r="AV73">
        <f t="shared" si="6"/>
        <v>5</v>
      </c>
      <c r="AW73" s="351">
        <f t="shared" si="7"/>
        <v>4.3821209465381246E-3</v>
      </c>
    </row>
    <row r="74" spans="1:49">
      <c r="A74" s="165">
        <v>46058</v>
      </c>
      <c r="B74"/>
      <c r="C74"/>
      <c r="D74"/>
      <c r="E74"/>
      <c r="F74"/>
      <c r="G74"/>
      <c r="H74"/>
      <c r="I74"/>
      <c r="J74"/>
      <c r="K74"/>
      <c r="L74"/>
      <c r="M74"/>
      <c r="N74"/>
      <c r="O74"/>
      <c r="P74"/>
      <c r="Q74"/>
      <c r="R74"/>
      <c r="S74">
        <f>2+2</f>
        <v>4</v>
      </c>
      <c r="T74"/>
      <c r="U74"/>
      <c r="V74"/>
      <c r="W74"/>
      <c r="X74"/>
      <c r="Y74"/>
      <c r="Z74"/>
      <c r="AA74"/>
      <c r="AB74"/>
      <c r="AC74"/>
      <c r="AD74"/>
      <c r="AE74"/>
      <c r="AF74"/>
      <c r="AG74"/>
      <c r="AH74"/>
      <c r="AI74"/>
      <c r="AJ74"/>
      <c r="AK74"/>
      <c r="AL74"/>
      <c r="AM74"/>
      <c r="AN74"/>
      <c r="AO74"/>
      <c r="AP74"/>
      <c r="AQ74"/>
      <c r="AR74"/>
      <c r="AS74"/>
      <c r="AT74"/>
      <c r="AU74"/>
      <c r="AV74">
        <f t="shared" si="6"/>
        <v>4</v>
      </c>
      <c r="AW74" s="351">
        <f t="shared" si="7"/>
        <v>3.5056967572304996E-3</v>
      </c>
    </row>
    <row r="75" spans="1:49">
      <c r="A75" s="165">
        <v>46059</v>
      </c>
      <c r="B75" s="346"/>
      <c r="C75" s="346"/>
      <c r="D75" s="346"/>
      <c r="E75" s="346"/>
      <c r="F75" s="346"/>
      <c r="G75" s="346"/>
      <c r="H75" s="346"/>
      <c r="I75" s="346"/>
      <c r="J75" s="346"/>
      <c r="K75" s="346"/>
      <c r="L75" s="346"/>
      <c r="M75" s="346"/>
      <c r="N75" s="346"/>
      <c r="O75" s="346"/>
      <c r="P75" s="346"/>
      <c r="Q75" s="346"/>
      <c r="R75" s="346"/>
      <c r="S75" s="346">
        <f>2+2+2+7</f>
        <v>13</v>
      </c>
      <c r="T75" s="346"/>
      <c r="U75" s="346"/>
      <c r="V75" s="346"/>
      <c r="W75" s="346"/>
      <c r="X75" s="346"/>
      <c r="Y75" s="346"/>
      <c r="Z75" s="346"/>
      <c r="AA75" s="346"/>
      <c r="AB75" s="346"/>
      <c r="AC75" s="346"/>
      <c r="AD75" s="346"/>
      <c r="AE75" s="346"/>
      <c r="AF75" s="346"/>
      <c r="AG75" s="346"/>
      <c r="AH75" s="346"/>
      <c r="AI75" s="346"/>
      <c r="AJ75" s="346"/>
      <c r="AK75" s="346"/>
      <c r="AL75" s="346"/>
      <c r="AM75" s="346"/>
      <c r="AN75" s="346"/>
      <c r="AO75" s="346"/>
      <c r="AP75" s="346"/>
      <c r="AQ75" s="346"/>
      <c r="AR75" s="346"/>
      <c r="AS75" s="346"/>
      <c r="AT75" s="346"/>
      <c r="AU75" s="346"/>
      <c r="AV75">
        <f t="shared" si="6"/>
        <v>13</v>
      </c>
      <c r="AW75" s="351">
        <f t="shared" si="7"/>
        <v>1.1393514460999123E-2</v>
      </c>
    </row>
    <row r="76" spans="1:49">
      <c r="A76" s="165">
        <v>46059</v>
      </c>
      <c r="B76"/>
      <c r="C76"/>
      <c r="D76"/>
      <c r="E76"/>
      <c r="F76"/>
      <c r="G76"/>
      <c r="H76"/>
      <c r="I76"/>
      <c r="J76"/>
      <c r="K76"/>
      <c r="L76"/>
      <c r="M76"/>
      <c r="N76"/>
      <c r="O76"/>
      <c r="P76"/>
      <c r="Q76"/>
      <c r="R76">
        <f>2</f>
        <v>2</v>
      </c>
      <c r="S76">
        <f>2+3</f>
        <v>5</v>
      </c>
      <c r="T76"/>
      <c r="U76"/>
      <c r="V76"/>
      <c r="W76"/>
      <c r="X76"/>
      <c r="Y76"/>
      <c r="Z76"/>
      <c r="AA76"/>
      <c r="AB76"/>
      <c r="AC76"/>
      <c r="AD76"/>
      <c r="AE76"/>
      <c r="AF76"/>
      <c r="AG76"/>
      <c r="AH76"/>
      <c r="AI76"/>
      <c r="AJ76"/>
      <c r="AK76"/>
      <c r="AL76"/>
      <c r="AM76"/>
      <c r="AN76"/>
      <c r="AO76"/>
      <c r="AP76"/>
      <c r="AQ76"/>
      <c r="AR76"/>
      <c r="AS76"/>
      <c r="AT76"/>
      <c r="AU76"/>
      <c r="AV76">
        <f t="shared" si="6"/>
        <v>7</v>
      </c>
      <c r="AW76" s="351">
        <f t="shared" si="7"/>
        <v>6.1349693251533744E-3</v>
      </c>
    </row>
    <row r="77" spans="1:49">
      <c r="A77" s="165">
        <v>46062</v>
      </c>
      <c r="B77" s="346"/>
      <c r="C77" s="346"/>
      <c r="D77" s="346"/>
      <c r="E77" s="346"/>
      <c r="F77" s="346"/>
      <c r="G77" s="346"/>
      <c r="H77" s="346"/>
      <c r="I77" s="346"/>
      <c r="J77" s="346"/>
      <c r="K77" s="346"/>
      <c r="L77" s="346"/>
      <c r="M77" s="346"/>
      <c r="N77" s="346"/>
      <c r="O77" s="346"/>
      <c r="P77" s="346"/>
      <c r="Q77" s="346"/>
      <c r="R77" s="346">
        <f>2</f>
        <v>2</v>
      </c>
      <c r="S77" s="346">
        <f>3+2</f>
        <v>5</v>
      </c>
      <c r="T77" s="346"/>
      <c r="U77" s="346"/>
      <c r="V77" s="346"/>
      <c r="W77" s="346"/>
      <c r="X77" s="346"/>
      <c r="Y77" s="346"/>
      <c r="Z77" s="346"/>
      <c r="AA77" s="346"/>
      <c r="AB77" s="346"/>
      <c r="AC77" s="346"/>
      <c r="AD77" s="346"/>
      <c r="AE77" s="346"/>
      <c r="AF77" s="346"/>
      <c r="AG77" s="346"/>
      <c r="AH77" s="346"/>
      <c r="AI77" s="346"/>
      <c r="AJ77" s="346"/>
      <c r="AK77" s="346"/>
      <c r="AL77" s="346"/>
      <c r="AM77" s="346"/>
      <c r="AN77" s="346"/>
      <c r="AO77" s="346"/>
      <c r="AP77" s="346"/>
      <c r="AQ77" s="346"/>
      <c r="AR77" s="346"/>
      <c r="AS77" s="346"/>
      <c r="AT77" s="346"/>
      <c r="AU77" s="346"/>
      <c r="AV77">
        <f t="shared" si="6"/>
        <v>7</v>
      </c>
      <c r="AW77" s="351">
        <f t="shared" si="7"/>
        <v>6.1349693251533744E-3</v>
      </c>
    </row>
    <row r="78" spans="1:49">
      <c r="A78" s="165">
        <v>46062</v>
      </c>
      <c r="B78"/>
      <c r="C78"/>
      <c r="D78"/>
      <c r="E78"/>
      <c r="F78"/>
      <c r="G78"/>
      <c r="H78"/>
      <c r="I78"/>
      <c r="J78"/>
      <c r="K78"/>
      <c r="L78"/>
      <c r="M78"/>
      <c r="N78"/>
      <c r="O78"/>
      <c r="P78"/>
      <c r="Q78"/>
      <c r="R78"/>
      <c r="S78"/>
      <c r="T78"/>
      <c r="U78"/>
      <c r="V78"/>
      <c r="W78"/>
      <c r="X78"/>
      <c r="Y78"/>
      <c r="Z78"/>
      <c r="AA78"/>
      <c r="AB78"/>
      <c r="AC78"/>
      <c r="AD78"/>
      <c r="AE78"/>
      <c r="AF78"/>
      <c r="AG78"/>
      <c r="AH78"/>
      <c r="AI78"/>
      <c r="AJ78"/>
      <c r="AK78"/>
      <c r="AL78"/>
      <c r="AM78"/>
      <c r="AN78"/>
      <c r="AO78"/>
      <c r="AP78"/>
      <c r="AQ78"/>
      <c r="AR78"/>
      <c r="AS78"/>
      <c r="AT78"/>
      <c r="AU78"/>
      <c r="AV78">
        <f t="shared" si="6"/>
        <v>0</v>
      </c>
      <c r="AW78" s="351">
        <f t="shared" si="7"/>
        <v>0</v>
      </c>
    </row>
    <row r="79" spans="1:49">
      <c r="A79" s="165">
        <v>46062</v>
      </c>
      <c r="B79" s="346"/>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s="346"/>
      <c r="AA79" s="346"/>
      <c r="AB79" s="346"/>
      <c r="AC79" s="346"/>
      <c r="AD79" s="346"/>
      <c r="AE79" s="346"/>
      <c r="AF79" s="346"/>
      <c r="AG79" s="346"/>
      <c r="AH79" s="346"/>
      <c r="AI79" s="346"/>
      <c r="AJ79" s="346"/>
      <c r="AK79" s="346"/>
      <c r="AL79" s="346"/>
      <c r="AM79" s="346"/>
      <c r="AN79" s="346"/>
      <c r="AO79" s="346"/>
      <c r="AP79" s="346"/>
      <c r="AQ79" s="346"/>
      <c r="AR79" s="346"/>
      <c r="AS79" s="346"/>
      <c r="AT79" s="346"/>
      <c r="AU79" s="346"/>
      <c r="AV79">
        <f t="shared" si="6"/>
        <v>0</v>
      </c>
      <c r="AW79" s="351">
        <f t="shared" si="7"/>
        <v>0</v>
      </c>
    </row>
    <row r="80" spans="1:49">
      <c r="A80" s="165">
        <v>46063</v>
      </c>
      <c r="B80"/>
      <c r="C80"/>
      <c r="D80"/>
      <c r="E80"/>
      <c r="F80"/>
      <c r="G80"/>
      <c r="H80"/>
      <c r="I80"/>
      <c r="J80"/>
      <c r="K80"/>
      <c r="L80"/>
      <c r="M80"/>
      <c r="N80"/>
      <c r="O80"/>
      <c r="P80"/>
      <c r="Q80"/>
      <c r="R80">
        <f>3+4+3+4+5+3+4+3+6</f>
        <v>35</v>
      </c>
      <c r="S80">
        <f>2+3+2</f>
        <v>7</v>
      </c>
      <c r="T80">
        <f>2</f>
        <v>2</v>
      </c>
      <c r="U80"/>
      <c r="V80"/>
      <c r="W80"/>
      <c r="X80"/>
      <c r="Y80"/>
      <c r="Z80"/>
      <c r="AA80"/>
      <c r="AB80"/>
      <c r="AC80"/>
      <c r="AD80"/>
      <c r="AE80"/>
      <c r="AF80"/>
      <c r="AG80"/>
      <c r="AH80"/>
      <c r="AI80"/>
      <c r="AJ80"/>
      <c r="AK80"/>
      <c r="AL80"/>
      <c r="AM80"/>
      <c r="AN80"/>
      <c r="AO80"/>
      <c r="AP80"/>
      <c r="AQ80"/>
      <c r="AR80"/>
      <c r="AS80"/>
      <c r="AT80"/>
      <c r="AU80"/>
      <c r="AV80">
        <f t="shared" si="6"/>
        <v>44</v>
      </c>
      <c r="AW80" s="351">
        <f t="shared" si="7"/>
        <v>3.8562664329535493E-2</v>
      </c>
    </row>
    <row r="81" spans="1:49">
      <c r="A81" s="165">
        <v>46063</v>
      </c>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s="346"/>
      <c r="AO81" s="346"/>
      <c r="AP81" s="346"/>
      <c r="AQ81" s="346"/>
      <c r="AR81" s="346"/>
      <c r="AS81" s="346"/>
      <c r="AT81" s="346"/>
      <c r="AU81" s="346"/>
      <c r="AV81">
        <f t="shared" si="6"/>
        <v>0</v>
      </c>
      <c r="AW81" s="351">
        <f t="shared" si="7"/>
        <v>0</v>
      </c>
    </row>
    <row r="82" spans="1:49">
      <c r="A82" s="165">
        <v>46063</v>
      </c>
      <c r="B82"/>
      <c r="C82"/>
      <c r="D82"/>
      <c r="E82"/>
      <c r="F82"/>
      <c r="G82"/>
      <c r="H82"/>
      <c r="I82"/>
      <c r="J82"/>
      <c r="K82"/>
      <c r="L82"/>
      <c r="M82"/>
      <c r="N82"/>
      <c r="O82"/>
      <c r="P82"/>
      <c r="Q82"/>
      <c r="R82"/>
      <c r="S82">
        <f>2</f>
        <v>2</v>
      </c>
      <c r="T82"/>
      <c r="U82"/>
      <c r="V82"/>
      <c r="W82"/>
      <c r="X82"/>
      <c r="Y82"/>
      <c r="Z82"/>
      <c r="AA82"/>
      <c r="AB82"/>
      <c r="AC82"/>
      <c r="AD82"/>
      <c r="AE82"/>
      <c r="AF82"/>
      <c r="AG82"/>
      <c r="AH82"/>
      <c r="AI82"/>
      <c r="AJ82"/>
      <c r="AK82"/>
      <c r="AL82"/>
      <c r="AM82"/>
      <c r="AN82"/>
      <c r="AO82"/>
      <c r="AP82"/>
      <c r="AQ82"/>
      <c r="AR82"/>
      <c r="AS82"/>
      <c r="AT82"/>
      <c r="AU82"/>
      <c r="AV82">
        <f t="shared" si="6"/>
        <v>2</v>
      </c>
      <c r="AW82" s="351">
        <f t="shared" si="7"/>
        <v>1.7528483786152498E-3</v>
      </c>
    </row>
    <row r="83" spans="1:49">
      <c r="A83" s="165">
        <v>46064</v>
      </c>
      <c r="B83" s="346"/>
      <c r="C83" s="346"/>
      <c r="D83" s="346"/>
      <c r="E83" s="346"/>
      <c r="F83" s="346"/>
      <c r="G83" s="346"/>
      <c r="H83" s="346"/>
      <c r="I83" s="346"/>
      <c r="J83" s="346"/>
      <c r="K83" s="346"/>
      <c r="L83" s="346"/>
      <c r="M83" s="346"/>
      <c r="N83" s="346"/>
      <c r="O83" s="346"/>
      <c r="P83" s="346"/>
      <c r="Q83" s="346"/>
      <c r="R83" s="346">
        <f>2</f>
        <v>2</v>
      </c>
      <c r="S83" s="346">
        <f>3+2+4+2+3+2+3+3+3</f>
        <v>25</v>
      </c>
      <c r="T83" s="346"/>
      <c r="U83" s="346"/>
      <c r="V83" s="346">
        <f>2</f>
        <v>2</v>
      </c>
      <c r="W83" s="346"/>
      <c r="X83" s="346"/>
      <c r="Y83" s="346"/>
      <c r="Z83" s="346"/>
      <c r="AA83" s="346"/>
      <c r="AB83" s="346"/>
      <c r="AC83" s="346"/>
      <c r="AD83" s="346"/>
      <c r="AE83" s="346"/>
      <c r="AF83" s="346"/>
      <c r="AG83" s="346"/>
      <c r="AH83" s="346"/>
      <c r="AI83" s="346"/>
      <c r="AJ83" s="346"/>
      <c r="AK83" s="346"/>
      <c r="AL83" s="346"/>
      <c r="AM83" s="346"/>
      <c r="AN83" s="346"/>
      <c r="AO83" s="346"/>
      <c r="AP83" s="346"/>
      <c r="AQ83" s="346"/>
      <c r="AR83" s="346"/>
      <c r="AS83" s="346"/>
      <c r="AT83" s="346"/>
      <c r="AU83" s="346"/>
      <c r="AV83">
        <f t="shared" si="6"/>
        <v>29</v>
      </c>
      <c r="AW83" s="351">
        <f t="shared" si="7"/>
        <v>2.5416301489921123E-2</v>
      </c>
    </row>
    <row r="84" spans="1:49">
      <c r="A84" s="165">
        <v>46064</v>
      </c>
      <c r="B84"/>
      <c r="C84"/>
      <c r="D84"/>
      <c r="E84"/>
      <c r="F84"/>
      <c r="G84"/>
      <c r="H84"/>
      <c r="I84"/>
      <c r="J84"/>
      <c r="K84"/>
      <c r="L84"/>
      <c r="M84"/>
      <c r="N84"/>
      <c r="O84"/>
      <c r="P84"/>
      <c r="Q84"/>
      <c r="R84"/>
      <c r="S84">
        <f>3+2</f>
        <v>5</v>
      </c>
      <c r="T84"/>
      <c r="U84"/>
      <c r="V84"/>
      <c r="W84"/>
      <c r="X84"/>
      <c r="Y84"/>
      <c r="Z84"/>
      <c r="AA84"/>
      <c r="AB84"/>
      <c r="AC84"/>
      <c r="AD84"/>
      <c r="AE84"/>
      <c r="AF84"/>
      <c r="AG84"/>
      <c r="AH84"/>
      <c r="AI84"/>
      <c r="AJ84"/>
      <c r="AK84"/>
      <c r="AL84"/>
      <c r="AM84"/>
      <c r="AN84"/>
      <c r="AO84"/>
      <c r="AP84"/>
      <c r="AQ84"/>
      <c r="AR84"/>
      <c r="AS84"/>
      <c r="AT84"/>
      <c r="AU84"/>
      <c r="AV84">
        <f t="shared" si="6"/>
        <v>5</v>
      </c>
      <c r="AW84" s="351">
        <f t="shared" si="7"/>
        <v>4.3821209465381246E-3</v>
      </c>
    </row>
    <row r="85" spans="1:49">
      <c r="A85" s="165">
        <v>46065</v>
      </c>
      <c r="B85" s="346"/>
      <c r="C85" s="346"/>
      <c r="D85" s="346"/>
      <c r="E85" s="346"/>
      <c r="F85" s="346">
        <v>5</v>
      </c>
      <c r="G85" s="346"/>
      <c r="H85" s="346"/>
      <c r="I85" s="346"/>
      <c r="J85" s="346"/>
      <c r="K85" s="346"/>
      <c r="L85" s="346"/>
      <c r="M85" s="346"/>
      <c r="N85" s="346"/>
      <c r="O85" s="346"/>
      <c r="P85" s="346"/>
      <c r="Q85" s="346"/>
      <c r="R85" s="346">
        <f>20</f>
        <v>20</v>
      </c>
      <c r="S85" s="346"/>
      <c r="T85" s="346"/>
      <c r="U85" s="346"/>
      <c r="V85" s="346">
        <f>3+2+2</f>
        <v>7</v>
      </c>
      <c r="W85" s="346"/>
      <c r="X85" s="346"/>
      <c r="Y85" s="346">
        <f>8+19+38+18</f>
        <v>83</v>
      </c>
      <c r="Z85" s="346"/>
      <c r="AA85" s="346"/>
      <c r="AB85" s="346"/>
      <c r="AC85" s="346"/>
      <c r="AD85" s="346"/>
      <c r="AE85" s="346"/>
      <c r="AF85" s="346"/>
      <c r="AG85" s="346"/>
      <c r="AH85" s="346"/>
      <c r="AI85" s="346"/>
      <c r="AJ85" s="346"/>
      <c r="AK85" s="346"/>
      <c r="AL85" s="346"/>
      <c r="AM85" s="346"/>
      <c r="AN85" s="346"/>
      <c r="AO85" s="346"/>
      <c r="AP85" s="346"/>
      <c r="AQ85" s="346"/>
      <c r="AR85" s="346"/>
      <c r="AS85" s="346"/>
      <c r="AT85" s="346"/>
      <c r="AU85" s="346"/>
      <c r="AV85">
        <f t="shared" si="6"/>
        <v>115</v>
      </c>
      <c r="AW85" s="351">
        <f t="shared" si="7"/>
        <v>0.10078878177037687</v>
      </c>
    </row>
    <row r="86" spans="1:49">
      <c r="A86" s="165">
        <v>46066</v>
      </c>
      <c r="B86"/>
      <c r="C86"/>
      <c r="D86"/>
      <c r="E86"/>
      <c r="F86"/>
      <c r="G86"/>
      <c r="H86"/>
      <c r="I86"/>
      <c r="J86"/>
      <c r="K86"/>
      <c r="L86"/>
      <c r="M86"/>
      <c r="N86"/>
      <c r="O86"/>
      <c r="P86"/>
      <c r="Q86"/>
      <c r="R86"/>
      <c r="S86">
        <f>3+3+4</f>
        <v>10</v>
      </c>
      <c r="T86"/>
      <c r="U86"/>
      <c r="V86"/>
      <c r="W86"/>
      <c r="X86"/>
      <c r="Y86"/>
      <c r="Z86"/>
      <c r="AA86"/>
      <c r="AB86"/>
      <c r="AC86"/>
      <c r="AD86"/>
      <c r="AE86"/>
      <c r="AF86"/>
      <c r="AG86"/>
      <c r="AH86"/>
      <c r="AI86"/>
      <c r="AJ86"/>
      <c r="AK86"/>
      <c r="AL86"/>
      <c r="AM86"/>
      <c r="AN86"/>
      <c r="AO86"/>
      <c r="AP86"/>
      <c r="AQ86"/>
      <c r="AR86"/>
      <c r="AS86"/>
      <c r="AT86"/>
      <c r="AU86"/>
      <c r="AV86">
        <f t="shared" si="6"/>
        <v>10</v>
      </c>
      <c r="AW86" s="351">
        <f t="shared" ref="AW86:AW94" si="8">AV86/$AV$118</f>
        <v>8.7642418930762491E-3</v>
      </c>
    </row>
    <row r="87" spans="1:49">
      <c r="A87" s="165">
        <v>46066</v>
      </c>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6"/>
      <c r="AA87" s="346"/>
      <c r="AB87" s="346"/>
      <c r="AC87" s="346"/>
      <c r="AD87" s="346"/>
      <c r="AE87" s="346"/>
      <c r="AF87" s="346"/>
      <c r="AG87" s="346"/>
      <c r="AH87" s="346"/>
      <c r="AI87" s="346"/>
      <c r="AJ87" s="346"/>
      <c r="AK87" s="346"/>
      <c r="AL87" s="346"/>
      <c r="AM87" s="346"/>
      <c r="AN87" s="346"/>
      <c r="AO87" s="346"/>
      <c r="AP87" s="346"/>
      <c r="AQ87" s="346"/>
      <c r="AR87" s="346"/>
      <c r="AS87" s="346"/>
      <c r="AT87" s="346"/>
      <c r="AU87" s="346"/>
      <c r="AV87">
        <f t="shared" si="6"/>
        <v>0</v>
      </c>
      <c r="AW87" s="351">
        <f t="shared" si="8"/>
        <v>0</v>
      </c>
    </row>
    <row r="88" spans="1:49">
      <c r="A88" s="165">
        <v>46069</v>
      </c>
      <c r="B88"/>
      <c r="C88"/>
      <c r="D88"/>
      <c r="E88"/>
      <c r="F88"/>
      <c r="G88"/>
      <c r="H88"/>
      <c r="I88"/>
      <c r="J88"/>
      <c r="K88"/>
      <c r="L88"/>
      <c r="M88"/>
      <c r="N88"/>
      <c r="O88"/>
      <c r="P88"/>
      <c r="Q88"/>
      <c r="R88"/>
      <c r="S88">
        <f>2+2+2+2</f>
        <v>8</v>
      </c>
      <c r="T88"/>
      <c r="U88"/>
      <c r="V88"/>
      <c r="W88">
        <f>15</f>
        <v>15</v>
      </c>
      <c r="X88"/>
      <c r="Y88"/>
      <c r="Z88"/>
      <c r="AA88"/>
      <c r="AB88"/>
      <c r="AC88"/>
      <c r="AD88">
        <f>3+4</f>
        <v>7</v>
      </c>
      <c r="AE88"/>
      <c r="AF88"/>
      <c r="AG88">
        <f>2</f>
        <v>2</v>
      </c>
      <c r="AH88"/>
      <c r="AI88"/>
      <c r="AJ88"/>
      <c r="AK88"/>
      <c r="AL88"/>
      <c r="AM88"/>
      <c r="AN88"/>
      <c r="AO88"/>
      <c r="AP88"/>
      <c r="AQ88"/>
      <c r="AR88"/>
      <c r="AS88"/>
      <c r="AT88"/>
      <c r="AU88"/>
      <c r="AV88">
        <f t="shared" si="6"/>
        <v>32</v>
      </c>
      <c r="AW88" s="351">
        <f t="shared" si="8"/>
        <v>2.8045574057843997E-2</v>
      </c>
    </row>
    <row r="89" spans="1:49">
      <c r="A89" s="165">
        <v>46070</v>
      </c>
      <c r="B89" s="346"/>
      <c r="C89" s="346"/>
      <c r="D89" s="346"/>
      <c r="E89" s="346"/>
      <c r="F89" s="346"/>
      <c r="G89" s="346"/>
      <c r="H89" s="346"/>
      <c r="I89" s="346"/>
      <c r="J89" s="346"/>
      <c r="K89" s="346"/>
      <c r="L89" s="346"/>
      <c r="M89" s="346"/>
      <c r="N89" s="346"/>
      <c r="O89" s="346"/>
      <c r="P89" s="346"/>
      <c r="Q89" s="346"/>
      <c r="R89" s="346"/>
      <c r="S89" s="346">
        <f>2+2+1</f>
        <v>5</v>
      </c>
      <c r="T89" s="353"/>
      <c r="U89" s="346"/>
      <c r="V89" s="346"/>
      <c r="W89" s="346">
        <v>2</v>
      </c>
      <c r="X89" s="346"/>
      <c r="Y89" s="346"/>
      <c r="Z89" s="346"/>
      <c r="AA89" s="346"/>
      <c r="AB89" s="346"/>
      <c r="AC89" s="346"/>
      <c r="AD89" s="346"/>
      <c r="AE89" s="346"/>
      <c r="AF89" s="346"/>
      <c r="AG89" s="346"/>
      <c r="AH89" s="346"/>
      <c r="AI89" s="346"/>
      <c r="AJ89" s="346"/>
      <c r="AK89" s="346"/>
      <c r="AL89" s="346"/>
      <c r="AM89" s="346"/>
      <c r="AN89" s="346"/>
      <c r="AO89" s="346"/>
      <c r="AP89" s="346"/>
      <c r="AQ89" s="346"/>
      <c r="AR89" s="346"/>
      <c r="AS89" s="346"/>
      <c r="AT89" s="346"/>
      <c r="AU89" s="346"/>
      <c r="AV89">
        <f t="shared" si="6"/>
        <v>7</v>
      </c>
      <c r="AW89" s="351">
        <f t="shared" si="8"/>
        <v>6.1349693251533744E-3</v>
      </c>
    </row>
    <row r="90" spans="1:49">
      <c r="A90" s="165">
        <v>46071</v>
      </c>
      <c r="B90"/>
      <c r="C90"/>
      <c r="D90"/>
      <c r="E90"/>
      <c r="F90"/>
      <c r="G90"/>
      <c r="H90"/>
      <c r="I90"/>
      <c r="J90"/>
      <c r="K90"/>
      <c r="L90"/>
      <c r="M90"/>
      <c r="N90"/>
      <c r="O90"/>
      <c r="P90"/>
      <c r="Q90"/>
      <c r="R90"/>
      <c r="S90"/>
      <c r="T90"/>
      <c r="U90"/>
      <c r="V90"/>
      <c r="W90"/>
      <c r="X90"/>
      <c r="Y90"/>
      <c r="Z90"/>
      <c r="AA90"/>
      <c r="AB90"/>
      <c r="AC90"/>
      <c r="AD90"/>
      <c r="AE90"/>
      <c r="AF90"/>
      <c r="AG90"/>
      <c r="AH90"/>
      <c r="AI90"/>
      <c r="AJ90"/>
      <c r="AK90"/>
      <c r="AL90"/>
      <c r="AM90"/>
      <c r="AN90"/>
      <c r="AO90"/>
      <c r="AP90"/>
      <c r="AQ90"/>
      <c r="AR90"/>
      <c r="AS90"/>
      <c r="AT90"/>
      <c r="AU90"/>
      <c r="AV90">
        <f t="shared" si="6"/>
        <v>0</v>
      </c>
      <c r="AW90" s="351">
        <f t="shared" si="8"/>
        <v>0</v>
      </c>
    </row>
    <row r="91" spans="1:49">
      <c r="A91" s="165">
        <v>46072</v>
      </c>
      <c r="B91" s="346"/>
      <c r="C91" s="346"/>
      <c r="D91" s="346"/>
      <c r="E91" s="346"/>
      <c r="F91" s="346"/>
      <c r="G91" s="346"/>
      <c r="H91" s="346"/>
      <c r="I91" s="346"/>
      <c r="J91" s="346"/>
      <c r="K91" s="346"/>
      <c r="L91" s="346"/>
      <c r="M91" s="346"/>
      <c r="N91" s="346"/>
      <c r="O91" s="346"/>
      <c r="P91" s="346"/>
      <c r="Q91" s="346"/>
      <c r="R91" s="346">
        <f>5</f>
        <v>5</v>
      </c>
      <c r="S91" s="346">
        <f>2+1</f>
        <v>3</v>
      </c>
      <c r="T91" s="346"/>
      <c r="U91" s="346"/>
      <c r="V91" s="346"/>
      <c r="W91" s="346"/>
      <c r="X91" s="346"/>
      <c r="Y91" s="346"/>
      <c r="Z91" s="346"/>
      <c r="AA91" s="346"/>
      <c r="AB91" s="346"/>
      <c r="AC91" s="346"/>
      <c r="AD91" s="346"/>
      <c r="AE91" s="346"/>
      <c r="AF91" s="346"/>
      <c r="AG91" s="346"/>
      <c r="AH91" s="77"/>
      <c r="AI91" s="346"/>
      <c r="AJ91" s="346"/>
      <c r="AK91" s="346"/>
      <c r="AL91" s="346"/>
      <c r="AM91" s="346"/>
      <c r="AN91" s="346"/>
      <c r="AO91" s="346"/>
      <c r="AP91" s="346"/>
      <c r="AQ91" s="346"/>
      <c r="AR91" s="346"/>
      <c r="AS91" s="346"/>
      <c r="AT91" s="346"/>
      <c r="AU91" s="346"/>
      <c r="AV91">
        <f t="shared" si="6"/>
        <v>8</v>
      </c>
      <c r="AW91" s="351">
        <f t="shared" si="8"/>
        <v>7.0113935144609993E-3</v>
      </c>
    </row>
    <row r="92" spans="1:49">
      <c r="A92" s="165">
        <v>46072</v>
      </c>
      <c r="B92"/>
      <c r="C92"/>
      <c r="D92"/>
      <c r="E92"/>
      <c r="F92"/>
      <c r="G92"/>
      <c r="H92"/>
      <c r="I92"/>
      <c r="J92"/>
      <c r="K92"/>
      <c r="L92"/>
      <c r="M92"/>
      <c r="N92"/>
      <c r="O92"/>
      <c r="P92"/>
      <c r="Q92"/>
      <c r="R92"/>
      <c r="S92"/>
      <c r="T92"/>
      <c r="U92"/>
      <c r="V92"/>
      <c r="W92"/>
      <c r="X92"/>
      <c r="Y92"/>
      <c r="Z92"/>
      <c r="AA92"/>
      <c r="AB92"/>
      <c r="AC92"/>
      <c r="AD92"/>
      <c r="AE92"/>
      <c r="AF92"/>
      <c r="AG92"/>
      <c r="AH92"/>
      <c r="AI92"/>
      <c r="AJ92"/>
      <c r="AK92"/>
      <c r="AL92"/>
      <c r="AM92"/>
      <c r="AN92"/>
      <c r="AO92"/>
      <c r="AP92"/>
      <c r="AQ92"/>
      <c r="AR92"/>
      <c r="AS92"/>
      <c r="AT92"/>
      <c r="AU92"/>
      <c r="AV92">
        <f t="shared" si="6"/>
        <v>0</v>
      </c>
      <c r="AW92" s="351">
        <f t="shared" si="8"/>
        <v>0</v>
      </c>
    </row>
    <row r="93" spans="1:49">
      <c r="A93" s="165">
        <v>46072</v>
      </c>
      <c r="B93" s="346"/>
      <c r="C93" s="346"/>
      <c r="D93" s="346"/>
      <c r="E93" s="346"/>
      <c r="F93" s="346"/>
      <c r="G93" s="346"/>
      <c r="H93" s="346"/>
      <c r="I93" s="346"/>
      <c r="J93" s="346"/>
      <c r="K93" s="346"/>
      <c r="L93" s="346"/>
      <c r="M93" s="346"/>
      <c r="N93" s="346"/>
      <c r="O93" s="346"/>
      <c r="P93" s="346"/>
      <c r="Q93" s="346"/>
      <c r="R93" s="346"/>
      <c r="S93" s="346"/>
      <c r="T93" s="346"/>
      <c r="U93" s="346"/>
      <c r="V93" s="346"/>
      <c r="W93" s="346"/>
      <c r="X93" s="346"/>
      <c r="Y93" s="346"/>
      <c r="Z93" s="346"/>
      <c r="AA93" s="346"/>
      <c r="AB93" s="346"/>
      <c r="AC93" s="346"/>
      <c r="AD93" s="346"/>
      <c r="AE93" s="346"/>
      <c r="AF93" s="346"/>
      <c r="AG93" s="346"/>
      <c r="AH93" s="346"/>
      <c r="AI93" s="346"/>
      <c r="AJ93" s="346"/>
      <c r="AK93" s="346"/>
      <c r="AL93" s="346"/>
      <c r="AM93" s="346"/>
      <c r="AN93" s="346"/>
      <c r="AO93" s="346"/>
      <c r="AP93" s="346"/>
      <c r="AQ93" s="346"/>
      <c r="AR93" s="346"/>
      <c r="AS93" s="346"/>
      <c r="AT93" s="346"/>
      <c r="AU93" s="346"/>
      <c r="AV93">
        <f t="shared" si="6"/>
        <v>0</v>
      </c>
      <c r="AW93" s="351">
        <f t="shared" si="8"/>
        <v>0</v>
      </c>
    </row>
    <row r="94" spans="1:49">
      <c r="A94" s="165">
        <v>46073</v>
      </c>
      <c r="B94"/>
      <c r="C94"/>
      <c r="D94"/>
      <c r="E94"/>
      <c r="F94"/>
      <c r="G94"/>
      <c r="H94"/>
      <c r="I94"/>
      <c r="J94"/>
      <c r="K94"/>
      <c r="L94"/>
      <c r="M94"/>
      <c r="N94"/>
      <c r="O94"/>
      <c r="P94"/>
      <c r="Q94"/>
      <c r="R94"/>
      <c r="S94"/>
      <c r="T94"/>
      <c r="U94"/>
      <c r="V94"/>
      <c r="W94"/>
      <c r="X94"/>
      <c r="Y94"/>
      <c r="Z94"/>
      <c r="AA94"/>
      <c r="AB94"/>
      <c r="AC94"/>
      <c r="AD94"/>
      <c r="AE94"/>
      <c r="AF94"/>
      <c r="AG94"/>
      <c r="AH94"/>
      <c r="AI94"/>
      <c r="AJ94"/>
      <c r="AK94"/>
      <c r="AL94"/>
      <c r="AM94"/>
      <c r="AN94"/>
      <c r="AO94"/>
      <c r="AP94"/>
      <c r="AQ94"/>
      <c r="AR94"/>
      <c r="AS94"/>
      <c r="AT94"/>
      <c r="AU94"/>
      <c r="AV94">
        <f t="shared" si="6"/>
        <v>0</v>
      </c>
      <c r="AW94" s="351">
        <f t="shared" si="8"/>
        <v>0</v>
      </c>
    </row>
    <row r="95" spans="1:49">
      <c r="A95" s="165">
        <v>46073</v>
      </c>
      <c r="B95" s="346"/>
      <c r="C95" s="346"/>
      <c r="D95" s="346"/>
      <c r="E95" s="346"/>
      <c r="F95" s="346"/>
      <c r="G95" s="346"/>
      <c r="H95" s="346"/>
      <c r="I95" s="346"/>
      <c r="J95" s="346"/>
      <c r="K95" s="346"/>
      <c r="L95" s="346"/>
      <c r="M95" s="346"/>
      <c r="N95" s="346"/>
      <c r="O95" s="346"/>
      <c r="P95" s="346"/>
      <c r="Q95" s="346"/>
      <c r="R95" s="346"/>
      <c r="S95" s="346">
        <f>2</f>
        <v>2</v>
      </c>
      <c r="T95" s="346"/>
      <c r="U95" s="346"/>
      <c r="V95" s="346"/>
      <c r="W95" s="346"/>
      <c r="X95" s="346"/>
      <c r="Y95" s="346"/>
      <c r="Z95" s="346"/>
      <c r="AA95" s="346"/>
      <c r="AB95" s="346"/>
      <c r="AC95" s="346"/>
      <c r="AD95" s="346"/>
      <c r="AE95" s="346"/>
      <c r="AF95" s="346"/>
      <c r="AG95" s="346"/>
      <c r="AH95" s="346"/>
      <c r="AI95" s="346"/>
      <c r="AJ95" s="346"/>
      <c r="AK95" s="346"/>
      <c r="AL95" s="346"/>
      <c r="AM95" s="346"/>
      <c r="AN95" s="346"/>
      <c r="AO95" s="346"/>
      <c r="AP95" s="346"/>
      <c r="AQ95" s="346"/>
      <c r="AR95" s="346"/>
      <c r="AS95" s="346"/>
      <c r="AT95" s="346"/>
      <c r="AU95" s="346"/>
      <c r="AV95">
        <f t="shared" si="6"/>
        <v>2</v>
      </c>
      <c r="AW95" s="351">
        <f t="shared" ref="AW95:AW117" si="9">AV95/$AV$118</f>
        <v>1.7528483786152498E-3</v>
      </c>
    </row>
    <row r="96" spans="1:49">
      <c r="A96" s="165">
        <v>46076</v>
      </c>
      <c r="B96"/>
      <c r="C96"/>
      <c r="D96"/>
      <c r="E96"/>
      <c r="F96"/>
      <c r="G96"/>
      <c r="H96"/>
      <c r="I96"/>
      <c r="J96"/>
      <c r="K96"/>
      <c r="L96"/>
      <c r="M96"/>
      <c r="N96"/>
      <c r="O96"/>
      <c r="P96"/>
      <c r="Q96"/>
      <c r="R96">
        <f>60+60+30</f>
        <v>150</v>
      </c>
      <c r="S96">
        <f>4+2+2</f>
        <v>8</v>
      </c>
      <c r="T96"/>
      <c r="U96"/>
      <c r="V96">
        <f>2+3+1</f>
        <v>6</v>
      </c>
      <c r="W96"/>
      <c r="X96">
        <f>60+60+60+60+60</f>
        <v>300</v>
      </c>
      <c r="Y96"/>
      <c r="Z96"/>
      <c r="AA96"/>
      <c r="AB96"/>
      <c r="AC96"/>
      <c r="AD96"/>
      <c r="AE96"/>
      <c r="AF96"/>
      <c r="AG96"/>
      <c r="AH96"/>
      <c r="AI96"/>
      <c r="AJ96"/>
      <c r="AK96"/>
      <c r="AL96"/>
      <c r="AM96"/>
      <c r="AN96"/>
      <c r="AO96"/>
      <c r="AP96"/>
      <c r="AQ96"/>
      <c r="AR96"/>
      <c r="AS96"/>
      <c r="AT96"/>
      <c r="AU96"/>
      <c r="AV96">
        <f t="shared" si="6"/>
        <v>464</v>
      </c>
      <c r="AW96" s="351">
        <f t="shared" si="9"/>
        <v>0.40666082383873797</v>
      </c>
    </row>
    <row r="97" spans="1:49">
      <c r="A97" s="165">
        <v>46077</v>
      </c>
      <c r="B97" s="346"/>
      <c r="C97" s="346"/>
      <c r="D97" s="346"/>
      <c r="E97" s="346"/>
      <c r="F97" s="346"/>
      <c r="G97" s="346"/>
      <c r="H97" s="346"/>
      <c r="I97" s="346"/>
      <c r="J97" s="346"/>
      <c r="K97" s="346"/>
      <c r="L97" s="346"/>
      <c r="M97" s="346"/>
      <c r="N97" s="346"/>
      <c r="O97" s="346"/>
      <c r="P97" s="346"/>
      <c r="Q97" s="346"/>
      <c r="R97" s="346"/>
      <c r="S97" s="346">
        <f>1+2+3+3+2</f>
        <v>11</v>
      </c>
      <c r="T97" s="346"/>
      <c r="U97" s="346"/>
      <c r="V97" s="346"/>
      <c r="W97" s="346"/>
      <c r="X97" s="346"/>
      <c r="Y97" s="346"/>
      <c r="Z97" s="346"/>
      <c r="AA97" s="346"/>
      <c r="AB97" s="346"/>
      <c r="AC97" s="346"/>
      <c r="AD97" s="346"/>
      <c r="AE97" s="346"/>
      <c r="AF97" s="346"/>
      <c r="AG97" s="346"/>
      <c r="AH97" s="346"/>
      <c r="AI97" s="346"/>
      <c r="AJ97" s="346"/>
      <c r="AK97" s="346"/>
      <c r="AL97" s="346"/>
      <c r="AM97" s="346"/>
      <c r="AN97" s="346"/>
      <c r="AO97" s="346"/>
      <c r="AP97" s="346"/>
      <c r="AQ97" s="346"/>
      <c r="AR97" s="346"/>
      <c r="AS97" s="346"/>
      <c r="AT97" s="346"/>
      <c r="AU97" s="346"/>
      <c r="AV97">
        <f t="shared" si="6"/>
        <v>11</v>
      </c>
      <c r="AW97" s="351">
        <f t="shared" si="9"/>
        <v>9.6406660823838732E-3</v>
      </c>
    </row>
    <row r="98" spans="1:49">
      <c r="A98" s="165">
        <v>46077</v>
      </c>
      <c r="B98"/>
      <c r="C98"/>
      <c r="D98"/>
      <c r="E98"/>
      <c r="F98"/>
      <c r="G98"/>
      <c r="H98"/>
      <c r="I98"/>
      <c r="J98"/>
      <c r="K98"/>
      <c r="L98"/>
      <c r="M98"/>
      <c r="N98"/>
      <c r="O98"/>
      <c r="P98"/>
      <c r="Q98"/>
      <c r="R98"/>
      <c r="S98"/>
      <c r="T98"/>
      <c r="U98"/>
      <c r="V98"/>
      <c r="W98"/>
      <c r="X98"/>
      <c r="Y98"/>
      <c r="Z98"/>
      <c r="AA98"/>
      <c r="AB98"/>
      <c r="AC98"/>
      <c r="AD98"/>
      <c r="AE98"/>
      <c r="AF98"/>
      <c r="AG98"/>
      <c r="AH98">
        <f>42+30</f>
        <v>72</v>
      </c>
      <c r="AI98"/>
      <c r="AJ98"/>
      <c r="AK98"/>
      <c r="AL98"/>
      <c r="AM98"/>
      <c r="AN98"/>
      <c r="AO98"/>
      <c r="AP98"/>
      <c r="AQ98"/>
      <c r="AR98"/>
      <c r="AS98"/>
      <c r="AT98"/>
      <c r="AU98"/>
      <c r="AV98">
        <f t="shared" si="6"/>
        <v>72</v>
      </c>
      <c r="AW98" s="351">
        <f t="shared" si="9"/>
        <v>6.3102541630148987E-2</v>
      </c>
    </row>
    <row r="99" spans="1:49">
      <c r="A99" s="165">
        <v>46078</v>
      </c>
      <c r="B99" s="346"/>
      <c r="C99" s="346"/>
      <c r="D99" s="346"/>
      <c r="E99" s="346"/>
      <c r="F99" s="346"/>
      <c r="G99" s="346"/>
      <c r="H99" s="346"/>
      <c r="I99" s="346"/>
      <c r="J99" s="346"/>
      <c r="K99" s="346"/>
      <c r="L99" s="346"/>
      <c r="M99" s="346"/>
      <c r="N99" s="346"/>
      <c r="O99" s="346"/>
      <c r="P99" s="346"/>
      <c r="Q99" s="346"/>
      <c r="R99" s="346">
        <f>7</f>
        <v>7</v>
      </c>
      <c r="S99" s="346">
        <f>2+3</f>
        <v>5</v>
      </c>
      <c r="T99" s="346"/>
      <c r="U99" s="346"/>
      <c r="V99" s="346">
        <f>3+2+3+2+3+3+2+2+2+8+2+3+1+2+3+6</f>
        <v>47</v>
      </c>
      <c r="W99" s="346"/>
      <c r="X99" s="346">
        <f>2</f>
        <v>2</v>
      </c>
      <c r="Y99" s="346"/>
      <c r="Z99" s="346"/>
      <c r="AA99" s="346"/>
      <c r="AB99" s="346"/>
      <c r="AC99" s="346">
        <f>60+25</f>
        <v>85</v>
      </c>
      <c r="AD99" s="346"/>
      <c r="AE99" s="346"/>
      <c r="AF99" s="346"/>
      <c r="AG99" s="346"/>
      <c r="AH99" s="346"/>
      <c r="AI99" s="346"/>
      <c r="AJ99" s="346"/>
      <c r="AK99" s="346"/>
      <c r="AL99" s="346"/>
      <c r="AM99" s="346"/>
      <c r="AN99" s="346"/>
      <c r="AO99" s="346"/>
      <c r="AP99" s="346"/>
      <c r="AQ99" s="346"/>
      <c r="AR99" s="346"/>
      <c r="AS99" s="346"/>
      <c r="AT99" s="77"/>
      <c r="AU99" s="346"/>
      <c r="AV99">
        <f t="shared" ref="AV99:AV117" si="10">SUM(B99:AU99)</f>
        <v>146</v>
      </c>
      <c r="AW99" s="351">
        <f t="shared" si="9"/>
        <v>0.12795793163891322</v>
      </c>
    </row>
    <row r="100" spans="1:49">
      <c r="A100" s="165">
        <v>46079</v>
      </c>
      <c r="B100"/>
      <c r="C100"/>
      <c r="D100"/>
      <c r="E100"/>
      <c r="F100"/>
      <c r="G100"/>
      <c r="H100"/>
      <c r="I100"/>
      <c r="J100"/>
      <c r="K100"/>
      <c r="L100"/>
      <c r="M100"/>
      <c r="N100"/>
      <c r="O100"/>
      <c r="P100"/>
      <c r="Q100"/>
      <c r="R100">
        <f>4+16</f>
        <v>20</v>
      </c>
      <c r="S100">
        <f>1+3</f>
        <v>4</v>
      </c>
      <c r="T100">
        <f>2+2+3</f>
        <v>7</v>
      </c>
      <c r="U100"/>
      <c r="V100"/>
      <c r="W100"/>
      <c r="X100">
        <v>2</v>
      </c>
      <c r="Y100"/>
      <c r="Z100"/>
      <c r="AA100"/>
      <c r="AB100"/>
      <c r="AC100"/>
      <c r="AD100"/>
      <c r="AE100"/>
      <c r="AF100"/>
      <c r="AG100"/>
      <c r="AH100"/>
      <c r="AI100"/>
      <c r="AJ100"/>
      <c r="AK100"/>
      <c r="AL100"/>
      <c r="AM100"/>
      <c r="AN100"/>
      <c r="AO100"/>
      <c r="AP100"/>
      <c r="AQ100"/>
      <c r="AR100"/>
      <c r="AS100"/>
      <c r="AT100"/>
      <c r="AU100"/>
      <c r="AV100">
        <f t="shared" si="10"/>
        <v>33</v>
      </c>
      <c r="AW100" s="351">
        <f t="shared" si="9"/>
        <v>2.8921998247151623E-2</v>
      </c>
    </row>
    <row r="101" spans="1:49">
      <c r="A101" s="165">
        <v>46079</v>
      </c>
      <c r="B101" s="346"/>
      <c r="C101" s="346"/>
      <c r="D101" s="346"/>
      <c r="E101" s="346"/>
      <c r="F101" s="346"/>
      <c r="G101" s="346"/>
      <c r="H101" s="346"/>
      <c r="I101" s="346"/>
      <c r="J101" s="346"/>
      <c r="K101" s="346"/>
      <c r="L101" s="346"/>
      <c r="M101" s="346"/>
      <c r="N101" s="346"/>
      <c r="O101" s="346"/>
      <c r="P101" s="346"/>
      <c r="Q101" s="346"/>
      <c r="R101" s="346"/>
      <c r="S101" s="346">
        <f>3</f>
        <v>3</v>
      </c>
      <c r="T101" s="346"/>
      <c r="U101" s="346"/>
      <c r="V101" s="346"/>
      <c r="W101" s="346"/>
      <c r="X101" s="346"/>
      <c r="Y101" s="346"/>
      <c r="Z101" s="346"/>
      <c r="AA101" s="346"/>
      <c r="AB101" s="346"/>
      <c r="AC101" s="346"/>
      <c r="AD101" s="346"/>
      <c r="AE101" s="346"/>
      <c r="AF101" s="346"/>
      <c r="AG101" s="346"/>
      <c r="AH101" s="346"/>
      <c r="AI101" s="346"/>
      <c r="AJ101" s="346"/>
      <c r="AK101" s="346"/>
      <c r="AL101" s="346"/>
      <c r="AM101" s="346"/>
      <c r="AN101" s="346"/>
      <c r="AO101" s="346"/>
      <c r="AP101" s="346"/>
      <c r="AQ101" s="346"/>
      <c r="AR101" s="346"/>
      <c r="AS101" s="346"/>
      <c r="AT101" s="346"/>
      <c r="AU101" s="346"/>
      <c r="AV101">
        <f t="shared" si="10"/>
        <v>3</v>
      </c>
      <c r="AW101" s="351">
        <f t="shared" si="9"/>
        <v>2.6292725679228747E-3</v>
      </c>
    </row>
    <row r="102" spans="1:49">
      <c r="A102" s="165">
        <v>46080</v>
      </c>
      <c r="B102"/>
      <c r="C102"/>
      <c r="D102"/>
      <c r="E102"/>
      <c r="F102"/>
      <c r="G102"/>
      <c r="H102"/>
      <c r="I102"/>
      <c r="J102"/>
      <c r="K102"/>
      <c r="L102"/>
      <c r="M102"/>
      <c r="N102"/>
      <c r="O102"/>
      <c r="P102"/>
      <c r="Q102"/>
      <c r="R102"/>
      <c r="S102">
        <f>2</f>
        <v>2</v>
      </c>
      <c r="T102"/>
      <c r="U102"/>
      <c r="V102"/>
      <c r="W102"/>
      <c r="X102"/>
      <c r="Y102"/>
      <c r="Z102"/>
      <c r="AA102"/>
      <c r="AB102"/>
      <c r="AC102"/>
      <c r="AD102"/>
      <c r="AE102"/>
      <c r="AF102"/>
      <c r="AG102"/>
      <c r="AH102"/>
      <c r="AI102"/>
      <c r="AJ102"/>
      <c r="AK102"/>
      <c r="AL102"/>
      <c r="AM102"/>
      <c r="AN102"/>
      <c r="AO102"/>
      <c r="AP102"/>
      <c r="AQ102"/>
      <c r="AR102"/>
      <c r="AS102"/>
      <c r="AT102"/>
      <c r="AU102"/>
      <c r="AV102">
        <f t="shared" si="10"/>
        <v>2</v>
      </c>
      <c r="AW102" s="351">
        <f t="shared" si="9"/>
        <v>1.7528483786152498E-3</v>
      </c>
    </row>
    <row r="103" spans="1:49">
      <c r="A103" s="165">
        <v>46080</v>
      </c>
      <c r="B103" s="346"/>
      <c r="C103" s="346"/>
      <c r="D103" s="346"/>
      <c r="E103" s="346"/>
      <c r="F103" s="346"/>
      <c r="G103" s="346"/>
      <c r="H103" s="346"/>
      <c r="I103" s="346"/>
      <c r="J103" s="346"/>
      <c r="K103" s="346"/>
      <c r="L103" s="346"/>
      <c r="M103" s="346"/>
      <c r="N103" s="346"/>
      <c r="O103" s="346"/>
      <c r="P103" s="346"/>
      <c r="Q103" s="346"/>
      <c r="R103" s="346"/>
      <c r="S103" s="346">
        <f>2+3+2+1+2</f>
        <v>10</v>
      </c>
      <c r="T103" s="346"/>
      <c r="U103" s="346"/>
      <c r="V103" s="346"/>
      <c r="W103" s="346"/>
      <c r="X103" s="346"/>
      <c r="Y103" s="346"/>
      <c r="Z103" s="346"/>
      <c r="AA103" s="346"/>
      <c r="AB103" s="346"/>
      <c r="AC103" s="346"/>
      <c r="AD103" s="346"/>
      <c r="AE103" s="346"/>
      <c r="AF103" s="346"/>
      <c r="AG103" s="346"/>
      <c r="AH103" s="346"/>
      <c r="AI103" s="346"/>
      <c r="AJ103" s="346"/>
      <c r="AK103" s="346"/>
      <c r="AL103" s="346"/>
      <c r="AM103" s="346"/>
      <c r="AN103" s="346"/>
      <c r="AO103" s="346"/>
      <c r="AP103" s="346"/>
      <c r="AQ103" s="346"/>
      <c r="AR103" s="346"/>
      <c r="AS103" s="346"/>
      <c r="AT103" s="346"/>
      <c r="AU103" s="346"/>
      <c r="AV103">
        <f t="shared" si="10"/>
        <v>10</v>
      </c>
      <c r="AW103" s="351">
        <f t="shared" si="9"/>
        <v>8.7642418930762491E-3</v>
      </c>
    </row>
    <row r="104" spans="1:49">
      <c r="A104" s="165">
        <v>46080</v>
      </c>
      <c r="B104"/>
      <c r="C104"/>
      <c r="D104"/>
      <c r="E104"/>
      <c r="F104"/>
      <c r="G104"/>
      <c r="H104"/>
      <c r="I104"/>
      <c r="J104"/>
      <c r="K104"/>
      <c r="L104"/>
      <c r="M104"/>
      <c r="N104"/>
      <c r="O104"/>
      <c r="P104"/>
      <c r="Q104"/>
      <c r="R104"/>
      <c r="S104">
        <f>3+4</f>
        <v>7</v>
      </c>
      <c r="T104"/>
      <c r="U104"/>
      <c r="V104"/>
      <c r="W104">
        <f>2+2+2+2</f>
        <v>8</v>
      </c>
      <c r="X104"/>
      <c r="Y104"/>
      <c r="Z104"/>
      <c r="AA104"/>
      <c r="AB104"/>
      <c r="AC104"/>
      <c r="AD104"/>
      <c r="AE104"/>
      <c r="AF104"/>
      <c r="AG104"/>
      <c r="AH104"/>
      <c r="AI104"/>
      <c r="AJ104"/>
      <c r="AK104"/>
      <c r="AL104"/>
      <c r="AM104"/>
      <c r="AN104"/>
      <c r="AO104"/>
      <c r="AP104"/>
      <c r="AQ104"/>
      <c r="AR104"/>
      <c r="AS104"/>
      <c r="AT104"/>
      <c r="AU104"/>
      <c r="AV104">
        <f t="shared" si="10"/>
        <v>15</v>
      </c>
      <c r="AW104" s="351">
        <f t="shared" si="9"/>
        <v>1.3146362839614373E-2</v>
      </c>
    </row>
    <row r="105" spans="1:49">
      <c r="A105" s="165">
        <v>46081</v>
      </c>
      <c r="B105" s="346"/>
      <c r="C105" s="346"/>
      <c r="D105" s="346"/>
      <c r="E105" s="346"/>
      <c r="F105" s="346"/>
      <c r="G105" s="346"/>
      <c r="H105" s="346"/>
      <c r="I105" s="346"/>
      <c r="J105" s="346"/>
      <c r="K105" s="346"/>
      <c r="L105" s="346"/>
      <c r="M105" s="77"/>
      <c r="N105" s="77"/>
      <c r="O105" s="77"/>
      <c r="P105" s="346"/>
      <c r="Q105" s="346"/>
      <c r="R105" s="346"/>
      <c r="S105" s="346"/>
      <c r="T105" s="346"/>
      <c r="U105" s="346"/>
      <c r="V105" s="77"/>
      <c r="W105" s="346">
        <f>2+1+1</f>
        <v>4</v>
      </c>
      <c r="X105" s="346"/>
      <c r="Y105" s="346"/>
      <c r="Z105" s="346"/>
      <c r="AA105" s="346"/>
      <c r="AB105" s="346"/>
      <c r="AC105" s="346"/>
      <c r="AD105" s="346"/>
      <c r="AE105" s="346"/>
      <c r="AF105" s="346"/>
      <c r="AG105" s="346"/>
      <c r="AH105" s="346"/>
      <c r="AI105" s="346"/>
      <c r="AJ105" s="346"/>
      <c r="AK105" s="346"/>
      <c r="AL105" s="346"/>
      <c r="AM105" s="346"/>
      <c r="AN105" s="346"/>
      <c r="AO105" s="346"/>
      <c r="AP105" s="346"/>
      <c r="AQ105" s="346"/>
      <c r="AR105" s="346"/>
      <c r="AS105" s="346"/>
      <c r="AT105" s="346"/>
      <c r="AU105" s="346"/>
      <c r="AV105">
        <f t="shared" si="10"/>
        <v>4</v>
      </c>
      <c r="AW105" s="351">
        <f t="shared" si="9"/>
        <v>3.5056967572304996E-3</v>
      </c>
    </row>
    <row r="106" spans="1:49">
      <c r="A106" s="165">
        <v>46081</v>
      </c>
      <c r="B106"/>
      <c r="C106"/>
      <c r="D106"/>
      <c r="E106"/>
      <c r="F106"/>
      <c r="G106"/>
      <c r="H106"/>
      <c r="I106"/>
      <c r="J106"/>
      <c r="K106"/>
      <c r="L106"/>
      <c r="M106"/>
      <c r="N106"/>
      <c r="O106"/>
      <c r="P106"/>
      <c r="Q106"/>
      <c r="R106"/>
      <c r="S106">
        <f>2+2+4</f>
        <v>8</v>
      </c>
      <c r="T106"/>
      <c r="U106"/>
      <c r="V106"/>
      <c r="W106">
        <f>2+3+3+2+2</f>
        <v>12</v>
      </c>
      <c r="X106"/>
      <c r="Y106"/>
      <c r="Z106"/>
      <c r="AA106"/>
      <c r="AB106"/>
      <c r="AC106"/>
      <c r="AD106"/>
      <c r="AE106"/>
      <c r="AF106"/>
      <c r="AG106"/>
      <c r="AH106"/>
      <c r="AI106"/>
      <c r="AJ106"/>
      <c r="AK106"/>
      <c r="AL106"/>
      <c r="AM106"/>
      <c r="AN106"/>
      <c r="AO106"/>
      <c r="AP106"/>
      <c r="AQ106"/>
      <c r="AR106"/>
      <c r="AS106"/>
      <c r="AT106"/>
      <c r="AU106"/>
      <c r="AV106">
        <f t="shared" si="10"/>
        <v>20</v>
      </c>
      <c r="AW106" s="351">
        <f t="shared" si="9"/>
        <v>1.7528483786152498E-2</v>
      </c>
    </row>
    <row r="107" spans="1:49">
      <c r="A107" s="165"/>
      <c r="B107" s="346"/>
      <c r="C107" s="346"/>
      <c r="D107" s="346"/>
      <c r="E107" s="346"/>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c r="AB107" s="346"/>
      <c r="AC107" s="346"/>
      <c r="AD107" s="346"/>
      <c r="AE107" s="346"/>
      <c r="AF107" s="346"/>
      <c r="AG107" s="346"/>
      <c r="AH107" s="346"/>
      <c r="AI107" s="346"/>
      <c r="AJ107" s="346"/>
      <c r="AK107" s="346"/>
      <c r="AL107" s="346"/>
      <c r="AM107" s="346"/>
      <c r="AN107" s="346"/>
      <c r="AO107" s="346"/>
      <c r="AP107" s="346"/>
      <c r="AQ107" s="346"/>
      <c r="AR107" s="346"/>
      <c r="AS107" s="346"/>
      <c r="AT107" s="346"/>
      <c r="AU107" s="346"/>
      <c r="AV107">
        <f t="shared" si="10"/>
        <v>0</v>
      </c>
      <c r="AW107" s="351">
        <f t="shared" si="9"/>
        <v>0</v>
      </c>
    </row>
    <row r="108" spans="1:49">
      <c r="A108" s="165"/>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f t="shared" si="10"/>
        <v>0</v>
      </c>
      <c r="AW108" s="351">
        <f t="shared" si="9"/>
        <v>0</v>
      </c>
    </row>
    <row r="109" spans="1:49">
      <c r="A109" s="165"/>
      <c r="B109" s="346"/>
      <c r="C109" s="346"/>
      <c r="D109" s="346"/>
      <c r="E109" s="346"/>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c r="AB109" s="346"/>
      <c r="AC109" s="346"/>
      <c r="AD109" s="346"/>
      <c r="AE109" s="346"/>
      <c r="AF109" s="346"/>
      <c r="AG109" s="346"/>
      <c r="AH109" s="346"/>
      <c r="AI109" s="346"/>
      <c r="AJ109" s="346"/>
      <c r="AK109" s="346"/>
      <c r="AL109" s="346"/>
      <c r="AM109" s="346"/>
      <c r="AN109" s="346"/>
      <c r="AO109" s="346"/>
      <c r="AP109" s="346"/>
      <c r="AQ109" s="346"/>
      <c r="AR109" s="346"/>
      <c r="AS109" s="346"/>
      <c r="AT109" s="346"/>
      <c r="AU109" s="346"/>
      <c r="AV109">
        <f t="shared" si="10"/>
        <v>0</v>
      </c>
      <c r="AW109" s="351">
        <f t="shared" si="9"/>
        <v>0</v>
      </c>
    </row>
    <row r="110" spans="1:49">
      <c r="A110" s="165"/>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f t="shared" si="10"/>
        <v>0</v>
      </c>
      <c r="AW110" s="351">
        <f t="shared" si="9"/>
        <v>0</v>
      </c>
    </row>
    <row r="111" spans="1:49">
      <c r="A111" s="165"/>
      <c r="B111" s="346"/>
      <c r="C111" s="346"/>
      <c r="D111" s="346"/>
      <c r="E111" s="346"/>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c r="AB111" s="346"/>
      <c r="AC111" s="346"/>
      <c r="AD111" s="346"/>
      <c r="AE111" s="346"/>
      <c r="AF111" s="346"/>
      <c r="AG111" s="346"/>
      <c r="AH111" s="346"/>
      <c r="AI111" s="346"/>
      <c r="AJ111" s="346"/>
      <c r="AK111" s="346"/>
      <c r="AL111" s="346"/>
      <c r="AM111" s="346"/>
      <c r="AN111" s="346"/>
      <c r="AO111" s="346"/>
      <c r="AP111" s="346"/>
      <c r="AQ111" s="346"/>
      <c r="AR111" s="346"/>
      <c r="AS111" s="346"/>
      <c r="AT111" s="346"/>
      <c r="AU111" s="346"/>
      <c r="AV111">
        <f t="shared" si="10"/>
        <v>0</v>
      </c>
      <c r="AW111" s="351">
        <f t="shared" si="9"/>
        <v>0</v>
      </c>
    </row>
    <row r="112" spans="1:49">
      <c r="A112" s="165"/>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f t="shared" si="10"/>
        <v>0</v>
      </c>
      <c r="AW112" s="351">
        <f t="shared" si="9"/>
        <v>0</v>
      </c>
    </row>
    <row r="113" spans="1:49">
      <c r="A113" s="165"/>
      <c r="B113" s="346"/>
      <c r="C113" s="346"/>
      <c r="D113" s="346"/>
      <c r="E113" s="346"/>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c r="AB113" s="346"/>
      <c r="AC113" s="346"/>
      <c r="AD113" s="346"/>
      <c r="AE113" s="346"/>
      <c r="AF113" s="346"/>
      <c r="AG113" s="346"/>
      <c r="AH113" s="346"/>
      <c r="AI113" s="346"/>
      <c r="AJ113" s="346"/>
      <c r="AK113" s="346"/>
      <c r="AL113" s="346"/>
      <c r="AM113" s="346"/>
      <c r="AN113" s="346"/>
      <c r="AO113" s="346"/>
      <c r="AP113" s="346"/>
      <c r="AQ113" s="346"/>
      <c r="AR113" s="346"/>
      <c r="AS113" s="346"/>
      <c r="AT113" s="346"/>
      <c r="AU113" s="346"/>
      <c r="AV113">
        <f t="shared" si="10"/>
        <v>0</v>
      </c>
      <c r="AW113" s="351">
        <f t="shared" si="9"/>
        <v>0</v>
      </c>
    </row>
    <row r="114" spans="1:49">
      <c r="A114" s="165"/>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f t="shared" si="10"/>
        <v>0</v>
      </c>
      <c r="AW114" s="351">
        <f t="shared" si="9"/>
        <v>0</v>
      </c>
    </row>
    <row r="115" spans="1:49">
      <c r="A115" s="165"/>
      <c r="B115" s="346"/>
      <c r="C115" s="346"/>
      <c r="D115" s="346"/>
      <c r="E115" s="346"/>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c r="AB115" s="346"/>
      <c r="AC115" s="346"/>
      <c r="AD115" s="346"/>
      <c r="AE115" s="346"/>
      <c r="AF115" s="346"/>
      <c r="AG115" s="346"/>
      <c r="AH115" s="346"/>
      <c r="AI115" s="346"/>
      <c r="AJ115" s="346"/>
      <c r="AK115" s="346"/>
      <c r="AL115" s="346"/>
      <c r="AM115" s="346"/>
      <c r="AN115" s="346"/>
      <c r="AO115" s="346"/>
      <c r="AP115" s="346"/>
      <c r="AQ115" s="346"/>
      <c r="AR115" s="346"/>
      <c r="AS115" s="346"/>
      <c r="AT115" s="346"/>
      <c r="AU115" s="346"/>
      <c r="AV115">
        <f t="shared" si="10"/>
        <v>0</v>
      </c>
      <c r="AW115" s="351">
        <f t="shared" si="9"/>
        <v>0</v>
      </c>
    </row>
    <row r="116" spans="1:49">
      <c r="A116" s="165"/>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f t="shared" si="10"/>
        <v>0</v>
      </c>
      <c r="AW116" s="351">
        <f t="shared" si="9"/>
        <v>0</v>
      </c>
    </row>
    <row r="117" spans="1:49">
      <c r="A117" s="165"/>
      <c r="B117" s="346"/>
      <c r="C117" s="346"/>
      <c r="D117" s="346"/>
      <c r="E117" s="346"/>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c r="AB117" s="346"/>
      <c r="AC117" s="346"/>
      <c r="AD117" s="346"/>
      <c r="AE117" s="346"/>
      <c r="AF117" s="346"/>
      <c r="AG117" s="346"/>
      <c r="AH117" s="346"/>
      <c r="AI117" s="346"/>
      <c r="AJ117" s="346"/>
      <c r="AK117" s="346"/>
      <c r="AL117" s="346"/>
      <c r="AM117" s="346"/>
      <c r="AN117" s="346"/>
      <c r="AO117" s="346"/>
      <c r="AP117" s="346"/>
      <c r="AQ117" s="346"/>
      <c r="AR117" s="346"/>
      <c r="AS117" s="346"/>
      <c r="AT117" s="346"/>
      <c r="AU117" s="346"/>
      <c r="AV117">
        <f t="shared" si="10"/>
        <v>0</v>
      </c>
      <c r="AW117" s="351">
        <f t="shared" si="9"/>
        <v>0</v>
      </c>
    </row>
    <row r="118" spans="1:49" ht="15">
      <c r="A118" s="347" t="s">
        <v>113</v>
      </c>
      <c r="B118" s="347">
        <f>SUM(B67:B117)</f>
        <v>8</v>
      </c>
      <c r="C118" s="347">
        <f>SUM(C67:C117)</f>
        <v>0</v>
      </c>
      <c r="D118" s="347">
        <f t="shared" ref="D118:AD118" si="11">SUM(D67:D117)</f>
        <v>0</v>
      </c>
      <c r="E118" s="347">
        <f t="shared" si="11"/>
        <v>0</v>
      </c>
      <c r="F118" s="347">
        <f t="shared" si="11"/>
        <v>5</v>
      </c>
      <c r="G118" s="347">
        <f t="shared" si="11"/>
        <v>0</v>
      </c>
      <c r="H118" s="347">
        <f t="shared" si="11"/>
        <v>0</v>
      </c>
      <c r="I118" s="347">
        <f t="shared" si="11"/>
        <v>0</v>
      </c>
      <c r="J118" s="347">
        <f t="shared" si="11"/>
        <v>0</v>
      </c>
      <c r="K118" s="347">
        <f t="shared" si="11"/>
        <v>0</v>
      </c>
      <c r="L118" s="347">
        <f t="shared" si="11"/>
        <v>0</v>
      </c>
      <c r="M118" s="347">
        <f t="shared" si="11"/>
        <v>0</v>
      </c>
      <c r="N118" s="347">
        <f t="shared" si="11"/>
        <v>0</v>
      </c>
      <c r="O118" s="347">
        <f t="shared" si="11"/>
        <v>0</v>
      </c>
      <c r="P118" s="347">
        <f t="shared" si="11"/>
        <v>0</v>
      </c>
      <c r="Q118" s="347">
        <f t="shared" si="11"/>
        <v>0</v>
      </c>
      <c r="R118" s="347">
        <f t="shared" si="11"/>
        <v>250</v>
      </c>
      <c r="S118" s="347">
        <f t="shared" si="11"/>
        <v>182</v>
      </c>
      <c r="T118" s="347">
        <f t="shared" si="11"/>
        <v>9</v>
      </c>
      <c r="U118" s="347">
        <f t="shared" si="11"/>
        <v>0</v>
      </c>
      <c r="V118" s="347">
        <f t="shared" si="11"/>
        <v>62</v>
      </c>
      <c r="W118" s="347">
        <f t="shared" si="11"/>
        <v>41</v>
      </c>
      <c r="X118" s="347">
        <f t="shared" si="11"/>
        <v>304</v>
      </c>
      <c r="Y118" s="347">
        <f t="shared" si="11"/>
        <v>83</v>
      </c>
      <c r="Z118" s="347">
        <f t="shared" si="11"/>
        <v>1</v>
      </c>
      <c r="AA118" s="347">
        <f t="shared" si="11"/>
        <v>0</v>
      </c>
      <c r="AB118" s="347">
        <f t="shared" si="11"/>
        <v>0</v>
      </c>
      <c r="AC118" s="347">
        <f t="shared" si="11"/>
        <v>85</v>
      </c>
      <c r="AD118" s="347">
        <f t="shared" si="11"/>
        <v>15</v>
      </c>
      <c r="AE118" s="347">
        <f t="shared" ref="AE118:AV118" si="12">SUM(AE67:AE117)</f>
        <v>22</v>
      </c>
      <c r="AF118" s="347">
        <f t="shared" si="12"/>
        <v>0</v>
      </c>
      <c r="AG118" s="347">
        <f t="shared" si="12"/>
        <v>2</v>
      </c>
      <c r="AH118" s="347">
        <f t="shared" si="12"/>
        <v>72</v>
      </c>
      <c r="AI118" s="347">
        <f t="shared" si="12"/>
        <v>0</v>
      </c>
      <c r="AJ118" s="347">
        <f t="shared" si="12"/>
        <v>0</v>
      </c>
      <c r="AK118" s="347">
        <f t="shared" si="12"/>
        <v>0</v>
      </c>
      <c r="AL118" s="347">
        <f t="shared" si="12"/>
        <v>0</v>
      </c>
      <c r="AM118" s="347">
        <f t="shared" si="12"/>
        <v>0</v>
      </c>
      <c r="AN118" s="347">
        <f t="shared" si="12"/>
        <v>0</v>
      </c>
      <c r="AO118" s="347">
        <f t="shared" si="12"/>
        <v>0</v>
      </c>
      <c r="AP118" s="347">
        <f t="shared" si="12"/>
        <v>0</v>
      </c>
      <c r="AQ118" s="347">
        <f t="shared" si="12"/>
        <v>0</v>
      </c>
      <c r="AR118" s="347">
        <f t="shared" si="12"/>
        <v>0</v>
      </c>
      <c r="AS118" s="347">
        <f t="shared" si="12"/>
        <v>0</v>
      </c>
      <c r="AT118" s="347">
        <f t="shared" si="12"/>
        <v>0</v>
      </c>
      <c r="AU118" s="347">
        <f t="shared" si="12"/>
        <v>0</v>
      </c>
      <c r="AV118" s="347">
        <f t="shared" si="12"/>
        <v>1141</v>
      </c>
      <c r="AW118" s="352"/>
    </row>
    <row r="119" spans="1:49" ht="15.75" thickBot="1">
      <c r="A119" s="348" t="s">
        <v>174</v>
      </c>
      <c r="B119" s="348">
        <f t="shared" ref="B119:AU119" si="13">B118/$AV118</f>
        <v>7.0113935144609993E-3</v>
      </c>
      <c r="C119" s="348">
        <f t="shared" si="13"/>
        <v>0</v>
      </c>
      <c r="D119" s="348">
        <f t="shared" si="13"/>
        <v>0</v>
      </c>
      <c r="E119" s="348">
        <f t="shared" si="13"/>
        <v>0</v>
      </c>
      <c r="F119" s="348">
        <f t="shared" si="13"/>
        <v>4.3821209465381246E-3</v>
      </c>
      <c r="G119" s="348">
        <f t="shared" si="13"/>
        <v>0</v>
      </c>
      <c r="H119" s="348">
        <f t="shared" si="13"/>
        <v>0</v>
      </c>
      <c r="I119" s="348">
        <f t="shared" si="13"/>
        <v>0</v>
      </c>
      <c r="J119" s="348">
        <f t="shared" si="13"/>
        <v>0</v>
      </c>
      <c r="K119" s="348">
        <f t="shared" si="13"/>
        <v>0</v>
      </c>
      <c r="L119" s="348">
        <f t="shared" si="13"/>
        <v>0</v>
      </c>
      <c r="M119" s="348">
        <f t="shared" si="13"/>
        <v>0</v>
      </c>
      <c r="N119" s="348">
        <f t="shared" si="13"/>
        <v>0</v>
      </c>
      <c r="O119" s="348">
        <f t="shared" si="13"/>
        <v>0</v>
      </c>
      <c r="P119" s="348">
        <f t="shared" si="13"/>
        <v>0</v>
      </c>
      <c r="Q119" s="348">
        <f t="shared" si="13"/>
        <v>0</v>
      </c>
      <c r="R119" s="348">
        <f t="shared" si="13"/>
        <v>0.21910604732690622</v>
      </c>
      <c r="S119" s="348">
        <f t="shared" si="13"/>
        <v>0.15950920245398773</v>
      </c>
      <c r="T119" s="348">
        <f t="shared" si="13"/>
        <v>7.8878177037686233E-3</v>
      </c>
      <c r="U119" s="348">
        <f t="shared" si="13"/>
        <v>0</v>
      </c>
      <c r="V119" s="348">
        <f t="shared" si="13"/>
        <v>5.4338299737072743E-2</v>
      </c>
      <c r="W119" s="348">
        <f t="shared" si="13"/>
        <v>3.5933391761612622E-2</v>
      </c>
      <c r="X119" s="348">
        <f t="shared" si="13"/>
        <v>0.26643295354951796</v>
      </c>
      <c r="Y119" s="348">
        <f t="shared" si="13"/>
        <v>7.274320771253287E-2</v>
      </c>
      <c r="Z119" s="348">
        <f t="shared" si="13"/>
        <v>8.7642418930762491E-4</v>
      </c>
      <c r="AA119" s="348">
        <f t="shared" si="13"/>
        <v>0</v>
      </c>
      <c r="AB119" s="348">
        <f t="shared" si="13"/>
        <v>0</v>
      </c>
      <c r="AC119" s="348">
        <f t="shared" si="13"/>
        <v>7.4496056091148122E-2</v>
      </c>
      <c r="AD119" s="348">
        <f t="shared" si="13"/>
        <v>1.3146362839614373E-2</v>
      </c>
      <c r="AE119" s="348">
        <f t="shared" si="13"/>
        <v>1.9281332164767746E-2</v>
      </c>
      <c r="AF119" s="348">
        <f t="shared" si="13"/>
        <v>0</v>
      </c>
      <c r="AG119" s="348">
        <f t="shared" si="13"/>
        <v>1.7528483786152498E-3</v>
      </c>
      <c r="AH119" s="348">
        <f t="shared" si="13"/>
        <v>6.3102541630148987E-2</v>
      </c>
      <c r="AI119" s="348">
        <f t="shared" si="13"/>
        <v>0</v>
      </c>
      <c r="AJ119" s="348">
        <f t="shared" si="13"/>
        <v>0</v>
      </c>
      <c r="AK119" s="348">
        <f t="shared" si="13"/>
        <v>0</v>
      </c>
      <c r="AL119" s="348">
        <f t="shared" si="13"/>
        <v>0</v>
      </c>
      <c r="AM119" s="348">
        <f t="shared" si="13"/>
        <v>0</v>
      </c>
      <c r="AN119" s="348">
        <f t="shared" si="13"/>
        <v>0</v>
      </c>
      <c r="AO119" s="348">
        <f t="shared" si="13"/>
        <v>0</v>
      </c>
      <c r="AP119" s="348">
        <f t="shared" si="13"/>
        <v>0</v>
      </c>
      <c r="AQ119" s="348">
        <f t="shared" si="13"/>
        <v>0</v>
      </c>
      <c r="AR119" s="348">
        <f t="shared" si="13"/>
        <v>0</v>
      </c>
      <c r="AS119" s="348">
        <f t="shared" si="13"/>
        <v>0</v>
      </c>
      <c r="AT119" s="348">
        <f t="shared" si="13"/>
        <v>0</v>
      </c>
      <c r="AU119" s="348">
        <f t="shared" si="13"/>
        <v>0</v>
      </c>
      <c r="AV119"/>
      <c r="AW119" s="351"/>
    </row>
    <row r="124" spans="1:49">
      <c r="A124" s="165">
        <v>46083</v>
      </c>
      <c r="B124" s="346"/>
      <c r="C124" s="346"/>
      <c r="D124" s="346"/>
      <c r="E124" s="346"/>
      <c r="F124" s="346"/>
      <c r="G124" s="346"/>
      <c r="H124" s="346"/>
      <c r="I124" s="346"/>
      <c r="J124" s="346"/>
      <c r="K124" s="346"/>
      <c r="L124" s="346"/>
      <c r="M124" s="346"/>
      <c r="N124" s="346"/>
      <c r="O124" s="346"/>
      <c r="P124" s="346"/>
      <c r="Q124" s="346"/>
      <c r="R124" s="346"/>
      <c r="S124" s="346"/>
      <c r="T124" s="346"/>
      <c r="U124" s="346"/>
      <c r="V124" s="346"/>
      <c r="W124" s="346">
        <v>2</v>
      </c>
      <c r="X124" s="346"/>
      <c r="Y124" s="346"/>
      <c r="Z124" s="346"/>
      <c r="AA124" s="346"/>
      <c r="AB124" s="346"/>
      <c r="AC124" s="346"/>
      <c r="AD124" s="346"/>
      <c r="AE124" s="346"/>
      <c r="AF124" s="346"/>
      <c r="AG124" s="346"/>
      <c r="AH124" s="346"/>
      <c r="AI124" s="346"/>
      <c r="AJ124" s="346"/>
      <c r="AK124" s="346"/>
      <c r="AL124" s="346"/>
      <c r="AM124" s="346"/>
      <c r="AN124" s="346"/>
      <c r="AO124" s="346"/>
      <c r="AP124" s="346"/>
      <c r="AQ124" s="346"/>
      <c r="AR124" s="346"/>
      <c r="AS124" s="346"/>
      <c r="AT124" s="346"/>
      <c r="AU124" s="346"/>
      <c r="AV124">
        <f t="shared" ref="AV124:AV156" si="14">SUM(B124:AU124)</f>
        <v>2</v>
      </c>
      <c r="AW124" s="351">
        <f t="shared" ref="AW124:AW162" si="15">AV124/$AV$181</f>
        <v>2.4479804161566705E-3</v>
      </c>
    </row>
    <row r="125" spans="1:49">
      <c r="A125" s="165">
        <v>46083</v>
      </c>
      <c r="B125"/>
      <c r="C125"/>
      <c r="D125"/>
      <c r="E125"/>
      <c r="F125"/>
      <c r="G125"/>
      <c r="H125"/>
      <c r="I125"/>
      <c r="J125"/>
      <c r="K125"/>
      <c r="L125"/>
      <c r="M125"/>
      <c r="N125"/>
      <c r="O125"/>
      <c r="P125"/>
      <c r="Q125"/>
      <c r="R125"/>
      <c r="S125">
        <f>2+2</f>
        <v>4</v>
      </c>
      <c r="T125"/>
      <c r="U125"/>
      <c r="V125"/>
      <c r="W125">
        <f>2+3+2+3</f>
        <v>10</v>
      </c>
      <c r="X125"/>
      <c r="Y125"/>
      <c r="Z125"/>
      <c r="AA125"/>
      <c r="AB125"/>
      <c r="AC125"/>
      <c r="AD125"/>
      <c r="AE125"/>
      <c r="AF125"/>
      <c r="AG125"/>
      <c r="AH125"/>
      <c r="AI125"/>
      <c r="AJ125"/>
      <c r="AK125"/>
      <c r="AL125"/>
      <c r="AM125"/>
      <c r="AN125"/>
      <c r="AO125"/>
      <c r="AP125"/>
      <c r="AQ125"/>
      <c r="AR125"/>
      <c r="AS125"/>
      <c r="AT125"/>
      <c r="AU125"/>
      <c r="AV125">
        <f t="shared" si="14"/>
        <v>14</v>
      </c>
      <c r="AW125" s="351">
        <f t="shared" si="15"/>
        <v>1.7135862913096694E-2</v>
      </c>
    </row>
    <row r="126" spans="1:49">
      <c r="A126" s="165">
        <v>46084</v>
      </c>
      <c r="B126" s="346"/>
      <c r="C126" s="346"/>
      <c r="D126" s="346"/>
      <c r="E126" s="346"/>
      <c r="F126" s="346"/>
      <c r="G126" s="346"/>
      <c r="H126" s="346"/>
      <c r="I126" s="346"/>
      <c r="J126" s="346"/>
      <c r="K126" s="346"/>
      <c r="L126" s="346"/>
      <c r="M126" s="346"/>
      <c r="N126" s="346"/>
      <c r="O126" s="346"/>
      <c r="P126" s="346"/>
      <c r="Q126" s="346"/>
      <c r="R126" s="346"/>
      <c r="S126" s="346">
        <f>2+3+2+2+2+2+2+1</f>
        <v>16</v>
      </c>
      <c r="T126" s="346"/>
      <c r="U126" s="346"/>
      <c r="V126" s="346">
        <f>3</f>
        <v>3</v>
      </c>
      <c r="W126" s="346">
        <f>2+2+2+1+1+2+6</f>
        <v>16</v>
      </c>
      <c r="X126" s="346"/>
      <c r="Y126" s="346"/>
      <c r="Z126" s="346"/>
      <c r="AA126" s="346"/>
      <c r="AB126" s="346"/>
      <c r="AC126" s="346">
        <f>2</f>
        <v>2</v>
      </c>
      <c r="AD126" s="346"/>
      <c r="AE126" s="346"/>
      <c r="AF126" s="346"/>
      <c r="AG126" s="346"/>
      <c r="AH126" s="346"/>
      <c r="AI126" s="346"/>
      <c r="AJ126" s="346"/>
      <c r="AK126" s="346"/>
      <c r="AL126" s="346"/>
      <c r="AM126" s="346"/>
      <c r="AN126" s="346"/>
      <c r="AO126" s="346"/>
      <c r="AP126" s="346"/>
      <c r="AQ126" s="346"/>
      <c r="AR126" s="346"/>
      <c r="AS126" s="346"/>
      <c r="AT126" s="346"/>
      <c r="AU126" s="346"/>
      <c r="AV126">
        <f t="shared" si="14"/>
        <v>37</v>
      </c>
      <c r="AW126" s="351">
        <f t="shared" si="15"/>
        <v>4.528763769889841E-2</v>
      </c>
    </row>
    <row r="127" spans="1:49">
      <c r="A127" s="165">
        <v>46085</v>
      </c>
      <c r="B127"/>
      <c r="C127"/>
      <c r="D127"/>
      <c r="E127"/>
      <c r="F127"/>
      <c r="G127"/>
      <c r="H127"/>
      <c r="I127"/>
      <c r="J127"/>
      <c r="K127"/>
      <c r="L127"/>
      <c r="M127"/>
      <c r="N127"/>
      <c r="O127"/>
      <c r="P127"/>
      <c r="Q127"/>
      <c r="R127"/>
      <c r="S127">
        <f>2+2+3</f>
        <v>7</v>
      </c>
      <c r="T127"/>
      <c r="U127"/>
      <c r="V127"/>
      <c r="W127"/>
      <c r="X127"/>
      <c r="Y127"/>
      <c r="Z127"/>
      <c r="AA127"/>
      <c r="AB127"/>
      <c r="AC127"/>
      <c r="AD127"/>
      <c r="AE127"/>
      <c r="AF127"/>
      <c r="AG127"/>
      <c r="AH127"/>
      <c r="AI127"/>
      <c r="AJ127"/>
      <c r="AK127"/>
      <c r="AL127"/>
      <c r="AM127"/>
      <c r="AN127"/>
      <c r="AO127"/>
      <c r="AP127"/>
      <c r="AQ127"/>
      <c r="AR127"/>
      <c r="AS127"/>
      <c r="AT127"/>
      <c r="AU127"/>
      <c r="AV127">
        <f t="shared" si="14"/>
        <v>7</v>
      </c>
      <c r="AW127" s="351">
        <f t="shared" si="15"/>
        <v>8.5679314565483469E-3</v>
      </c>
    </row>
    <row r="128" spans="1:49">
      <c r="A128" s="165">
        <v>46085</v>
      </c>
      <c r="B128" s="346"/>
      <c r="C128" s="346"/>
      <c r="D128" s="346"/>
      <c r="E128" s="346"/>
      <c r="F128" s="346"/>
      <c r="G128" s="346"/>
      <c r="H128" s="346"/>
      <c r="I128" s="346"/>
      <c r="J128" s="346"/>
      <c r="K128" s="346"/>
      <c r="L128" s="346"/>
      <c r="M128" s="346">
        <f>45</f>
        <v>45</v>
      </c>
      <c r="N128" s="346"/>
      <c r="O128" s="346"/>
      <c r="P128" s="346"/>
      <c r="Q128" s="346"/>
      <c r="R128" s="346"/>
      <c r="S128" s="346">
        <f>2</f>
        <v>2</v>
      </c>
      <c r="T128" s="346"/>
      <c r="U128" s="346"/>
      <c r="V128" s="346"/>
      <c r="W128" s="346"/>
      <c r="X128" s="346">
        <v>6</v>
      </c>
      <c r="Y128" s="346"/>
      <c r="Z128" s="346"/>
      <c r="AA128" s="346"/>
      <c r="AB128" s="346"/>
      <c r="AC128" s="346">
        <f>2+60</f>
        <v>62</v>
      </c>
      <c r="AD128" s="346"/>
      <c r="AE128" s="346"/>
      <c r="AF128" s="346"/>
      <c r="AG128" s="346"/>
      <c r="AH128" s="346"/>
      <c r="AI128" s="346"/>
      <c r="AJ128" s="346"/>
      <c r="AK128" s="346"/>
      <c r="AL128" s="346"/>
      <c r="AM128" s="346"/>
      <c r="AN128" s="346"/>
      <c r="AO128" s="346"/>
      <c r="AP128" s="346"/>
      <c r="AQ128" s="346"/>
      <c r="AR128" s="346"/>
      <c r="AS128" s="346"/>
      <c r="AT128" s="346"/>
      <c r="AU128" s="346"/>
      <c r="AV128">
        <f t="shared" si="14"/>
        <v>115</v>
      </c>
      <c r="AW128" s="351">
        <f t="shared" si="15"/>
        <v>0.14075887392900857</v>
      </c>
    </row>
    <row r="129" spans="1:49">
      <c r="A129" s="165">
        <v>46086</v>
      </c>
      <c r="B129" s="346"/>
      <c r="C129" s="346"/>
      <c r="D129" s="346"/>
      <c r="E129" s="346"/>
      <c r="F129" s="346"/>
      <c r="G129" s="346"/>
      <c r="H129" s="346"/>
      <c r="I129" s="346"/>
      <c r="J129" s="346"/>
      <c r="K129" s="346"/>
      <c r="L129" s="346"/>
      <c r="M129" s="346"/>
      <c r="N129" s="346"/>
      <c r="O129" s="346"/>
      <c r="P129" s="346"/>
      <c r="Q129" s="346"/>
      <c r="R129" s="346"/>
      <c r="S129" s="346">
        <f>2+2</f>
        <v>4</v>
      </c>
      <c r="T129" s="346"/>
      <c r="U129" s="346"/>
      <c r="V129" s="346"/>
      <c r="W129" s="346"/>
      <c r="X129" s="346"/>
      <c r="Y129" s="346"/>
      <c r="Z129" s="346"/>
      <c r="AA129" s="346"/>
      <c r="AB129" s="346"/>
      <c r="AC129" s="346"/>
      <c r="AD129" s="346"/>
      <c r="AE129" s="346"/>
      <c r="AF129" s="346"/>
      <c r="AG129" s="346"/>
      <c r="AH129" s="346"/>
      <c r="AI129" s="346"/>
      <c r="AJ129" s="346"/>
      <c r="AK129" s="346"/>
      <c r="AL129" s="346"/>
      <c r="AM129" s="346"/>
      <c r="AN129" s="346"/>
      <c r="AO129" s="346"/>
      <c r="AP129" s="346"/>
      <c r="AQ129" s="346"/>
      <c r="AR129" s="346"/>
      <c r="AS129" s="346"/>
      <c r="AT129" s="346"/>
      <c r="AU129" s="346"/>
      <c r="AV129">
        <f t="shared" si="14"/>
        <v>4</v>
      </c>
      <c r="AW129" s="351">
        <f t="shared" si="15"/>
        <v>4.8959608323133411E-3</v>
      </c>
    </row>
    <row r="130" spans="1:49">
      <c r="A130" s="165">
        <v>46086</v>
      </c>
      <c r="B130"/>
      <c r="C130"/>
      <c r="D130"/>
      <c r="E130"/>
      <c r="F130"/>
      <c r="G130"/>
      <c r="H130"/>
      <c r="I130"/>
      <c r="J130"/>
      <c r="K130"/>
      <c r="L130"/>
      <c r="M130"/>
      <c r="N130"/>
      <c r="O130"/>
      <c r="P130"/>
      <c r="Q130"/>
      <c r="R130"/>
      <c r="S130">
        <f>2</f>
        <v>2</v>
      </c>
      <c r="T130"/>
      <c r="U130"/>
      <c r="V130"/>
      <c r="W130"/>
      <c r="X130"/>
      <c r="Y130"/>
      <c r="Z130"/>
      <c r="AA130"/>
      <c r="AB130"/>
      <c r="AC130">
        <f>30+52</f>
        <v>82</v>
      </c>
      <c r="AD130"/>
      <c r="AE130"/>
      <c r="AF130"/>
      <c r="AG130"/>
      <c r="AH130"/>
      <c r="AI130"/>
      <c r="AJ130"/>
      <c r="AK130"/>
      <c r="AL130"/>
      <c r="AM130"/>
      <c r="AN130"/>
      <c r="AO130"/>
      <c r="AP130"/>
      <c r="AQ130"/>
      <c r="AR130"/>
      <c r="AS130"/>
      <c r="AT130"/>
      <c r="AU130"/>
      <c r="AV130">
        <f t="shared" si="14"/>
        <v>84</v>
      </c>
      <c r="AW130" s="351">
        <f t="shared" si="15"/>
        <v>0.10281517747858017</v>
      </c>
    </row>
    <row r="131" spans="1:49">
      <c r="A131" s="165">
        <v>46087</v>
      </c>
      <c r="B131" s="346"/>
      <c r="C131" s="346"/>
      <c r="D131" s="346"/>
      <c r="E131" s="346"/>
      <c r="F131" s="346"/>
      <c r="G131" s="346"/>
      <c r="H131" s="346"/>
      <c r="I131" s="346"/>
      <c r="J131" s="346"/>
      <c r="K131" s="346"/>
      <c r="L131" s="346"/>
      <c r="M131" s="346"/>
      <c r="N131" s="346"/>
      <c r="O131" s="346"/>
      <c r="P131" s="346"/>
      <c r="Q131" s="346"/>
      <c r="R131" s="346">
        <f>2+2+2+2+2</f>
        <v>10</v>
      </c>
      <c r="S131" s="346"/>
      <c r="T131" s="346"/>
      <c r="U131" s="346"/>
      <c r="V131" s="346"/>
      <c r="W131" s="346"/>
      <c r="X131" s="346"/>
      <c r="Y131" s="346"/>
      <c r="Z131" s="346"/>
      <c r="AA131" s="346"/>
      <c r="AB131" s="346"/>
      <c r="AC131" s="346">
        <f>45+60</f>
        <v>105</v>
      </c>
      <c r="AD131" s="346"/>
      <c r="AE131" s="346"/>
      <c r="AF131" s="346"/>
      <c r="AG131" s="346"/>
      <c r="AH131" s="346"/>
      <c r="AI131" s="346"/>
      <c r="AJ131" s="346"/>
      <c r="AK131" s="346"/>
      <c r="AL131" s="346"/>
      <c r="AM131" s="346"/>
      <c r="AN131" s="346"/>
      <c r="AO131" s="346"/>
      <c r="AP131" s="346"/>
      <c r="AQ131" s="346"/>
      <c r="AR131" s="346"/>
      <c r="AS131" s="346"/>
      <c r="AT131" s="346"/>
      <c r="AU131" s="346"/>
      <c r="AV131">
        <f t="shared" si="14"/>
        <v>115</v>
      </c>
      <c r="AW131" s="351">
        <f t="shared" si="15"/>
        <v>0.14075887392900857</v>
      </c>
    </row>
    <row r="132" spans="1:49">
      <c r="A132" s="165">
        <v>46087</v>
      </c>
      <c r="B132"/>
      <c r="C132"/>
      <c r="D132"/>
      <c r="E132"/>
      <c r="F132"/>
      <c r="G132"/>
      <c r="H132"/>
      <c r="I132"/>
      <c r="J132"/>
      <c r="K132"/>
      <c r="L132"/>
      <c r="M132"/>
      <c r="N132"/>
      <c r="O132"/>
      <c r="P132"/>
      <c r="Q132"/>
      <c r="R132"/>
      <c r="S132"/>
      <c r="T132"/>
      <c r="U132"/>
      <c r="V132">
        <f>12</f>
        <v>12</v>
      </c>
      <c r="W132"/>
      <c r="X132"/>
      <c r="Y132"/>
      <c r="Z132"/>
      <c r="AA132"/>
      <c r="AB132"/>
      <c r="AC132"/>
      <c r="AD132"/>
      <c r="AE132"/>
      <c r="AF132"/>
      <c r="AG132"/>
      <c r="AH132"/>
      <c r="AI132"/>
      <c r="AJ132"/>
      <c r="AK132"/>
      <c r="AL132"/>
      <c r="AM132"/>
      <c r="AN132"/>
      <c r="AO132"/>
      <c r="AP132"/>
      <c r="AQ132"/>
      <c r="AR132"/>
      <c r="AS132"/>
      <c r="AT132"/>
      <c r="AU132"/>
      <c r="AV132">
        <f t="shared" si="14"/>
        <v>12</v>
      </c>
      <c r="AW132" s="351">
        <f t="shared" si="15"/>
        <v>1.4687882496940025E-2</v>
      </c>
    </row>
    <row r="133" spans="1:49">
      <c r="A133" s="165">
        <v>46087</v>
      </c>
      <c r="B133" s="346"/>
      <c r="C133" s="346"/>
      <c r="D133" s="346"/>
      <c r="E133" s="346"/>
      <c r="F133" s="346"/>
      <c r="G133" s="346"/>
      <c r="H133" s="346"/>
      <c r="I133" s="346"/>
      <c r="J133" s="346"/>
      <c r="K133" s="346"/>
      <c r="L133" s="346"/>
      <c r="M133" s="346"/>
      <c r="N133" s="346"/>
      <c r="O133" s="346"/>
      <c r="P133" s="346"/>
      <c r="Q133" s="346"/>
      <c r="R133" s="346"/>
      <c r="S133" s="346">
        <v>2</v>
      </c>
      <c r="T133" s="346"/>
      <c r="U133" s="346"/>
      <c r="V133" s="346"/>
      <c r="W133" s="346"/>
      <c r="X133" s="346"/>
      <c r="Y133" s="346"/>
      <c r="Z133" s="346"/>
      <c r="AA133" s="346"/>
      <c r="AB133" s="346"/>
      <c r="AC133" s="346"/>
      <c r="AD133" s="346"/>
      <c r="AE133" s="346"/>
      <c r="AF133" s="346"/>
      <c r="AG133" s="346"/>
      <c r="AH133" s="346"/>
      <c r="AI133" s="346"/>
      <c r="AJ133" s="346"/>
      <c r="AK133" s="346"/>
      <c r="AL133" s="346"/>
      <c r="AM133" s="346"/>
      <c r="AN133" s="346"/>
      <c r="AO133" s="346"/>
      <c r="AP133" s="346"/>
      <c r="AQ133" s="346"/>
      <c r="AR133" s="346"/>
      <c r="AS133" s="346"/>
      <c r="AT133" s="346"/>
      <c r="AU133" s="346"/>
      <c r="AV133">
        <f t="shared" si="14"/>
        <v>2</v>
      </c>
      <c r="AW133" s="351">
        <f t="shared" si="15"/>
        <v>2.4479804161566705E-3</v>
      </c>
    </row>
    <row r="134" spans="1:49">
      <c r="A134" s="165">
        <v>46089</v>
      </c>
      <c r="B134"/>
      <c r="C134"/>
      <c r="D134"/>
      <c r="E134"/>
      <c r="F134"/>
      <c r="G134"/>
      <c r="H134"/>
      <c r="I134"/>
      <c r="J134"/>
      <c r="K134"/>
      <c r="L134"/>
      <c r="M134" s="346"/>
      <c r="N134"/>
      <c r="O134"/>
      <c r="P134"/>
      <c r="Q134"/>
      <c r="R134"/>
      <c r="S134">
        <f>3+3+2+2+2+2+3</f>
        <v>17</v>
      </c>
      <c r="T134"/>
      <c r="U134"/>
      <c r="V134"/>
      <c r="W134"/>
      <c r="X134"/>
      <c r="Y134"/>
      <c r="Z134"/>
      <c r="AA134"/>
      <c r="AB134"/>
      <c r="AC134"/>
      <c r="AD134"/>
      <c r="AE134"/>
      <c r="AF134"/>
      <c r="AG134"/>
      <c r="AH134"/>
      <c r="AI134"/>
      <c r="AJ134"/>
      <c r="AK134"/>
      <c r="AL134"/>
      <c r="AM134"/>
      <c r="AN134"/>
      <c r="AO134"/>
      <c r="AP134"/>
      <c r="AQ134"/>
      <c r="AR134"/>
      <c r="AS134"/>
      <c r="AT134"/>
      <c r="AU134"/>
      <c r="AV134">
        <f t="shared" si="14"/>
        <v>17</v>
      </c>
      <c r="AW134" s="351">
        <f t="shared" si="15"/>
        <v>2.0807833537331701E-2</v>
      </c>
    </row>
    <row r="135" spans="1:49">
      <c r="A135" s="165">
        <v>46090</v>
      </c>
      <c r="B135" s="346"/>
      <c r="C135" s="346"/>
      <c r="D135" s="346"/>
      <c r="E135" s="346"/>
      <c r="F135" s="346"/>
      <c r="G135" s="346"/>
      <c r="H135" s="346"/>
      <c r="I135" s="346"/>
      <c r="J135" s="346"/>
      <c r="K135" s="346"/>
      <c r="L135" s="346"/>
      <c r="M135" s="346"/>
      <c r="N135" s="346"/>
      <c r="O135" s="346"/>
      <c r="P135" s="346"/>
      <c r="Q135" s="346"/>
      <c r="R135" s="346"/>
      <c r="S135" s="346">
        <f>2+2+1+2</f>
        <v>7</v>
      </c>
      <c r="T135" s="346"/>
      <c r="U135" s="346"/>
      <c r="V135" s="346"/>
      <c r="W135" s="346"/>
      <c r="X135" s="346"/>
      <c r="Y135" s="346"/>
      <c r="Z135" s="346"/>
      <c r="AA135" s="346"/>
      <c r="AB135" s="346"/>
      <c r="AC135" s="346"/>
      <c r="AD135" s="346">
        <f>3</f>
        <v>3</v>
      </c>
      <c r="AE135" s="346"/>
      <c r="AF135" s="346"/>
      <c r="AG135" s="346"/>
      <c r="AH135" s="346"/>
      <c r="AI135" s="346"/>
      <c r="AJ135" s="346"/>
      <c r="AK135" s="346"/>
      <c r="AL135" s="346"/>
      <c r="AM135" s="346"/>
      <c r="AN135" s="346"/>
      <c r="AO135" s="346"/>
      <c r="AP135" s="346"/>
      <c r="AQ135" s="346"/>
      <c r="AR135" s="346"/>
      <c r="AS135" s="346"/>
      <c r="AT135" s="346"/>
      <c r="AU135" s="346"/>
      <c r="AV135">
        <f t="shared" si="14"/>
        <v>10</v>
      </c>
      <c r="AW135" s="351">
        <f t="shared" si="15"/>
        <v>1.2239902080783354E-2</v>
      </c>
    </row>
    <row r="136" spans="1:49">
      <c r="A136" s="165">
        <v>46091</v>
      </c>
      <c r="B136"/>
      <c r="C136"/>
      <c r="D136"/>
      <c r="E136"/>
      <c r="F136"/>
      <c r="G136"/>
      <c r="H136"/>
      <c r="I136"/>
      <c r="J136"/>
      <c r="K136"/>
      <c r="L136"/>
      <c r="M136"/>
      <c r="N136"/>
      <c r="O136"/>
      <c r="P136"/>
      <c r="Q136"/>
      <c r="R136"/>
      <c r="S136">
        <f>2+5+2+3</f>
        <v>12</v>
      </c>
      <c r="T136"/>
      <c r="U136"/>
      <c r="V136"/>
      <c r="W136"/>
      <c r="X136"/>
      <c r="Y136"/>
      <c r="Z136"/>
      <c r="AA136"/>
      <c r="AB136"/>
      <c r="AC136"/>
      <c r="AD136"/>
      <c r="AE136"/>
      <c r="AF136"/>
      <c r="AG136"/>
      <c r="AH136"/>
      <c r="AI136"/>
      <c r="AJ136"/>
      <c r="AK136"/>
      <c r="AL136"/>
      <c r="AM136"/>
      <c r="AN136"/>
      <c r="AO136"/>
      <c r="AP136"/>
      <c r="AQ136"/>
      <c r="AR136"/>
      <c r="AS136"/>
      <c r="AT136"/>
      <c r="AU136"/>
      <c r="AV136">
        <f t="shared" si="14"/>
        <v>12</v>
      </c>
      <c r="AW136" s="351">
        <f t="shared" si="15"/>
        <v>1.4687882496940025E-2</v>
      </c>
    </row>
    <row r="137" spans="1:49">
      <c r="A137" s="165">
        <v>46091</v>
      </c>
      <c r="B137" s="346"/>
      <c r="C137" s="346"/>
      <c r="D137" s="346"/>
      <c r="E137" s="346"/>
      <c r="F137" s="346"/>
      <c r="G137" s="346"/>
      <c r="H137" s="346"/>
      <c r="I137" s="346"/>
      <c r="J137" s="346"/>
      <c r="K137" s="346"/>
      <c r="L137" s="346"/>
      <c r="M137" s="346"/>
      <c r="N137" s="346">
        <f>4</f>
        <v>4</v>
      </c>
      <c r="O137" s="346"/>
      <c r="P137" s="346"/>
      <c r="Q137" s="346"/>
      <c r="R137" s="346"/>
      <c r="S137" s="346">
        <f>2</f>
        <v>2</v>
      </c>
      <c r="T137" s="77"/>
      <c r="U137" s="77"/>
      <c r="V137" s="77"/>
      <c r="W137" s="77"/>
      <c r="X137" s="77"/>
      <c r="Y137" s="346"/>
      <c r="Z137" s="346"/>
      <c r="AA137" s="346"/>
      <c r="AB137" s="346"/>
      <c r="AC137" s="346"/>
      <c r="AD137" s="346"/>
      <c r="AE137" s="346"/>
      <c r="AF137" s="346"/>
      <c r="AG137" s="346"/>
      <c r="AH137" s="346"/>
      <c r="AI137" s="346"/>
      <c r="AJ137" s="346"/>
      <c r="AK137" s="346"/>
      <c r="AL137" s="346"/>
      <c r="AM137" s="346"/>
      <c r="AN137" s="346"/>
      <c r="AO137" s="346"/>
      <c r="AP137" s="346"/>
      <c r="AQ137" s="346"/>
      <c r="AR137" s="346"/>
      <c r="AS137" s="346"/>
      <c r="AT137" s="346"/>
      <c r="AU137" s="346"/>
      <c r="AV137">
        <f t="shared" si="14"/>
        <v>6</v>
      </c>
      <c r="AW137" s="351">
        <f t="shared" si="15"/>
        <v>7.3439412484700125E-3</v>
      </c>
    </row>
    <row r="138" spans="1:49">
      <c r="A138" s="165">
        <v>46092</v>
      </c>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f t="shared" si="14"/>
        <v>0</v>
      </c>
      <c r="AW138" s="351">
        <f t="shared" si="15"/>
        <v>0</v>
      </c>
    </row>
    <row r="139" spans="1:49">
      <c r="A139" s="165">
        <v>46092</v>
      </c>
      <c r="B139" s="346"/>
      <c r="C139" s="346"/>
      <c r="D139" s="346"/>
      <c r="E139" s="346"/>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c r="AB139" s="346"/>
      <c r="AC139" s="346"/>
      <c r="AD139" s="346"/>
      <c r="AE139" s="346"/>
      <c r="AF139" s="346"/>
      <c r="AG139" s="346"/>
      <c r="AH139" s="346"/>
      <c r="AI139" s="346"/>
      <c r="AJ139" s="346"/>
      <c r="AK139" s="346"/>
      <c r="AL139" s="346"/>
      <c r="AM139" s="346"/>
      <c r="AN139" s="346"/>
      <c r="AO139" s="346"/>
      <c r="AP139" s="346"/>
      <c r="AQ139" s="346"/>
      <c r="AR139" s="346"/>
      <c r="AS139" s="346"/>
      <c r="AT139" s="346"/>
      <c r="AU139" s="346"/>
      <c r="AV139">
        <f t="shared" si="14"/>
        <v>0</v>
      </c>
      <c r="AW139" s="351">
        <f t="shared" si="15"/>
        <v>0</v>
      </c>
    </row>
    <row r="140" spans="1:49">
      <c r="A140" s="165">
        <v>46092</v>
      </c>
      <c r="B140"/>
      <c r="C140"/>
      <c r="D140"/>
      <c r="E140"/>
      <c r="F140"/>
      <c r="G140"/>
      <c r="H140"/>
      <c r="I140"/>
      <c r="J140">
        <f>1</f>
        <v>1</v>
      </c>
      <c r="K140"/>
      <c r="L140"/>
      <c r="M140"/>
      <c r="N140"/>
      <c r="O140"/>
      <c r="P140"/>
      <c r="Q140"/>
      <c r="R140"/>
      <c r="S140">
        <f>2</f>
        <v>2</v>
      </c>
      <c r="T140"/>
      <c r="U140"/>
      <c r="V140"/>
      <c r="W140"/>
      <c r="X140"/>
      <c r="Y140">
        <f>1</f>
        <v>1</v>
      </c>
      <c r="Z140"/>
      <c r="AA140"/>
      <c r="AB140"/>
      <c r="AC140"/>
      <c r="AD140"/>
      <c r="AE140"/>
      <c r="AF140"/>
      <c r="AG140"/>
      <c r="AH140"/>
      <c r="AI140"/>
      <c r="AJ140"/>
      <c r="AK140"/>
      <c r="AL140"/>
      <c r="AM140"/>
      <c r="AN140"/>
      <c r="AO140"/>
      <c r="AP140"/>
      <c r="AQ140"/>
      <c r="AR140"/>
      <c r="AS140"/>
      <c r="AT140"/>
      <c r="AU140"/>
      <c r="AV140">
        <f t="shared" si="14"/>
        <v>4</v>
      </c>
      <c r="AW140" s="351">
        <f t="shared" si="15"/>
        <v>4.8959608323133411E-3</v>
      </c>
    </row>
    <row r="141" spans="1:49">
      <c r="A141" s="165">
        <v>46093</v>
      </c>
      <c r="B141" s="346"/>
      <c r="C141" s="346"/>
      <c r="D141" s="346"/>
      <c r="E141" s="346"/>
      <c r="F141" s="346"/>
      <c r="G141" s="346"/>
      <c r="H141" s="346"/>
      <c r="I141" s="346"/>
      <c r="J141" s="346"/>
      <c r="K141" s="346"/>
      <c r="L141" s="346"/>
      <c r="M141" s="346"/>
      <c r="N141" s="346"/>
      <c r="O141" s="346"/>
      <c r="P141" s="346"/>
      <c r="Q141" s="346"/>
      <c r="R141" s="346"/>
      <c r="S141" s="346">
        <f>2+3+2+2+2</f>
        <v>11</v>
      </c>
      <c r="T141" s="346"/>
      <c r="U141" s="346"/>
      <c r="V141" s="346"/>
      <c r="W141" s="346"/>
      <c r="X141" s="346"/>
      <c r="Y141" s="346"/>
      <c r="Z141" s="346"/>
      <c r="AA141" s="346"/>
      <c r="AB141" s="346"/>
      <c r="AC141" s="346"/>
      <c r="AD141" s="346">
        <f>8</f>
        <v>8</v>
      </c>
      <c r="AE141" s="346"/>
      <c r="AF141" s="346"/>
      <c r="AG141" s="346"/>
      <c r="AH141" s="346"/>
      <c r="AI141" s="346"/>
      <c r="AJ141" s="346"/>
      <c r="AK141" s="346"/>
      <c r="AL141" s="346"/>
      <c r="AM141" s="346"/>
      <c r="AN141" s="346"/>
      <c r="AO141" s="346"/>
      <c r="AP141" s="346"/>
      <c r="AQ141" s="346"/>
      <c r="AR141" s="346"/>
      <c r="AS141" s="346"/>
      <c r="AT141" s="346"/>
      <c r="AU141" s="346"/>
      <c r="AV141">
        <f t="shared" si="14"/>
        <v>19</v>
      </c>
      <c r="AW141" s="351">
        <f t="shared" si="15"/>
        <v>2.3255813953488372E-2</v>
      </c>
    </row>
    <row r="142" spans="1:49" ht="13.5" customHeight="1">
      <c r="A142" s="165">
        <v>46093</v>
      </c>
      <c r="B142"/>
      <c r="C142"/>
      <c r="D142"/>
      <c r="E142"/>
      <c r="F142">
        <f>5</f>
        <v>5</v>
      </c>
      <c r="G142"/>
      <c r="H142"/>
      <c r="I142"/>
      <c r="J142"/>
      <c r="K142"/>
      <c r="L142"/>
      <c r="M142"/>
      <c r="N142"/>
      <c r="O142"/>
      <c r="P142"/>
      <c r="Q142"/>
      <c r="R142"/>
      <c r="S142">
        <f>2+1+2</f>
        <v>5</v>
      </c>
      <c r="T142"/>
      <c r="U142"/>
      <c r="V142"/>
      <c r="W142"/>
      <c r="X142"/>
      <c r="Y142"/>
      <c r="Z142"/>
      <c r="AA142"/>
      <c r="AB142"/>
      <c r="AC142"/>
      <c r="AD142"/>
      <c r="AE142"/>
      <c r="AF142"/>
      <c r="AG142"/>
      <c r="AH142"/>
      <c r="AI142"/>
      <c r="AJ142"/>
      <c r="AK142"/>
      <c r="AL142"/>
      <c r="AM142"/>
      <c r="AN142"/>
      <c r="AO142"/>
      <c r="AP142"/>
      <c r="AQ142"/>
      <c r="AR142"/>
      <c r="AS142"/>
      <c r="AT142"/>
      <c r="AU142"/>
      <c r="AV142">
        <f t="shared" si="14"/>
        <v>10</v>
      </c>
      <c r="AW142" s="351">
        <f t="shared" si="15"/>
        <v>1.2239902080783354E-2</v>
      </c>
    </row>
    <row r="143" spans="1:49">
      <c r="A143" s="165">
        <v>46094</v>
      </c>
      <c r="B143" s="346"/>
      <c r="C143" s="346"/>
      <c r="D143" s="346"/>
      <c r="E143" s="346"/>
      <c r="F143" s="346"/>
      <c r="G143" s="346"/>
      <c r="H143" s="346">
        <f>23+60+30</f>
        <v>113</v>
      </c>
      <c r="I143" s="346"/>
      <c r="J143" s="346"/>
      <c r="K143" s="346"/>
      <c r="L143" s="346"/>
      <c r="M143" s="346"/>
      <c r="N143" s="346"/>
      <c r="O143" s="346"/>
      <c r="P143" s="346"/>
      <c r="Q143" s="346"/>
      <c r="R143" s="346"/>
      <c r="S143" s="346">
        <f>2+2+1+3+2+2+2+2+2+1+2+2</f>
        <v>23</v>
      </c>
      <c r="T143" s="346"/>
      <c r="U143" s="346"/>
      <c r="V143" s="346"/>
      <c r="W143" s="346"/>
      <c r="X143" s="346"/>
      <c r="Y143" s="346"/>
      <c r="Z143" s="346"/>
      <c r="AA143" s="346"/>
      <c r="AB143" s="346"/>
      <c r="AC143" s="346"/>
      <c r="AD143" s="346"/>
      <c r="AE143" s="346"/>
      <c r="AF143" s="346"/>
      <c r="AG143" s="346"/>
      <c r="AH143" s="346"/>
      <c r="AI143" s="346"/>
      <c r="AJ143" s="346"/>
      <c r="AK143" s="346"/>
      <c r="AL143" s="346"/>
      <c r="AM143" s="346"/>
      <c r="AN143" s="346"/>
      <c r="AO143" s="346"/>
      <c r="AP143" s="346"/>
      <c r="AQ143" s="346"/>
      <c r="AR143" s="346"/>
      <c r="AS143" s="346"/>
      <c r="AT143" s="346"/>
      <c r="AU143" s="346"/>
      <c r="AV143">
        <f t="shared" si="14"/>
        <v>136</v>
      </c>
      <c r="AW143" s="351">
        <f t="shared" si="15"/>
        <v>0.16646266829865361</v>
      </c>
    </row>
    <row r="144" spans="1:49">
      <c r="A144" s="165">
        <v>46094</v>
      </c>
      <c r="B144"/>
      <c r="C144"/>
      <c r="D144"/>
      <c r="E144"/>
      <c r="F144"/>
      <c r="G144"/>
      <c r="H144"/>
      <c r="I144"/>
      <c r="J144"/>
      <c r="K144"/>
      <c r="L144"/>
      <c r="M144"/>
      <c r="N144"/>
      <c r="O144"/>
      <c r="P144"/>
      <c r="Q144"/>
      <c r="R144"/>
      <c r="S144">
        <f>2</f>
        <v>2</v>
      </c>
      <c r="T144"/>
      <c r="U144"/>
      <c r="V144">
        <v>2</v>
      </c>
      <c r="W144"/>
      <c r="X144"/>
      <c r="Y144"/>
      <c r="Z144"/>
      <c r="AA144"/>
      <c r="AB144"/>
      <c r="AC144"/>
      <c r="AD144"/>
      <c r="AE144"/>
      <c r="AF144"/>
      <c r="AG144"/>
      <c r="AH144"/>
      <c r="AI144"/>
      <c r="AJ144"/>
      <c r="AK144"/>
      <c r="AL144"/>
      <c r="AM144"/>
      <c r="AN144"/>
      <c r="AO144"/>
      <c r="AP144"/>
      <c r="AQ144"/>
      <c r="AR144"/>
      <c r="AS144"/>
      <c r="AT144"/>
      <c r="AU144"/>
      <c r="AV144">
        <f t="shared" si="14"/>
        <v>4</v>
      </c>
      <c r="AW144" s="351">
        <f t="shared" si="15"/>
        <v>4.8959608323133411E-3</v>
      </c>
    </row>
    <row r="145" spans="1:49">
      <c r="A145" s="165">
        <v>46097</v>
      </c>
      <c r="B145" s="346"/>
      <c r="C145" s="346"/>
      <c r="D145" s="346"/>
      <c r="E145" s="346"/>
      <c r="F145" s="346"/>
      <c r="G145" s="346"/>
      <c r="H145" s="346"/>
      <c r="I145" s="346"/>
      <c r="J145" s="346"/>
      <c r="K145" s="346"/>
      <c r="L145" s="346"/>
      <c r="M145" s="346"/>
      <c r="N145" s="346"/>
      <c r="O145" s="346"/>
      <c r="P145" s="346"/>
      <c r="Q145" s="346"/>
      <c r="R145" s="346"/>
      <c r="S145" s="346">
        <f>1+2+2</f>
        <v>5</v>
      </c>
      <c r="T145" s="346"/>
      <c r="U145" s="346"/>
      <c r="V145" s="346">
        <f>5</f>
        <v>5</v>
      </c>
      <c r="W145" s="346"/>
      <c r="X145" s="346"/>
      <c r="Y145" s="346"/>
      <c r="Z145" s="346"/>
      <c r="AA145" s="346"/>
      <c r="AB145" s="346"/>
      <c r="AC145" s="346"/>
      <c r="AD145" s="346"/>
      <c r="AE145" s="346"/>
      <c r="AF145" s="346"/>
      <c r="AG145" s="346"/>
      <c r="AH145" s="346"/>
      <c r="AI145" s="346"/>
      <c r="AJ145" s="346"/>
      <c r="AK145" s="346"/>
      <c r="AL145" s="346"/>
      <c r="AM145" s="346"/>
      <c r="AN145" s="346"/>
      <c r="AO145" s="346"/>
      <c r="AP145" s="346"/>
      <c r="AQ145" s="346"/>
      <c r="AR145" s="346"/>
      <c r="AS145" s="346"/>
      <c r="AT145" s="346"/>
      <c r="AU145" s="346"/>
      <c r="AV145">
        <f t="shared" si="14"/>
        <v>10</v>
      </c>
      <c r="AW145" s="351">
        <f t="shared" si="15"/>
        <v>1.2239902080783354E-2</v>
      </c>
    </row>
    <row r="146" spans="1:49">
      <c r="A146" s="165">
        <v>46098</v>
      </c>
      <c r="B146" s="346"/>
      <c r="C146" s="346"/>
      <c r="D146" s="346"/>
      <c r="E146" s="346"/>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c r="AB146" s="346"/>
      <c r="AC146" s="346"/>
      <c r="AD146" s="346"/>
      <c r="AE146" s="346"/>
      <c r="AF146" s="346"/>
      <c r="AG146" s="346"/>
      <c r="AH146" s="346"/>
      <c r="AI146" s="346"/>
      <c r="AJ146" s="346"/>
      <c r="AK146" s="346"/>
      <c r="AL146" s="346"/>
      <c r="AM146" s="346"/>
      <c r="AN146" s="346"/>
      <c r="AO146" s="346"/>
      <c r="AP146" s="346"/>
      <c r="AQ146" s="346"/>
      <c r="AR146" s="346"/>
      <c r="AS146" s="346"/>
      <c r="AT146" s="346"/>
      <c r="AU146" s="346"/>
      <c r="AV146">
        <f t="shared" ref="AV146" si="16">SUM(B146:AU146)</f>
        <v>0</v>
      </c>
      <c r="AW146" s="351">
        <f t="shared" si="15"/>
        <v>0</v>
      </c>
    </row>
    <row r="147" spans="1:49">
      <c r="A147" s="165">
        <v>46099</v>
      </c>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s="77"/>
      <c r="AQ147"/>
      <c r="AR147"/>
      <c r="AS147"/>
      <c r="AT147"/>
      <c r="AU147"/>
      <c r="AV147">
        <f t="shared" si="14"/>
        <v>0</v>
      </c>
      <c r="AW147" s="351">
        <f t="shared" si="15"/>
        <v>0</v>
      </c>
    </row>
    <row r="148" spans="1:49">
      <c r="A148" s="165">
        <v>46099</v>
      </c>
      <c r="B148" s="346"/>
      <c r="C148" s="346"/>
      <c r="D148" s="346"/>
      <c r="E148" s="346"/>
      <c r="F148" s="346"/>
      <c r="G148" s="346">
        <f>9</f>
        <v>9</v>
      </c>
      <c r="H148" s="346"/>
      <c r="I148" s="346"/>
      <c r="J148" s="346"/>
      <c r="K148" s="346"/>
      <c r="L148" s="346"/>
      <c r="M148" s="346"/>
      <c r="N148" s="346"/>
      <c r="O148" s="346"/>
      <c r="P148" s="346"/>
      <c r="Q148" s="346"/>
      <c r="R148" s="346"/>
      <c r="S148" s="346">
        <f>3</f>
        <v>3</v>
      </c>
      <c r="T148" s="346"/>
      <c r="U148" s="346"/>
      <c r="V148" s="346"/>
      <c r="W148" s="346"/>
      <c r="X148" s="346"/>
      <c r="Y148" s="346"/>
      <c r="Z148" s="346"/>
      <c r="AA148" s="346"/>
      <c r="AB148" s="346"/>
      <c r="AC148" s="346"/>
      <c r="AD148" s="346"/>
      <c r="AE148" s="346"/>
      <c r="AF148" s="346"/>
      <c r="AG148" s="346"/>
      <c r="AH148" s="346"/>
      <c r="AI148" s="346"/>
      <c r="AJ148" s="346"/>
      <c r="AK148" s="346"/>
      <c r="AL148" s="346"/>
      <c r="AM148" s="346"/>
      <c r="AN148" s="346"/>
      <c r="AO148" s="346"/>
      <c r="AP148" s="346"/>
      <c r="AQ148" s="346"/>
      <c r="AR148" s="346"/>
      <c r="AS148" s="346"/>
      <c r="AT148" s="346"/>
      <c r="AU148" s="346"/>
      <c r="AV148">
        <f t="shared" si="14"/>
        <v>12</v>
      </c>
      <c r="AW148" s="351">
        <f t="shared" si="15"/>
        <v>1.4687882496940025E-2</v>
      </c>
    </row>
    <row r="149" spans="1:49">
      <c r="A149" s="165">
        <v>46100</v>
      </c>
      <c r="B149"/>
      <c r="C149"/>
      <c r="D149"/>
      <c r="E149"/>
      <c r="F149"/>
      <c r="G149"/>
      <c r="H149"/>
      <c r="I149"/>
      <c r="J149"/>
      <c r="K149"/>
      <c r="L149"/>
      <c r="M149"/>
      <c r="N149"/>
      <c r="O149"/>
      <c r="P149"/>
      <c r="Q149"/>
      <c r="R149"/>
      <c r="S149">
        <f>2+2+2+2+2+4</f>
        <v>14</v>
      </c>
      <c r="T149"/>
      <c r="U149"/>
      <c r="V149"/>
      <c r="W149"/>
      <c r="X149"/>
      <c r="Y149"/>
      <c r="Z149"/>
      <c r="AA149"/>
      <c r="AB149"/>
      <c r="AC149"/>
      <c r="AD149"/>
      <c r="AE149"/>
      <c r="AF149"/>
      <c r="AG149"/>
      <c r="AH149"/>
      <c r="AI149"/>
      <c r="AJ149"/>
      <c r="AK149"/>
      <c r="AL149"/>
      <c r="AM149"/>
      <c r="AN149"/>
      <c r="AO149"/>
      <c r="AP149"/>
      <c r="AQ149"/>
      <c r="AR149"/>
      <c r="AS149"/>
      <c r="AT149"/>
      <c r="AU149"/>
      <c r="AV149">
        <f t="shared" si="14"/>
        <v>14</v>
      </c>
      <c r="AW149" s="351">
        <f t="shared" si="15"/>
        <v>1.7135862913096694E-2</v>
      </c>
    </row>
    <row r="150" spans="1:49">
      <c r="A150" s="139">
        <v>46100</v>
      </c>
      <c r="B150" s="346"/>
      <c r="C150" s="346"/>
      <c r="D150" s="346"/>
      <c r="E150" s="346"/>
      <c r="F150" s="346"/>
      <c r="G150" s="346"/>
      <c r="H150" s="346"/>
      <c r="I150" s="346"/>
      <c r="J150" s="346"/>
      <c r="K150" s="346"/>
      <c r="L150" s="346"/>
      <c r="M150" s="346"/>
      <c r="N150" s="346"/>
      <c r="O150" s="346"/>
      <c r="P150" s="346"/>
      <c r="Q150" s="346"/>
      <c r="R150" s="346">
        <f>2</f>
        <v>2</v>
      </c>
      <c r="S150" s="346">
        <f>2</f>
        <v>2</v>
      </c>
      <c r="T150" s="346"/>
      <c r="U150" s="346"/>
      <c r="V150" s="346"/>
      <c r="W150" s="346"/>
      <c r="X150" s="346"/>
      <c r="Y150" s="346"/>
      <c r="Z150" s="346"/>
      <c r="AA150" s="346"/>
      <c r="AB150" s="346"/>
      <c r="AC150" s="346"/>
      <c r="AD150" s="346"/>
      <c r="AE150" s="346"/>
      <c r="AF150" s="346"/>
      <c r="AG150" s="346"/>
      <c r="AH150" s="346"/>
      <c r="AI150" s="346"/>
      <c r="AJ150" s="346"/>
      <c r="AK150" s="346"/>
      <c r="AL150" s="346"/>
      <c r="AM150" s="346"/>
      <c r="AN150" s="346"/>
      <c r="AO150" s="346"/>
      <c r="AP150" s="346"/>
      <c r="AQ150" s="346"/>
      <c r="AR150" s="346"/>
      <c r="AS150" s="346"/>
      <c r="AT150" s="346"/>
      <c r="AU150" s="346"/>
      <c r="AV150">
        <f t="shared" si="14"/>
        <v>4</v>
      </c>
      <c r="AW150" s="351">
        <f t="shared" si="15"/>
        <v>4.8959608323133411E-3</v>
      </c>
    </row>
    <row r="151" spans="1:49">
      <c r="A151" s="139">
        <v>46100</v>
      </c>
      <c r="B151"/>
      <c r="C151"/>
      <c r="D151"/>
      <c r="E151"/>
      <c r="F151"/>
      <c r="G151"/>
      <c r="H151"/>
      <c r="I151"/>
      <c r="J151"/>
      <c r="K151"/>
      <c r="L151"/>
      <c r="M151"/>
      <c r="N151"/>
      <c r="O151"/>
      <c r="P151"/>
      <c r="Q151"/>
      <c r="R151">
        <f>2</f>
        <v>2</v>
      </c>
      <c r="S151">
        <f>2</f>
        <v>2</v>
      </c>
      <c r="T151"/>
      <c r="U151"/>
      <c r="V151"/>
      <c r="W151"/>
      <c r="X151"/>
      <c r="Y151"/>
      <c r="Z151"/>
      <c r="AA151"/>
      <c r="AB151"/>
      <c r="AC151"/>
      <c r="AD151">
        <f>4</f>
        <v>4</v>
      </c>
      <c r="AE151"/>
      <c r="AF151"/>
      <c r="AG151"/>
      <c r="AH151"/>
      <c r="AI151"/>
      <c r="AJ151"/>
      <c r="AK151"/>
      <c r="AL151"/>
      <c r="AM151"/>
      <c r="AN151"/>
      <c r="AO151"/>
      <c r="AP151"/>
      <c r="AQ151"/>
      <c r="AR151"/>
      <c r="AS151"/>
      <c r="AT151"/>
      <c r="AU151"/>
      <c r="AV151">
        <f t="shared" si="14"/>
        <v>8</v>
      </c>
      <c r="AW151" s="351">
        <f t="shared" si="15"/>
        <v>9.7919216646266821E-3</v>
      </c>
    </row>
    <row r="152" spans="1:49">
      <c r="A152" s="139">
        <v>46101</v>
      </c>
      <c r="B152" s="346"/>
      <c r="C152" s="346"/>
      <c r="D152" s="346"/>
      <c r="E152" s="346"/>
      <c r="F152" s="346"/>
      <c r="G152" s="346"/>
      <c r="H152" s="346"/>
      <c r="I152" s="346"/>
      <c r="J152" s="346"/>
      <c r="K152" s="346"/>
      <c r="L152" s="346"/>
      <c r="M152" s="346"/>
      <c r="N152" s="346"/>
      <c r="O152" s="346"/>
      <c r="P152" s="346"/>
      <c r="Q152" s="346"/>
      <c r="R152" s="346"/>
      <c r="S152" s="346">
        <f>2+2</f>
        <v>4</v>
      </c>
      <c r="T152" s="346"/>
      <c r="U152" s="346"/>
      <c r="V152" s="346"/>
      <c r="W152" s="346"/>
      <c r="X152" s="346"/>
      <c r="Y152" s="346"/>
      <c r="Z152" s="346"/>
      <c r="AA152" s="346"/>
      <c r="AB152" s="346"/>
      <c r="AC152" s="346"/>
      <c r="AD152" s="346"/>
      <c r="AE152" s="346"/>
      <c r="AF152" s="346"/>
      <c r="AG152" s="346"/>
      <c r="AH152" s="346"/>
      <c r="AI152" s="346"/>
      <c r="AJ152" s="346"/>
      <c r="AK152" s="346"/>
      <c r="AL152" s="346"/>
      <c r="AM152" s="346"/>
      <c r="AN152" s="346"/>
      <c r="AO152" s="346"/>
      <c r="AP152" s="346"/>
      <c r="AQ152" s="346"/>
      <c r="AR152" s="346"/>
      <c r="AS152" s="346"/>
      <c r="AT152" s="346"/>
      <c r="AU152" s="346">
        <f>9</f>
        <v>9</v>
      </c>
      <c r="AV152">
        <f t="shared" si="14"/>
        <v>13</v>
      </c>
      <c r="AW152" s="351">
        <f t="shared" si="15"/>
        <v>1.591187270501836E-2</v>
      </c>
    </row>
    <row r="153" spans="1:49">
      <c r="A153" s="139">
        <v>46101</v>
      </c>
      <c r="B153"/>
      <c r="C153"/>
      <c r="D153"/>
      <c r="E153"/>
      <c r="F153"/>
      <c r="G153"/>
      <c r="H153"/>
      <c r="I153"/>
      <c r="J153"/>
      <c r="K153"/>
      <c r="L153"/>
      <c r="M153"/>
      <c r="N153"/>
      <c r="O153"/>
      <c r="P153"/>
      <c r="Q153"/>
      <c r="R153"/>
      <c r="S153">
        <f>2</f>
        <v>2</v>
      </c>
      <c r="T153"/>
      <c r="U153"/>
      <c r="V153"/>
      <c r="W153"/>
      <c r="X153"/>
      <c r="Y153"/>
      <c r="Z153"/>
      <c r="AA153"/>
      <c r="AB153"/>
      <c r="AC153"/>
      <c r="AD153">
        <f>3</f>
        <v>3</v>
      </c>
      <c r="AE153"/>
      <c r="AF153"/>
      <c r="AG153"/>
      <c r="AH153"/>
      <c r="AI153"/>
      <c r="AJ153"/>
      <c r="AK153"/>
      <c r="AL153"/>
      <c r="AM153"/>
      <c r="AN153"/>
      <c r="AO153"/>
      <c r="AP153"/>
      <c r="AQ153"/>
      <c r="AR153"/>
      <c r="AS153"/>
      <c r="AT153"/>
      <c r="AU153"/>
      <c r="AV153">
        <f t="shared" si="14"/>
        <v>5</v>
      </c>
      <c r="AW153" s="351">
        <f t="shared" si="15"/>
        <v>6.1199510403916772E-3</v>
      </c>
    </row>
    <row r="154" spans="1:49">
      <c r="A154" s="139">
        <v>46104</v>
      </c>
      <c r="B154" s="346"/>
      <c r="C154" s="346"/>
      <c r="D154" s="346"/>
      <c r="E154" s="346"/>
      <c r="F154" s="346"/>
      <c r="G154" s="346"/>
      <c r="H154" s="346"/>
      <c r="I154" s="346"/>
      <c r="J154" s="346"/>
      <c r="K154" s="346"/>
      <c r="L154" s="346"/>
      <c r="M154" s="346"/>
      <c r="N154" s="346"/>
      <c r="O154" s="346"/>
      <c r="P154" s="346"/>
      <c r="Q154" s="346"/>
      <c r="R154" s="346"/>
      <c r="S154" s="346">
        <f>2+2+2+3+2+2</f>
        <v>13</v>
      </c>
      <c r="T154" s="346"/>
      <c r="U154" s="346"/>
      <c r="V154" s="346"/>
      <c r="W154" s="346"/>
      <c r="X154" s="346"/>
      <c r="Y154" s="346"/>
      <c r="Z154" s="346"/>
      <c r="AA154" s="346"/>
      <c r="AB154" s="346"/>
      <c r="AC154" s="346"/>
      <c r="AD154" s="346">
        <f>4+2+2</f>
        <v>8</v>
      </c>
      <c r="AE154" s="346"/>
      <c r="AF154" s="346"/>
      <c r="AG154" s="346"/>
      <c r="AH154" s="346"/>
      <c r="AI154" s="346"/>
      <c r="AJ154" s="346"/>
      <c r="AK154" s="346"/>
      <c r="AL154" s="346"/>
      <c r="AM154" s="346"/>
      <c r="AN154" s="346"/>
      <c r="AO154" s="346"/>
      <c r="AP154" s="346"/>
      <c r="AQ154" s="346"/>
      <c r="AR154" s="346"/>
      <c r="AS154" s="346"/>
      <c r="AT154" s="346"/>
      <c r="AU154" s="346"/>
      <c r="AV154">
        <f t="shared" si="14"/>
        <v>21</v>
      </c>
      <c r="AW154" s="351">
        <f t="shared" si="15"/>
        <v>2.5703794369645042E-2</v>
      </c>
    </row>
    <row r="155" spans="1:49">
      <c r="A155" s="165">
        <v>46104</v>
      </c>
      <c r="B155"/>
      <c r="C155"/>
      <c r="D155"/>
      <c r="E155"/>
      <c r="F155"/>
      <c r="G155"/>
      <c r="H155"/>
      <c r="I155"/>
      <c r="J155"/>
      <c r="K155"/>
      <c r="L155"/>
      <c r="M155"/>
      <c r="N155"/>
      <c r="O155"/>
      <c r="P155"/>
      <c r="Q155"/>
      <c r="R155"/>
      <c r="S155">
        <f>2+2+1+2</f>
        <v>7</v>
      </c>
      <c r="T155"/>
      <c r="U155"/>
      <c r="V155"/>
      <c r="W155"/>
      <c r="X155"/>
      <c r="Y155"/>
      <c r="Z155"/>
      <c r="AA155"/>
      <c r="AB155"/>
      <c r="AC155"/>
      <c r="AD155"/>
      <c r="AE155"/>
      <c r="AF155"/>
      <c r="AG155"/>
      <c r="AH155"/>
      <c r="AI155"/>
      <c r="AJ155"/>
      <c r="AK155"/>
      <c r="AL155"/>
      <c r="AM155"/>
      <c r="AN155"/>
      <c r="AO155"/>
      <c r="AP155"/>
      <c r="AQ155"/>
      <c r="AR155"/>
      <c r="AS155"/>
      <c r="AT155"/>
      <c r="AU155"/>
      <c r="AV155">
        <f t="shared" si="14"/>
        <v>7</v>
      </c>
      <c r="AW155" s="351">
        <f t="shared" si="15"/>
        <v>8.5679314565483469E-3</v>
      </c>
    </row>
    <row r="156" spans="1:49" ht="14.1" customHeight="1">
      <c r="A156" s="165">
        <v>46104</v>
      </c>
      <c r="B156" s="346"/>
      <c r="C156" s="346"/>
      <c r="D156" s="346"/>
      <c r="E156" s="346"/>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6"/>
      <c r="AB156" s="346"/>
      <c r="AC156" s="346"/>
      <c r="AD156" s="346"/>
      <c r="AE156" s="346"/>
      <c r="AF156" s="346"/>
      <c r="AG156" s="346"/>
      <c r="AH156" s="346"/>
      <c r="AI156" s="346"/>
      <c r="AJ156" s="346"/>
      <c r="AK156" s="346"/>
      <c r="AL156" s="346"/>
      <c r="AM156" s="346"/>
      <c r="AN156" s="346"/>
      <c r="AO156" s="346"/>
      <c r="AP156" s="346"/>
      <c r="AQ156" s="346"/>
      <c r="AR156" s="346"/>
      <c r="AS156" s="346"/>
      <c r="AT156" s="346"/>
      <c r="AU156" s="346"/>
      <c r="AV156">
        <f t="shared" si="14"/>
        <v>0</v>
      </c>
      <c r="AW156" s="351">
        <f t="shared" si="15"/>
        <v>0</v>
      </c>
    </row>
    <row r="157" spans="1:49">
      <c r="A157" s="165">
        <v>46105</v>
      </c>
      <c r="B157"/>
      <c r="C157"/>
      <c r="D157"/>
      <c r="E157"/>
      <c r="F157"/>
      <c r="G157"/>
      <c r="H157"/>
      <c r="I157"/>
      <c r="J157"/>
      <c r="K157"/>
      <c r="L157"/>
      <c r="M157"/>
      <c r="N157"/>
      <c r="O157"/>
      <c r="P157"/>
      <c r="Q157"/>
      <c r="R157">
        <f>18+6</f>
        <v>24</v>
      </c>
      <c r="S157">
        <f>2</f>
        <v>2</v>
      </c>
      <c r="T157"/>
      <c r="U157"/>
      <c r="V157"/>
      <c r="W157"/>
      <c r="X157"/>
      <c r="Y157"/>
      <c r="Z157"/>
      <c r="AA157"/>
      <c r="AB157"/>
      <c r="AC157"/>
      <c r="AD157">
        <f>6</f>
        <v>6</v>
      </c>
      <c r="AE157"/>
      <c r="AF157"/>
      <c r="AG157"/>
      <c r="AH157"/>
      <c r="AI157"/>
      <c r="AJ157"/>
      <c r="AK157"/>
      <c r="AL157"/>
      <c r="AM157"/>
      <c r="AN157"/>
      <c r="AO157"/>
      <c r="AP157"/>
      <c r="AQ157"/>
      <c r="AR157"/>
      <c r="AS157"/>
      <c r="AT157"/>
      <c r="AU157"/>
      <c r="AV157">
        <f t="shared" ref="AV157:AV180" si="17">SUM(B157:AU157)</f>
        <v>32</v>
      </c>
      <c r="AW157" s="351">
        <f t="shared" si="15"/>
        <v>3.9167686658506728E-2</v>
      </c>
    </row>
    <row r="158" spans="1:49">
      <c r="A158" s="165">
        <v>46105</v>
      </c>
      <c r="B158" s="346"/>
      <c r="C158" s="346"/>
      <c r="D158" s="346"/>
      <c r="E158" s="346"/>
      <c r="F158" s="346"/>
      <c r="G158" s="346"/>
      <c r="H158" s="346"/>
      <c r="I158" s="346"/>
      <c r="J158" s="346"/>
      <c r="K158" s="346"/>
      <c r="L158" s="346"/>
      <c r="M158" s="346"/>
      <c r="N158" s="346"/>
      <c r="O158" s="346"/>
      <c r="P158" s="346"/>
      <c r="Q158" s="346"/>
      <c r="R158" s="346"/>
      <c r="S158" s="346">
        <f>2</f>
        <v>2</v>
      </c>
      <c r="T158" s="346"/>
      <c r="U158" s="346"/>
      <c r="V158" s="346"/>
      <c r="W158" s="346"/>
      <c r="X158" s="346"/>
      <c r="Y158" s="346"/>
      <c r="Z158" s="346"/>
      <c r="AA158" s="346"/>
      <c r="AB158" s="346"/>
      <c r="AC158" s="346"/>
      <c r="AD158" s="346">
        <f>3</f>
        <v>3</v>
      </c>
      <c r="AE158" s="346"/>
      <c r="AF158" s="346"/>
      <c r="AG158" s="346"/>
      <c r="AH158" s="346"/>
      <c r="AI158" s="346"/>
      <c r="AJ158" s="346"/>
      <c r="AK158" s="346"/>
      <c r="AL158" s="346"/>
      <c r="AM158" s="346"/>
      <c r="AN158" s="346"/>
      <c r="AO158" s="346"/>
      <c r="AP158" s="346"/>
      <c r="AQ158" s="346"/>
      <c r="AR158" s="346"/>
      <c r="AS158" s="346"/>
      <c r="AT158" s="346"/>
      <c r="AU158" s="346"/>
      <c r="AV158">
        <f t="shared" si="17"/>
        <v>5</v>
      </c>
      <c r="AW158" s="351">
        <f t="shared" si="15"/>
        <v>6.1199510403916772E-3</v>
      </c>
    </row>
    <row r="159" spans="1:49">
      <c r="A159" s="165">
        <v>46106</v>
      </c>
      <c r="B159"/>
      <c r="C159"/>
      <c r="D159"/>
      <c r="E159"/>
      <c r="F159"/>
      <c r="G159"/>
      <c r="H159"/>
      <c r="I159"/>
      <c r="J159"/>
      <c r="K159"/>
      <c r="L159"/>
      <c r="M159"/>
      <c r="N159"/>
      <c r="O159"/>
      <c r="P159"/>
      <c r="Q159"/>
      <c r="R159"/>
      <c r="S159">
        <f>3+3</f>
        <v>6</v>
      </c>
      <c r="T159"/>
      <c r="U159"/>
      <c r="V159"/>
      <c r="W159"/>
      <c r="X159"/>
      <c r="Y159"/>
      <c r="Z159"/>
      <c r="AA159"/>
      <c r="AB159"/>
      <c r="AC159"/>
      <c r="AD159"/>
      <c r="AE159"/>
      <c r="AF159"/>
      <c r="AG159"/>
      <c r="AH159"/>
      <c r="AI159"/>
      <c r="AJ159"/>
      <c r="AK159"/>
      <c r="AL159"/>
      <c r="AM159"/>
      <c r="AN159"/>
      <c r="AO159"/>
      <c r="AP159"/>
      <c r="AQ159"/>
      <c r="AR159"/>
      <c r="AS159"/>
      <c r="AT159"/>
      <c r="AU159"/>
      <c r="AV159">
        <f t="shared" si="17"/>
        <v>6</v>
      </c>
      <c r="AW159" s="351">
        <f t="shared" si="15"/>
        <v>7.3439412484700125E-3</v>
      </c>
    </row>
    <row r="160" spans="1:49">
      <c r="A160" s="165">
        <v>46106</v>
      </c>
      <c r="B160" s="346"/>
      <c r="C160" s="346"/>
      <c r="D160" s="346"/>
      <c r="E160" s="346"/>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c r="AB160" s="346"/>
      <c r="AC160" s="346"/>
      <c r="AD160" s="346"/>
      <c r="AE160" s="346"/>
      <c r="AF160" s="346"/>
      <c r="AG160" s="346"/>
      <c r="AH160" s="346"/>
      <c r="AI160" s="346"/>
      <c r="AJ160" s="346"/>
      <c r="AK160" s="346"/>
      <c r="AL160" s="346"/>
      <c r="AM160" s="346"/>
      <c r="AN160" s="346"/>
      <c r="AO160" s="346"/>
      <c r="AP160" s="346"/>
      <c r="AQ160" s="346"/>
      <c r="AR160" s="346"/>
      <c r="AS160" s="346"/>
      <c r="AT160" s="346"/>
      <c r="AU160" s="346"/>
      <c r="AV160">
        <f t="shared" si="17"/>
        <v>0</v>
      </c>
      <c r="AW160" s="351">
        <f t="shared" si="15"/>
        <v>0</v>
      </c>
    </row>
    <row r="161" spans="1:49">
      <c r="A161" s="165">
        <v>46106</v>
      </c>
      <c r="B161"/>
      <c r="C161"/>
      <c r="D161"/>
      <c r="E161"/>
      <c r="F161"/>
      <c r="G161"/>
      <c r="H161"/>
      <c r="I161"/>
      <c r="J161"/>
      <c r="K161"/>
      <c r="L161"/>
      <c r="M161"/>
      <c r="N161"/>
      <c r="O161"/>
      <c r="P161"/>
      <c r="Q161"/>
      <c r="R161"/>
      <c r="S161"/>
      <c r="T161"/>
      <c r="U161"/>
      <c r="V161">
        <f>4+5</f>
        <v>9</v>
      </c>
      <c r="W161"/>
      <c r="X161"/>
      <c r="Y161"/>
      <c r="Z161"/>
      <c r="AA161"/>
      <c r="AB161"/>
      <c r="AC161"/>
      <c r="AD161"/>
      <c r="AE161"/>
      <c r="AF161"/>
      <c r="AG161"/>
      <c r="AH161"/>
      <c r="AI161"/>
      <c r="AJ161"/>
      <c r="AK161"/>
      <c r="AL161"/>
      <c r="AM161"/>
      <c r="AN161"/>
      <c r="AO161"/>
      <c r="AP161"/>
      <c r="AQ161"/>
      <c r="AR161"/>
      <c r="AS161"/>
      <c r="AT161"/>
      <c r="AU161"/>
      <c r="AV161">
        <f t="shared" si="17"/>
        <v>9</v>
      </c>
      <c r="AW161" s="351">
        <f t="shared" si="15"/>
        <v>1.1015911872705019E-2</v>
      </c>
    </row>
    <row r="162" spans="1:49">
      <c r="A162" s="165">
        <v>46106</v>
      </c>
      <c r="B162" s="346"/>
      <c r="C162" s="346"/>
      <c r="D162" s="346"/>
      <c r="E162" s="346"/>
      <c r="F162" s="346"/>
      <c r="G162" s="346"/>
      <c r="H162" s="346"/>
      <c r="I162" s="346"/>
      <c r="J162" s="346"/>
      <c r="K162" s="346"/>
      <c r="L162" s="346"/>
      <c r="M162" s="346"/>
      <c r="N162" s="346"/>
      <c r="O162" s="346"/>
      <c r="P162" s="346"/>
      <c r="Q162" s="346"/>
      <c r="R162" s="346"/>
      <c r="S162" s="346">
        <f>2+2+1</f>
        <v>5</v>
      </c>
      <c r="T162" s="346"/>
      <c r="U162" s="346"/>
      <c r="V162" s="346"/>
      <c r="W162" s="346"/>
      <c r="X162" s="346"/>
      <c r="Y162" s="346"/>
      <c r="Z162" s="346"/>
      <c r="AA162" s="346"/>
      <c r="AB162" s="346"/>
      <c r="AC162" s="346"/>
      <c r="AD162" s="346"/>
      <c r="AE162" s="346"/>
      <c r="AF162" s="346"/>
      <c r="AG162" s="346"/>
      <c r="AH162" s="346"/>
      <c r="AI162" s="346"/>
      <c r="AJ162" s="346"/>
      <c r="AK162" s="346"/>
      <c r="AL162" s="346"/>
      <c r="AM162" s="346"/>
      <c r="AN162" s="346"/>
      <c r="AO162" s="346"/>
      <c r="AP162" s="346"/>
      <c r="AQ162" s="346"/>
      <c r="AR162" s="346"/>
      <c r="AS162" s="346"/>
      <c r="AT162" s="346"/>
      <c r="AU162" s="346"/>
      <c r="AV162">
        <f t="shared" si="17"/>
        <v>5</v>
      </c>
      <c r="AW162" s="351">
        <f t="shared" si="15"/>
        <v>6.1199510403916772E-3</v>
      </c>
    </row>
    <row r="163" spans="1:49">
      <c r="A163" s="165">
        <v>46107</v>
      </c>
      <c r="B163"/>
      <c r="C163"/>
      <c r="D163"/>
      <c r="E163"/>
      <c r="F163"/>
      <c r="G163"/>
      <c r="H163"/>
      <c r="I163"/>
      <c r="J163"/>
      <c r="K163"/>
      <c r="L163"/>
      <c r="M163"/>
      <c r="N163"/>
      <c r="O163"/>
      <c r="P163"/>
      <c r="Q163"/>
      <c r="R163"/>
      <c r="S163">
        <f>2</f>
        <v>2</v>
      </c>
      <c r="T163"/>
      <c r="U163"/>
      <c r="V163"/>
      <c r="W163"/>
      <c r="X163"/>
      <c r="Y163"/>
      <c r="Z163"/>
      <c r="AA163"/>
      <c r="AB163"/>
      <c r="AC163"/>
      <c r="AD163">
        <f>4</f>
        <v>4</v>
      </c>
      <c r="AE163"/>
      <c r="AF163"/>
      <c r="AG163"/>
      <c r="AH163"/>
      <c r="AI163"/>
      <c r="AJ163"/>
      <c r="AK163"/>
      <c r="AL163"/>
      <c r="AM163"/>
      <c r="AN163"/>
      <c r="AO163"/>
      <c r="AP163"/>
      <c r="AQ163"/>
      <c r="AR163"/>
      <c r="AS163"/>
      <c r="AT163"/>
      <c r="AU163"/>
      <c r="AV163">
        <f t="shared" si="17"/>
        <v>6</v>
      </c>
      <c r="AW163" s="351">
        <f t="shared" ref="AW163:AW180" si="18">AV163/$AV$181</f>
        <v>7.3439412484700125E-3</v>
      </c>
    </row>
    <row r="164" spans="1:49">
      <c r="A164" s="165">
        <v>46107</v>
      </c>
      <c r="B164" s="346"/>
      <c r="C164" s="346"/>
      <c r="D164" s="346"/>
      <c r="E164" s="346"/>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c r="AB164" s="346"/>
      <c r="AC164" s="346"/>
      <c r="AD164" s="346">
        <f>2</f>
        <v>2</v>
      </c>
      <c r="AE164" s="346"/>
      <c r="AF164" s="346"/>
      <c r="AG164" s="346"/>
      <c r="AH164" s="346"/>
      <c r="AI164" s="346"/>
      <c r="AJ164" s="346"/>
      <c r="AK164" s="346"/>
      <c r="AL164" s="346"/>
      <c r="AM164" s="346"/>
      <c r="AN164" s="346"/>
      <c r="AO164" s="346"/>
      <c r="AP164" s="346"/>
      <c r="AQ164" s="346"/>
      <c r="AR164" s="346"/>
      <c r="AS164" s="346"/>
      <c r="AT164" s="346"/>
      <c r="AU164" s="346"/>
      <c r="AV164">
        <f t="shared" si="17"/>
        <v>2</v>
      </c>
      <c r="AW164" s="351">
        <f t="shared" si="18"/>
        <v>2.4479804161566705E-3</v>
      </c>
    </row>
    <row r="165" spans="1:49">
      <c r="A165" s="165">
        <v>46107</v>
      </c>
      <c r="B165"/>
      <c r="C165"/>
      <c r="D165"/>
      <c r="E165"/>
      <c r="F165"/>
      <c r="G165"/>
      <c r="H165"/>
      <c r="I165"/>
      <c r="J165"/>
      <c r="K165"/>
      <c r="L165"/>
      <c r="M165"/>
      <c r="N165"/>
      <c r="O165"/>
      <c r="P165"/>
      <c r="Q165"/>
      <c r="R165"/>
      <c r="S165">
        <f>2+2</f>
        <v>4</v>
      </c>
      <c r="T165"/>
      <c r="U165"/>
      <c r="V165"/>
      <c r="W165"/>
      <c r="X165"/>
      <c r="Y165"/>
      <c r="Z165"/>
      <c r="AA165"/>
      <c r="AB165"/>
      <c r="AC165"/>
      <c r="AD165"/>
      <c r="AE165"/>
      <c r="AF165"/>
      <c r="AG165"/>
      <c r="AH165"/>
      <c r="AI165"/>
      <c r="AJ165"/>
      <c r="AK165"/>
      <c r="AL165"/>
      <c r="AM165"/>
      <c r="AN165"/>
      <c r="AO165"/>
      <c r="AP165"/>
      <c r="AQ165"/>
      <c r="AR165"/>
      <c r="AS165"/>
      <c r="AT165"/>
      <c r="AU165"/>
      <c r="AV165">
        <f t="shared" si="17"/>
        <v>4</v>
      </c>
      <c r="AW165" s="351">
        <f t="shared" si="18"/>
        <v>4.8959608323133411E-3</v>
      </c>
    </row>
    <row r="166" spans="1:49">
      <c r="A166" s="165">
        <v>46107</v>
      </c>
      <c r="B166" s="346"/>
      <c r="C166" s="346"/>
      <c r="D166" s="346"/>
      <c r="E166" s="346"/>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c r="AB166" s="346"/>
      <c r="AC166" s="346"/>
      <c r="AD166" s="346"/>
      <c r="AE166" s="346"/>
      <c r="AF166" s="346"/>
      <c r="AG166" s="346"/>
      <c r="AH166" s="346"/>
      <c r="AI166" s="346"/>
      <c r="AJ166" s="346"/>
      <c r="AK166" s="346"/>
      <c r="AL166" s="346"/>
      <c r="AM166" s="346"/>
      <c r="AN166" s="346"/>
      <c r="AO166" s="346"/>
      <c r="AP166" s="346"/>
      <c r="AQ166" s="346"/>
      <c r="AR166" s="346"/>
      <c r="AS166" s="346"/>
      <c r="AT166" s="346"/>
      <c r="AU166" s="346"/>
      <c r="AV166">
        <f t="shared" si="17"/>
        <v>0</v>
      </c>
      <c r="AW166" s="351">
        <f t="shared" si="18"/>
        <v>0</v>
      </c>
    </row>
    <row r="167" spans="1:49">
      <c r="A167" s="165">
        <v>46108</v>
      </c>
      <c r="B167"/>
      <c r="C167"/>
      <c r="D167"/>
      <c r="E167"/>
      <c r="F167"/>
      <c r="G167"/>
      <c r="H167"/>
      <c r="I167"/>
      <c r="J167"/>
      <c r="K167"/>
      <c r="L167"/>
      <c r="M167"/>
      <c r="N167"/>
      <c r="O167"/>
      <c r="P167"/>
      <c r="Q167"/>
      <c r="R167"/>
      <c r="S167">
        <f>3</f>
        <v>3</v>
      </c>
      <c r="T167"/>
      <c r="U167"/>
      <c r="V167"/>
      <c r="W167"/>
      <c r="X167"/>
      <c r="Y167"/>
      <c r="Z167"/>
      <c r="AA167"/>
      <c r="AB167"/>
      <c r="AC167"/>
      <c r="AD167"/>
      <c r="AE167"/>
      <c r="AF167"/>
      <c r="AG167"/>
      <c r="AH167"/>
      <c r="AI167"/>
      <c r="AJ167"/>
      <c r="AK167"/>
      <c r="AL167"/>
      <c r="AM167"/>
      <c r="AN167"/>
      <c r="AO167"/>
      <c r="AP167"/>
      <c r="AQ167"/>
      <c r="AR167"/>
      <c r="AS167"/>
      <c r="AT167"/>
      <c r="AU167"/>
      <c r="AV167">
        <f t="shared" si="17"/>
        <v>3</v>
      </c>
      <c r="AW167" s="351">
        <f t="shared" si="18"/>
        <v>3.6719706242350062E-3</v>
      </c>
    </row>
    <row r="168" spans="1:49">
      <c r="A168" s="165">
        <v>46108</v>
      </c>
      <c r="B168" s="346"/>
      <c r="C168" s="346"/>
      <c r="D168" s="346"/>
      <c r="E168" s="346"/>
      <c r="F168" s="346"/>
      <c r="G168" s="346"/>
      <c r="H168" s="346"/>
      <c r="I168" s="346"/>
      <c r="J168" s="346"/>
      <c r="K168" s="346"/>
      <c r="L168" s="346"/>
      <c r="M168" s="346"/>
      <c r="N168" s="346"/>
      <c r="O168" s="346"/>
      <c r="P168" s="346"/>
      <c r="Q168" s="346"/>
      <c r="R168" s="346"/>
      <c r="S168" s="346">
        <f>3+2</f>
        <v>5</v>
      </c>
      <c r="T168" s="346"/>
      <c r="U168" s="346"/>
      <c r="V168" s="346"/>
      <c r="W168" s="346"/>
      <c r="X168" s="346"/>
      <c r="Y168" s="346"/>
      <c r="Z168" s="346"/>
      <c r="AA168" s="346"/>
      <c r="AB168" s="346"/>
      <c r="AC168" s="346"/>
      <c r="AD168" s="346"/>
      <c r="AE168" s="346"/>
      <c r="AF168" s="346"/>
      <c r="AG168" s="346"/>
      <c r="AH168" s="346"/>
      <c r="AI168" s="346"/>
      <c r="AJ168" s="346"/>
      <c r="AK168" s="346"/>
      <c r="AL168" s="346"/>
      <c r="AM168" s="346"/>
      <c r="AN168" s="346"/>
      <c r="AO168" s="346"/>
      <c r="AP168" s="346"/>
      <c r="AQ168" s="346"/>
      <c r="AR168" s="346"/>
      <c r="AS168" s="346"/>
      <c r="AT168" s="346"/>
      <c r="AU168" s="346"/>
      <c r="AV168">
        <f t="shared" si="17"/>
        <v>5</v>
      </c>
      <c r="AW168" s="351">
        <f t="shared" si="18"/>
        <v>6.1199510403916772E-3</v>
      </c>
    </row>
    <row r="169" spans="1:49">
      <c r="A169" s="165">
        <v>46111</v>
      </c>
      <c r="B169"/>
      <c r="C169"/>
      <c r="D169"/>
      <c r="E169"/>
      <c r="F169"/>
      <c r="G169"/>
      <c r="H169"/>
      <c r="I169"/>
      <c r="J169"/>
      <c r="K169"/>
      <c r="L169"/>
      <c r="M169"/>
      <c r="N169"/>
      <c r="O169"/>
      <c r="P169"/>
      <c r="Q169"/>
      <c r="R169">
        <f>2</f>
        <v>2</v>
      </c>
      <c r="S169">
        <f>2</f>
        <v>2</v>
      </c>
      <c r="T169"/>
      <c r="U169"/>
      <c r="V169"/>
      <c r="W169"/>
      <c r="X169"/>
      <c r="Y169"/>
      <c r="Z169"/>
      <c r="AA169"/>
      <c r="AB169"/>
      <c r="AC169"/>
      <c r="AD169">
        <v>3</v>
      </c>
      <c r="AE169"/>
      <c r="AF169"/>
      <c r="AG169"/>
      <c r="AH169"/>
      <c r="AI169"/>
      <c r="AJ169">
        <f>6+4</f>
        <v>10</v>
      </c>
      <c r="AK169"/>
      <c r="AL169"/>
      <c r="AM169"/>
      <c r="AN169"/>
      <c r="AO169"/>
      <c r="AP169"/>
      <c r="AQ169"/>
      <c r="AR169"/>
      <c r="AS169"/>
      <c r="AT169"/>
      <c r="AU169"/>
      <c r="AV169">
        <f t="shared" si="17"/>
        <v>17</v>
      </c>
      <c r="AW169" s="351">
        <f t="shared" si="18"/>
        <v>2.0807833537331701E-2</v>
      </c>
    </row>
    <row r="170" spans="1:49">
      <c r="A170" s="165">
        <v>46112</v>
      </c>
      <c r="B170" s="346"/>
      <c r="C170" s="346"/>
      <c r="D170" s="346"/>
      <c r="E170" s="346"/>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c r="AB170" s="346"/>
      <c r="AC170" s="346"/>
      <c r="AD170" s="346"/>
      <c r="AE170" s="346"/>
      <c r="AF170" s="346"/>
      <c r="AG170" s="346"/>
      <c r="AH170" s="346"/>
      <c r="AI170" s="346"/>
      <c r="AJ170" s="346"/>
      <c r="AK170" s="346"/>
      <c r="AL170" s="346"/>
      <c r="AM170" s="346"/>
      <c r="AN170" s="346"/>
      <c r="AO170" s="346"/>
      <c r="AP170" s="346"/>
      <c r="AQ170" s="346"/>
      <c r="AR170" s="346"/>
      <c r="AS170" s="346"/>
      <c r="AT170" s="346"/>
      <c r="AU170" s="346"/>
      <c r="AV170">
        <f t="shared" si="17"/>
        <v>0</v>
      </c>
      <c r="AW170" s="351">
        <f t="shared" si="18"/>
        <v>0</v>
      </c>
    </row>
    <row r="171" spans="1:49">
      <c r="A171" s="165">
        <v>46112</v>
      </c>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f t="shared" si="17"/>
        <v>0</v>
      </c>
      <c r="AW171" s="351">
        <f t="shared" si="18"/>
        <v>0</v>
      </c>
    </row>
    <row r="172" spans="1:49">
      <c r="A172" s="165">
        <v>46112</v>
      </c>
      <c r="B172" s="346"/>
      <c r="C172" s="346"/>
      <c r="D172" s="346"/>
      <c r="E172" s="346"/>
      <c r="F172" s="346"/>
      <c r="G172" s="346"/>
      <c r="H172" s="346"/>
      <c r="I172" s="346"/>
      <c r="J172" s="346"/>
      <c r="K172" s="346"/>
      <c r="L172" s="346"/>
      <c r="M172" s="346"/>
      <c r="N172" s="346"/>
      <c r="O172" s="346"/>
      <c r="P172" s="346"/>
      <c r="Q172" s="346"/>
      <c r="R172" s="346"/>
      <c r="S172" s="346">
        <f>3+2+5</f>
        <v>10</v>
      </c>
      <c r="T172" s="346"/>
      <c r="U172" s="346"/>
      <c r="V172" s="346"/>
      <c r="W172" s="346"/>
      <c r="X172" s="346"/>
      <c r="Y172" s="346"/>
      <c r="Z172" s="346"/>
      <c r="AA172" s="346"/>
      <c r="AB172" s="346"/>
      <c r="AC172" s="346"/>
      <c r="AD172" s="346">
        <f>5</f>
        <v>5</v>
      </c>
      <c r="AE172" s="346"/>
      <c r="AF172" s="346"/>
      <c r="AG172" s="346"/>
      <c r="AH172" s="346"/>
      <c r="AI172" s="346"/>
      <c r="AJ172" s="346"/>
      <c r="AK172" s="346"/>
      <c r="AL172" s="346"/>
      <c r="AM172" s="346"/>
      <c r="AN172" s="346"/>
      <c r="AO172" s="346"/>
      <c r="AP172" s="346"/>
      <c r="AQ172" s="346"/>
      <c r="AR172" s="346"/>
      <c r="AS172" s="346"/>
      <c r="AT172" s="346"/>
      <c r="AU172" s="346"/>
      <c r="AV172">
        <f t="shared" si="17"/>
        <v>15</v>
      </c>
      <c r="AW172" s="351">
        <f t="shared" si="18"/>
        <v>1.8359853121175031E-2</v>
      </c>
    </row>
    <row r="173" spans="1:49">
      <c r="A173" s="165">
        <v>46112</v>
      </c>
      <c r="B173"/>
      <c r="C173"/>
      <c r="D173"/>
      <c r="E173"/>
      <c r="F173"/>
      <c r="G173"/>
      <c r="H173"/>
      <c r="I173"/>
      <c r="J173"/>
      <c r="K173"/>
      <c r="L173"/>
      <c r="M173"/>
      <c r="N173"/>
      <c r="O173"/>
      <c r="P173"/>
      <c r="Q173"/>
      <c r="R173"/>
      <c r="S173">
        <f>2+2</f>
        <v>4</v>
      </c>
      <c r="T173"/>
      <c r="U173"/>
      <c r="V173"/>
      <c r="W173"/>
      <c r="X173"/>
      <c r="Y173"/>
      <c r="Z173"/>
      <c r="AA173"/>
      <c r="AB173"/>
      <c r="AC173"/>
      <c r="AD173"/>
      <c r="AE173"/>
      <c r="AF173"/>
      <c r="AG173"/>
      <c r="AH173"/>
      <c r="AI173"/>
      <c r="AJ173"/>
      <c r="AK173"/>
      <c r="AL173"/>
      <c r="AM173"/>
      <c r="AN173"/>
      <c r="AO173"/>
      <c r="AP173"/>
      <c r="AQ173"/>
      <c r="AR173"/>
      <c r="AS173"/>
      <c r="AT173"/>
      <c r="AU173"/>
      <c r="AV173">
        <f t="shared" si="17"/>
        <v>4</v>
      </c>
      <c r="AW173" s="351">
        <f t="shared" si="18"/>
        <v>4.8959608323133411E-3</v>
      </c>
    </row>
    <row r="174" spans="1:49">
      <c r="A174" s="165"/>
      <c r="B174" s="346"/>
      <c r="C174" s="346"/>
      <c r="D174" s="346"/>
      <c r="E174" s="346"/>
      <c r="F174" s="346"/>
      <c r="G174" s="346"/>
      <c r="H174" s="346"/>
      <c r="I174" s="346"/>
      <c r="J174" s="346"/>
      <c r="K174" s="346"/>
      <c r="L174" s="346"/>
      <c r="M174" s="346"/>
      <c r="N174" s="346"/>
      <c r="O174" s="346"/>
      <c r="P174" s="346"/>
      <c r="Q174" s="346"/>
      <c r="R174" s="346"/>
      <c r="S174" s="346"/>
      <c r="T174" s="346"/>
      <c r="U174" s="346"/>
      <c r="V174" s="346"/>
      <c r="W174" s="346"/>
      <c r="X174" s="346"/>
      <c r="Y174" s="346"/>
      <c r="Z174" s="346"/>
      <c r="AA174" s="346"/>
      <c r="AB174" s="346"/>
      <c r="AC174" s="346"/>
      <c r="AD174" s="346"/>
      <c r="AE174" s="346"/>
      <c r="AF174" s="346"/>
      <c r="AG174" s="346"/>
      <c r="AH174" s="346"/>
      <c r="AI174" s="346"/>
      <c r="AJ174" s="346"/>
      <c r="AK174" s="346"/>
      <c r="AL174" s="346"/>
      <c r="AM174" s="346"/>
      <c r="AN174" s="346"/>
      <c r="AO174" s="346"/>
      <c r="AP174" s="346"/>
      <c r="AQ174" s="346"/>
      <c r="AR174" s="346"/>
      <c r="AS174" s="346"/>
      <c r="AT174" s="346"/>
      <c r="AU174" s="346"/>
      <c r="AV174">
        <f t="shared" si="17"/>
        <v>0</v>
      </c>
      <c r="AW174" s="351">
        <f t="shared" si="18"/>
        <v>0</v>
      </c>
    </row>
    <row r="175" spans="1:49">
      <c r="A175" s="16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f t="shared" si="17"/>
        <v>0</v>
      </c>
      <c r="AW175" s="351">
        <f t="shared" si="18"/>
        <v>0</v>
      </c>
    </row>
    <row r="176" spans="1:49">
      <c r="A176" s="165"/>
      <c r="B176" s="346"/>
      <c r="C176" s="346"/>
      <c r="D176" s="346"/>
      <c r="E176" s="346"/>
      <c r="F176" s="346"/>
      <c r="G176" s="346"/>
      <c r="H176" s="346"/>
      <c r="I176" s="346"/>
      <c r="J176" s="346"/>
      <c r="K176" s="346"/>
      <c r="L176" s="346"/>
      <c r="M176" s="346"/>
      <c r="N176" s="346"/>
      <c r="O176" s="346"/>
      <c r="P176" s="346"/>
      <c r="Q176" s="346"/>
      <c r="R176" s="346"/>
      <c r="S176" s="346"/>
      <c r="T176" s="346"/>
      <c r="U176" s="346"/>
      <c r="V176" s="346"/>
      <c r="W176" s="346"/>
      <c r="X176" s="346"/>
      <c r="Y176" s="346"/>
      <c r="Z176" s="346"/>
      <c r="AA176" s="346"/>
      <c r="AB176" s="346"/>
      <c r="AC176" s="346"/>
      <c r="AD176" s="346"/>
      <c r="AE176" s="346"/>
      <c r="AF176" s="346"/>
      <c r="AG176" s="346"/>
      <c r="AH176" s="346"/>
      <c r="AI176" s="346"/>
      <c r="AJ176" s="346"/>
      <c r="AK176" s="346"/>
      <c r="AL176" s="346"/>
      <c r="AM176" s="346"/>
      <c r="AN176" s="346"/>
      <c r="AO176" s="346"/>
      <c r="AP176" s="346"/>
      <c r="AQ176" s="346"/>
      <c r="AR176" s="346"/>
      <c r="AS176" s="346"/>
      <c r="AT176" s="346"/>
      <c r="AU176" s="346"/>
      <c r="AV176">
        <f t="shared" si="17"/>
        <v>0</v>
      </c>
      <c r="AW176" s="351">
        <f t="shared" si="18"/>
        <v>0</v>
      </c>
    </row>
    <row r="177" spans="1:49">
      <c r="A177" s="165"/>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f t="shared" si="17"/>
        <v>0</v>
      </c>
      <c r="AW177" s="351">
        <f t="shared" si="18"/>
        <v>0</v>
      </c>
    </row>
    <row r="178" spans="1:49">
      <c r="A178" s="165"/>
      <c r="B178" s="346"/>
      <c r="C178" s="346"/>
      <c r="D178" s="346"/>
      <c r="E178" s="346"/>
      <c r="F178" s="346"/>
      <c r="G178" s="346"/>
      <c r="H178" s="346"/>
      <c r="I178" s="346"/>
      <c r="J178" s="346"/>
      <c r="K178" s="346"/>
      <c r="L178" s="346"/>
      <c r="M178" s="346"/>
      <c r="N178" s="346"/>
      <c r="O178" s="346"/>
      <c r="P178" s="346"/>
      <c r="Q178" s="346"/>
      <c r="R178" s="346"/>
      <c r="S178" s="346"/>
      <c r="T178" s="346"/>
      <c r="U178" s="346"/>
      <c r="V178" s="346"/>
      <c r="W178" s="346"/>
      <c r="X178" s="346"/>
      <c r="Y178" s="346"/>
      <c r="Z178" s="346"/>
      <c r="AA178" s="346"/>
      <c r="AB178" s="346"/>
      <c r="AC178" s="346"/>
      <c r="AD178" s="346"/>
      <c r="AE178" s="346"/>
      <c r="AF178" s="346"/>
      <c r="AG178" s="346"/>
      <c r="AH178" s="346"/>
      <c r="AI178" s="346"/>
      <c r="AJ178" s="346"/>
      <c r="AK178" s="346"/>
      <c r="AL178" s="346"/>
      <c r="AM178" s="346"/>
      <c r="AN178" s="346"/>
      <c r="AO178" s="346"/>
      <c r="AP178" s="346"/>
      <c r="AQ178" s="346"/>
      <c r="AR178" s="346"/>
      <c r="AS178" s="346"/>
      <c r="AT178" s="346"/>
      <c r="AU178" s="346"/>
      <c r="AV178">
        <f t="shared" si="17"/>
        <v>0</v>
      </c>
      <c r="AW178" s="351">
        <f t="shared" si="18"/>
        <v>0</v>
      </c>
    </row>
    <row r="179" spans="1:49">
      <c r="A179" s="165"/>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f t="shared" si="17"/>
        <v>0</v>
      </c>
      <c r="AW179" s="351">
        <f t="shared" si="18"/>
        <v>0</v>
      </c>
    </row>
    <row r="180" spans="1:49">
      <c r="A180" s="165"/>
      <c r="B180" s="346"/>
      <c r="C180" s="346"/>
      <c r="D180" s="346"/>
      <c r="E180" s="346"/>
      <c r="F180" s="346"/>
      <c r="G180" s="346"/>
      <c r="H180" s="346"/>
      <c r="I180" s="346"/>
      <c r="J180" s="346"/>
      <c r="K180" s="346"/>
      <c r="L180" s="346"/>
      <c r="M180" s="346"/>
      <c r="N180" s="346"/>
      <c r="O180" s="346"/>
      <c r="P180" s="346"/>
      <c r="Q180" s="346"/>
      <c r="R180" s="346"/>
      <c r="S180" s="346"/>
      <c r="T180" s="346"/>
      <c r="U180" s="346"/>
      <c r="V180" s="346"/>
      <c r="W180" s="346"/>
      <c r="X180" s="346"/>
      <c r="Y180" s="346"/>
      <c r="Z180" s="346"/>
      <c r="AA180" s="346"/>
      <c r="AB180" s="346"/>
      <c r="AC180" s="346"/>
      <c r="AD180" s="346"/>
      <c r="AE180" s="346"/>
      <c r="AF180" s="346"/>
      <c r="AG180" s="346"/>
      <c r="AH180" s="346"/>
      <c r="AI180" s="346"/>
      <c r="AJ180" s="346"/>
      <c r="AK180" s="346"/>
      <c r="AL180" s="346"/>
      <c r="AM180" s="346"/>
      <c r="AN180" s="346"/>
      <c r="AO180" s="346"/>
      <c r="AP180" s="346"/>
      <c r="AQ180" s="346"/>
      <c r="AR180" s="346"/>
      <c r="AS180" s="346"/>
      <c r="AT180" s="346"/>
      <c r="AU180" s="346"/>
      <c r="AV180">
        <f t="shared" si="17"/>
        <v>0</v>
      </c>
      <c r="AW180" s="351">
        <f t="shared" si="18"/>
        <v>0</v>
      </c>
    </row>
    <row r="181" spans="1:49" ht="15">
      <c r="A181" s="347" t="s">
        <v>113</v>
      </c>
      <c r="B181" s="347">
        <f>SUM(B124:B180)</f>
        <v>0</v>
      </c>
      <c r="C181" s="347">
        <f>SUM(C124:C180)</f>
        <v>0</v>
      </c>
      <c r="D181" s="347">
        <f t="shared" ref="D181:AD181" si="19">SUM(D124:D180)</f>
        <v>0</v>
      </c>
      <c r="E181" s="347">
        <f t="shared" si="19"/>
        <v>0</v>
      </c>
      <c r="F181" s="347">
        <f t="shared" si="19"/>
        <v>5</v>
      </c>
      <c r="G181" s="347">
        <f t="shared" si="19"/>
        <v>9</v>
      </c>
      <c r="H181" s="347">
        <f t="shared" si="19"/>
        <v>113</v>
      </c>
      <c r="I181" s="347">
        <f t="shared" si="19"/>
        <v>0</v>
      </c>
      <c r="J181" s="347">
        <f t="shared" si="19"/>
        <v>1</v>
      </c>
      <c r="K181" s="347">
        <f t="shared" si="19"/>
        <v>0</v>
      </c>
      <c r="L181" s="347">
        <f t="shared" si="19"/>
        <v>0</v>
      </c>
      <c r="M181" s="347">
        <f t="shared" si="19"/>
        <v>45</v>
      </c>
      <c r="N181" s="347">
        <f t="shared" si="19"/>
        <v>4</v>
      </c>
      <c r="O181" s="347">
        <f t="shared" si="19"/>
        <v>0</v>
      </c>
      <c r="P181" s="347">
        <f t="shared" si="19"/>
        <v>0</v>
      </c>
      <c r="Q181" s="347">
        <f t="shared" si="19"/>
        <v>0</v>
      </c>
      <c r="R181" s="347">
        <f t="shared" si="19"/>
        <v>40</v>
      </c>
      <c r="S181" s="347">
        <f t="shared" si="19"/>
        <v>215</v>
      </c>
      <c r="T181" s="347">
        <f t="shared" si="19"/>
        <v>0</v>
      </c>
      <c r="U181" s="347">
        <f t="shared" si="19"/>
        <v>0</v>
      </c>
      <c r="V181" s="347">
        <f t="shared" si="19"/>
        <v>31</v>
      </c>
      <c r="W181" s="347">
        <f t="shared" si="19"/>
        <v>28</v>
      </c>
      <c r="X181" s="347">
        <f t="shared" si="19"/>
        <v>6</v>
      </c>
      <c r="Y181" s="347">
        <f t="shared" si="19"/>
        <v>1</v>
      </c>
      <c r="Z181" s="347">
        <f t="shared" si="19"/>
        <v>0</v>
      </c>
      <c r="AA181" s="347">
        <f t="shared" si="19"/>
        <v>0</v>
      </c>
      <c r="AB181" s="347">
        <f t="shared" si="19"/>
        <v>0</v>
      </c>
      <c r="AC181" s="347">
        <f t="shared" si="19"/>
        <v>251</v>
      </c>
      <c r="AD181" s="347">
        <f t="shared" si="19"/>
        <v>49</v>
      </c>
      <c r="AE181" s="347">
        <f t="shared" ref="AE181:AV181" si="20">SUM(AE124:AE180)</f>
        <v>0</v>
      </c>
      <c r="AF181" s="347">
        <f t="shared" si="20"/>
        <v>0</v>
      </c>
      <c r="AG181" s="347">
        <f t="shared" si="20"/>
        <v>0</v>
      </c>
      <c r="AH181" s="347">
        <f t="shared" si="20"/>
        <v>0</v>
      </c>
      <c r="AI181" s="347">
        <f t="shared" si="20"/>
        <v>0</v>
      </c>
      <c r="AJ181" s="347">
        <f t="shared" si="20"/>
        <v>10</v>
      </c>
      <c r="AK181" s="347">
        <f t="shared" si="20"/>
        <v>0</v>
      </c>
      <c r="AL181" s="347">
        <f t="shared" si="20"/>
        <v>0</v>
      </c>
      <c r="AM181" s="347">
        <f t="shared" si="20"/>
        <v>0</v>
      </c>
      <c r="AN181" s="347">
        <f t="shared" si="20"/>
        <v>0</v>
      </c>
      <c r="AO181" s="347">
        <f t="shared" si="20"/>
        <v>0</v>
      </c>
      <c r="AP181" s="347">
        <f t="shared" si="20"/>
        <v>0</v>
      </c>
      <c r="AQ181" s="347">
        <f t="shared" si="20"/>
        <v>0</v>
      </c>
      <c r="AR181" s="347">
        <f t="shared" si="20"/>
        <v>0</v>
      </c>
      <c r="AS181" s="347">
        <f t="shared" si="20"/>
        <v>0</v>
      </c>
      <c r="AT181" s="347">
        <f t="shared" si="20"/>
        <v>0</v>
      </c>
      <c r="AU181" s="347">
        <f t="shared" si="20"/>
        <v>9</v>
      </c>
      <c r="AV181" s="347">
        <f t="shared" si="20"/>
        <v>817</v>
      </c>
      <c r="AW181" s="352"/>
    </row>
    <row r="182" spans="1:49" ht="15.75" thickBot="1">
      <c r="A182" s="348" t="s">
        <v>174</v>
      </c>
      <c r="B182" s="348">
        <f t="shared" ref="B182:AU182" si="21">B181/$AV181</f>
        <v>0</v>
      </c>
      <c r="C182" s="348">
        <f t="shared" si="21"/>
        <v>0</v>
      </c>
      <c r="D182" s="348">
        <f t="shared" si="21"/>
        <v>0</v>
      </c>
      <c r="E182" s="348">
        <f t="shared" si="21"/>
        <v>0</v>
      </c>
      <c r="F182" s="348">
        <f t="shared" si="21"/>
        <v>6.1199510403916772E-3</v>
      </c>
      <c r="G182" s="348">
        <f t="shared" si="21"/>
        <v>1.1015911872705019E-2</v>
      </c>
      <c r="H182" s="348">
        <f t="shared" si="21"/>
        <v>0.13831089351285189</v>
      </c>
      <c r="I182" s="348">
        <f t="shared" si="21"/>
        <v>0</v>
      </c>
      <c r="J182" s="348">
        <f t="shared" si="21"/>
        <v>1.2239902080783353E-3</v>
      </c>
      <c r="K182" s="348">
        <f t="shared" si="21"/>
        <v>0</v>
      </c>
      <c r="L182" s="348">
        <f t="shared" si="21"/>
        <v>0</v>
      </c>
      <c r="M182" s="348">
        <f t="shared" si="21"/>
        <v>5.5079559363525092E-2</v>
      </c>
      <c r="N182" s="348">
        <f t="shared" si="21"/>
        <v>4.8959608323133411E-3</v>
      </c>
      <c r="O182" s="348">
        <f t="shared" si="21"/>
        <v>0</v>
      </c>
      <c r="P182" s="348">
        <f t="shared" si="21"/>
        <v>0</v>
      </c>
      <c r="Q182" s="348">
        <f t="shared" si="21"/>
        <v>0</v>
      </c>
      <c r="R182" s="348">
        <f t="shared" si="21"/>
        <v>4.8959608323133418E-2</v>
      </c>
      <c r="S182" s="348">
        <f t="shared" si="21"/>
        <v>0.26315789473684209</v>
      </c>
      <c r="T182" s="348">
        <f t="shared" si="21"/>
        <v>0</v>
      </c>
      <c r="U182" s="348">
        <f t="shared" si="21"/>
        <v>0</v>
      </c>
      <c r="V182" s="348">
        <f t="shared" si="21"/>
        <v>3.7943696450428395E-2</v>
      </c>
      <c r="W182" s="348">
        <f t="shared" si="21"/>
        <v>3.4271725826193387E-2</v>
      </c>
      <c r="X182" s="348">
        <f t="shared" si="21"/>
        <v>7.3439412484700125E-3</v>
      </c>
      <c r="Y182" s="348">
        <f t="shared" si="21"/>
        <v>1.2239902080783353E-3</v>
      </c>
      <c r="Z182" s="348">
        <f t="shared" si="21"/>
        <v>0</v>
      </c>
      <c r="AA182" s="348">
        <f t="shared" si="21"/>
        <v>0</v>
      </c>
      <c r="AB182" s="348">
        <f t="shared" si="21"/>
        <v>0</v>
      </c>
      <c r="AC182" s="348">
        <f t="shared" si="21"/>
        <v>0.30722154222766218</v>
      </c>
      <c r="AD182" s="348">
        <f t="shared" si="21"/>
        <v>5.9975520195838433E-2</v>
      </c>
      <c r="AE182" s="348">
        <f t="shared" si="21"/>
        <v>0</v>
      </c>
      <c r="AF182" s="348">
        <f t="shared" si="21"/>
        <v>0</v>
      </c>
      <c r="AG182" s="348">
        <f t="shared" si="21"/>
        <v>0</v>
      </c>
      <c r="AH182" s="348">
        <f t="shared" si="21"/>
        <v>0</v>
      </c>
      <c r="AI182" s="348">
        <f t="shared" si="21"/>
        <v>0</v>
      </c>
      <c r="AJ182" s="348">
        <f t="shared" si="21"/>
        <v>1.2239902080783354E-2</v>
      </c>
      <c r="AK182" s="348">
        <f t="shared" si="21"/>
        <v>0</v>
      </c>
      <c r="AL182" s="348">
        <f t="shared" si="21"/>
        <v>0</v>
      </c>
      <c r="AM182" s="348">
        <f t="shared" si="21"/>
        <v>0</v>
      </c>
      <c r="AN182" s="348">
        <f t="shared" si="21"/>
        <v>0</v>
      </c>
      <c r="AO182" s="348">
        <f t="shared" si="21"/>
        <v>0</v>
      </c>
      <c r="AP182" s="348">
        <f t="shared" si="21"/>
        <v>0</v>
      </c>
      <c r="AQ182" s="348">
        <f t="shared" si="21"/>
        <v>0</v>
      </c>
      <c r="AR182" s="348">
        <f t="shared" si="21"/>
        <v>0</v>
      </c>
      <c r="AS182" s="348">
        <f t="shared" si="21"/>
        <v>0</v>
      </c>
      <c r="AT182" s="348">
        <f t="shared" si="21"/>
        <v>0</v>
      </c>
      <c r="AU182" s="348">
        <f t="shared" si="21"/>
        <v>1.1015911872705019E-2</v>
      </c>
      <c r="AV182"/>
      <c r="AW182" s="351"/>
    </row>
    <row r="183" spans="1:49">
      <c r="A183" s="354"/>
    </row>
    <row r="184" spans="1:49">
      <c r="A184" s="355"/>
    </row>
    <row r="185" spans="1:49">
      <c r="A185" s="355"/>
    </row>
    <row r="186" spans="1:49">
      <c r="A186" s="355"/>
      <c r="W186" s="356"/>
    </row>
    <row r="187" spans="1:49">
      <c r="A187" s="165">
        <v>46113</v>
      </c>
      <c r="B187" s="346"/>
      <c r="C187" s="346"/>
      <c r="D187" s="346"/>
      <c r="E187" s="346"/>
      <c r="F187" s="346"/>
      <c r="G187" s="346"/>
      <c r="H187" s="346"/>
      <c r="I187" s="346"/>
      <c r="J187" s="346"/>
      <c r="K187" s="346"/>
      <c r="L187" s="346"/>
      <c r="M187" s="346"/>
      <c r="N187" s="346"/>
      <c r="O187" s="346"/>
      <c r="P187" s="346"/>
      <c r="Q187" s="346"/>
      <c r="R187" s="346"/>
      <c r="S187" s="346"/>
      <c r="T187" s="346">
        <f>3+1+2+2+2+1+2</f>
        <v>13</v>
      </c>
      <c r="U187" s="346"/>
      <c r="V187" s="346"/>
      <c r="W187" s="346"/>
      <c r="X187" s="346"/>
      <c r="Y187" s="346"/>
      <c r="Z187" s="346"/>
      <c r="AA187" s="346"/>
      <c r="AB187" s="346"/>
      <c r="AC187" s="346"/>
      <c r="AD187" s="346"/>
      <c r="AE187" s="346"/>
      <c r="AF187" s="346"/>
      <c r="AG187" s="346"/>
      <c r="AH187" s="346"/>
      <c r="AI187" s="346"/>
      <c r="AJ187" s="346"/>
      <c r="AK187" s="346"/>
      <c r="AL187" s="346"/>
      <c r="AM187" s="346"/>
      <c r="AN187" s="346"/>
      <c r="AO187" s="346"/>
      <c r="AP187" s="346"/>
      <c r="AQ187" s="346"/>
      <c r="AR187" s="346"/>
      <c r="AS187" s="346"/>
      <c r="AT187" s="346"/>
      <c r="AU187" s="346"/>
      <c r="AV187">
        <f t="shared" ref="AV187:AV218" si="22">SUM(B187:AU187)</f>
        <v>13</v>
      </c>
      <c r="AW187" s="351">
        <f t="shared" ref="AW187:AW214" si="23">AV187/$AV$243</f>
        <v>7.5801749271137029E-3</v>
      </c>
    </row>
    <row r="188" spans="1:49">
      <c r="A188" s="165">
        <v>46113</v>
      </c>
      <c r="B188"/>
      <c r="C188"/>
      <c r="D188"/>
      <c r="E188"/>
      <c r="F188"/>
      <c r="G188"/>
      <c r="H188"/>
      <c r="I188"/>
      <c r="J188"/>
      <c r="K188"/>
      <c r="L188"/>
      <c r="M188"/>
      <c r="N188"/>
      <c r="O188"/>
      <c r="P188"/>
      <c r="Q188"/>
      <c r="R188"/>
      <c r="S188"/>
      <c r="T188">
        <f>2+2+1+1</f>
        <v>6</v>
      </c>
      <c r="U188"/>
      <c r="V188"/>
      <c r="W188"/>
      <c r="X188"/>
      <c r="Y188"/>
      <c r="Z188"/>
      <c r="AA188"/>
      <c r="AB188"/>
      <c r="AC188"/>
      <c r="AD188"/>
      <c r="AE188"/>
      <c r="AF188"/>
      <c r="AG188"/>
      <c r="AH188"/>
      <c r="AI188"/>
      <c r="AJ188"/>
      <c r="AK188"/>
      <c r="AL188"/>
      <c r="AM188"/>
      <c r="AN188"/>
      <c r="AO188"/>
      <c r="AP188"/>
      <c r="AQ188"/>
      <c r="AR188"/>
      <c r="AS188"/>
      <c r="AT188"/>
      <c r="AU188"/>
      <c r="AV188">
        <f t="shared" si="22"/>
        <v>6</v>
      </c>
      <c r="AW188" s="351">
        <f t="shared" si="23"/>
        <v>3.4985422740524781E-3</v>
      </c>
    </row>
    <row r="189" spans="1:49">
      <c r="A189" s="165">
        <v>46113</v>
      </c>
      <c r="B189" s="346"/>
      <c r="C189" s="346"/>
      <c r="D189" s="346"/>
      <c r="E189" s="346"/>
      <c r="F189" s="346"/>
      <c r="G189" s="346"/>
      <c r="H189" s="346"/>
      <c r="I189" s="346"/>
      <c r="J189" s="346"/>
      <c r="K189" s="346"/>
      <c r="L189" s="346"/>
      <c r="M189" s="346"/>
      <c r="N189" s="346"/>
      <c r="O189" s="346"/>
      <c r="P189" s="346"/>
      <c r="Q189" s="346"/>
      <c r="R189" s="346"/>
      <c r="S189" s="346"/>
      <c r="T189" s="346"/>
      <c r="U189" s="346"/>
      <c r="V189" s="346"/>
      <c r="W189" s="346"/>
      <c r="X189" s="346"/>
      <c r="Y189" s="346"/>
      <c r="Z189" s="346"/>
      <c r="AA189" s="346"/>
      <c r="AB189" s="346"/>
      <c r="AC189" s="346"/>
      <c r="AD189" s="346"/>
      <c r="AE189" s="346"/>
      <c r="AF189" s="346"/>
      <c r="AG189" s="346"/>
      <c r="AH189" s="346"/>
      <c r="AI189" s="346"/>
      <c r="AJ189" s="346"/>
      <c r="AK189" s="346"/>
      <c r="AL189" s="346"/>
      <c r="AM189" s="346"/>
      <c r="AN189" s="346"/>
      <c r="AO189" s="346"/>
      <c r="AP189" s="346"/>
      <c r="AQ189" s="346"/>
      <c r="AR189" s="346"/>
      <c r="AS189" s="346"/>
      <c r="AT189" s="346"/>
      <c r="AU189" s="346"/>
      <c r="AV189">
        <f t="shared" si="22"/>
        <v>0</v>
      </c>
      <c r="AW189" s="351">
        <f t="shared" si="23"/>
        <v>0</v>
      </c>
    </row>
    <row r="190" spans="1:49">
      <c r="A190" s="165">
        <v>46114</v>
      </c>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c r="AK190"/>
      <c r="AL190"/>
      <c r="AM190"/>
      <c r="AN190"/>
      <c r="AO190"/>
      <c r="AP190"/>
      <c r="AQ190"/>
      <c r="AR190"/>
      <c r="AS190"/>
      <c r="AT190"/>
      <c r="AU190"/>
      <c r="AV190">
        <f t="shared" si="22"/>
        <v>0</v>
      </c>
      <c r="AW190" s="351">
        <f t="shared" si="23"/>
        <v>0</v>
      </c>
    </row>
    <row r="191" spans="1:49">
      <c r="A191" s="165">
        <v>46114</v>
      </c>
      <c r="B191" s="346"/>
      <c r="C191" s="346"/>
      <c r="D191" s="346"/>
      <c r="E191" s="346"/>
      <c r="F191" s="346"/>
      <c r="G191" s="346"/>
      <c r="H191" s="346"/>
      <c r="I191" s="346"/>
      <c r="J191" s="346"/>
      <c r="K191" s="346"/>
      <c r="L191" s="346"/>
      <c r="M191" s="346"/>
      <c r="N191" s="346"/>
      <c r="O191" s="346"/>
      <c r="P191" s="346"/>
      <c r="Q191" s="346"/>
      <c r="R191" s="346">
        <f>3</f>
        <v>3</v>
      </c>
      <c r="S191" s="346">
        <f>1+1+2+2</f>
        <v>6</v>
      </c>
      <c r="T191" s="346"/>
      <c r="U191" s="346"/>
      <c r="V191" s="346"/>
      <c r="W191" s="346"/>
      <c r="X191" s="346"/>
      <c r="Y191" s="346"/>
      <c r="Z191" s="346"/>
      <c r="AA191" s="346"/>
      <c r="AB191" s="346"/>
      <c r="AC191" s="346"/>
      <c r="AD191" s="346"/>
      <c r="AE191" s="346"/>
      <c r="AF191" s="346"/>
      <c r="AG191" s="346"/>
      <c r="AH191" s="346"/>
      <c r="AI191" s="346"/>
      <c r="AJ191" s="346"/>
      <c r="AK191" s="346"/>
      <c r="AL191" s="346"/>
      <c r="AM191" s="346"/>
      <c r="AN191" s="346"/>
      <c r="AO191" s="346"/>
      <c r="AP191" s="346"/>
      <c r="AQ191" s="346"/>
      <c r="AR191" s="346"/>
      <c r="AS191" s="346"/>
      <c r="AT191" s="346"/>
      <c r="AU191" s="346"/>
      <c r="AV191">
        <f t="shared" si="22"/>
        <v>9</v>
      </c>
      <c r="AW191" s="351">
        <f t="shared" si="23"/>
        <v>5.2478134110787176E-3</v>
      </c>
    </row>
    <row r="192" spans="1:49">
      <c r="A192" s="165">
        <v>46119</v>
      </c>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c r="AK192"/>
      <c r="AL192"/>
      <c r="AM192"/>
      <c r="AN192"/>
      <c r="AO192"/>
      <c r="AP192"/>
      <c r="AQ192"/>
      <c r="AR192"/>
      <c r="AS192"/>
      <c r="AT192"/>
      <c r="AU192"/>
      <c r="AV192">
        <f t="shared" si="22"/>
        <v>0</v>
      </c>
      <c r="AW192" s="351">
        <f t="shared" si="23"/>
        <v>0</v>
      </c>
    </row>
    <row r="193" spans="1:49">
      <c r="A193" s="165">
        <v>46119</v>
      </c>
      <c r="B193" s="346"/>
      <c r="C193" s="346"/>
      <c r="D193" s="346"/>
      <c r="E193" s="346"/>
      <c r="F193" s="346"/>
      <c r="G193" s="346"/>
      <c r="H193" s="346"/>
      <c r="I193" s="346"/>
      <c r="J193" s="346"/>
      <c r="K193" s="346"/>
      <c r="L193" s="346"/>
      <c r="M193" s="346"/>
      <c r="N193" s="346"/>
      <c r="O193" s="346"/>
      <c r="P193" s="346"/>
      <c r="Q193" s="346"/>
      <c r="R193" s="346"/>
      <c r="S193" s="346"/>
      <c r="T193" s="346"/>
      <c r="U193" s="346"/>
      <c r="V193" s="346"/>
      <c r="W193" s="346"/>
      <c r="X193" s="346"/>
      <c r="Y193" s="346"/>
      <c r="Z193" s="346"/>
      <c r="AA193" s="346"/>
      <c r="AB193" s="346"/>
      <c r="AC193" s="346"/>
      <c r="AD193" s="346"/>
      <c r="AE193" s="346"/>
      <c r="AF193" s="346"/>
      <c r="AG193" s="346"/>
      <c r="AH193" s="346"/>
      <c r="AI193" s="346"/>
      <c r="AJ193" s="346"/>
      <c r="AK193" s="346"/>
      <c r="AL193" s="346"/>
      <c r="AM193" s="346"/>
      <c r="AN193" s="346"/>
      <c r="AO193" s="346"/>
      <c r="AP193" s="346"/>
      <c r="AQ193" s="346"/>
      <c r="AR193" s="346"/>
      <c r="AS193" s="346"/>
      <c r="AT193" s="346"/>
      <c r="AU193" s="346"/>
      <c r="AV193">
        <f t="shared" si="22"/>
        <v>0</v>
      </c>
      <c r="AW193" s="351">
        <f t="shared" si="23"/>
        <v>0</v>
      </c>
    </row>
    <row r="194" spans="1:49">
      <c r="A194" s="165">
        <v>46120</v>
      </c>
      <c r="B194"/>
      <c r="C194"/>
      <c r="D194"/>
      <c r="E194"/>
      <c r="F194"/>
      <c r="G194"/>
      <c r="H194"/>
      <c r="I194"/>
      <c r="J194"/>
      <c r="K194"/>
      <c r="L194"/>
      <c r="M194"/>
      <c r="N194"/>
      <c r="O194"/>
      <c r="P194"/>
      <c r="Q194"/>
      <c r="R194">
        <v>3</v>
      </c>
      <c r="S194">
        <f>2+2+2+2+2</f>
        <v>10</v>
      </c>
      <c r="T194"/>
      <c r="U194"/>
      <c r="V194"/>
      <c r="W194"/>
      <c r="X194"/>
      <c r="Y194"/>
      <c r="Z194"/>
      <c r="AA194"/>
      <c r="AB194"/>
      <c r="AC194"/>
      <c r="AD194"/>
      <c r="AE194"/>
      <c r="AF194"/>
      <c r="AG194"/>
      <c r="AH194"/>
      <c r="AI194"/>
      <c r="AJ194"/>
      <c r="AK194"/>
      <c r="AL194"/>
      <c r="AM194"/>
      <c r="AN194"/>
      <c r="AO194"/>
      <c r="AP194"/>
      <c r="AQ194"/>
      <c r="AR194"/>
      <c r="AS194"/>
      <c r="AT194"/>
      <c r="AU194"/>
      <c r="AV194">
        <f t="shared" si="22"/>
        <v>13</v>
      </c>
      <c r="AW194" s="351">
        <f t="shared" si="23"/>
        <v>7.5801749271137029E-3</v>
      </c>
    </row>
    <row r="195" spans="1:49">
      <c r="A195" s="165">
        <v>46120</v>
      </c>
      <c r="B195" s="346"/>
      <c r="C195" s="346"/>
      <c r="D195" s="346"/>
      <c r="E195" s="346"/>
      <c r="F195" s="346"/>
      <c r="G195" s="346"/>
      <c r="H195" s="346"/>
      <c r="I195" s="346"/>
      <c r="J195" s="346"/>
      <c r="K195" s="346"/>
      <c r="L195" s="346"/>
      <c r="M195" s="346"/>
      <c r="N195" s="346"/>
      <c r="O195" s="346"/>
      <c r="P195" s="346"/>
      <c r="Q195" s="346"/>
      <c r="R195" s="346"/>
      <c r="S195" s="346"/>
      <c r="T195" s="346"/>
      <c r="U195" s="346"/>
      <c r="V195" s="346"/>
      <c r="W195" s="346"/>
      <c r="X195" s="346"/>
      <c r="Y195" s="346"/>
      <c r="Z195" s="346"/>
      <c r="AA195" s="346"/>
      <c r="AB195" s="346"/>
      <c r="AC195" s="346"/>
      <c r="AD195" s="346"/>
      <c r="AE195" s="346"/>
      <c r="AF195" s="346"/>
      <c r="AG195" s="346"/>
      <c r="AH195" s="346"/>
      <c r="AI195" s="346"/>
      <c r="AJ195" s="346"/>
      <c r="AK195" s="346"/>
      <c r="AL195" s="346"/>
      <c r="AM195" s="346"/>
      <c r="AN195" s="346"/>
      <c r="AO195" s="346"/>
      <c r="AP195" s="346"/>
      <c r="AQ195" s="346"/>
      <c r="AR195" s="346"/>
      <c r="AS195" s="346"/>
      <c r="AT195" s="346"/>
      <c r="AU195" s="346"/>
      <c r="AV195">
        <f t="shared" si="22"/>
        <v>0</v>
      </c>
      <c r="AW195" s="351">
        <f t="shared" si="23"/>
        <v>0</v>
      </c>
    </row>
    <row r="196" spans="1:49">
      <c r="A196" s="165">
        <v>46121</v>
      </c>
      <c r="B196"/>
      <c r="C196"/>
      <c r="D196"/>
      <c r="E196"/>
      <c r="F196">
        <v>3</v>
      </c>
      <c r="G196"/>
      <c r="H196"/>
      <c r="I196"/>
      <c r="J196"/>
      <c r="K196"/>
      <c r="L196"/>
      <c r="M196"/>
      <c r="N196"/>
      <c r="O196"/>
      <c r="P196"/>
      <c r="Q196"/>
      <c r="R196"/>
      <c r="S196">
        <f>3+2+2+2+3+3+3</f>
        <v>18</v>
      </c>
      <c r="T196"/>
      <c r="U196"/>
      <c r="V196"/>
      <c r="W196"/>
      <c r="X196"/>
      <c r="Y196"/>
      <c r="Z196"/>
      <c r="AA196"/>
      <c r="AB196"/>
      <c r="AC196"/>
      <c r="AD196"/>
      <c r="AE196"/>
      <c r="AF196"/>
      <c r="AG196"/>
      <c r="AH196"/>
      <c r="AI196"/>
      <c r="AJ196"/>
      <c r="AK196"/>
      <c r="AL196"/>
      <c r="AM196"/>
      <c r="AN196"/>
      <c r="AO196"/>
      <c r="AP196"/>
      <c r="AQ196"/>
      <c r="AR196"/>
      <c r="AS196"/>
      <c r="AT196"/>
      <c r="AU196"/>
      <c r="AV196">
        <f t="shared" si="22"/>
        <v>21</v>
      </c>
      <c r="AW196" s="351">
        <f t="shared" si="23"/>
        <v>1.2244897959183673E-2</v>
      </c>
    </row>
    <row r="197" spans="1:49">
      <c r="A197" s="165">
        <v>46122</v>
      </c>
      <c r="B197" s="346"/>
      <c r="C197" s="346"/>
      <c r="D197" s="346"/>
      <c r="E197" s="346"/>
      <c r="F197" s="346"/>
      <c r="G197" s="346"/>
      <c r="H197" s="346"/>
      <c r="I197" s="346"/>
      <c r="J197" s="346"/>
      <c r="K197" s="346"/>
      <c r="L197" s="346"/>
      <c r="M197" s="346"/>
      <c r="N197" s="346"/>
      <c r="O197" s="346"/>
      <c r="P197" s="346"/>
      <c r="Q197" s="346"/>
      <c r="R197" s="346"/>
      <c r="S197" s="346">
        <f>2+2+2+2+3+4+3</f>
        <v>18</v>
      </c>
      <c r="T197" s="346"/>
      <c r="U197" s="346"/>
      <c r="V197" s="346"/>
      <c r="W197" s="346"/>
      <c r="X197" s="346"/>
      <c r="Y197" s="346"/>
      <c r="Z197" s="346"/>
      <c r="AA197" s="346"/>
      <c r="AB197" s="346"/>
      <c r="AC197" s="346"/>
      <c r="AD197" s="346"/>
      <c r="AE197" s="346"/>
      <c r="AF197" s="346"/>
      <c r="AG197" s="346"/>
      <c r="AH197" s="346"/>
      <c r="AI197" s="346">
        <f>3</f>
        <v>3</v>
      </c>
      <c r="AJ197" s="346"/>
      <c r="AK197" s="346"/>
      <c r="AL197" s="346"/>
      <c r="AM197" s="346"/>
      <c r="AN197" s="346"/>
      <c r="AO197" s="346"/>
      <c r="AP197" s="346"/>
      <c r="AQ197" s="346"/>
      <c r="AR197" s="346"/>
      <c r="AS197" s="346"/>
      <c r="AT197" s="346"/>
      <c r="AU197" s="346"/>
      <c r="AV197">
        <f t="shared" si="22"/>
        <v>21</v>
      </c>
      <c r="AW197" s="351">
        <f t="shared" si="23"/>
        <v>1.2244897959183673E-2</v>
      </c>
    </row>
    <row r="198" spans="1:49">
      <c r="A198" s="165">
        <v>46125</v>
      </c>
      <c r="B198"/>
      <c r="C198"/>
      <c r="D198"/>
      <c r="E198"/>
      <c r="F198"/>
      <c r="G198"/>
      <c r="H198"/>
      <c r="I198"/>
      <c r="J198"/>
      <c r="K198"/>
      <c r="L198"/>
      <c r="M198"/>
      <c r="N198"/>
      <c r="O198">
        <f>3+3</f>
        <v>6</v>
      </c>
      <c r="P198"/>
      <c r="Q198"/>
      <c r="R198">
        <f>5+3+2</f>
        <v>10</v>
      </c>
      <c r="S198">
        <f>2+2+2</f>
        <v>6</v>
      </c>
      <c r="T198"/>
      <c r="U198"/>
      <c r="V198"/>
      <c r="W198"/>
      <c r="X198"/>
      <c r="Y198"/>
      <c r="Z198"/>
      <c r="AA198"/>
      <c r="AB198"/>
      <c r="AC198"/>
      <c r="AD198"/>
      <c r="AE198"/>
      <c r="AF198"/>
      <c r="AG198"/>
      <c r="AH198"/>
      <c r="AI198"/>
      <c r="AJ198"/>
      <c r="AK198"/>
      <c r="AL198"/>
      <c r="AM198"/>
      <c r="AN198"/>
      <c r="AO198"/>
      <c r="AP198"/>
      <c r="AQ198"/>
      <c r="AR198"/>
      <c r="AS198"/>
      <c r="AT198"/>
      <c r="AU198"/>
      <c r="AV198">
        <f t="shared" si="22"/>
        <v>22</v>
      </c>
      <c r="AW198" s="351">
        <f t="shared" si="23"/>
        <v>1.282798833819242E-2</v>
      </c>
    </row>
    <row r="199" spans="1:49">
      <c r="A199" s="165">
        <v>46125</v>
      </c>
      <c r="B199" s="346"/>
      <c r="C199" s="346"/>
      <c r="D199" s="346"/>
      <c r="E199" s="346"/>
      <c r="F199" s="346"/>
      <c r="G199" s="346"/>
      <c r="H199" s="346"/>
      <c r="I199" s="346"/>
      <c r="J199" s="346"/>
      <c r="K199" s="346"/>
      <c r="L199" s="346"/>
      <c r="M199" s="346"/>
      <c r="N199" s="346"/>
      <c r="O199" s="346"/>
      <c r="P199" s="346"/>
      <c r="Q199" s="346"/>
      <c r="R199" s="346"/>
      <c r="S199" s="346">
        <f>2+3+2</f>
        <v>7</v>
      </c>
      <c r="T199" s="346"/>
      <c r="U199" s="346"/>
      <c r="V199" s="346"/>
      <c r="W199" s="346"/>
      <c r="X199" s="346">
        <f>7</f>
        <v>7</v>
      </c>
      <c r="Y199" s="346"/>
      <c r="Z199" s="346"/>
      <c r="AA199" s="346"/>
      <c r="AB199" s="346"/>
      <c r="AC199" s="346"/>
      <c r="AD199" s="346"/>
      <c r="AE199" s="346"/>
      <c r="AF199" s="346"/>
      <c r="AG199" s="346"/>
      <c r="AH199" s="346"/>
      <c r="AI199" s="346"/>
      <c r="AJ199" s="346"/>
      <c r="AK199" s="346"/>
      <c r="AL199" s="346"/>
      <c r="AM199" s="346"/>
      <c r="AN199" s="346"/>
      <c r="AO199" s="346"/>
      <c r="AP199" s="346"/>
      <c r="AQ199" s="346"/>
      <c r="AR199" s="346"/>
      <c r="AS199" s="346"/>
      <c r="AT199" s="346"/>
      <c r="AU199" s="346"/>
      <c r="AV199">
        <f t="shared" si="22"/>
        <v>14</v>
      </c>
      <c r="AW199" s="351">
        <f t="shared" si="23"/>
        <v>8.1632653061224497E-3</v>
      </c>
    </row>
    <row r="200" spans="1:49">
      <c r="A200" s="165">
        <v>46126</v>
      </c>
      <c r="B200"/>
      <c r="C200"/>
      <c r="D200"/>
      <c r="E200"/>
      <c r="F200"/>
      <c r="G200"/>
      <c r="H200"/>
      <c r="I200"/>
      <c r="J200"/>
      <c r="K200"/>
      <c r="L200"/>
      <c r="M200"/>
      <c r="N200"/>
      <c r="O200"/>
      <c r="P200"/>
      <c r="Q200"/>
      <c r="R200">
        <f>2</f>
        <v>2</v>
      </c>
      <c r="S200">
        <f>2+2</f>
        <v>4</v>
      </c>
      <c r="T200"/>
      <c r="U200"/>
      <c r="V200"/>
      <c r="W200"/>
      <c r="X200"/>
      <c r="Y200"/>
      <c r="Z200"/>
      <c r="AA200"/>
      <c r="AB200"/>
      <c r="AC200"/>
      <c r="AD200"/>
      <c r="AE200"/>
      <c r="AF200">
        <f>2</f>
        <v>2</v>
      </c>
      <c r="AG200"/>
      <c r="AH200"/>
      <c r="AI200"/>
      <c r="AJ200"/>
      <c r="AK200"/>
      <c r="AL200"/>
      <c r="AM200"/>
      <c r="AN200"/>
      <c r="AO200"/>
      <c r="AP200"/>
      <c r="AQ200"/>
      <c r="AR200"/>
      <c r="AS200"/>
      <c r="AT200"/>
      <c r="AU200"/>
      <c r="AV200">
        <f t="shared" si="22"/>
        <v>8</v>
      </c>
      <c r="AW200" s="351">
        <f t="shared" si="23"/>
        <v>4.6647230320699708E-3</v>
      </c>
    </row>
    <row r="201" spans="1:49">
      <c r="A201" s="165">
        <v>46126</v>
      </c>
      <c r="B201" s="346"/>
      <c r="C201" s="346"/>
      <c r="D201" s="346"/>
      <c r="E201" s="346"/>
      <c r="F201" s="346"/>
      <c r="G201" s="346"/>
      <c r="H201" s="346"/>
      <c r="I201" s="346"/>
      <c r="J201" s="346"/>
      <c r="K201" s="346"/>
      <c r="L201" s="346"/>
      <c r="M201" s="346"/>
      <c r="N201" s="346"/>
      <c r="O201" s="346"/>
      <c r="P201" s="346"/>
      <c r="Q201" s="346"/>
      <c r="R201" s="346"/>
      <c r="S201" s="346">
        <f>2+2</f>
        <v>4</v>
      </c>
      <c r="T201" s="346"/>
      <c r="U201" s="346"/>
      <c r="V201" s="346"/>
      <c r="W201" s="346"/>
      <c r="X201" s="346"/>
      <c r="Y201" s="346"/>
      <c r="Z201" s="346"/>
      <c r="AA201" s="346"/>
      <c r="AB201" s="346"/>
      <c r="AC201" s="346"/>
      <c r="AD201" s="346"/>
      <c r="AE201" s="346"/>
      <c r="AF201" s="346"/>
      <c r="AG201" s="346"/>
      <c r="AH201" s="346"/>
      <c r="AI201" s="346"/>
      <c r="AJ201" s="346"/>
      <c r="AK201" s="346"/>
      <c r="AL201" s="346"/>
      <c r="AM201" s="346"/>
      <c r="AN201" s="346"/>
      <c r="AO201" s="346"/>
      <c r="AP201" s="346"/>
      <c r="AQ201" s="346"/>
      <c r="AR201" s="346"/>
      <c r="AS201" s="346"/>
      <c r="AT201" s="346"/>
      <c r="AU201" s="346"/>
      <c r="AV201">
        <f t="shared" si="22"/>
        <v>4</v>
      </c>
      <c r="AW201" s="351">
        <f t="shared" si="23"/>
        <v>2.3323615160349854E-3</v>
      </c>
    </row>
    <row r="202" spans="1:49">
      <c r="A202" s="165">
        <v>46126</v>
      </c>
      <c r="B202"/>
      <c r="C202"/>
      <c r="D202"/>
      <c r="E202"/>
      <c r="F202"/>
      <c r="G202"/>
      <c r="H202"/>
      <c r="I202"/>
      <c r="J202"/>
      <c r="K202"/>
      <c r="L202"/>
      <c r="M202"/>
      <c r="N202"/>
      <c r="O202"/>
      <c r="P202"/>
      <c r="Q202"/>
      <c r="R202"/>
      <c r="S202">
        <v>2</v>
      </c>
      <c r="T202"/>
      <c r="U202"/>
      <c r="V202"/>
      <c r="W202"/>
      <c r="X202"/>
      <c r="Y202"/>
      <c r="Z202"/>
      <c r="AA202"/>
      <c r="AB202"/>
      <c r="AC202"/>
      <c r="AD202"/>
      <c r="AE202"/>
      <c r="AF202"/>
      <c r="AG202"/>
      <c r="AH202"/>
      <c r="AI202"/>
      <c r="AJ202"/>
      <c r="AK202"/>
      <c r="AL202"/>
      <c r="AM202"/>
      <c r="AN202"/>
      <c r="AO202"/>
      <c r="AP202"/>
      <c r="AQ202"/>
      <c r="AR202"/>
      <c r="AS202"/>
      <c r="AT202"/>
      <c r="AU202"/>
      <c r="AV202">
        <f t="shared" si="22"/>
        <v>2</v>
      </c>
      <c r="AW202" s="351">
        <f t="shared" si="23"/>
        <v>1.1661807580174927E-3</v>
      </c>
    </row>
    <row r="203" spans="1:49">
      <c r="A203" s="165">
        <v>46126</v>
      </c>
      <c r="B203" s="346"/>
      <c r="C203" s="346"/>
      <c r="D203" s="346"/>
      <c r="E203" s="346"/>
      <c r="F203" s="346"/>
      <c r="G203" s="346"/>
      <c r="H203" s="346"/>
      <c r="I203" s="346"/>
      <c r="J203" s="346"/>
      <c r="K203" s="346"/>
      <c r="L203" s="346"/>
      <c r="M203" s="346"/>
      <c r="N203" s="346"/>
      <c r="O203" s="346"/>
      <c r="P203" s="346"/>
      <c r="Q203" s="346"/>
      <c r="R203" s="346"/>
      <c r="S203" s="346"/>
      <c r="T203" s="346"/>
      <c r="U203" s="346"/>
      <c r="V203" s="346"/>
      <c r="W203" s="346"/>
      <c r="X203" s="346"/>
      <c r="Y203" s="346"/>
      <c r="Z203" s="346"/>
      <c r="AA203" s="346"/>
      <c r="AB203" s="346"/>
      <c r="AC203" s="346"/>
      <c r="AD203" s="346"/>
      <c r="AE203" s="346"/>
      <c r="AF203" s="346"/>
      <c r="AG203" s="346"/>
      <c r="AH203" s="346"/>
      <c r="AI203" s="346"/>
      <c r="AJ203" s="346"/>
      <c r="AK203" s="346"/>
      <c r="AL203" s="346"/>
      <c r="AM203" s="346"/>
      <c r="AN203" s="346"/>
      <c r="AO203" s="346"/>
      <c r="AP203" s="346"/>
      <c r="AQ203" s="346"/>
      <c r="AR203" s="346"/>
      <c r="AS203" s="346"/>
      <c r="AT203" s="346"/>
      <c r="AU203" s="346"/>
      <c r="AV203">
        <f t="shared" si="22"/>
        <v>0</v>
      </c>
      <c r="AW203" s="351">
        <f t="shared" si="23"/>
        <v>0</v>
      </c>
    </row>
    <row r="204" spans="1:49">
      <c r="A204" s="165">
        <v>46127</v>
      </c>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c r="AK204"/>
      <c r="AL204"/>
      <c r="AM204"/>
      <c r="AN204"/>
      <c r="AO204"/>
      <c r="AP204"/>
      <c r="AQ204"/>
      <c r="AR204"/>
      <c r="AS204"/>
      <c r="AT204"/>
      <c r="AU204"/>
      <c r="AV204">
        <f t="shared" si="22"/>
        <v>0</v>
      </c>
      <c r="AW204" s="351">
        <f t="shared" si="23"/>
        <v>0</v>
      </c>
    </row>
    <row r="205" spans="1:49">
      <c r="A205" s="165">
        <v>46127</v>
      </c>
      <c r="B205" s="346"/>
      <c r="C205" s="346"/>
      <c r="D205" s="346"/>
      <c r="E205" s="346"/>
      <c r="F205" s="77"/>
      <c r="G205" s="346"/>
      <c r="H205" s="346"/>
      <c r="I205" s="346"/>
      <c r="J205" s="346"/>
      <c r="K205" s="346"/>
      <c r="L205" s="346"/>
      <c r="M205" s="346"/>
      <c r="N205" s="346"/>
      <c r="O205" s="346">
        <f>10</f>
        <v>10</v>
      </c>
      <c r="P205" s="346"/>
      <c r="Q205" s="346"/>
      <c r="R205" s="346"/>
      <c r="S205" s="346">
        <f>2</f>
        <v>2</v>
      </c>
      <c r="T205" s="346"/>
      <c r="U205" s="346"/>
      <c r="V205" s="346"/>
      <c r="W205" s="346"/>
      <c r="X205" s="346"/>
      <c r="Y205" s="346"/>
      <c r="Z205" s="346"/>
      <c r="AA205" s="346"/>
      <c r="AB205" s="346"/>
      <c r="AC205" s="346"/>
      <c r="AD205" s="346"/>
      <c r="AE205" s="346"/>
      <c r="AF205" s="346"/>
      <c r="AG205" s="346"/>
      <c r="AH205" s="346"/>
      <c r="AI205" s="346"/>
      <c r="AJ205" s="346"/>
      <c r="AK205" s="346"/>
      <c r="AL205" s="346"/>
      <c r="AM205" s="346"/>
      <c r="AN205" s="346"/>
      <c r="AO205" s="346"/>
      <c r="AP205" s="346"/>
      <c r="AQ205" s="346"/>
      <c r="AR205" s="346"/>
      <c r="AS205" s="346"/>
      <c r="AT205" s="346"/>
      <c r="AU205" s="346"/>
      <c r="AV205">
        <f t="shared" si="22"/>
        <v>12</v>
      </c>
      <c r="AW205" s="351">
        <f t="shared" si="23"/>
        <v>6.9970845481049562E-3</v>
      </c>
    </row>
    <row r="206" spans="1:49">
      <c r="A206" s="165">
        <v>46127</v>
      </c>
      <c r="B206"/>
      <c r="C206"/>
      <c r="D206"/>
      <c r="E206">
        <f>2</f>
        <v>2</v>
      </c>
      <c r="F206" s="77"/>
      <c r="G206"/>
      <c r="H206"/>
      <c r="I206"/>
      <c r="J206"/>
      <c r="K206"/>
      <c r="L206"/>
      <c r="M206"/>
      <c r="N206"/>
      <c r="O206"/>
      <c r="P206"/>
      <c r="Q206"/>
      <c r="R206"/>
      <c r="S206">
        <f>2+2+2</f>
        <v>6</v>
      </c>
      <c r="T206"/>
      <c r="U206"/>
      <c r="V206"/>
      <c r="W206">
        <f>4+3+11</f>
        <v>18</v>
      </c>
      <c r="X206"/>
      <c r="Y206"/>
      <c r="Z206"/>
      <c r="AA206"/>
      <c r="AB206"/>
      <c r="AC206">
        <f>2</f>
        <v>2</v>
      </c>
      <c r="AD206"/>
      <c r="AE206"/>
      <c r="AF206"/>
      <c r="AG206"/>
      <c r="AH206"/>
      <c r="AI206"/>
      <c r="AJ206"/>
      <c r="AK206"/>
      <c r="AL206"/>
      <c r="AM206"/>
      <c r="AN206"/>
      <c r="AO206"/>
      <c r="AP206"/>
      <c r="AQ206"/>
      <c r="AR206"/>
      <c r="AS206"/>
      <c r="AT206" s="77"/>
      <c r="AU206"/>
      <c r="AV206">
        <f t="shared" si="22"/>
        <v>28</v>
      </c>
      <c r="AW206" s="351">
        <f t="shared" si="23"/>
        <v>1.6326530612244899E-2</v>
      </c>
    </row>
    <row r="207" spans="1:49">
      <c r="A207" s="165">
        <v>46128</v>
      </c>
      <c r="B207" s="346"/>
      <c r="C207" s="346"/>
      <c r="D207" s="346"/>
      <c r="E207" s="346"/>
      <c r="F207" s="346"/>
      <c r="G207" s="346"/>
      <c r="H207" s="346"/>
      <c r="I207" s="346"/>
      <c r="J207" s="346"/>
      <c r="K207" s="346"/>
      <c r="L207" s="346"/>
      <c r="M207" s="346"/>
      <c r="N207" s="346"/>
      <c r="O207" s="346"/>
      <c r="P207" s="346"/>
      <c r="Q207" s="346"/>
      <c r="R207" s="346">
        <f>2</f>
        <v>2</v>
      </c>
      <c r="S207" s="346">
        <f>2+3+3+3</f>
        <v>11</v>
      </c>
      <c r="T207" s="346"/>
      <c r="U207" s="346"/>
      <c r="V207" s="346"/>
      <c r="W207" s="346"/>
      <c r="X207" s="346"/>
      <c r="Y207" s="346"/>
      <c r="Z207" s="346"/>
      <c r="AA207" s="346"/>
      <c r="AB207" s="346"/>
      <c r="AC207" s="346"/>
      <c r="AD207" s="346">
        <f>4</f>
        <v>4</v>
      </c>
      <c r="AE207" s="346">
        <f>3+3</f>
        <v>6</v>
      </c>
      <c r="AF207" s="346"/>
      <c r="AG207" s="346"/>
      <c r="AH207" s="346"/>
      <c r="AI207" s="346"/>
      <c r="AJ207" s="346"/>
      <c r="AK207" s="346"/>
      <c r="AL207" s="346"/>
      <c r="AM207" s="346"/>
      <c r="AN207" s="346"/>
      <c r="AO207" s="346"/>
      <c r="AP207" s="346"/>
      <c r="AQ207" s="346"/>
      <c r="AR207" s="346"/>
      <c r="AS207" s="346"/>
      <c r="AT207" s="346"/>
      <c r="AU207" s="346"/>
      <c r="AV207">
        <f t="shared" si="22"/>
        <v>23</v>
      </c>
      <c r="AW207" s="351">
        <f t="shared" si="23"/>
        <v>1.3411078717201166E-2</v>
      </c>
    </row>
    <row r="208" spans="1:49">
      <c r="A208" s="165">
        <v>46128</v>
      </c>
      <c r="B208"/>
      <c r="C208"/>
      <c r="D208"/>
      <c r="E208"/>
      <c r="F208"/>
      <c r="G208"/>
      <c r="H208"/>
      <c r="I208"/>
      <c r="J208"/>
      <c r="K208"/>
      <c r="L208"/>
      <c r="M208"/>
      <c r="N208"/>
      <c r="O208"/>
      <c r="P208"/>
      <c r="Q208"/>
      <c r="R208"/>
      <c r="S208">
        <f>2+2+2+3</f>
        <v>9</v>
      </c>
      <c r="T208"/>
      <c r="U208"/>
      <c r="V208"/>
      <c r="W208"/>
      <c r="X208"/>
      <c r="Y208"/>
      <c r="Z208"/>
      <c r="AA208"/>
      <c r="AB208"/>
      <c r="AC208"/>
      <c r="AD208">
        <f>3</f>
        <v>3</v>
      </c>
      <c r="AE208"/>
      <c r="AF208"/>
      <c r="AG208"/>
      <c r="AH208"/>
      <c r="AI208"/>
      <c r="AJ208"/>
      <c r="AK208"/>
      <c r="AL208"/>
      <c r="AM208"/>
      <c r="AN208"/>
      <c r="AO208"/>
      <c r="AP208"/>
      <c r="AQ208"/>
      <c r="AR208"/>
      <c r="AS208"/>
      <c r="AT208"/>
      <c r="AU208"/>
      <c r="AV208">
        <f t="shared" si="22"/>
        <v>12</v>
      </c>
      <c r="AW208" s="351">
        <f t="shared" si="23"/>
        <v>6.9970845481049562E-3</v>
      </c>
    </row>
    <row r="209" spans="1:49">
      <c r="A209" s="165">
        <v>46129</v>
      </c>
      <c r="B209" s="346"/>
      <c r="C209" s="346"/>
      <c r="D209" s="346"/>
      <c r="E209" s="346"/>
      <c r="F209" s="346"/>
      <c r="G209" s="346"/>
      <c r="H209" s="346"/>
      <c r="I209" s="346"/>
      <c r="J209" s="346"/>
      <c r="K209" s="346"/>
      <c r="L209" s="346"/>
      <c r="M209" s="346"/>
      <c r="N209" s="346"/>
      <c r="O209" s="346">
        <f>2</f>
        <v>2</v>
      </c>
      <c r="P209" s="346"/>
      <c r="Q209" s="346"/>
      <c r="R209" s="346"/>
      <c r="S209" s="346">
        <f>3+3+3+2</f>
        <v>11</v>
      </c>
      <c r="T209" s="346"/>
      <c r="U209" s="346"/>
      <c r="V209" s="346"/>
      <c r="W209" s="346"/>
      <c r="X209" s="346"/>
      <c r="Y209" s="346">
        <v>1</v>
      </c>
      <c r="Z209" s="346"/>
      <c r="AA209" s="346"/>
      <c r="AB209" s="346"/>
      <c r="AC209" s="346"/>
      <c r="AD209" s="346">
        <f>4</f>
        <v>4</v>
      </c>
      <c r="AE209" s="346"/>
      <c r="AF209" s="346"/>
      <c r="AG209" s="346"/>
      <c r="AH209" s="346"/>
      <c r="AI209" s="346"/>
      <c r="AJ209" s="346"/>
      <c r="AK209" s="346"/>
      <c r="AL209" s="346"/>
      <c r="AM209" s="346"/>
      <c r="AN209" s="346"/>
      <c r="AO209" s="346"/>
      <c r="AP209" s="346"/>
      <c r="AQ209" s="346"/>
      <c r="AR209" s="346"/>
      <c r="AS209" s="346"/>
      <c r="AT209" s="346"/>
      <c r="AU209" s="346"/>
      <c r="AV209">
        <f t="shared" si="22"/>
        <v>18</v>
      </c>
      <c r="AW209" s="351">
        <f t="shared" si="23"/>
        <v>1.0495626822157435E-2</v>
      </c>
    </row>
    <row r="210" spans="1:49">
      <c r="A210" s="165">
        <v>46129</v>
      </c>
      <c r="B210"/>
      <c r="C210"/>
      <c r="D210"/>
      <c r="E210"/>
      <c r="F210"/>
      <c r="G210"/>
      <c r="H210"/>
      <c r="I210"/>
      <c r="J210"/>
      <c r="K210"/>
      <c r="L210"/>
      <c r="M210"/>
      <c r="N210"/>
      <c r="O210"/>
      <c r="P210"/>
      <c r="Q210"/>
      <c r="R210"/>
      <c r="S210">
        <f>2</f>
        <v>2</v>
      </c>
      <c r="T210">
        <v>3</v>
      </c>
      <c r="U210"/>
      <c r="V210"/>
      <c r="W210"/>
      <c r="X210"/>
      <c r="Y210"/>
      <c r="Z210"/>
      <c r="AA210"/>
      <c r="AB210"/>
      <c r="AC210"/>
      <c r="AD210"/>
      <c r="AE210"/>
      <c r="AF210"/>
      <c r="AG210"/>
      <c r="AH210"/>
      <c r="AI210"/>
      <c r="AJ210"/>
      <c r="AK210"/>
      <c r="AL210"/>
      <c r="AM210"/>
      <c r="AN210"/>
      <c r="AO210"/>
      <c r="AP210"/>
      <c r="AQ210"/>
      <c r="AR210"/>
      <c r="AS210"/>
      <c r="AT210"/>
      <c r="AU210"/>
      <c r="AV210">
        <f t="shared" si="22"/>
        <v>5</v>
      </c>
      <c r="AW210" s="351">
        <f t="shared" si="23"/>
        <v>2.9154518950437317E-3</v>
      </c>
    </row>
    <row r="211" spans="1:49">
      <c r="A211" s="165">
        <v>46132</v>
      </c>
      <c r="B211" s="346"/>
      <c r="C211" s="346"/>
      <c r="D211" s="346"/>
      <c r="E211" s="346"/>
      <c r="F211" s="346"/>
      <c r="G211" s="346"/>
      <c r="H211" s="346"/>
      <c r="I211" s="346"/>
      <c r="J211" s="346"/>
      <c r="K211" s="346"/>
      <c r="L211" s="346"/>
      <c r="M211" s="346"/>
      <c r="N211" s="346"/>
      <c r="O211" s="346"/>
      <c r="P211" s="346"/>
      <c r="Q211" s="346"/>
      <c r="R211" s="346"/>
      <c r="S211" s="346"/>
      <c r="T211" s="346"/>
      <c r="U211" s="346"/>
      <c r="V211" s="346"/>
      <c r="W211" s="346"/>
      <c r="X211" s="346"/>
      <c r="Y211" s="346"/>
      <c r="Z211" s="346"/>
      <c r="AA211" s="346"/>
      <c r="AB211" s="346"/>
      <c r="AC211" s="346"/>
      <c r="AD211" s="346"/>
      <c r="AE211" s="346"/>
      <c r="AF211" s="346"/>
      <c r="AG211" s="346"/>
      <c r="AH211" s="346"/>
      <c r="AI211" s="346"/>
      <c r="AJ211" s="346"/>
      <c r="AK211" s="346"/>
      <c r="AL211" s="346"/>
      <c r="AM211" s="346"/>
      <c r="AN211" s="346"/>
      <c r="AO211" s="346"/>
      <c r="AP211" s="346"/>
      <c r="AQ211" s="346"/>
      <c r="AR211" s="346"/>
      <c r="AS211" s="346"/>
      <c r="AT211" s="346"/>
      <c r="AU211" s="346"/>
      <c r="AV211">
        <f t="shared" si="22"/>
        <v>0</v>
      </c>
      <c r="AW211" s="351">
        <f t="shared" si="23"/>
        <v>0</v>
      </c>
    </row>
    <row r="212" spans="1:49">
      <c r="A212" s="165">
        <v>46132</v>
      </c>
      <c r="B212"/>
      <c r="C212"/>
      <c r="D212"/>
      <c r="E212"/>
      <c r="F212"/>
      <c r="G212"/>
      <c r="H212"/>
      <c r="I212"/>
      <c r="J212"/>
      <c r="K212"/>
      <c r="L212"/>
      <c r="M212"/>
      <c r="N212"/>
      <c r="O212"/>
      <c r="P212"/>
      <c r="Q212"/>
      <c r="R212"/>
      <c r="S212">
        <f>2</f>
        <v>2</v>
      </c>
      <c r="T212"/>
      <c r="U212"/>
      <c r="V212"/>
      <c r="W212"/>
      <c r="X212"/>
      <c r="Y212"/>
      <c r="Z212"/>
      <c r="AA212"/>
      <c r="AB212"/>
      <c r="AC212"/>
      <c r="AD212"/>
      <c r="AE212"/>
      <c r="AF212"/>
      <c r="AG212"/>
      <c r="AH212"/>
      <c r="AI212"/>
      <c r="AJ212"/>
      <c r="AK212"/>
      <c r="AL212"/>
      <c r="AM212"/>
      <c r="AN212"/>
      <c r="AO212"/>
      <c r="AP212"/>
      <c r="AQ212"/>
      <c r="AR212"/>
      <c r="AS212"/>
      <c r="AT212"/>
      <c r="AU212"/>
      <c r="AV212">
        <f t="shared" si="22"/>
        <v>2</v>
      </c>
      <c r="AW212" s="351">
        <f t="shared" si="23"/>
        <v>1.1661807580174927E-3</v>
      </c>
    </row>
    <row r="213" spans="1:49">
      <c r="A213" s="165">
        <v>46132</v>
      </c>
      <c r="B213"/>
      <c r="C213"/>
      <c r="D213"/>
      <c r="E213"/>
      <c r="F213"/>
      <c r="G213"/>
      <c r="H213"/>
      <c r="I213"/>
      <c r="J213"/>
      <c r="K213"/>
      <c r="L213"/>
      <c r="M213"/>
      <c r="N213"/>
      <c r="O213"/>
      <c r="P213"/>
      <c r="Q213"/>
      <c r="R213"/>
      <c r="S213">
        <v>3</v>
      </c>
      <c r="T213"/>
      <c r="U213"/>
      <c r="V213"/>
      <c r="W213"/>
      <c r="X213"/>
      <c r="Y213"/>
      <c r="Z213"/>
      <c r="AA213"/>
      <c r="AB213"/>
      <c r="AC213"/>
      <c r="AD213"/>
      <c r="AE213"/>
      <c r="AF213"/>
      <c r="AG213"/>
      <c r="AH213"/>
      <c r="AI213"/>
      <c r="AJ213"/>
      <c r="AK213"/>
      <c r="AL213"/>
      <c r="AM213"/>
      <c r="AN213"/>
      <c r="AO213"/>
      <c r="AP213"/>
      <c r="AQ213"/>
      <c r="AR213"/>
      <c r="AS213"/>
      <c r="AT213"/>
      <c r="AU213"/>
      <c r="AV213">
        <f t="shared" si="22"/>
        <v>3</v>
      </c>
      <c r="AW213" s="351">
        <f t="shared" si="23"/>
        <v>1.749271137026239E-3</v>
      </c>
    </row>
    <row r="214" spans="1:49">
      <c r="A214" s="165">
        <v>46133</v>
      </c>
      <c r="B214" s="346"/>
      <c r="C214" s="346"/>
      <c r="D214" s="346"/>
      <c r="E214" s="346"/>
      <c r="F214" s="346"/>
      <c r="G214" s="346"/>
      <c r="H214" s="346"/>
      <c r="I214" s="346"/>
      <c r="J214" s="346"/>
      <c r="K214" s="346"/>
      <c r="L214" s="346"/>
      <c r="M214" s="346"/>
      <c r="N214" s="346"/>
      <c r="O214" s="346"/>
      <c r="P214" s="346"/>
      <c r="Q214" s="346"/>
      <c r="R214" s="346"/>
      <c r="S214" s="346">
        <f>2+3+3</f>
        <v>8</v>
      </c>
      <c r="T214" s="346"/>
      <c r="U214" s="346"/>
      <c r="V214" s="346"/>
      <c r="W214" s="346"/>
      <c r="X214" s="346"/>
      <c r="Y214" s="346"/>
      <c r="Z214" s="346"/>
      <c r="AA214" s="346"/>
      <c r="AB214" s="346"/>
      <c r="AC214" s="346"/>
      <c r="AD214" s="346"/>
      <c r="AE214" s="346"/>
      <c r="AF214" s="346"/>
      <c r="AG214" s="346"/>
      <c r="AH214" s="346"/>
      <c r="AI214" s="346"/>
      <c r="AJ214" s="346"/>
      <c r="AK214" s="346"/>
      <c r="AL214" s="346"/>
      <c r="AM214" s="346"/>
      <c r="AN214" s="346"/>
      <c r="AO214" s="346"/>
      <c r="AP214" s="346"/>
      <c r="AQ214" s="346"/>
      <c r="AR214" s="346"/>
      <c r="AS214" s="346"/>
      <c r="AT214" s="346"/>
      <c r="AU214" s="346"/>
      <c r="AV214">
        <f t="shared" si="22"/>
        <v>8</v>
      </c>
      <c r="AW214" s="351">
        <f t="shared" si="23"/>
        <v>4.6647230320699708E-3</v>
      </c>
    </row>
    <row r="215" spans="1:49">
      <c r="A215" s="165">
        <v>46133</v>
      </c>
      <c r="B215"/>
      <c r="C215"/>
      <c r="D215"/>
      <c r="E215"/>
      <c r="F215"/>
      <c r="G215"/>
      <c r="H215"/>
      <c r="I215"/>
      <c r="J215"/>
      <c r="K215"/>
      <c r="L215"/>
      <c r="M215"/>
      <c r="N215"/>
      <c r="O215"/>
      <c r="P215"/>
      <c r="Q215"/>
      <c r="R215"/>
      <c r="S215">
        <f>2+2+2</f>
        <v>6</v>
      </c>
      <c r="T215"/>
      <c r="U215"/>
      <c r="V215"/>
      <c r="W215"/>
      <c r="X215"/>
      <c r="Y215"/>
      <c r="Z215"/>
      <c r="AA215"/>
      <c r="AB215"/>
      <c r="AC215"/>
      <c r="AD215"/>
      <c r="AE215">
        <f>2</f>
        <v>2</v>
      </c>
      <c r="AF215"/>
      <c r="AG215">
        <f>3+2+27+29+20+60+4+5+3</f>
        <v>153</v>
      </c>
      <c r="AH215"/>
      <c r="AI215"/>
      <c r="AJ215"/>
      <c r="AK215"/>
      <c r="AL215"/>
      <c r="AM215"/>
      <c r="AN215"/>
      <c r="AO215"/>
      <c r="AP215"/>
      <c r="AQ215"/>
      <c r="AR215"/>
      <c r="AS215"/>
      <c r="AT215"/>
      <c r="AU215"/>
      <c r="AV215">
        <f t="shared" si="22"/>
        <v>161</v>
      </c>
      <c r="AW215" s="351">
        <f t="shared" ref="AW215:AW242" si="24">AV215/$AV$243</f>
        <v>9.3877551020408165E-2</v>
      </c>
    </row>
    <row r="216" spans="1:49">
      <c r="A216" s="165">
        <v>46134</v>
      </c>
      <c r="B216" s="346"/>
      <c r="C216" s="346"/>
      <c r="D216" s="346"/>
      <c r="E216" s="346"/>
      <c r="F216" s="346"/>
      <c r="G216" s="346"/>
      <c r="H216" s="346"/>
      <c r="I216" s="346"/>
      <c r="J216" s="346"/>
      <c r="K216" s="346"/>
      <c r="L216" s="346"/>
      <c r="M216" s="346"/>
      <c r="N216" s="346"/>
      <c r="O216" s="346"/>
      <c r="P216" s="346"/>
      <c r="Q216" s="346"/>
      <c r="R216" s="346"/>
      <c r="S216" s="346">
        <f>2+2+2</f>
        <v>6</v>
      </c>
      <c r="T216" s="346"/>
      <c r="U216" s="346"/>
      <c r="V216" s="346"/>
      <c r="W216" s="346"/>
      <c r="X216" s="346"/>
      <c r="Y216" s="346"/>
      <c r="Z216" s="346"/>
      <c r="AA216" s="346"/>
      <c r="AB216" s="346"/>
      <c r="AC216" s="346"/>
      <c r="AD216" s="346"/>
      <c r="AE216" s="346"/>
      <c r="AF216" s="346"/>
      <c r="AG216" s="346"/>
      <c r="AH216" s="346"/>
      <c r="AI216" s="346"/>
      <c r="AJ216" s="346"/>
      <c r="AK216" s="346"/>
      <c r="AL216" s="346"/>
      <c r="AM216" s="346"/>
      <c r="AN216" s="346"/>
      <c r="AO216" s="346"/>
      <c r="AP216" s="346"/>
      <c r="AQ216" s="346"/>
      <c r="AR216" s="346"/>
      <c r="AS216" s="346"/>
      <c r="AT216" s="346"/>
      <c r="AU216" s="346"/>
      <c r="AV216">
        <f t="shared" si="22"/>
        <v>6</v>
      </c>
      <c r="AW216" s="351">
        <f t="shared" si="24"/>
        <v>3.4985422740524781E-3</v>
      </c>
    </row>
    <row r="217" spans="1:49">
      <c r="A217" s="165">
        <v>46134</v>
      </c>
      <c r="B217"/>
      <c r="C217"/>
      <c r="D217"/>
      <c r="E217"/>
      <c r="F217"/>
      <c r="G217"/>
      <c r="H217"/>
      <c r="I217"/>
      <c r="J217"/>
      <c r="K217"/>
      <c r="L217"/>
      <c r="M217"/>
      <c r="N217"/>
      <c r="O217"/>
      <c r="P217"/>
      <c r="Q217"/>
      <c r="R217"/>
      <c r="S217">
        <f>3+2+4</f>
        <v>9</v>
      </c>
      <c r="T217"/>
      <c r="U217"/>
      <c r="V217"/>
      <c r="W217"/>
      <c r="X217"/>
      <c r="Y217"/>
      <c r="Z217"/>
      <c r="AA217"/>
      <c r="AB217"/>
      <c r="AC217">
        <f>3+2+2+1</f>
        <v>8</v>
      </c>
      <c r="AD217">
        <f>7</f>
        <v>7</v>
      </c>
      <c r="AE217"/>
      <c r="AF217">
        <f>7+5+22+60+28+4</f>
        <v>126</v>
      </c>
      <c r="AG217"/>
      <c r="AH217"/>
      <c r="AI217">
        <v>2</v>
      </c>
      <c r="AJ217"/>
      <c r="AK217"/>
      <c r="AL217"/>
      <c r="AM217"/>
      <c r="AN217"/>
      <c r="AO217"/>
      <c r="AP217"/>
      <c r="AQ217"/>
      <c r="AR217"/>
      <c r="AS217"/>
      <c r="AT217"/>
      <c r="AU217"/>
      <c r="AV217">
        <f t="shared" si="22"/>
        <v>152</v>
      </c>
      <c r="AW217" s="351">
        <f t="shared" si="24"/>
        <v>8.8629737609329448E-2</v>
      </c>
    </row>
    <row r="218" spans="1:49">
      <c r="A218" s="165">
        <v>46135</v>
      </c>
      <c r="B218" s="346"/>
      <c r="C218" s="346"/>
      <c r="D218" s="346"/>
      <c r="E218" s="346"/>
      <c r="F218" s="346"/>
      <c r="G218" s="346"/>
      <c r="H218" s="346"/>
      <c r="I218" s="346"/>
      <c r="J218" s="346"/>
      <c r="K218" s="346"/>
      <c r="L218" s="346"/>
      <c r="M218" s="346"/>
      <c r="N218" s="346"/>
      <c r="O218" s="346"/>
      <c r="P218" s="346"/>
      <c r="Q218" s="346"/>
      <c r="R218" s="346"/>
      <c r="S218" s="346">
        <f>3+3</f>
        <v>6</v>
      </c>
      <c r="T218" s="346"/>
      <c r="U218" s="346"/>
      <c r="V218" s="346"/>
      <c r="W218" s="346"/>
      <c r="X218" s="346"/>
      <c r="Y218" s="346"/>
      <c r="Z218" s="346"/>
      <c r="AA218" s="346"/>
      <c r="AB218" s="346"/>
      <c r="AC218" s="346"/>
      <c r="AD218" s="346"/>
      <c r="AE218" s="346"/>
      <c r="AF218" s="346"/>
      <c r="AG218" s="346"/>
      <c r="AH218" s="346"/>
      <c r="AI218" s="346"/>
      <c r="AJ218" s="346"/>
      <c r="AK218" s="346"/>
      <c r="AL218" s="346"/>
      <c r="AM218" s="346"/>
      <c r="AN218" s="346"/>
      <c r="AO218" s="346"/>
      <c r="AP218" s="346"/>
      <c r="AQ218" s="346"/>
      <c r="AR218" s="346"/>
      <c r="AS218" s="346"/>
      <c r="AT218" s="346"/>
      <c r="AU218" s="346"/>
      <c r="AV218">
        <f t="shared" si="22"/>
        <v>6</v>
      </c>
      <c r="AW218" s="351">
        <f t="shared" si="24"/>
        <v>3.4985422740524781E-3</v>
      </c>
    </row>
    <row r="219" spans="1:49">
      <c r="A219" s="165">
        <v>46135</v>
      </c>
      <c r="B219"/>
      <c r="C219"/>
      <c r="D219"/>
      <c r="E219"/>
      <c r="F219"/>
      <c r="G219"/>
      <c r="H219"/>
      <c r="I219"/>
      <c r="J219"/>
      <c r="K219"/>
      <c r="L219"/>
      <c r="M219"/>
      <c r="N219"/>
      <c r="O219"/>
      <c r="P219"/>
      <c r="Q219"/>
      <c r="R219">
        <f>1</f>
        <v>1</v>
      </c>
      <c r="S219">
        <f>1</f>
        <v>1</v>
      </c>
      <c r="T219"/>
      <c r="U219"/>
      <c r="V219"/>
      <c r="W219"/>
      <c r="X219"/>
      <c r="Y219">
        <f>14+60+60+60</f>
        <v>194</v>
      </c>
      <c r="Z219"/>
      <c r="AA219"/>
      <c r="AB219"/>
      <c r="AC219">
        <f>1+60</f>
        <v>61</v>
      </c>
      <c r="AD219"/>
      <c r="AE219"/>
      <c r="AF219"/>
      <c r="AG219"/>
      <c r="AH219"/>
      <c r="AI219"/>
      <c r="AJ219"/>
      <c r="AK219"/>
      <c r="AL219"/>
      <c r="AM219"/>
      <c r="AN219"/>
      <c r="AO219"/>
      <c r="AP219"/>
      <c r="AQ219"/>
      <c r="AR219"/>
      <c r="AS219"/>
      <c r="AT219"/>
      <c r="AU219"/>
      <c r="AV219">
        <f t="shared" ref="AV219:AV242" si="25">SUM(B219:AU219)</f>
        <v>257</v>
      </c>
      <c r="AW219" s="351">
        <f t="shared" si="24"/>
        <v>0.14985422740524781</v>
      </c>
    </row>
    <row r="220" spans="1:49">
      <c r="A220" s="165">
        <v>46136</v>
      </c>
      <c r="B220" s="346"/>
      <c r="C220" s="346"/>
      <c r="D220" s="346">
        <f>4</f>
        <v>4</v>
      </c>
      <c r="E220" s="346"/>
      <c r="F220" s="346"/>
      <c r="G220" s="346"/>
      <c r="H220" s="346"/>
      <c r="I220" s="346"/>
      <c r="J220" s="346"/>
      <c r="K220" s="346"/>
      <c r="L220" s="346"/>
      <c r="M220" s="346"/>
      <c r="N220" s="346"/>
      <c r="O220" s="346"/>
      <c r="P220" s="346"/>
      <c r="Q220" s="346"/>
      <c r="R220" s="346"/>
      <c r="S220" s="346">
        <f>3+3</f>
        <v>6</v>
      </c>
      <c r="T220" s="346"/>
      <c r="U220" s="346"/>
      <c r="V220" s="346"/>
      <c r="W220" s="346"/>
      <c r="X220" s="346"/>
      <c r="Y220" s="346"/>
      <c r="Z220" s="346"/>
      <c r="AA220" s="346"/>
      <c r="AB220" s="346"/>
      <c r="AC220" s="346">
        <v>50</v>
      </c>
      <c r="AD220" s="346"/>
      <c r="AE220" s="346">
        <v>5</v>
      </c>
      <c r="AF220" s="346"/>
      <c r="AG220" s="346"/>
      <c r="AH220" s="346"/>
      <c r="AI220" s="346"/>
      <c r="AJ220" s="346"/>
      <c r="AK220" s="346"/>
      <c r="AL220" s="346"/>
      <c r="AM220" s="346"/>
      <c r="AN220" s="346"/>
      <c r="AO220" s="346"/>
      <c r="AP220" s="346"/>
      <c r="AQ220" s="346"/>
      <c r="AR220" s="346"/>
      <c r="AS220" s="346"/>
      <c r="AT220" s="346"/>
      <c r="AU220" s="346"/>
      <c r="AV220">
        <f t="shared" si="25"/>
        <v>65</v>
      </c>
      <c r="AW220" s="351">
        <f t="shared" si="24"/>
        <v>3.7900874635568516E-2</v>
      </c>
    </row>
    <row r="221" spans="1:49">
      <c r="A221" s="165">
        <v>46136</v>
      </c>
      <c r="B221"/>
      <c r="C221"/>
      <c r="D221"/>
      <c r="E221"/>
      <c r="F221"/>
      <c r="G221"/>
      <c r="H221"/>
      <c r="I221"/>
      <c r="J221"/>
      <c r="K221"/>
      <c r="L221"/>
      <c r="M221"/>
      <c r="N221"/>
      <c r="O221"/>
      <c r="P221"/>
      <c r="Q221"/>
      <c r="R221"/>
      <c r="S221">
        <f>3+2+3</f>
        <v>8</v>
      </c>
      <c r="T221"/>
      <c r="U221"/>
      <c r="V221"/>
      <c r="W221"/>
      <c r="X221"/>
      <c r="Y221"/>
      <c r="Z221"/>
      <c r="AA221"/>
      <c r="AB221"/>
      <c r="AC221"/>
      <c r="AD221"/>
      <c r="AE221">
        <f>3+3</f>
        <v>6</v>
      </c>
      <c r="AF221"/>
      <c r="AG221"/>
      <c r="AH221"/>
      <c r="AI221"/>
      <c r="AJ221">
        <v>3</v>
      </c>
      <c r="AK221"/>
      <c r="AL221"/>
      <c r="AM221"/>
      <c r="AN221"/>
      <c r="AO221"/>
      <c r="AP221"/>
      <c r="AQ221"/>
      <c r="AR221"/>
      <c r="AS221"/>
      <c r="AT221"/>
      <c r="AU221"/>
      <c r="AV221">
        <f t="shared" si="25"/>
        <v>17</v>
      </c>
      <c r="AW221" s="351">
        <f t="shared" si="24"/>
        <v>9.9125364431486875E-3</v>
      </c>
    </row>
    <row r="222" spans="1:49">
      <c r="A222" s="165">
        <v>46139</v>
      </c>
      <c r="B222" s="346"/>
      <c r="C222" s="346"/>
      <c r="D222" s="346"/>
      <c r="E222" s="346"/>
      <c r="F222" s="346"/>
      <c r="G222" s="346"/>
      <c r="H222" s="346"/>
      <c r="I222" s="346"/>
      <c r="J222" s="346"/>
      <c r="K222" s="346"/>
      <c r="L222" s="346"/>
      <c r="M222" s="346"/>
      <c r="N222" s="346"/>
      <c r="O222" s="346"/>
      <c r="P222" s="346"/>
      <c r="Q222" s="346"/>
      <c r="R222" s="346">
        <v>5</v>
      </c>
      <c r="S222" s="346">
        <f>1+1+2+2+2+3+3+3</f>
        <v>17</v>
      </c>
      <c r="T222" s="346"/>
      <c r="U222" s="346"/>
      <c r="V222" s="346"/>
      <c r="W222" s="346"/>
      <c r="X222" s="346"/>
      <c r="Y222" s="346"/>
      <c r="Z222" s="346"/>
      <c r="AA222" s="346"/>
      <c r="AB222" s="346"/>
      <c r="AC222" s="346">
        <v>44</v>
      </c>
      <c r="AD222" s="346"/>
      <c r="AE222" s="346"/>
      <c r="AF222" s="346"/>
      <c r="AG222" s="346">
        <f>4+3</f>
        <v>7</v>
      </c>
      <c r="AH222" s="346"/>
      <c r="AI222" s="346"/>
      <c r="AJ222" s="346"/>
      <c r="AK222" s="346"/>
      <c r="AL222" s="346"/>
      <c r="AM222" s="346"/>
      <c r="AN222" s="346"/>
      <c r="AO222" s="346"/>
      <c r="AP222" s="346"/>
      <c r="AQ222" s="346"/>
      <c r="AR222" s="346"/>
      <c r="AS222" s="346"/>
      <c r="AT222" s="346"/>
      <c r="AU222" s="346"/>
      <c r="AV222">
        <f t="shared" si="25"/>
        <v>73</v>
      </c>
      <c r="AW222" s="351">
        <f t="shared" si="24"/>
        <v>4.2565597667638483E-2</v>
      </c>
    </row>
    <row r="223" spans="1:49">
      <c r="A223" s="165">
        <v>46140</v>
      </c>
      <c r="B223"/>
      <c r="C223"/>
      <c r="D223"/>
      <c r="E223"/>
      <c r="F223"/>
      <c r="G223"/>
      <c r="H223"/>
      <c r="I223"/>
      <c r="J223"/>
      <c r="K223"/>
      <c r="L223"/>
      <c r="M223"/>
      <c r="N223"/>
      <c r="O223"/>
      <c r="P223"/>
      <c r="Q223"/>
      <c r="R223"/>
      <c r="S223">
        <f>2+2+2+2+2+2+2+2+5+2</f>
        <v>23</v>
      </c>
      <c r="T223"/>
      <c r="U223"/>
      <c r="V223"/>
      <c r="W223"/>
      <c r="X223"/>
      <c r="Y223"/>
      <c r="Z223"/>
      <c r="AA223"/>
      <c r="AB223"/>
      <c r="AC223">
        <f>44+60+60+60+12+32+3+47+60+60</f>
        <v>438</v>
      </c>
      <c r="AD223">
        <v>3</v>
      </c>
      <c r="AE223"/>
      <c r="AF223"/>
      <c r="AG223"/>
      <c r="AH223"/>
      <c r="AI223"/>
      <c r="AJ223"/>
      <c r="AK223"/>
      <c r="AL223"/>
      <c r="AM223"/>
      <c r="AN223"/>
      <c r="AO223"/>
      <c r="AP223"/>
      <c r="AQ223"/>
      <c r="AR223"/>
      <c r="AS223"/>
      <c r="AT223"/>
      <c r="AU223"/>
      <c r="AV223">
        <f t="shared" si="25"/>
        <v>464</v>
      </c>
      <c r="AW223" s="351">
        <f t="shared" si="24"/>
        <v>0.27055393586005833</v>
      </c>
    </row>
    <row r="224" spans="1:49">
      <c r="A224" s="165">
        <v>46141</v>
      </c>
      <c r="B224" s="346"/>
      <c r="C224" s="346"/>
      <c r="D224" s="346"/>
      <c r="E224" s="346"/>
      <c r="F224" s="346"/>
      <c r="G224" s="346"/>
      <c r="H224" s="346"/>
      <c r="I224" s="346"/>
      <c r="J224" s="346"/>
      <c r="K224" s="346"/>
      <c r="L224" s="346"/>
      <c r="M224" s="346"/>
      <c r="N224" s="346"/>
      <c r="O224" s="346"/>
      <c r="P224" s="346"/>
      <c r="Q224" s="346"/>
      <c r="R224" s="346"/>
      <c r="S224" s="346">
        <f>2+2+1+1+2+2+2</f>
        <v>12</v>
      </c>
      <c r="T224" s="346"/>
      <c r="U224" s="346"/>
      <c r="V224" s="346"/>
      <c r="W224" s="346"/>
      <c r="X224" s="346"/>
      <c r="Y224" s="346"/>
      <c r="Z224" s="346"/>
      <c r="AA224" s="346"/>
      <c r="AB224" s="346"/>
      <c r="AC224" s="346"/>
      <c r="AD224" s="346">
        <f>2+2+1+3+4+3</f>
        <v>15</v>
      </c>
      <c r="AE224" s="346"/>
      <c r="AF224" s="346">
        <f>18+21+15</f>
        <v>54</v>
      </c>
      <c r="AG224" s="346"/>
      <c r="AH224" s="346"/>
      <c r="AI224" s="346"/>
      <c r="AJ224" s="346"/>
      <c r="AK224" s="346"/>
      <c r="AL224" s="346"/>
      <c r="AM224" s="346"/>
      <c r="AN224" s="346"/>
      <c r="AO224" s="346"/>
      <c r="AP224" s="346"/>
      <c r="AQ224" s="346"/>
      <c r="AR224" s="346"/>
      <c r="AS224" s="346"/>
      <c r="AT224" s="346"/>
      <c r="AU224" s="346"/>
      <c r="AV224">
        <f t="shared" si="25"/>
        <v>81</v>
      </c>
      <c r="AW224" s="351">
        <f t="shared" si="24"/>
        <v>4.7230320699708457E-2</v>
      </c>
    </row>
    <row r="225" spans="1:49">
      <c r="A225" s="165">
        <v>46141</v>
      </c>
      <c r="B225"/>
      <c r="C225"/>
      <c r="D225"/>
      <c r="E225"/>
      <c r="F225"/>
      <c r="G225"/>
      <c r="H225"/>
      <c r="I225"/>
      <c r="J225"/>
      <c r="K225"/>
      <c r="L225"/>
      <c r="M225"/>
      <c r="N225"/>
      <c r="O225"/>
      <c r="P225"/>
      <c r="Q225"/>
      <c r="R225"/>
      <c r="S225">
        <f>3+3+2+3+2+2</f>
        <v>15</v>
      </c>
      <c r="T225"/>
      <c r="U225"/>
      <c r="V225"/>
      <c r="W225">
        <v>2</v>
      </c>
      <c r="X225"/>
      <c r="Y225"/>
      <c r="Z225"/>
      <c r="AA225"/>
      <c r="AB225"/>
      <c r="AC225"/>
      <c r="AD225">
        <f>2</f>
        <v>2</v>
      </c>
      <c r="AE225"/>
      <c r="AF225"/>
      <c r="AG225"/>
      <c r="AH225"/>
      <c r="AI225"/>
      <c r="AJ225"/>
      <c r="AK225"/>
      <c r="AL225"/>
      <c r="AM225"/>
      <c r="AN225">
        <f>18</f>
        <v>18</v>
      </c>
      <c r="AO225"/>
      <c r="AP225"/>
      <c r="AQ225"/>
      <c r="AR225"/>
      <c r="AS225"/>
      <c r="AT225"/>
      <c r="AU225"/>
      <c r="AV225">
        <f t="shared" si="25"/>
        <v>37</v>
      </c>
      <c r="AW225" s="351">
        <f t="shared" si="24"/>
        <v>2.1574344023323616E-2</v>
      </c>
    </row>
    <row r="226" spans="1:49">
      <c r="A226" s="165">
        <v>46142</v>
      </c>
      <c r="B226" s="346"/>
      <c r="C226" s="346"/>
      <c r="D226" s="346"/>
      <c r="E226" s="346"/>
      <c r="F226" s="346"/>
      <c r="G226" s="346"/>
      <c r="H226" s="346"/>
      <c r="I226" s="346"/>
      <c r="J226" s="346"/>
      <c r="K226" s="346"/>
      <c r="L226" s="346"/>
      <c r="M226" s="346"/>
      <c r="N226" s="346"/>
      <c r="O226" s="346"/>
      <c r="P226" s="346"/>
      <c r="Q226" s="346"/>
      <c r="R226" s="346"/>
      <c r="S226" s="346">
        <f>2+3+3+2+3+3+3</f>
        <v>19</v>
      </c>
      <c r="T226" s="346"/>
      <c r="U226" s="346"/>
      <c r="V226" s="346"/>
      <c r="W226" s="346"/>
      <c r="X226" s="346"/>
      <c r="Y226" s="346"/>
      <c r="Z226" s="346"/>
      <c r="AA226" s="346"/>
      <c r="AB226" s="346"/>
      <c r="AC226" s="346"/>
      <c r="AD226" s="346">
        <f>4</f>
        <v>4</v>
      </c>
      <c r="AE226" s="346">
        <f>3</f>
        <v>3</v>
      </c>
      <c r="AF226" s="346"/>
      <c r="AG226" s="346">
        <f>6+2+1+3+3+4</f>
        <v>19</v>
      </c>
      <c r="AH226" s="346"/>
      <c r="AI226" s="346"/>
      <c r="AJ226" s="346"/>
      <c r="AK226" s="346"/>
      <c r="AL226" s="346"/>
      <c r="AM226" s="346"/>
      <c r="AN226" s="346"/>
      <c r="AO226" s="346">
        <f>26</f>
        <v>26</v>
      </c>
      <c r="AP226" s="346"/>
      <c r="AQ226" s="346"/>
      <c r="AR226" s="346"/>
      <c r="AS226" s="346"/>
      <c r="AT226" s="346"/>
      <c r="AU226" s="346"/>
      <c r="AV226">
        <f t="shared" si="25"/>
        <v>71</v>
      </c>
      <c r="AW226" s="351">
        <f t="shared" si="24"/>
        <v>4.1399416909620991E-2</v>
      </c>
    </row>
    <row r="227" spans="1:49">
      <c r="A227" s="165">
        <v>46142</v>
      </c>
      <c r="B227"/>
      <c r="C227"/>
      <c r="D227"/>
      <c r="E227"/>
      <c r="F227"/>
      <c r="G227"/>
      <c r="H227"/>
      <c r="I227"/>
      <c r="J227">
        <f>9</f>
        <v>9</v>
      </c>
      <c r="K227"/>
      <c r="L227"/>
      <c r="M227"/>
      <c r="N227"/>
      <c r="O227"/>
      <c r="P227"/>
      <c r="Q227"/>
      <c r="R227"/>
      <c r="S227" s="358">
        <f>2+3+3+2+3+3+3</f>
        <v>19</v>
      </c>
      <c r="T227"/>
      <c r="U227"/>
      <c r="V227"/>
      <c r="W227">
        <f>2+2</f>
        <v>4</v>
      </c>
      <c r="X227"/>
      <c r="Y227"/>
      <c r="Z227"/>
      <c r="AA227"/>
      <c r="AB227"/>
      <c r="AC227"/>
      <c r="AD227"/>
      <c r="AE227"/>
      <c r="AF227"/>
      <c r="AG227">
        <f>6+5+5+8+21+4</f>
        <v>49</v>
      </c>
      <c r="AH227"/>
      <c r="AI227"/>
      <c r="AJ227"/>
      <c r="AK227"/>
      <c r="AL227"/>
      <c r="AM227"/>
      <c r="AN227"/>
      <c r="AO227"/>
      <c r="AP227"/>
      <c r="AQ227"/>
      <c r="AR227"/>
      <c r="AS227"/>
      <c r="AT227"/>
      <c r="AU227"/>
      <c r="AV227">
        <f t="shared" si="25"/>
        <v>81</v>
      </c>
      <c r="AW227" s="351">
        <f t="shared" si="24"/>
        <v>4.7230320699708457E-2</v>
      </c>
    </row>
    <row r="228" spans="1:49">
      <c r="A228" s="165"/>
      <c r="B228" s="346"/>
      <c r="C228" s="346"/>
      <c r="D228" s="346"/>
      <c r="E228" s="346"/>
      <c r="F228" s="346"/>
      <c r="G228" s="346"/>
      <c r="H228" s="346"/>
      <c r="I228" s="346"/>
      <c r="J228" s="346"/>
      <c r="K228" s="346"/>
      <c r="L228" s="346"/>
      <c r="M228" s="346"/>
      <c r="N228" s="346"/>
      <c r="O228" s="346"/>
      <c r="P228" s="346"/>
      <c r="Q228" s="346"/>
      <c r="R228" s="346"/>
      <c r="S228" s="346"/>
      <c r="T228" s="346"/>
      <c r="U228" s="346"/>
      <c r="V228" s="346"/>
      <c r="W228" s="346"/>
      <c r="X228" s="346"/>
      <c r="Y228" s="346"/>
      <c r="Z228" s="346"/>
      <c r="AA228" s="346"/>
      <c r="AB228" s="346"/>
      <c r="AC228" s="346"/>
      <c r="AD228" s="346"/>
      <c r="AE228" s="346"/>
      <c r="AF228" s="346"/>
      <c r="AG228" s="346"/>
      <c r="AH228" s="346"/>
      <c r="AI228" s="346"/>
      <c r="AJ228" s="346"/>
      <c r="AK228" s="346"/>
      <c r="AL228" s="346"/>
      <c r="AM228" s="346"/>
      <c r="AN228" s="346"/>
      <c r="AO228" s="346"/>
      <c r="AP228" s="346"/>
      <c r="AQ228" s="346"/>
      <c r="AR228" s="346"/>
      <c r="AS228" s="346"/>
      <c r="AT228" s="346"/>
      <c r="AU228" s="346"/>
      <c r="AV228">
        <f t="shared" si="25"/>
        <v>0</v>
      </c>
      <c r="AW228" s="351">
        <f t="shared" si="24"/>
        <v>0</v>
      </c>
    </row>
    <row r="229" spans="1:49">
      <c r="A229" s="165"/>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c r="AK229"/>
      <c r="AL229"/>
      <c r="AM229"/>
      <c r="AN229"/>
      <c r="AO229"/>
      <c r="AP229"/>
      <c r="AQ229"/>
      <c r="AR229"/>
      <c r="AS229"/>
      <c r="AT229"/>
      <c r="AU229"/>
      <c r="AV229">
        <f t="shared" si="25"/>
        <v>0</v>
      </c>
      <c r="AW229" s="351">
        <f t="shared" si="24"/>
        <v>0</v>
      </c>
    </row>
    <row r="230" spans="1:49">
      <c r="A230" s="165"/>
      <c r="B230" s="346"/>
      <c r="C230" s="346"/>
      <c r="D230" s="346"/>
      <c r="E230" s="346"/>
      <c r="F230" s="346"/>
      <c r="G230" s="346"/>
      <c r="H230" s="346"/>
      <c r="I230" s="346"/>
      <c r="J230" s="346"/>
      <c r="K230" s="346"/>
      <c r="L230" s="346"/>
      <c r="M230" s="346"/>
      <c r="N230" s="346"/>
      <c r="O230" s="346"/>
      <c r="P230" s="346"/>
      <c r="Q230" s="346"/>
      <c r="R230" s="346"/>
      <c r="S230" s="346"/>
      <c r="T230" s="346"/>
      <c r="U230" s="346"/>
      <c r="V230" s="346"/>
      <c r="W230" s="346"/>
      <c r="X230" s="346"/>
      <c r="Y230" s="346"/>
      <c r="Z230" s="346"/>
      <c r="AA230" s="346"/>
      <c r="AB230" s="346"/>
      <c r="AC230" s="346"/>
      <c r="AD230" s="346"/>
      <c r="AE230" s="346"/>
      <c r="AF230" s="346"/>
      <c r="AG230" s="346"/>
      <c r="AH230" s="346"/>
      <c r="AI230" s="346"/>
      <c r="AJ230" s="346"/>
      <c r="AK230" s="346"/>
      <c r="AL230" s="346"/>
      <c r="AM230" s="346"/>
      <c r="AN230" s="346"/>
      <c r="AO230" s="346"/>
      <c r="AP230" s="346"/>
      <c r="AQ230" s="346"/>
      <c r="AR230" s="346"/>
      <c r="AS230" s="346"/>
      <c r="AT230" s="346"/>
      <c r="AU230" s="346"/>
      <c r="AV230">
        <f t="shared" si="25"/>
        <v>0</v>
      </c>
      <c r="AW230" s="351">
        <f t="shared" si="24"/>
        <v>0</v>
      </c>
    </row>
    <row r="231" spans="1:49">
      <c r="A231" s="165"/>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c r="AK231"/>
      <c r="AL231"/>
      <c r="AM231"/>
      <c r="AN231"/>
      <c r="AO231"/>
      <c r="AP231"/>
      <c r="AQ231"/>
      <c r="AR231"/>
      <c r="AS231"/>
      <c r="AT231"/>
      <c r="AU231"/>
      <c r="AV231">
        <f t="shared" si="25"/>
        <v>0</v>
      </c>
      <c r="AW231" s="351">
        <f t="shared" si="24"/>
        <v>0</v>
      </c>
    </row>
    <row r="232" spans="1:49">
      <c r="A232" s="165"/>
      <c r="B232" s="346"/>
      <c r="C232" s="346"/>
      <c r="D232" s="346"/>
      <c r="E232" s="346"/>
      <c r="F232" s="346"/>
      <c r="G232" s="346"/>
      <c r="H232" s="346"/>
      <c r="I232" s="346"/>
      <c r="J232" s="346"/>
      <c r="K232" s="346"/>
      <c r="L232" s="346"/>
      <c r="M232" s="346"/>
      <c r="N232" s="346"/>
      <c r="O232" s="346"/>
      <c r="P232" s="346"/>
      <c r="Q232" s="346"/>
      <c r="R232" s="346"/>
      <c r="S232" s="346"/>
      <c r="T232" s="346"/>
      <c r="U232" s="346"/>
      <c r="V232" s="346"/>
      <c r="W232" s="346"/>
      <c r="X232" s="346"/>
      <c r="Y232" s="346"/>
      <c r="Z232" s="346"/>
      <c r="AA232" s="346"/>
      <c r="AB232" s="346"/>
      <c r="AC232" s="346"/>
      <c r="AD232" s="346"/>
      <c r="AE232" s="346"/>
      <c r="AF232" s="346"/>
      <c r="AG232" s="346"/>
      <c r="AH232" s="346"/>
      <c r="AI232" s="346"/>
      <c r="AJ232" s="346"/>
      <c r="AK232" s="346"/>
      <c r="AL232" s="346"/>
      <c r="AM232" s="346"/>
      <c r="AN232" s="346"/>
      <c r="AO232" s="346"/>
      <c r="AP232" s="346"/>
      <c r="AQ232" s="346"/>
      <c r="AR232" s="346"/>
      <c r="AS232" s="346"/>
      <c r="AT232" s="346"/>
      <c r="AU232" s="346"/>
      <c r="AV232">
        <f t="shared" si="25"/>
        <v>0</v>
      </c>
      <c r="AW232" s="351">
        <f t="shared" si="24"/>
        <v>0</v>
      </c>
    </row>
    <row r="233" spans="1:49">
      <c r="A233" s="165"/>
      <c r="B233"/>
      <c r="C233"/>
      <c r="D233"/>
      <c r="E233"/>
      <c r="F233"/>
      <c r="G233"/>
      <c r="H233"/>
      <c r="I233"/>
      <c r="J233"/>
      <c r="K233"/>
      <c r="L233"/>
      <c r="M233"/>
      <c r="N233"/>
      <c r="O233"/>
      <c r="P233"/>
      <c r="Q233"/>
      <c r="R233"/>
      <c r="S233"/>
      <c r="T233"/>
      <c r="U233"/>
      <c r="V233"/>
      <c r="W233"/>
      <c r="X233"/>
      <c r="Y233"/>
      <c r="Z233"/>
      <c r="AA233"/>
      <c r="AB233"/>
      <c r="AC233"/>
      <c r="AD233"/>
      <c r="AE233"/>
      <c r="AF233"/>
      <c r="AG233"/>
      <c r="AH233"/>
      <c r="AI233"/>
      <c r="AJ233"/>
      <c r="AK233"/>
      <c r="AL233"/>
      <c r="AM233"/>
      <c r="AN233"/>
      <c r="AO233"/>
      <c r="AP233"/>
      <c r="AQ233"/>
      <c r="AR233"/>
      <c r="AS233"/>
      <c r="AT233"/>
      <c r="AU233"/>
      <c r="AV233">
        <f t="shared" si="25"/>
        <v>0</v>
      </c>
      <c r="AW233" s="351">
        <f t="shared" si="24"/>
        <v>0</v>
      </c>
    </row>
    <row r="234" spans="1:49">
      <c r="A234" s="165"/>
      <c r="B234" s="346"/>
      <c r="C234" s="346"/>
      <c r="D234" s="346"/>
      <c r="E234" s="346"/>
      <c r="F234" s="346"/>
      <c r="G234" s="346"/>
      <c r="H234" s="346"/>
      <c r="I234" s="346"/>
      <c r="J234" s="346"/>
      <c r="K234" s="346"/>
      <c r="L234" s="346"/>
      <c r="M234" s="346"/>
      <c r="N234" s="346"/>
      <c r="O234" s="346"/>
      <c r="P234" s="346"/>
      <c r="Q234" s="346"/>
      <c r="R234" s="346"/>
      <c r="S234" s="346"/>
      <c r="T234" s="346"/>
      <c r="U234" s="346"/>
      <c r="V234" s="346"/>
      <c r="W234" s="346"/>
      <c r="X234" s="346"/>
      <c r="Y234" s="346"/>
      <c r="Z234" s="346"/>
      <c r="AA234" s="346"/>
      <c r="AB234" s="346"/>
      <c r="AC234" s="346"/>
      <c r="AD234" s="346"/>
      <c r="AE234" s="346"/>
      <c r="AF234" s="346"/>
      <c r="AG234" s="346"/>
      <c r="AH234" s="346"/>
      <c r="AI234" s="346"/>
      <c r="AJ234" s="346"/>
      <c r="AK234" s="346"/>
      <c r="AL234" s="346"/>
      <c r="AM234" s="346"/>
      <c r="AN234" s="346"/>
      <c r="AO234" s="346"/>
      <c r="AP234" s="346"/>
      <c r="AQ234" s="346"/>
      <c r="AR234" s="346"/>
      <c r="AS234" s="346"/>
      <c r="AT234" s="346"/>
      <c r="AU234" s="346"/>
      <c r="AV234">
        <f t="shared" si="25"/>
        <v>0</v>
      </c>
      <c r="AW234" s="351">
        <f t="shared" si="24"/>
        <v>0</v>
      </c>
    </row>
    <row r="235" spans="1:49">
      <c r="A235" s="165"/>
      <c r="B235"/>
      <c r="C235"/>
      <c r="D235"/>
      <c r="E235"/>
      <c r="F235"/>
      <c r="G235"/>
      <c r="H235"/>
      <c r="I235"/>
      <c r="J235"/>
      <c r="K235"/>
      <c r="L235"/>
      <c r="M235"/>
      <c r="N235"/>
      <c r="O235"/>
      <c r="P235"/>
      <c r="Q235"/>
      <c r="R235"/>
      <c r="S235"/>
      <c r="T235"/>
      <c r="U235"/>
      <c r="V235"/>
      <c r="W235"/>
      <c r="X235"/>
      <c r="Y235"/>
      <c r="Z235"/>
      <c r="AA235"/>
      <c r="AB235"/>
      <c r="AC235"/>
      <c r="AD235"/>
      <c r="AE235"/>
      <c r="AF235"/>
      <c r="AG235"/>
      <c r="AH235"/>
      <c r="AI235"/>
      <c r="AJ235"/>
      <c r="AK235"/>
      <c r="AL235"/>
      <c r="AM235"/>
      <c r="AN235"/>
      <c r="AO235"/>
      <c r="AP235"/>
      <c r="AQ235"/>
      <c r="AR235"/>
      <c r="AS235"/>
      <c r="AT235"/>
      <c r="AU235"/>
      <c r="AV235">
        <f t="shared" si="25"/>
        <v>0</v>
      </c>
      <c r="AW235" s="351">
        <f t="shared" si="24"/>
        <v>0</v>
      </c>
    </row>
    <row r="236" spans="1:49">
      <c r="A236" s="165"/>
      <c r="B236" s="346"/>
      <c r="C236" s="346"/>
      <c r="D236" s="346"/>
      <c r="E236" s="346"/>
      <c r="F236" s="346"/>
      <c r="G236" s="346"/>
      <c r="H236" s="346"/>
      <c r="I236" s="346"/>
      <c r="J236" s="346"/>
      <c r="K236" s="346"/>
      <c r="L236" s="346"/>
      <c r="M236" s="346"/>
      <c r="N236" s="346"/>
      <c r="O236" s="346"/>
      <c r="P236" s="346"/>
      <c r="Q236" s="346"/>
      <c r="R236" s="346"/>
      <c r="S236" s="346"/>
      <c r="T236" s="346"/>
      <c r="U236" s="346"/>
      <c r="V236" s="346"/>
      <c r="W236" s="346"/>
      <c r="X236" s="346"/>
      <c r="Y236" s="346"/>
      <c r="Z236" s="346"/>
      <c r="AA236" s="346"/>
      <c r="AB236" s="346"/>
      <c r="AC236" s="346"/>
      <c r="AD236" s="346"/>
      <c r="AE236" s="346"/>
      <c r="AF236" s="346"/>
      <c r="AG236" s="346"/>
      <c r="AH236" s="346"/>
      <c r="AI236" s="346"/>
      <c r="AJ236" s="346"/>
      <c r="AK236" s="346"/>
      <c r="AL236" s="346"/>
      <c r="AM236" s="346"/>
      <c r="AN236" s="346"/>
      <c r="AO236" s="346"/>
      <c r="AP236" s="346"/>
      <c r="AQ236" s="346"/>
      <c r="AR236" s="346"/>
      <c r="AS236" s="346"/>
      <c r="AT236" s="346"/>
      <c r="AU236" s="346"/>
      <c r="AV236">
        <f t="shared" si="25"/>
        <v>0</v>
      </c>
      <c r="AW236" s="351">
        <f t="shared" si="24"/>
        <v>0</v>
      </c>
    </row>
    <row r="237" spans="1:49">
      <c r="A237" s="165"/>
      <c r="B237"/>
      <c r="C237"/>
      <c r="D237"/>
      <c r="E237"/>
      <c r="F237"/>
      <c r="G237"/>
      <c r="H237"/>
      <c r="I237"/>
      <c r="J237"/>
      <c r="K237"/>
      <c r="L237"/>
      <c r="M237"/>
      <c r="N237"/>
      <c r="O237"/>
      <c r="P237"/>
      <c r="Q237"/>
      <c r="R237"/>
      <c r="S237"/>
      <c r="T237"/>
      <c r="U237"/>
      <c r="V237"/>
      <c r="W237"/>
      <c r="X237"/>
      <c r="Y237"/>
      <c r="Z237"/>
      <c r="AA237"/>
      <c r="AB237"/>
      <c r="AC237"/>
      <c r="AD237"/>
      <c r="AE237"/>
      <c r="AF237"/>
      <c r="AG237"/>
      <c r="AH237"/>
      <c r="AI237"/>
      <c r="AJ237"/>
      <c r="AK237"/>
      <c r="AL237"/>
      <c r="AM237"/>
      <c r="AN237"/>
      <c r="AO237"/>
      <c r="AP237"/>
      <c r="AQ237"/>
      <c r="AR237"/>
      <c r="AS237"/>
      <c r="AT237"/>
      <c r="AU237"/>
      <c r="AV237">
        <f t="shared" si="25"/>
        <v>0</v>
      </c>
      <c r="AW237" s="351">
        <f t="shared" si="24"/>
        <v>0</v>
      </c>
    </row>
    <row r="238" spans="1:49">
      <c r="A238" s="165"/>
      <c r="B238" s="346"/>
      <c r="C238" s="346"/>
      <c r="D238" s="346"/>
      <c r="E238" s="346"/>
      <c r="F238" s="346"/>
      <c r="G238" s="346"/>
      <c r="H238" s="346"/>
      <c r="I238" s="346"/>
      <c r="J238" s="346"/>
      <c r="K238" s="346"/>
      <c r="L238" s="346"/>
      <c r="M238" s="346"/>
      <c r="N238" s="346"/>
      <c r="O238" s="346"/>
      <c r="P238" s="346"/>
      <c r="Q238" s="346"/>
      <c r="R238" s="346"/>
      <c r="S238" s="346"/>
      <c r="T238" s="346"/>
      <c r="U238" s="346"/>
      <c r="V238" s="346"/>
      <c r="W238" s="346"/>
      <c r="X238" s="346"/>
      <c r="Y238" s="346"/>
      <c r="Z238" s="346"/>
      <c r="AA238" s="346"/>
      <c r="AB238" s="346"/>
      <c r="AC238" s="346"/>
      <c r="AD238" s="346"/>
      <c r="AE238" s="346"/>
      <c r="AF238" s="346"/>
      <c r="AG238" s="346"/>
      <c r="AH238" s="346"/>
      <c r="AI238" s="346"/>
      <c r="AJ238" s="346"/>
      <c r="AK238" s="346"/>
      <c r="AL238" s="346"/>
      <c r="AM238" s="346"/>
      <c r="AN238" s="346"/>
      <c r="AO238" s="346"/>
      <c r="AP238" s="346"/>
      <c r="AQ238" s="346"/>
      <c r="AR238" s="346"/>
      <c r="AS238" s="346"/>
      <c r="AT238" s="346"/>
      <c r="AU238" s="346"/>
      <c r="AV238">
        <f t="shared" si="25"/>
        <v>0</v>
      </c>
      <c r="AW238" s="351">
        <f t="shared" si="24"/>
        <v>0</v>
      </c>
    </row>
    <row r="239" spans="1:49">
      <c r="A239" s="165"/>
      <c r="B239"/>
      <c r="C239"/>
      <c r="D239"/>
      <c r="E239"/>
      <c r="F239"/>
      <c r="G239"/>
      <c r="H239"/>
      <c r="I239"/>
      <c r="J239"/>
      <c r="K239"/>
      <c r="L239"/>
      <c r="M239"/>
      <c r="N239"/>
      <c r="O239"/>
      <c r="P239"/>
      <c r="Q239"/>
      <c r="R239"/>
      <c r="S239"/>
      <c r="T239"/>
      <c r="U239"/>
      <c r="V239"/>
      <c r="W239"/>
      <c r="X239"/>
      <c r="Y239"/>
      <c r="Z239"/>
      <c r="AA239"/>
      <c r="AB239"/>
      <c r="AC239"/>
      <c r="AD239"/>
      <c r="AE239"/>
      <c r="AF239"/>
      <c r="AG239"/>
      <c r="AH239"/>
      <c r="AI239"/>
      <c r="AJ239"/>
      <c r="AK239"/>
      <c r="AL239"/>
      <c r="AM239"/>
      <c r="AN239"/>
      <c r="AO239"/>
      <c r="AP239"/>
      <c r="AQ239"/>
      <c r="AR239"/>
      <c r="AS239"/>
      <c r="AT239"/>
      <c r="AU239"/>
      <c r="AV239">
        <f t="shared" si="25"/>
        <v>0</v>
      </c>
      <c r="AW239" s="351">
        <f t="shared" si="24"/>
        <v>0</v>
      </c>
    </row>
    <row r="240" spans="1:49">
      <c r="A240" s="165"/>
      <c r="B240" s="346"/>
      <c r="C240" s="346"/>
      <c r="D240" s="346"/>
      <c r="E240" s="346"/>
      <c r="F240" s="346"/>
      <c r="G240" s="346"/>
      <c r="H240" s="346"/>
      <c r="I240" s="346"/>
      <c r="J240" s="346"/>
      <c r="K240" s="346"/>
      <c r="L240" s="346"/>
      <c r="M240" s="346"/>
      <c r="N240" s="346"/>
      <c r="O240" s="346"/>
      <c r="P240" s="346"/>
      <c r="Q240" s="346"/>
      <c r="R240" s="346"/>
      <c r="S240" s="346"/>
      <c r="T240" s="346"/>
      <c r="U240" s="346"/>
      <c r="V240" s="346"/>
      <c r="W240" s="346"/>
      <c r="X240" s="346"/>
      <c r="Y240" s="346"/>
      <c r="Z240" s="346"/>
      <c r="AA240" s="346"/>
      <c r="AB240" s="346"/>
      <c r="AC240" s="346"/>
      <c r="AD240" s="346"/>
      <c r="AE240" s="346"/>
      <c r="AF240" s="346"/>
      <c r="AG240" s="346"/>
      <c r="AH240" s="346"/>
      <c r="AI240" s="346"/>
      <c r="AJ240" s="346"/>
      <c r="AK240" s="346"/>
      <c r="AL240" s="346"/>
      <c r="AM240" s="346"/>
      <c r="AN240" s="346"/>
      <c r="AO240" s="346"/>
      <c r="AP240" s="346"/>
      <c r="AQ240" s="346"/>
      <c r="AR240" s="346"/>
      <c r="AS240" s="346"/>
      <c r="AT240" s="346"/>
      <c r="AU240" s="346"/>
      <c r="AV240">
        <f t="shared" si="25"/>
        <v>0</v>
      </c>
      <c r="AW240" s="351">
        <f t="shared" si="24"/>
        <v>0</v>
      </c>
    </row>
    <row r="241" spans="1:49">
      <c r="A241" s="165"/>
      <c r="B241"/>
      <c r="C241"/>
      <c r="D241"/>
      <c r="E241"/>
      <c r="F241"/>
      <c r="G241"/>
      <c r="H241"/>
      <c r="I241"/>
      <c r="J241"/>
      <c r="K241"/>
      <c r="L241"/>
      <c r="M241"/>
      <c r="N241"/>
      <c r="O241"/>
      <c r="P241"/>
      <c r="Q241"/>
      <c r="R241"/>
      <c r="S241"/>
      <c r="T241"/>
      <c r="U241"/>
      <c r="V241"/>
      <c r="W241"/>
      <c r="X241"/>
      <c r="Y241"/>
      <c r="Z241"/>
      <c r="AA241"/>
      <c r="AB241"/>
      <c r="AC241"/>
      <c r="AD241"/>
      <c r="AE241"/>
      <c r="AF241"/>
      <c r="AG241"/>
      <c r="AH241"/>
      <c r="AI241"/>
      <c r="AJ241"/>
      <c r="AK241"/>
      <c r="AL241"/>
      <c r="AM241"/>
      <c r="AN241"/>
      <c r="AO241"/>
      <c r="AP241"/>
      <c r="AQ241"/>
      <c r="AR241"/>
      <c r="AS241"/>
      <c r="AT241"/>
      <c r="AU241"/>
      <c r="AV241">
        <f t="shared" si="25"/>
        <v>0</v>
      </c>
      <c r="AW241" s="351">
        <f t="shared" si="24"/>
        <v>0</v>
      </c>
    </row>
    <row r="242" spans="1:49">
      <c r="A242" s="165"/>
      <c r="B242" s="346"/>
      <c r="C242" s="346"/>
      <c r="D242" s="346"/>
      <c r="E242" s="346"/>
      <c r="F242" s="346"/>
      <c r="G242" s="346"/>
      <c r="H242" s="346"/>
      <c r="I242" s="346"/>
      <c r="J242" s="346"/>
      <c r="K242" s="346"/>
      <c r="L242" s="346"/>
      <c r="M242" s="346"/>
      <c r="N242" s="346"/>
      <c r="O242" s="346"/>
      <c r="P242" s="346"/>
      <c r="Q242" s="346"/>
      <c r="R242" s="346"/>
      <c r="S242" s="346"/>
      <c r="T242" s="346"/>
      <c r="U242" s="346"/>
      <c r="V242" s="346"/>
      <c r="W242" s="346"/>
      <c r="X242" s="346"/>
      <c r="Y242" s="346"/>
      <c r="Z242" s="346"/>
      <c r="AA242" s="346"/>
      <c r="AB242" s="346"/>
      <c r="AC242" s="346"/>
      <c r="AD242" s="346"/>
      <c r="AE242" s="346"/>
      <c r="AF242" s="346"/>
      <c r="AG242" s="346"/>
      <c r="AH242" s="346"/>
      <c r="AI242" s="346"/>
      <c r="AJ242" s="346"/>
      <c r="AK242" s="346"/>
      <c r="AL242" s="346"/>
      <c r="AM242" s="346"/>
      <c r="AN242" s="346"/>
      <c r="AO242" s="346"/>
      <c r="AP242" s="346"/>
      <c r="AQ242" s="346"/>
      <c r="AR242" s="346"/>
      <c r="AS242" s="346"/>
      <c r="AT242" s="346"/>
      <c r="AU242" s="346"/>
      <c r="AV242">
        <f t="shared" si="25"/>
        <v>0</v>
      </c>
      <c r="AW242" s="351">
        <f t="shared" si="24"/>
        <v>0</v>
      </c>
    </row>
    <row r="243" spans="1:49" ht="15">
      <c r="A243" s="347" t="s">
        <v>113</v>
      </c>
      <c r="B243" s="347">
        <f>SUM(B187:B242)</f>
        <v>0</v>
      </c>
      <c r="C243" s="347">
        <f>SUM(C187:C242)</f>
        <v>0</v>
      </c>
      <c r="D243" s="347">
        <f>SUM(D187:D242)</f>
        <v>4</v>
      </c>
      <c r="E243" s="347">
        <f>SUM(E187:E242)</f>
        <v>2</v>
      </c>
      <c r="F243" s="347">
        <f>SUM(F187:F242)</f>
        <v>3</v>
      </c>
      <c r="G243" s="347">
        <f t="shared" ref="G243:AC243" si="26">SUM(G187:G242)</f>
        <v>0</v>
      </c>
      <c r="H243" s="347">
        <f t="shared" si="26"/>
        <v>0</v>
      </c>
      <c r="I243" s="347">
        <f t="shared" si="26"/>
        <v>0</v>
      </c>
      <c r="J243" s="347">
        <f t="shared" si="26"/>
        <v>9</v>
      </c>
      <c r="K243" s="347">
        <f t="shared" si="26"/>
        <v>0</v>
      </c>
      <c r="L243" s="347">
        <f t="shared" si="26"/>
        <v>0</v>
      </c>
      <c r="M243" s="347">
        <f t="shared" si="26"/>
        <v>0</v>
      </c>
      <c r="N243" s="347">
        <f t="shared" si="26"/>
        <v>0</v>
      </c>
      <c r="O243" s="347">
        <f t="shared" si="26"/>
        <v>18</v>
      </c>
      <c r="P243" s="347">
        <f t="shared" si="26"/>
        <v>0</v>
      </c>
      <c r="Q243" s="347">
        <f t="shared" si="26"/>
        <v>0</v>
      </c>
      <c r="R243" s="347">
        <f t="shared" si="26"/>
        <v>26</v>
      </c>
      <c r="S243" s="347">
        <f t="shared" si="26"/>
        <v>276</v>
      </c>
      <c r="T243" s="347">
        <f t="shared" si="26"/>
        <v>22</v>
      </c>
      <c r="U243" s="347">
        <f t="shared" si="26"/>
        <v>0</v>
      </c>
      <c r="V243" s="347">
        <f t="shared" si="26"/>
        <v>0</v>
      </c>
      <c r="W243" s="347">
        <f t="shared" si="26"/>
        <v>24</v>
      </c>
      <c r="X243" s="347">
        <f t="shared" si="26"/>
        <v>7</v>
      </c>
      <c r="Y243" s="347">
        <f t="shared" si="26"/>
        <v>195</v>
      </c>
      <c r="Z243" s="347">
        <f t="shared" si="26"/>
        <v>0</v>
      </c>
      <c r="AA243" s="347">
        <f t="shared" si="26"/>
        <v>0</v>
      </c>
      <c r="AB243" s="347">
        <f t="shared" si="26"/>
        <v>0</v>
      </c>
      <c r="AC243" s="347">
        <f t="shared" si="26"/>
        <v>603</v>
      </c>
      <c r="AD243" s="347">
        <f t="shared" ref="AD243:AV243" si="27">SUM(AD187:AD242)</f>
        <v>42</v>
      </c>
      <c r="AE243" s="347">
        <f t="shared" si="27"/>
        <v>22</v>
      </c>
      <c r="AF243" s="347">
        <f t="shared" si="27"/>
        <v>182</v>
      </c>
      <c r="AG243" s="347">
        <f t="shared" si="27"/>
        <v>228</v>
      </c>
      <c r="AH243" s="347">
        <f t="shared" si="27"/>
        <v>0</v>
      </c>
      <c r="AI243" s="347">
        <f t="shared" si="27"/>
        <v>5</v>
      </c>
      <c r="AJ243" s="347">
        <f t="shared" si="27"/>
        <v>3</v>
      </c>
      <c r="AK243" s="347">
        <f t="shared" si="27"/>
        <v>0</v>
      </c>
      <c r="AL243" s="347">
        <f t="shared" si="27"/>
        <v>0</v>
      </c>
      <c r="AM243" s="347">
        <f t="shared" si="27"/>
        <v>0</v>
      </c>
      <c r="AN243" s="347">
        <f t="shared" si="27"/>
        <v>18</v>
      </c>
      <c r="AO243" s="347">
        <f t="shared" si="27"/>
        <v>26</v>
      </c>
      <c r="AP243" s="347">
        <f t="shared" si="27"/>
        <v>0</v>
      </c>
      <c r="AQ243" s="347">
        <f t="shared" si="27"/>
        <v>0</v>
      </c>
      <c r="AR243" s="347">
        <f t="shared" si="27"/>
        <v>0</v>
      </c>
      <c r="AS243" s="347">
        <f t="shared" si="27"/>
        <v>0</v>
      </c>
      <c r="AT243" s="347">
        <f t="shared" si="27"/>
        <v>0</v>
      </c>
      <c r="AU243" s="347">
        <f t="shared" si="27"/>
        <v>0</v>
      </c>
      <c r="AV243" s="347">
        <f t="shared" si="27"/>
        <v>1715</v>
      </c>
      <c r="AW243" s="351"/>
    </row>
    <row r="244" spans="1:49" ht="15.75" thickBot="1">
      <c r="A244" s="348" t="s">
        <v>174</v>
      </c>
      <c r="B244" s="348">
        <f t="shared" ref="B244:AU244" si="28">B243/$AV243</f>
        <v>0</v>
      </c>
      <c r="C244" s="348">
        <f t="shared" si="28"/>
        <v>0</v>
      </c>
      <c r="D244" s="348">
        <f t="shared" si="28"/>
        <v>2.3323615160349854E-3</v>
      </c>
      <c r="E244" s="348">
        <f t="shared" si="28"/>
        <v>1.1661807580174927E-3</v>
      </c>
      <c r="F244" s="348">
        <f t="shared" si="28"/>
        <v>1.749271137026239E-3</v>
      </c>
      <c r="G244" s="348">
        <f t="shared" si="28"/>
        <v>0</v>
      </c>
      <c r="H244" s="348">
        <f t="shared" si="28"/>
        <v>0</v>
      </c>
      <c r="I244" s="348">
        <f t="shared" si="28"/>
        <v>0</v>
      </c>
      <c r="J244" s="348">
        <f t="shared" si="28"/>
        <v>5.2478134110787176E-3</v>
      </c>
      <c r="K244" s="348">
        <f t="shared" si="28"/>
        <v>0</v>
      </c>
      <c r="L244" s="348">
        <f t="shared" si="28"/>
        <v>0</v>
      </c>
      <c r="M244" s="348">
        <f t="shared" si="28"/>
        <v>0</v>
      </c>
      <c r="N244" s="348">
        <f t="shared" si="28"/>
        <v>0</v>
      </c>
      <c r="O244" s="348">
        <f t="shared" si="28"/>
        <v>1.0495626822157435E-2</v>
      </c>
      <c r="P244" s="348">
        <f t="shared" si="28"/>
        <v>0</v>
      </c>
      <c r="Q244" s="348">
        <f t="shared" si="28"/>
        <v>0</v>
      </c>
      <c r="R244" s="348">
        <f t="shared" si="28"/>
        <v>1.5160349854227406E-2</v>
      </c>
      <c r="S244" s="348">
        <f t="shared" si="28"/>
        <v>0.160932944606414</v>
      </c>
      <c r="T244" s="348">
        <f t="shared" si="28"/>
        <v>1.282798833819242E-2</v>
      </c>
      <c r="U244" s="348">
        <f t="shared" si="28"/>
        <v>0</v>
      </c>
      <c r="V244" s="348">
        <f t="shared" si="28"/>
        <v>0</v>
      </c>
      <c r="W244" s="348">
        <f t="shared" si="28"/>
        <v>1.3994169096209912E-2</v>
      </c>
      <c r="X244" s="348">
        <f t="shared" si="28"/>
        <v>4.0816326530612249E-3</v>
      </c>
      <c r="Y244" s="348">
        <f t="shared" si="28"/>
        <v>0.11370262390670553</v>
      </c>
      <c r="Z244" s="348">
        <f t="shared" si="28"/>
        <v>0</v>
      </c>
      <c r="AA244" s="348">
        <f t="shared" si="28"/>
        <v>0</v>
      </c>
      <c r="AB244" s="348">
        <f t="shared" si="28"/>
        <v>0</v>
      </c>
      <c r="AC244" s="348">
        <f t="shared" si="28"/>
        <v>0.35160349854227407</v>
      </c>
      <c r="AD244" s="348">
        <f t="shared" si="28"/>
        <v>2.4489795918367346E-2</v>
      </c>
      <c r="AE244" s="348">
        <f t="shared" si="28"/>
        <v>1.282798833819242E-2</v>
      </c>
      <c r="AF244" s="348">
        <f t="shared" si="28"/>
        <v>0.10612244897959183</v>
      </c>
      <c r="AG244" s="348">
        <f t="shared" si="28"/>
        <v>0.13294460641399417</v>
      </c>
      <c r="AH244" s="348">
        <f t="shared" si="28"/>
        <v>0</v>
      </c>
      <c r="AI244" s="348">
        <f t="shared" si="28"/>
        <v>2.9154518950437317E-3</v>
      </c>
      <c r="AJ244" s="348">
        <f t="shared" si="28"/>
        <v>1.749271137026239E-3</v>
      </c>
      <c r="AK244" s="348">
        <f t="shared" si="28"/>
        <v>0</v>
      </c>
      <c r="AL244" s="348">
        <f t="shared" si="28"/>
        <v>0</v>
      </c>
      <c r="AM244" s="348">
        <f t="shared" si="28"/>
        <v>0</v>
      </c>
      <c r="AN244" s="348">
        <f t="shared" si="28"/>
        <v>1.0495626822157435E-2</v>
      </c>
      <c r="AO244" s="348">
        <f t="shared" si="28"/>
        <v>1.5160349854227406E-2</v>
      </c>
      <c r="AP244" s="348">
        <f t="shared" si="28"/>
        <v>0</v>
      </c>
      <c r="AQ244" s="348">
        <f t="shared" si="28"/>
        <v>0</v>
      </c>
      <c r="AR244" s="348">
        <f t="shared" si="28"/>
        <v>0</v>
      </c>
      <c r="AS244" s="348">
        <f t="shared" si="28"/>
        <v>0</v>
      </c>
      <c r="AT244" s="348">
        <f t="shared" si="28"/>
        <v>0</v>
      </c>
      <c r="AU244" s="348">
        <f t="shared" si="28"/>
        <v>0</v>
      </c>
      <c r="AV244"/>
      <c r="AW244" s="351"/>
    </row>
    <row r="245" spans="1:49">
      <c r="A245" s="355"/>
    </row>
    <row r="246" spans="1:49" ht="18" customHeight="1">
      <c r="A246" s="355"/>
    </row>
    <row r="247" spans="1:49">
      <c r="A247" s="355"/>
    </row>
    <row r="248" spans="1:49" ht="15.75">
      <c r="A248" s="357">
        <v>46146</v>
      </c>
      <c r="B248" s="346"/>
      <c r="C248" s="346"/>
      <c r="D248" s="346"/>
      <c r="E248" s="346"/>
      <c r="F248" s="346"/>
      <c r="G248" s="346"/>
      <c r="H248" s="346"/>
      <c r="I248" s="346"/>
      <c r="J248" s="346"/>
      <c r="K248" s="346"/>
      <c r="L248" s="346"/>
      <c r="M248" s="346"/>
      <c r="N248" s="346"/>
      <c r="O248" s="346"/>
      <c r="P248" s="346"/>
      <c r="Q248" s="346"/>
      <c r="R248" s="346"/>
      <c r="S248" s="346">
        <f>3+2+2</f>
        <v>7</v>
      </c>
      <c r="T248" s="346"/>
      <c r="U248" s="346"/>
      <c r="V248" s="346"/>
      <c r="W248" s="346"/>
      <c r="X248" s="346"/>
      <c r="Y248" s="346"/>
      <c r="Z248" s="346"/>
      <c r="AA248" s="346"/>
      <c r="AB248" s="346"/>
      <c r="AC248" s="346"/>
      <c r="AD248" s="346"/>
      <c r="AE248" s="346"/>
      <c r="AF248" s="346"/>
      <c r="AG248" s="346"/>
      <c r="AH248" s="346"/>
      <c r="AI248" s="346"/>
      <c r="AJ248" s="346"/>
      <c r="AK248" s="346"/>
      <c r="AL248" s="346"/>
      <c r="AM248" s="346"/>
      <c r="AN248" s="346"/>
      <c r="AO248" s="346"/>
      <c r="AP248" s="346"/>
      <c r="AQ248" s="346"/>
      <c r="AR248" s="346"/>
      <c r="AS248" s="346"/>
      <c r="AT248" s="346"/>
      <c r="AU248" s="346"/>
      <c r="AV248">
        <f t="shared" ref="AV248:AV279" si="29">SUM(B248:AU248)</f>
        <v>7</v>
      </c>
      <c r="AW248" s="351">
        <f t="shared" ref="AW248:AW279" si="30">AV248/$AV$303</f>
        <v>8.2742316784869974E-3</v>
      </c>
    </row>
    <row r="249" spans="1:49" ht="15.75">
      <c r="A249" s="357">
        <v>46146</v>
      </c>
      <c r="B249"/>
      <c r="C249"/>
      <c r="D249"/>
      <c r="E249" s="77"/>
      <c r="F249"/>
      <c r="G249"/>
      <c r="H249"/>
      <c r="I249"/>
      <c r="J249"/>
      <c r="K249"/>
      <c r="L249"/>
      <c r="M249"/>
      <c r="N249"/>
      <c r="O249"/>
      <c r="P249"/>
      <c r="Q249"/>
      <c r="R249"/>
      <c r="S249">
        <f>1+2+2+2+2</f>
        <v>9</v>
      </c>
      <c r="T249"/>
      <c r="U249"/>
      <c r="V249"/>
      <c r="W249"/>
      <c r="X249"/>
      <c r="Y249"/>
      <c r="Z249"/>
      <c r="AA249"/>
      <c r="AB249"/>
      <c r="AC249"/>
      <c r="AD249"/>
      <c r="AE249">
        <f>2</f>
        <v>2</v>
      </c>
      <c r="AF249"/>
      <c r="AG249"/>
      <c r="AH249"/>
      <c r="AI249">
        <f>6+4</f>
        <v>10</v>
      </c>
      <c r="AJ249"/>
      <c r="AK249"/>
      <c r="AL249"/>
      <c r="AM249"/>
      <c r="AN249"/>
      <c r="AO249"/>
      <c r="AP249"/>
      <c r="AQ249"/>
      <c r="AR249"/>
      <c r="AS249"/>
      <c r="AT249"/>
      <c r="AU249"/>
      <c r="AV249">
        <f t="shared" si="29"/>
        <v>21</v>
      </c>
      <c r="AW249" s="351">
        <f t="shared" si="30"/>
        <v>2.4822695035460994E-2</v>
      </c>
    </row>
    <row r="250" spans="1:49" ht="15.75">
      <c r="A250" s="357">
        <v>46147</v>
      </c>
      <c r="B250" s="346"/>
      <c r="C250" s="346"/>
      <c r="D250" s="346"/>
      <c r="E250" s="346"/>
      <c r="F250" s="346"/>
      <c r="G250" s="346"/>
      <c r="H250" s="346"/>
      <c r="I250" s="346"/>
      <c r="J250" s="346"/>
      <c r="K250" s="346"/>
      <c r="L250" s="346"/>
      <c r="M250" s="346"/>
      <c r="N250" s="346"/>
      <c r="O250" s="346"/>
      <c r="P250" s="346"/>
      <c r="Q250" s="346"/>
      <c r="R250" s="346"/>
      <c r="S250" s="346">
        <f>3</f>
        <v>3</v>
      </c>
      <c r="T250" s="346"/>
      <c r="U250" s="346"/>
      <c r="V250" s="346">
        <f>49</f>
        <v>49</v>
      </c>
      <c r="W250" s="346"/>
      <c r="X250" s="346"/>
      <c r="Y250" s="346"/>
      <c r="Z250" s="346"/>
      <c r="AA250" s="346">
        <f>18</f>
        <v>18</v>
      </c>
      <c r="AB250" s="346"/>
      <c r="AC250" s="346"/>
      <c r="AD250" s="346"/>
      <c r="AE250" s="346">
        <f>6</f>
        <v>6</v>
      </c>
      <c r="AF250" s="346"/>
      <c r="AG250" s="346"/>
      <c r="AH250" s="346">
        <f>18</f>
        <v>18</v>
      </c>
      <c r="AI250" s="346"/>
      <c r="AJ250" s="346"/>
      <c r="AK250" s="346"/>
      <c r="AL250" s="346"/>
      <c r="AM250" s="346"/>
      <c r="AN250" s="346"/>
      <c r="AO250" s="346"/>
      <c r="AP250" s="346"/>
      <c r="AQ250" s="346"/>
      <c r="AR250" s="346"/>
      <c r="AS250" s="346"/>
      <c r="AT250" s="346"/>
      <c r="AU250" s="346"/>
      <c r="AV250">
        <f t="shared" si="29"/>
        <v>94</v>
      </c>
      <c r="AW250" s="351">
        <f t="shared" si="30"/>
        <v>0.1111111111111111</v>
      </c>
    </row>
    <row r="251" spans="1:49" ht="15.75">
      <c r="A251" s="357">
        <v>46147</v>
      </c>
      <c r="B251"/>
      <c r="C251"/>
      <c r="D251"/>
      <c r="E251"/>
      <c r="F251"/>
      <c r="G251"/>
      <c r="H251"/>
      <c r="I251"/>
      <c r="J251"/>
      <c r="K251"/>
      <c r="L251"/>
      <c r="M251"/>
      <c r="O251"/>
      <c r="P251"/>
      <c r="Q251"/>
      <c r="R251">
        <f>8</f>
        <v>8</v>
      </c>
      <c r="S251"/>
      <c r="T251"/>
      <c r="U251"/>
      <c r="V251"/>
      <c r="W251"/>
      <c r="X251"/>
      <c r="Y251"/>
      <c r="Z251"/>
      <c r="AA251"/>
      <c r="AB251"/>
      <c r="AC251"/>
      <c r="AD251"/>
      <c r="AE251"/>
      <c r="AF251"/>
      <c r="AG251"/>
      <c r="AH251"/>
      <c r="AI251"/>
      <c r="AJ251"/>
      <c r="AK251"/>
      <c r="AL251"/>
      <c r="AM251"/>
      <c r="AN251"/>
      <c r="AO251"/>
      <c r="AP251"/>
      <c r="AQ251"/>
      <c r="AR251"/>
      <c r="AS251"/>
      <c r="AT251"/>
      <c r="AU251"/>
      <c r="AV251">
        <f t="shared" si="29"/>
        <v>8</v>
      </c>
      <c r="AW251" s="351">
        <f t="shared" si="30"/>
        <v>9.4562647754137114E-3</v>
      </c>
    </row>
    <row r="252" spans="1:49" ht="15.75">
      <c r="A252" s="357">
        <v>46148</v>
      </c>
      <c r="B252" s="346"/>
      <c r="C252" s="346"/>
      <c r="D252" s="346"/>
      <c r="E252" s="346"/>
      <c r="F252" s="346"/>
      <c r="G252" s="346"/>
      <c r="H252" s="346"/>
      <c r="I252" s="346"/>
      <c r="J252" s="346"/>
      <c r="K252" s="346"/>
      <c r="L252" s="346"/>
      <c r="M252" s="346"/>
      <c r="N252" s="346"/>
      <c r="O252" s="346"/>
      <c r="P252" s="346"/>
      <c r="Q252" s="346"/>
      <c r="R252" s="346">
        <f>2+2</f>
        <v>4</v>
      </c>
      <c r="S252" s="346">
        <f>3+2+2+3+3+2+2+2+2+1+2+2+3+2+2+3+2</f>
        <v>38</v>
      </c>
      <c r="T252" s="346"/>
      <c r="U252" s="346"/>
      <c r="V252" s="346"/>
      <c r="W252" s="346"/>
      <c r="X252" s="346"/>
      <c r="Y252" s="346"/>
      <c r="Z252" s="346"/>
      <c r="AA252" s="346"/>
      <c r="AB252" s="346"/>
      <c r="AC252" s="346"/>
      <c r="AD252" s="346"/>
      <c r="AE252" s="346"/>
      <c r="AF252" s="346">
        <v>3</v>
      </c>
      <c r="AG252" s="346"/>
      <c r="AH252" s="346"/>
      <c r="AI252" s="346"/>
      <c r="AJ252" s="346"/>
      <c r="AK252" s="346"/>
      <c r="AL252" s="346"/>
      <c r="AM252" s="346"/>
      <c r="AN252" s="346"/>
      <c r="AO252" s="346"/>
      <c r="AP252" s="346"/>
      <c r="AQ252" s="346"/>
      <c r="AR252" s="346"/>
      <c r="AS252" s="346"/>
      <c r="AT252" s="346"/>
      <c r="AU252" s="346"/>
      <c r="AV252">
        <f t="shared" si="29"/>
        <v>45</v>
      </c>
      <c r="AW252" s="351">
        <f t="shared" si="30"/>
        <v>5.3191489361702128E-2</v>
      </c>
    </row>
    <row r="253" spans="1:49" ht="15.75">
      <c r="A253" s="357">
        <v>46149</v>
      </c>
      <c r="B253"/>
      <c r="C253"/>
      <c r="D253"/>
      <c r="E253"/>
      <c r="F253"/>
      <c r="G253"/>
      <c r="H253"/>
      <c r="I253"/>
      <c r="J253"/>
      <c r="K253"/>
      <c r="L253"/>
      <c r="M253"/>
      <c r="N253"/>
      <c r="O253"/>
      <c r="P253"/>
      <c r="Q253"/>
      <c r="R253"/>
      <c r="S253">
        <f>2+2+2+3+2+3+2+3+2</f>
        <v>21</v>
      </c>
      <c r="T253"/>
      <c r="U253"/>
      <c r="V253"/>
      <c r="W253"/>
      <c r="X253"/>
      <c r="Y253"/>
      <c r="Z253"/>
      <c r="AA253"/>
      <c r="AB253"/>
      <c r="AC253"/>
      <c r="AD253"/>
      <c r="AE253"/>
      <c r="AF253"/>
      <c r="AG253"/>
      <c r="AH253"/>
      <c r="AI253"/>
      <c r="AJ253"/>
      <c r="AK253"/>
      <c r="AL253"/>
      <c r="AM253"/>
      <c r="AN253"/>
      <c r="AO253"/>
      <c r="AP253"/>
      <c r="AQ253"/>
      <c r="AR253"/>
      <c r="AS253"/>
      <c r="AT253"/>
      <c r="AU253"/>
      <c r="AV253">
        <f t="shared" si="29"/>
        <v>21</v>
      </c>
      <c r="AW253" s="351">
        <f t="shared" si="30"/>
        <v>2.4822695035460994E-2</v>
      </c>
    </row>
    <row r="254" spans="1:49" ht="15.75">
      <c r="A254" s="357">
        <v>46149</v>
      </c>
      <c r="B254" s="346"/>
      <c r="C254" s="346"/>
      <c r="D254" s="346"/>
      <c r="E254" s="346"/>
      <c r="F254" s="346"/>
      <c r="G254" s="346"/>
      <c r="H254" s="346"/>
      <c r="I254" s="346"/>
      <c r="J254" s="346"/>
      <c r="K254" s="346"/>
      <c r="L254" s="346"/>
      <c r="M254" s="346"/>
      <c r="N254" s="346"/>
      <c r="O254" s="346"/>
      <c r="P254" s="346"/>
      <c r="Q254" s="346"/>
      <c r="R254" s="346"/>
      <c r="S254" s="346">
        <f>3</f>
        <v>3</v>
      </c>
      <c r="T254" s="346"/>
      <c r="U254" s="346"/>
      <c r="V254" s="346"/>
      <c r="W254" s="346"/>
      <c r="X254" s="346"/>
      <c r="Y254" s="346"/>
      <c r="Z254" s="346"/>
      <c r="AA254" s="346"/>
      <c r="AB254" s="346"/>
      <c r="AC254" s="346"/>
      <c r="AD254" s="346">
        <f>2</f>
        <v>2</v>
      </c>
      <c r="AE254" s="346"/>
      <c r="AF254" s="346"/>
      <c r="AG254" s="346"/>
      <c r="AH254" s="346"/>
      <c r="AI254" s="346"/>
      <c r="AJ254" s="346"/>
      <c r="AK254" s="346"/>
      <c r="AL254" s="346"/>
      <c r="AM254" s="346"/>
      <c r="AN254" s="346"/>
      <c r="AO254" s="346"/>
      <c r="AP254" s="346"/>
      <c r="AQ254" s="346"/>
      <c r="AR254" s="346"/>
      <c r="AS254" s="346"/>
      <c r="AT254" s="346"/>
      <c r="AU254" s="346"/>
      <c r="AV254">
        <f t="shared" si="29"/>
        <v>5</v>
      </c>
      <c r="AW254" s="351">
        <f t="shared" si="30"/>
        <v>5.9101654846335696E-3</v>
      </c>
    </row>
    <row r="255" spans="1:49" ht="15.75">
      <c r="A255" s="357">
        <v>46149</v>
      </c>
      <c r="B255"/>
      <c r="C255"/>
      <c r="D255"/>
      <c r="E255"/>
      <c r="F255"/>
      <c r="G255"/>
      <c r="H255"/>
      <c r="I255"/>
      <c r="J255"/>
      <c r="K255"/>
      <c r="L255"/>
      <c r="M255"/>
      <c r="N255"/>
      <c r="O255"/>
      <c r="P255"/>
      <c r="Q255"/>
      <c r="R255"/>
      <c r="S255">
        <f>2</f>
        <v>2</v>
      </c>
      <c r="T255"/>
      <c r="U255"/>
      <c r="V255"/>
      <c r="W255"/>
      <c r="X255"/>
      <c r="Y255"/>
      <c r="Z255"/>
      <c r="AA255"/>
      <c r="AB255"/>
      <c r="AC255"/>
      <c r="AD255"/>
      <c r="AE255"/>
      <c r="AF255"/>
      <c r="AG255"/>
      <c r="AH255"/>
      <c r="AI255"/>
      <c r="AJ255"/>
      <c r="AK255"/>
      <c r="AL255"/>
      <c r="AM255"/>
      <c r="AN255"/>
      <c r="AO255"/>
      <c r="AP255"/>
      <c r="AQ255"/>
      <c r="AR255"/>
      <c r="AS255"/>
      <c r="AT255"/>
      <c r="AU255"/>
      <c r="AV255">
        <f t="shared" si="29"/>
        <v>2</v>
      </c>
      <c r="AW255" s="351">
        <f t="shared" si="30"/>
        <v>2.3640661938534278E-3</v>
      </c>
    </row>
    <row r="256" spans="1:49" ht="15.75">
      <c r="A256" s="357">
        <v>46150</v>
      </c>
      <c r="B256" s="346"/>
      <c r="C256" s="346"/>
      <c r="D256" s="346"/>
      <c r="E256" s="346"/>
      <c r="F256" s="346"/>
      <c r="G256" s="346"/>
      <c r="H256" s="346"/>
      <c r="I256" s="346"/>
      <c r="J256" s="346"/>
      <c r="K256" s="346"/>
      <c r="L256" s="346"/>
      <c r="M256" s="346"/>
      <c r="N256" s="346"/>
      <c r="O256" s="346"/>
      <c r="P256" s="346">
        <f>3</f>
        <v>3</v>
      </c>
      <c r="Q256" s="346"/>
      <c r="R256" s="346">
        <f>1</f>
        <v>1</v>
      </c>
      <c r="S256" s="346">
        <f>2+1+3+3+3+3+3+1</f>
        <v>19</v>
      </c>
      <c r="T256" s="346"/>
      <c r="U256" s="346"/>
      <c r="V256" s="346"/>
      <c r="W256" s="346"/>
      <c r="X256" s="346">
        <v>3</v>
      </c>
      <c r="Y256" s="346"/>
      <c r="Z256" s="346"/>
      <c r="AA256" s="346"/>
      <c r="AB256" s="346"/>
      <c r="AC256" s="346"/>
      <c r="AD256" s="346"/>
      <c r="AE256" s="346"/>
      <c r="AF256" s="346"/>
      <c r="AG256" s="346"/>
      <c r="AH256" s="77"/>
      <c r="AI256" s="346"/>
      <c r="AJ256" s="346"/>
      <c r="AK256" s="346"/>
      <c r="AL256" s="346"/>
      <c r="AM256" s="346"/>
      <c r="AN256" s="346"/>
      <c r="AO256" s="346"/>
      <c r="AP256" s="346"/>
      <c r="AQ256" s="346"/>
      <c r="AR256" s="346"/>
      <c r="AS256" s="346"/>
      <c r="AT256" s="346"/>
      <c r="AU256" s="346"/>
      <c r="AV256">
        <f t="shared" si="29"/>
        <v>26</v>
      </c>
      <c r="AW256" s="351">
        <f t="shared" si="30"/>
        <v>3.0732860520094562E-2</v>
      </c>
    </row>
    <row r="257" spans="1:49" ht="15.75">
      <c r="A257" s="357">
        <v>46150</v>
      </c>
      <c r="B257"/>
      <c r="C257"/>
      <c r="D257"/>
      <c r="E257"/>
      <c r="F257"/>
      <c r="G257"/>
      <c r="H257"/>
      <c r="I257"/>
      <c r="J257"/>
      <c r="K257"/>
      <c r="L257"/>
      <c r="M257"/>
      <c r="N257"/>
      <c r="O257"/>
      <c r="P257"/>
      <c r="Q257"/>
      <c r="R257"/>
      <c r="S257">
        <f>2+2+2</f>
        <v>6</v>
      </c>
      <c r="T257"/>
      <c r="U257"/>
      <c r="V257">
        <f>3+2+2</f>
        <v>7</v>
      </c>
      <c r="W257"/>
      <c r="X257"/>
      <c r="Y257"/>
      <c r="Z257"/>
      <c r="AA257"/>
      <c r="AB257"/>
      <c r="AC257"/>
      <c r="AD257"/>
      <c r="AE257"/>
      <c r="AF257"/>
      <c r="AG257"/>
      <c r="AH257"/>
      <c r="AI257"/>
      <c r="AJ257"/>
      <c r="AK257"/>
      <c r="AL257"/>
      <c r="AM257"/>
      <c r="AN257"/>
      <c r="AO257"/>
      <c r="AP257"/>
      <c r="AQ257"/>
      <c r="AR257"/>
      <c r="AS257"/>
      <c r="AT257"/>
      <c r="AU257"/>
      <c r="AV257">
        <f t="shared" si="29"/>
        <v>13</v>
      </c>
      <c r="AW257" s="351">
        <f t="shared" si="30"/>
        <v>1.5366430260047281E-2</v>
      </c>
    </row>
    <row r="258" spans="1:49" ht="15.75">
      <c r="A258" s="357">
        <v>46151</v>
      </c>
      <c r="B258" s="346"/>
      <c r="C258" s="346"/>
      <c r="D258" s="346"/>
      <c r="E258" s="346"/>
      <c r="F258" s="346"/>
      <c r="G258" s="346"/>
      <c r="H258" s="346"/>
      <c r="I258" s="346"/>
      <c r="J258" s="346"/>
      <c r="K258" s="346"/>
      <c r="L258" s="346"/>
      <c r="M258" s="346"/>
      <c r="N258" s="346"/>
      <c r="O258" s="346"/>
      <c r="P258" s="346"/>
      <c r="Q258" s="346"/>
      <c r="R258" s="346"/>
      <c r="S258" s="346">
        <f>1+2+2</f>
        <v>5</v>
      </c>
      <c r="T258" s="346"/>
      <c r="U258" s="346"/>
      <c r="V258" s="346">
        <f>2</f>
        <v>2</v>
      </c>
      <c r="W258" s="346"/>
      <c r="X258" s="346"/>
      <c r="Y258" s="346"/>
      <c r="Z258" s="346"/>
      <c r="AA258" s="346"/>
      <c r="AB258" s="346"/>
      <c r="AC258" s="346"/>
      <c r="AD258" s="346"/>
      <c r="AE258" s="346"/>
      <c r="AF258" s="346"/>
      <c r="AG258" s="346">
        <v>4</v>
      </c>
      <c r="AH258" s="346"/>
      <c r="AI258" s="346"/>
      <c r="AJ258" s="346"/>
      <c r="AK258" s="346"/>
      <c r="AL258" s="346"/>
      <c r="AM258" s="346"/>
      <c r="AN258" s="346"/>
      <c r="AO258" s="346"/>
      <c r="AP258" s="346"/>
      <c r="AQ258" s="346"/>
      <c r="AR258" s="346"/>
      <c r="AS258" s="346"/>
      <c r="AT258" s="346"/>
      <c r="AU258" s="346"/>
      <c r="AV258">
        <f t="shared" si="29"/>
        <v>11</v>
      </c>
      <c r="AW258" s="351">
        <f t="shared" si="30"/>
        <v>1.3002364066193853E-2</v>
      </c>
    </row>
    <row r="259" spans="1:49" ht="15.75">
      <c r="A259" s="357">
        <v>46153</v>
      </c>
      <c r="O259" s="70">
        <f>4</f>
        <v>4</v>
      </c>
      <c r="R259" s="70">
        <f>2</f>
        <v>2</v>
      </c>
      <c r="S259" s="70">
        <f>3+3+3+2+2+1+2+3</f>
        <v>19</v>
      </c>
      <c r="AV259">
        <f t="shared" si="29"/>
        <v>25</v>
      </c>
      <c r="AW259" s="351">
        <f t="shared" si="30"/>
        <v>2.955082742316785E-2</v>
      </c>
    </row>
    <row r="260" spans="1:49" ht="15.75">
      <c r="A260" s="357">
        <v>46154</v>
      </c>
      <c r="B260" s="346"/>
      <c r="C260" s="346"/>
      <c r="D260" s="346"/>
      <c r="E260" s="346"/>
      <c r="F260" s="346"/>
      <c r="G260" s="346"/>
      <c r="H260" s="346"/>
      <c r="I260" s="346"/>
      <c r="J260" s="346"/>
      <c r="K260" s="346"/>
      <c r="L260" s="346"/>
      <c r="M260" s="346"/>
      <c r="N260" s="346"/>
      <c r="O260" s="346"/>
      <c r="P260" s="346"/>
      <c r="Q260" s="346"/>
      <c r="R260" s="346"/>
      <c r="S260" s="346"/>
      <c r="T260" s="346"/>
      <c r="U260" s="346"/>
      <c r="V260" s="346"/>
      <c r="W260" s="346"/>
      <c r="X260" s="346"/>
      <c r="Y260" s="346"/>
      <c r="Z260" s="346"/>
      <c r="AA260" s="346"/>
      <c r="AB260" s="346"/>
      <c r="AC260" s="346"/>
      <c r="AD260" s="346"/>
      <c r="AE260" s="346"/>
      <c r="AF260" s="346"/>
      <c r="AG260" s="346"/>
      <c r="AH260" s="346"/>
      <c r="AI260" s="346"/>
      <c r="AJ260" s="346"/>
      <c r="AK260" s="346"/>
      <c r="AL260" s="346"/>
      <c r="AM260" s="346"/>
      <c r="AN260" s="346"/>
      <c r="AO260" s="346"/>
      <c r="AP260" s="346"/>
      <c r="AQ260" s="346"/>
      <c r="AR260" s="346"/>
      <c r="AS260" s="346"/>
      <c r="AT260" s="346"/>
      <c r="AU260" s="346"/>
      <c r="AV260">
        <f t="shared" si="29"/>
        <v>0</v>
      </c>
      <c r="AW260" s="351">
        <f t="shared" si="30"/>
        <v>0</v>
      </c>
    </row>
    <row r="261" spans="1:49" ht="15.75">
      <c r="A261" s="357">
        <v>46154</v>
      </c>
      <c r="B261"/>
      <c r="C261"/>
      <c r="D261"/>
      <c r="E261"/>
      <c r="F261"/>
      <c r="G261"/>
      <c r="H261"/>
      <c r="I261">
        <f>7+3+4+2</f>
        <v>16</v>
      </c>
      <c r="J261">
        <f>2</f>
        <v>2</v>
      </c>
      <c r="K261"/>
      <c r="L261"/>
      <c r="M261"/>
      <c r="N261"/>
      <c r="O261"/>
      <c r="P261"/>
      <c r="Q261"/>
      <c r="R261"/>
      <c r="S261">
        <f>3+2+2+4+4+2+2+2</f>
        <v>21</v>
      </c>
      <c r="T261"/>
      <c r="U261"/>
      <c r="V261"/>
      <c r="W261"/>
      <c r="X261"/>
      <c r="Y261"/>
      <c r="Z261"/>
      <c r="AA261"/>
      <c r="AB261"/>
      <c r="AC261"/>
      <c r="AD261"/>
      <c r="AE261"/>
      <c r="AF261"/>
      <c r="AG261"/>
      <c r="AH261"/>
      <c r="AI261"/>
      <c r="AJ261"/>
      <c r="AK261"/>
      <c r="AL261"/>
      <c r="AM261"/>
      <c r="AN261"/>
      <c r="AO261"/>
      <c r="AP261"/>
      <c r="AQ261"/>
      <c r="AR261"/>
      <c r="AS261"/>
      <c r="AT261"/>
      <c r="AU261"/>
      <c r="AV261">
        <f t="shared" si="29"/>
        <v>39</v>
      </c>
      <c r="AW261" s="351">
        <f t="shared" si="30"/>
        <v>4.6099290780141841E-2</v>
      </c>
    </row>
    <row r="262" spans="1:49" ht="15.75">
      <c r="A262" s="357">
        <v>46155</v>
      </c>
      <c r="B262" s="346"/>
      <c r="C262" s="346"/>
      <c r="D262" s="346">
        <f>4+4+3+3</f>
        <v>14</v>
      </c>
      <c r="E262" s="346"/>
      <c r="F262" s="346"/>
      <c r="G262" s="346"/>
      <c r="H262" s="346"/>
      <c r="I262" s="346"/>
      <c r="J262" s="346"/>
      <c r="K262" s="346"/>
      <c r="L262" s="346"/>
      <c r="M262" s="346"/>
      <c r="N262" s="346"/>
      <c r="O262" s="346"/>
      <c r="P262" s="346"/>
      <c r="Q262" s="346"/>
      <c r="R262" s="346"/>
      <c r="S262" s="346"/>
      <c r="T262" s="346"/>
      <c r="U262" s="346"/>
      <c r="V262" s="346"/>
      <c r="W262" s="346"/>
      <c r="X262" s="346"/>
      <c r="Y262" s="346"/>
      <c r="Z262" s="346"/>
      <c r="AA262" s="346"/>
      <c r="AB262" s="346"/>
      <c r="AC262" s="346"/>
      <c r="AD262" s="346"/>
      <c r="AE262" s="346"/>
      <c r="AF262" s="346"/>
      <c r="AG262" s="346"/>
      <c r="AH262" s="346"/>
      <c r="AI262" s="346"/>
      <c r="AJ262" s="346"/>
      <c r="AK262" s="346"/>
      <c r="AL262" s="346"/>
      <c r="AM262" s="346"/>
      <c r="AN262" s="346"/>
      <c r="AO262" s="346"/>
      <c r="AP262" s="346"/>
      <c r="AQ262" s="346"/>
      <c r="AR262" s="346"/>
      <c r="AS262" s="346"/>
      <c r="AT262" s="346"/>
      <c r="AU262" s="346"/>
      <c r="AV262">
        <f t="shared" si="29"/>
        <v>14</v>
      </c>
      <c r="AW262" s="351">
        <f t="shared" si="30"/>
        <v>1.6548463356973995E-2</v>
      </c>
    </row>
    <row r="263" spans="1:49" ht="15.75">
      <c r="A263" s="357">
        <v>46155</v>
      </c>
      <c r="B263"/>
      <c r="C263"/>
      <c r="D263">
        <v>2</v>
      </c>
      <c r="E263"/>
      <c r="F263"/>
      <c r="G263"/>
      <c r="H263"/>
      <c r="I263"/>
      <c r="J263"/>
      <c r="K263"/>
      <c r="L263"/>
      <c r="M263"/>
      <c r="N263"/>
      <c r="O263"/>
      <c r="P263"/>
      <c r="Q263"/>
      <c r="R263"/>
      <c r="S263">
        <f>2+2+2+2+2+3+3</f>
        <v>16</v>
      </c>
      <c r="T263"/>
      <c r="U263">
        <f>2+3+3+2+4+2</f>
        <v>16</v>
      </c>
      <c r="V263"/>
      <c r="W263"/>
      <c r="X263"/>
      <c r="Y263"/>
      <c r="Z263"/>
      <c r="AA263"/>
      <c r="AB263"/>
      <c r="AC263"/>
      <c r="AD263"/>
      <c r="AE263">
        <v>6</v>
      </c>
      <c r="AF263"/>
      <c r="AG263"/>
      <c r="AH263"/>
      <c r="AI263"/>
      <c r="AJ263"/>
      <c r="AK263"/>
      <c r="AL263"/>
      <c r="AM263"/>
      <c r="AN263"/>
      <c r="AO263"/>
      <c r="AP263"/>
      <c r="AQ263"/>
      <c r="AR263"/>
      <c r="AS263"/>
      <c r="AT263"/>
      <c r="AU263"/>
      <c r="AV263">
        <f t="shared" ref="AV263" si="31">SUM(B263:AU263)</f>
        <v>40</v>
      </c>
      <c r="AW263" s="351">
        <f t="shared" ref="AW263" si="32">AV263/$AV$303</f>
        <v>4.7281323877068557E-2</v>
      </c>
    </row>
    <row r="264" spans="1:49" ht="15.75">
      <c r="A264" s="357">
        <v>46156</v>
      </c>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c r="AL264"/>
      <c r="AM264"/>
      <c r="AN264"/>
      <c r="AO264"/>
      <c r="AP264"/>
      <c r="AQ264"/>
      <c r="AR264"/>
      <c r="AS264"/>
      <c r="AT264"/>
      <c r="AU264"/>
      <c r="AV264">
        <f t="shared" ref="AV264:AV265" si="33">SUM(B264:AU264)</f>
        <v>0</v>
      </c>
      <c r="AW264" s="351">
        <f t="shared" ref="AW264:AW265" si="34">AV264/$AV$303</f>
        <v>0</v>
      </c>
    </row>
    <row r="265" spans="1:49" ht="15.75">
      <c r="A265" s="357">
        <v>46156</v>
      </c>
      <c r="B265" s="346"/>
      <c r="C265" s="346"/>
      <c r="D265" s="346"/>
      <c r="E265" s="346"/>
      <c r="F265" s="346"/>
      <c r="G265" s="346"/>
      <c r="H265" s="346">
        <v>3</v>
      </c>
      <c r="I265" s="346"/>
      <c r="J265" s="346"/>
      <c r="K265" s="346"/>
      <c r="L265" s="346"/>
      <c r="M265" s="346"/>
      <c r="N265" s="346"/>
      <c r="O265" s="346"/>
      <c r="P265" s="346"/>
      <c r="Q265" s="346"/>
      <c r="R265" s="346"/>
      <c r="S265" s="346"/>
      <c r="T265" s="346"/>
      <c r="U265" s="346"/>
      <c r="V265" s="346"/>
      <c r="W265" s="346"/>
      <c r="X265" s="346"/>
      <c r="Y265" s="346"/>
      <c r="Z265" s="346"/>
      <c r="AA265" s="346"/>
      <c r="AB265" s="346"/>
      <c r="AC265" s="346"/>
      <c r="AD265" s="346">
        <f>3+4</f>
        <v>7</v>
      </c>
      <c r="AE265" s="346"/>
      <c r="AF265" s="346"/>
      <c r="AG265" s="346"/>
      <c r="AH265" s="346"/>
      <c r="AI265" s="346"/>
      <c r="AJ265" s="346"/>
      <c r="AK265" s="346"/>
      <c r="AL265" s="346"/>
      <c r="AM265" s="346"/>
      <c r="AN265" s="346"/>
      <c r="AO265" s="346"/>
      <c r="AP265" s="346"/>
      <c r="AQ265" s="346"/>
      <c r="AR265" s="346"/>
      <c r="AS265" s="346"/>
      <c r="AT265" s="346"/>
      <c r="AU265" s="346"/>
      <c r="AV265">
        <f t="shared" si="33"/>
        <v>10</v>
      </c>
      <c r="AW265" s="351">
        <f t="shared" si="34"/>
        <v>1.1820330969267139E-2</v>
      </c>
    </row>
    <row r="266" spans="1:49" ht="15.75">
      <c r="A266" s="357">
        <v>46156</v>
      </c>
      <c r="B266" s="346"/>
      <c r="C266" s="346"/>
      <c r="D266" s="346"/>
      <c r="E266" s="346"/>
      <c r="F266" s="346"/>
      <c r="G266" s="346"/>
      <c r="H266" s="346"/>
      <c r="I266" s="346"/>
      <c r="J266" s="346"/>
      <c r="K266" s="346"/>
      <c r="L266" s="346"/>
      <c r="M266" s="346"/>
      <c r="N266" s="346"/>
      <c r="O266" s="346"/>
      <c r="P266" s="346"/>
      <c r="Q266" s="346"/>
      <c r="R266" s="346"/>
      <c r="S266" s="346">
        <f>3+3+2</f>
        <v>8</v>
      </c>
      <c r="T266" s="346">
        <f>3</f>
        <v>3</v>
      </c>
      <c r="U266" s="346"/>
      <c r="V266" s="346"/>
      <c r="W266" s="346"/>
      <c r="X266" s="346"/>
      <c r="Y266" s="346"/>
      <c r="Z266" s="346"/>
      <c r="AA266" s="346"/>
      <c r="AB266" s="346"/>
      <c r="AC266" s="346"/>
      <c r="AD266" s="346"/>
      <c r="AE266" s="346"/>
      <c r="AF266" s="346"/>
      <c r="AG266" s="346"/>
      <c r="AH266" s="346"/>
      <c r="AI266" s="346"/>
      <c r="AJ266" s="346"/>
      <c r="AK266" s="346"/>
      <c r="AL266" s="346"/>
      <c r="AM266" s="346"/>
      <c r="AN266" s="346"/>
      <c r="AO266" s="346"/>
      <c r="AP266" s="346"/>
      <c r="AQ266" s="346"/>
      <c r="AR266" s="346"/>
      <c r="AS266" s="346"/>
      <c r="AT266" s="346"/>
      <c r="AU266" s="346"/>
      <c r="AV266">
        <f t="shared" si="29"/>
        <v>11</v>
      </c>
      <c r="AW266" s="351">
        <f t="shared" si="30"/>
        <v>1.3002364066193853E-2</v>
      </c>
    </row>
    <row r="267" spans="1:49" ht="15.75">
      <c r="A267" s="357">
        <v>46156</v>
      </c>
      <c r="B267"/>
      <c r="C267"/>
      <c r="D267"/>
      <c r="E267"/>
      <c r="F267"/>
      <c r="G267"/>
      <c r="H267"/>
      <c r="I267"/>
      <c r="J267"/>
      <c r="K267"/>
      <c r="L267"/>
      <c r="M267"/>
      <c r="N267"/>
      <c r="O267"/>
      <c r="P267"/>
      <c r="Q267"/>
      <c r="R267"/>
      <c r="S267">
        <f>2</f>
        <v>2</v>
      </c>
      <c r="T267"/>
      <c r="U267"/>
      <c r="V267"/>
      <c r="W267"/>
      <c r="X267"/>
      <c r="Y267"/>
      <c r="Z267"/>
      <c r="AA267"/>
      <c r="AB267"/>
      <c r="AC267"/>
      <c r="AD267"/>
      <c r="AE267"/>
      <c r="AF267"/>
      <c r="AG267"/>
      <c r="AH267"/>
      <c r="AI267"/>
      <c r="AJ267"/>
      <c r="AK267"/>
      <c r="AL267"/>
      <c r="AM267"/>
      <c r="AN267"/>
      <c r="AO267"/>
      <c r="AP267"/>
      <c r="AQ267"/>
      <c r="AR267"/>
      <c r="AS267"/>
      <c r="AT267"/>
      <c r="AU267"/>
      <c r="AV267">
        <f t="shared" si="29"/>
        <v>2</v>
      </c>
      <c r="AW267" s="351">
        <f t="shared" si="30"/>
        <v>2.3640661938534278E-3</v>
      </c>
    </row>
    <row r="268" spans="1:49" ht="15.75">
      <c r="A268" s="357">
        <v>46157</v>
      </c>
      <c r="B268" s="346"/>
      <c r="C268" s="346"/>
      <c r="D268" s="346"/>
      <c r="E268" s="346"/>
      <c r="F268" s="346"/>
      <c r="G268" s="346"/>
      <c r="H268" s="346"/>
      <c r="I268" s="346"/>
      <c r="J268" s="346"/>
      <c r="K268" s="346"/>
      <c r="L268" s="346"/>
      <c r="M268" s="346"/>
      <c r="N268" s="346"/>
      <c r="O268" s="346"/>
      <c r="P268" s="346"/>
      <c r="Q268" s="346"/>
      <c r="R268" s="346"/>
      <c r="S268" s="346">
        <f>2+3</f>
        <v>5</v>
      </c>
      <c r="T268" s="346"/>
      <c r="U268" s="346"/>
      <c r="V268" s="346"/>
      <c r="W268" s="346"/>
      <c r="X268" s="346"/>
      <c r="Y268" s="346"/>
      <c r="Z268" s="346"/>
      <c r="AA268" s="346"/>
      <c r="AB268" s="346"/>
      <c r="AC268" s="346">
        <f>17</f>
        <v>17</v>
      </c>
      <c r="AD268" s="346"/>
      <c r="AE268" s="346"/>
      <c r="AF268" s="346"/>
      <c r="AG268" s="346"/>
      <c r="AH268" s="346"/>
      <c r="AI268" s="346"/>
      <c r="AJ268" s="346"/>
      <c r="AK268" s="346"/>
      <c r="AL268" s="346"/>
      <c r="AM268" s="346"/>
      <c r="AN268" s="346"/>
      <c r="AO268" s="346"/>
      <c r="AP268" s="346"/>
      <c r="AQ268" s="346"/>
      <c r="AR268" s="346"/>
      <c r="AS268" s="346"/>
      <c r="AT268" s="346"/>
      <c r="AU268" s="346"/>
      <c r="AV268">
        <f t="shared" si="29"/>
        <v>22</v>
      </c>
      <c r="AW268" s="351">
        <f t="shared" si="30"/>
        <v>2.6004728132387706E-2</v>
      </c>
    </row>
    <row r="269" spans="1:49" ht="15.75">
      <c r="A269" s="357">
        <v>46157</v>
      </c>
      <c r="B269"/>
      <c r="C269"/>
      <c r="D269"/>
      <c r="E269"/>
      <c r="F269"/>
      <c r="G269"/>
      <c r="H269"/>
      <c r="I269"/>
      <c r="J269"/>
      <c r="K269"/>
      <c r="L269"/>
      <c r="M269"/>
      <c r="N269"/>
      <c r="O269"/>
      <c r="P269"/>
      <c r="Q269"/>
      <c r="R269"/>
      <c r="S269">
        <f>2</f>
        <v>2</v>
      </c>
      <c r="T269"/>
      <c r="U269"/>
      <c r="V269"/>
      <c r="W269"/>
      <c r="X269"/>
      <c r="Y269"/>
      <c r="Z269"/>
      <c r="AA269"/>
      <c r="AB269"/>
      <c r="AC269"/>
      <c r="AD269"/>
      <c r="AE269"/>
      <c r="AF269"/>
      <c r="AG269"/>
      <c r="AH269"/>
      <c r="AI269"/>
      <c r="AJ269"/>
      <c r="AK269"/>
      <c r="AL269"/>
      <c r="AM269"/>
      <c r="AN269"/>
      <c r="AO269"/>
      <c r="AP269"/>
      <c r="AQ269"/>
      <c r="AR269"/>
      <c r="AS269"/>
      <c r="AT269"/>
      <c r="AU269"/>
      <c r="AV269">
        <f t="shared" si="29"/>
        <v>2</v>
      </c>
      <c r="AW269" s="351">
        <f t="shared" si="30"/>
        <v>2.3640661938534278E-3</v>
      </c>
    </row>
    <row r="270" spans="1:49" ht="15.75">
      <c r="A270" s="357">
        <v>46158</v>
      </c>
      <c r="B270" s="346"/>
      <c r="C270" s="346"/>
      <c r="D270" s="346"/>
      <c r="E270" s="346"/>
      <c r="F270" s="346"/>
      <c r="G270" s="346">
        <f>2+4+1+2</f>
        <v>9</v>
      </c>
      <c r="H270" s="346"/>
      <c r="I270" s="346"/>
      <c r="J270" s="346">
        <f>4</f>
        <v>4</v>
      </c>
      <c r="K270" s="346"/>
      <c r="L270" s="346"/>
      <c r="M270" s="346"/>
      <c r="N270" s="346"/>
      <c r="O270" s="346">
        <f>4</f>
        <v>4</v>
      </c>
      <c r="P270" s="346"/>
      <c r="Q270" s="346"/>
      <c r="R270" s="346">
        <f>9+11</f>
        <v>20</v>
      </c>
      <c r="S270" s="346">
        <f>2+1+1</f>
        <v>4</v>
      </c>
      <c r="T270" s="346"/>
      <c r="U270" s="346"/>
      <c r="V270" s="346"/>
      <c r="W270" s="346"/>
      <c r="X270" s="346"/>
      <c r="Y270" s="346"/>
      <c r="Z270" s="346"/>
      <c r="AA270" s="346"/>
      <c r="AB270" s="346"/>
      <c r="AC270" s="346"/>
      <c r="AD270" s="346"/>
      <c r="AE270" s="346"/>
      <c r="AF270" s="346"/>
      <c r="AG270" s="346"/>
      <c r="AH270" s="346"/>
      <c r="AI270" s="346"/>
      <c r="AJ270" s="346"/>
      <c r="AK270" s="346"/>
      <c r="AL270" s="346"/>
      <c r="AM270" s="346"/>
      <c r="AN270" s="346"/>
      <c r="AO270" s="346"/>
      <c r="AP270" s="346"/>
      <c r="AQ270" s="346"/>
      <c r="AR270" s="346"/>
      <c r="AS270" s="346"/>
      <c r="AT270" s="346"/>
      <c r="AU270" s="346"/>
      <c r="AV270">
        <f t="shared" si="29"/>
        <v>41</v>
      </c>
      <c r="AW270" s="351">
        <f t="shared" si="30"/>
        <v>4.8463356973995272E-2</v>
      </c>
    </row>
    <row r="271" spans="1:49" ht="15.75">
      <c r="A271" s="357">
        <v>46160</v>
      </c>
      <c r="B271"/>
      <c r="C271"/>
      <c r="D271"/>
      <c r="E271"/>
      <c r="F271"/>
      <c r="G271"/>
      <c r="H271"/>
      <c r="I271"/>
      <c r="J271"/>
      <c r="K271"/>
      <c r="L271"/>
      <c r="M271"/>
      <c r="N271"/>
      <c r="O271"/>
      <c r="P271"/>
      <c r="Q271"/>
      <c r="R271">
        <f>30</f>
        <v>30</v>
      </c>
      <c r="S271">
        <f>2+2+2+1+2+2+2</f>
        <v>13</v>
      </c>
      <c r="T271"/>
      <c r="U271"/>
      <c r="V271">
        <f>4+3+4+2+3</f>
        <v>16</v>
      </c>
      <c r="W271"/>
      <c r="X271"/>
      <c r="Y271"/>
      <c r="Z271"/>
      <c r="AA271"/>
      <c r="AB271"/>
      <c r="AC271"/>
      <c r="AD271"/>
      <c r="AE271"/>
      <c r="AF271"/>
      <c r="AG271"/>
      <c r="AH271"/>
      <c r="AI271"/>
      <c r="AJ271">
        <f>3</f>
        <v>3</v>
      </c>
      <c r="AK271"/>
      <c r="AL271"/>
      <c r="AM271"/>
      <c r="AN271"/>
      <c r="AO271"/>
      <c r="AP271"/>
      <c r="AQ271"/>
      <c r="AR271"/>
      <c r="AS271"/>
      <c r="AT271"/>
      <c r="AU271"/>
      <c r="AV271">
        <f t="shared" si="29"/>
        <v>62</v>
      </c>
      <c r="AW271" s="351">
        <f t="shared" si="30"/>
        <v>7.328605200945626E-2</v>
      </c>
    </row>
    <row r="272" spans="1:49" ht="15.75">
      <c r="A272" s="357">
        <v>46160</v>
      </c>
      <c r="B272" s="346"/>
      <c r="C272" s="346"/>
      <c r="D272" s="346"/>
      <c r="E272" s="346"/>
      <c r="F272" s="346"/>
      <c r="G272" s="346"/>
      <c r="H272" s="346"/>
      <c r="I272" s="346"/>
      <c r="J272" s="346"/>
      <c r="K272" s="346"/>
      <c r="L272" s="346"/>
      <c r="M272" s="346"/>
      <c r="N272" s="346"/>
      <c r="O272" s="346"/>
      <c r="P272" s="346"/>
      <c r="Q272" s="346"/>
      <c r="R272" s="346"/>
      <c r="S272" s="346"/>
      <c r="T272" s="346"/>
      <c r="U272" s="346"/>
      <c r="V272" s="346"/>
      <c r="W272" s="346"/>
      <c r="X272" s="346"/>
      <c r="Y272" s="346"/>
      <c r="Z272" s="346"/>
      <c r="AA272" s="346"/>
      <c r="AB272" s="346"/>
      <c r="AC272" s="346">
        <f>3</f>
        <v>3</v>
      </c>
      <c r="AD272" s="346"/>
      <c r="AE272" s="346"/>
      <c r="AF272" s="346"/>
      <c r="AG272" s="346"/>
      <c r="AH272" s="346"/>
      <c r="AI272" s="346"/>
      <c r="AJ272" s="346"/>
      <c r="AK272" s="346"/>
      <c r="AL272" s="346"/>
      <c r="AM272" s="346"/>
      <c r="AN272" s="346"/>
      <c r="AO272" s="346"/>
      <c r="AP272" s="346"/>
      <c r="AQ272" s="346"/>
      <c r="AR272" s="346"/>
      <c r="AS272" s="346"/>
      <c r="AT272" s="346"/>
      <c r="AU272" s="346"/>
      <c r="AV272">
        <f t="shared" si="29"/>
        <v>3</v>
      </c>
      <c r="AW272" s="351">
        <f t="shared" si="30"/>
        <v>3.5460992907801418E-3</v>
      </c>
    </row>
    <row r="273" spans="1:49" ht="15.75">
      <c r="A273" s="357">
        <v>46161</v>
      </c>
      <c r="B273"/>
      <c r="C273"/>
      <c r="D273"/>
      <c r="E273"/>
      <c r="F273"/>
      <c r="G273"/>
      <c r="H273"/>
      <c r="I273"/>
      <c r="J273"/>
      <c r="K273"/>
      <c r="L273"/>
      <c r="M273"/>
      <c r="N273"/>
      <c r="O273"/>
      <c r="P273"/>
      <c r="Q273"/>
      <c r="R273"/>
      <c r="S273">
        <f>1+2+2+2+1</f>
        <v>8</v>
      </c>
      <c r="T273"/>
      <c r="U273"/>
      <c r="V273"/>
      <c r="W273"/>
      <c r="X273"/>
      <c r="Y273"/>
      <c r="Z273"/>
      <c r="AA273"/>
      <c r="AB273"/>
      <c r="AC273"/>
      <c r="AD273">
        <f>26</f>
        <v>26</v>
      </c>
      <c r="AE273"/>
      <c r="AF273"/>
      <c r="AG273"/>
      <c r="AH273"/>
      <c r="AI273"/>
      <c r="AJ273"/>
      <c r="AK273"/>
      <c r="AL273"/>
      <c r="AM273"/>
      <c r="AN273"/>
      <c r="AO273"/>
      <c r="AP273"/>
      <c r="AQ273"/>
      <c r="AR273"/>
      <c r="AS273"/>
      <c r="AT273"/>
      <c r="AU273"/>
      <c r="AV273">
        <f t="shared" si="29"/>
        <v>34</v>
      </c>
      <c r="AW273" s="351">
        <f t="shared" si="30"/>
        <v>4.0189125295508277E-2</v>
      </c>
    </row>
    <row r="274" spans="1:49" ht="15.75">
      <c r="A274" s="357">
        <v>46161</v>
      </c>
      <c r="B274" s="346"/>
      <c r="C274" s="346"/>
      <c r="D274" s="346"/>
      <c r="E274" s="346"/>
      <c r="F274" s="346"/>
      <c r="G274" s="346"/>
      <c r="H274" s="346"/>
      <c r="I274" s="346"/>
      <c r="J274" s="346"/>
      <c r="K274" s="346"/>
      <c r="L274" s="346"/>
      <c r="M274" s="346"/>
      <c r="N274" s="346"/>
      <c r="O274" s="346"/>
      <c r="P274" s="346"/>
      <c r="Q274" s="346"/>
      <c r="R274" s="346"/>
      <c r="S274" s="346"/>
      <c r="T274" s="346"/>
      <c r="U274" s="346"/>
      <c r="V274" s="346">
        <f>5+11</f>
        <v>16</v>
      </c>
      <c r="W274" s="346"/>
      <c r="X274" s="346"/>
      <c r="Y274" s="346"/>
      <c r="Z274" s="346"/>
      <c r="AA274" s="346"/>
      <c r="AB274" s="346"/>
      <c r="AC274" s="346"/>
      <c r="AD274" s="346"/>
      <c r="AE274" s="346"/>
      <c r="AF274" s="346"/>
      <c r="AG274" s="346"/>
      <c r="AH274" s="346"/>
      <c r="AI274" s="346"/>
      <c r="AJ274" s="346"/>
      <c r="AK274" s="346"/>
      <c r="AL274" s="346"/>
      <c r="AM274" s="346"/>
      <c r="AN274" s="346"/>
      <c r="AO274" s="346"/>
      <c r="AP274" s="346"/>
      <c r="AQ274" s="346"/>
      <c r="AR274" s="346"/>
      <c r="AS274" s="346"/>
      <c r="AT274" s="346"/>
      <c r="AU274" s="346"/>
      <c r="AV274">
        <f t="shared" si="29"/>
        <v>16</v>
      </c>
      <c r="AW274" s="351">
        <f t="shared" si="30"/>
        <v>1.8912529550827423E-2</v>
      </c>
    </row>
    <row r="275" spans="1:49" ht="15.75">
      <c r="A275" s="357">
        <v>46161</v>
      </c>
      <c r="B275"/>
      <c r="C275"/>
      <c r="D275"/>
      <c r="E275"/>
      <c r="F275"/>
      <c r="G275"/>
      <c r="H275"/>
      <c r="I275"/>
      <c r="J275"/>
      <c r="K275"/>
      <c r="L275"/>
      <c r="M275"/>
      <c r="N275"/>
      <c r="O275"/>
      <c r="P275"/>
      <c r="Q275"/>
      <c r="R275">
        <f>4+3</f>
        <v>7</v>
      </c>
      <c r="S275"/>
      <c r="T275"/>
      <c r="U275"/>
      <c r="V275"/>
      <c r="W275"/>
      <c r="X275"/>
      <c r="Y275"/>
      <c r="Z275"/>
      <c r="AA275"/>
      <c r="AB275"/>
      <c r="AC275"/>
      <c r="AD275"/>
      <c r="AE275"/>
      <c r="AF275"/>
      <c r="AG275"/>
      <c r="AH275"/>
      <c r="AI275"/>
      <c r="AJ275"/>
      <c r="AK275"/>
      <c r="AL275"/>
      <c r="AM275"/>
      <c r="AN275"/>
      <c r="AO275"/>
      <c r="AQ275"/>
      <c r="AR275"/>
      <c r="AS275"/>
      <c r="AT275"/>
      <c r="AU275"/>
      <c r="AV275">
        <f t="shared" si="29"/>
        <v>7</v>
      </c>
      <c r="AW275" s="351">
        <f t="shared" si="30"/>
        <v>8.2742316784869974E-3</v>
      </c>
    </row>
    <row r="276" spans="1:49" ht="15.75">
      <c r="A276" s="357">
        <v>46162</v>
      </c>
      <c r="B276" s="346"/>
      <c r="C276" s="346"/>
      <c r="D276" s="346"/>
      <c r="E276" s="346"/>
      <c r="F276" s="346"/>
      <c r="G276" s="346"/>
      <c r="H276" s="346"/>
      <c r="I276" s="346"/>
      <c r="J276" s="346"/>
      <c r="K276" s="346"/>
      <c r="L276" s="346"/>
      <c r="M276" s="346"/>
      <c r="N276" s="346"/>
      <c r="O276" s="346"/>
      <c r="P276" s="346"/>
      <c r="Q276" s="346"/>
      <c r="R276" s="346"/>
      <c r="S276" s="346">
        <f>1+2+2+2+2+2</f>
        <v>11</v>
      </c>
      <c r="T276" s="346"/>
      <c r="U276" s="346"/>
      <c r="V276" s="346"/>
      <c r="W276" s="346"/>
      <c r="X276" s="346"/>
      <c r="Y276" s="346"/>
      <c r="Z276" s="346"/>
      <c r="AA276" s="346"/>
      <c r="AB276" s="346"/>
      <c r="AC276" s="346"/>
      <c r="AD276" s="346">
        <f>2</f>
        <v>2</v>
      </c>
      <c r="AE276" s="346"/>
      <c r="AF276" s="346"/>
      <c r="AG276" s="346"/>
      <c r="AH276" s="346"/>
      <c r="AI276" s="346"/>
      <c r="AJ276" s="346"/>
      <c r="AK276" s="346"/>
      <c r="AL276" s="346"/>
      <c r="AM276" s="346"/>
      <c r="AN276" s="346"/>
      <c r="AO276" s="346"/>
      <c r="AP276" s="346"/>
      <c r="AQ276" s="346"/>
      <c r="AR276" s="346"/>
      <c r="AS276" s="346"/>
      <c r="AT276" s="346"/>
      <c r="AU276" s="346"/>
      <c r="AV276">
        <f t="shared" si="29"/>
        <v>13</v>
      </c>
      <c r="AW276" s="351">
        <f t="shared" si="30"/>
        <v>1.5366430260047281E-2</v>
      </c>
    </row>
    <row r="277" spans="1:49" ht="15.75">
      <c r="A277" s="357">
        <v>46162</v>
      </c>
      <c r="B277"/>
      <c r="C277"/>
      <c r="D277"/>
      <c r="E277"/>
      <c r="F277"/>
      <c r="G277"/>
      <c r="H277"/>
      <c r="I277"/>
      <c r="J277"/>
      <c r="K277"/>
      <c r="L277"/>
      <c r="M277"/>
      <c r="N277"/>
      <c r="O277"/>
      <c r="P277"/>
      <c r="Q277"/>
      <c r="R277"/>
      <c r="S277">
        <v>1</v>
      </c>
      <c r="T277"/>
      <c r="U277"/>
      <c r="V277"/>
      <c r="W277"/>
      <c r="X277"/>
      <c r="Y277"/>
      <c r="Z277"/>
      <c r="AA277"/>
      <c r="AB277"/>
      <c r="AC277"/>
      <c r="AD277"/>
      <c r="AE277"/>
      <c r="AF277"/>
      <c r="AG277"/>
      <c r="AH277"/>
      <c r="AI277"/>
      <c r="AJ277"/>
      <c r="AL277"/>
      <c r="AM277"/>
      <c r="AN277"/>
      <c r="AO277"/>
      <c r="AP277"/>
      <c r="AQ277"/>
      <c r="AR277"/>
      <c r="AS277"/>
      <c r="AT277"/>
      <c r="AU277"/>
      <c r="AV277">
        <f t="shared" si="29"/>
        <v>1</v>
      </c>
      <c r="AW277" s="351">
        <f t="shared" si="30"/>
        <v>1.1820330969267139E-3</v>
      </c>
    </row>
    <row r="278" spans="1:49" ht="15.75">
      <c r="A278" s="357">
        <v>46163</v>
      </c>
      <c r="B278" s="346"/>
      <c r="C278" s="346"/>
      <c r="D278" s="346"/>
      <c r="E278" s="346"/>
      <c r="F278" s="346"/>
      <c r="G278" s="346"/>
      <c r="H278" s="346"/>
      <c r="I278" s="346"/>
      <c r="J278" s="346"/>
      <c r="K278" s="346"/>
      <c r="L278" s="346"/>
      <c r="M278" s="346"/>
      <c r="N278" s="346"/>
      <c r="O278" s="346"/>
      <c r="P278" s="346"/>
      <c r="Q278" s="346"/>
      <c r="R278" s="346"/>
      <c r="S278" s="346">
        <f>2</f>
        <v>2</v>
      </c>
      <c r="T278" s="346"/>
      <c r="U278" s="346"/>
      <c r="V278" s="346"/>
      <c r="W278" s="346"/>
      <c r="X278" s="346"/>
      <c r="Y278" s="346"/>
      <c r="Z278" s="346"/>
      <c r="AA278" s="346"/>
      <c r="AB278" s="346"/>
      <c r="AC278" s="346"/>
      <c r="AD278" s="346">
        <f>2</f>
        <v>2</v>
      </c>
      <c r="AE278" s="346"/>
      <c r="AF278" s="346"/>
      <c r="AG278" s="346"/>
      <c r="AH278" s="346"/>
      <c r="AI278" s="346"/>
      <c r="AJ278" s="346"/>
      <c r="AK278" s="346"/>
      <c r="AL278" s="346"/>
      <c r="AM278" s="346"/>
      <c r="AN278" s="346"/>
      <c r="AO278" s="346"/>
      <c r="AP278" s="346"/>
      <c r="AQ278" s="346"/>
      <c r="AR278" s="346"/>
      <c r="AS278" s="346"/>
      <c r="AT278" s="346"/>
      <c r="AU278" s="346"/>
      <c r="AV278">
        <f t="shared" si="29"/>
        <v>4</v>
      </c>
      <c r="AW278" s="351">
        <f t="shared" si="30"/>
        <v>4.7281323877068557E-3</v>
      </c>
    </row>
    <row r="279" spans="1:49" ht="15.75">
      <c r="A279" s="357">
        <v>46163</v>
      </c>
      <c r="B279"/>
      <c r="C279"/>
      <c r="D279"/>
      <c r="E279"/>
      <c r="F279"/>
      <c r="G279"/>
      <c r="H279"/>
      <c r="I279"/>
      <c r="J279"/>
      <c r="K279"/>
      <c r="L279"/>
      <c r="M279"/>
      <c r="N279"/>
      <c r="O279"/>
      <c r="P279"/>
      <c r="Q279"/>
      <c r="R279"/>
      <c r="S279">
        <f>2+2+2+2+1+2+2</f>
        <v>13</v>
      </c>
      <c r="T279"/>
      <c r="U279"/>
      <c r="V279">
        <v>1</v>
      </c>
      <c r="W279"/>
      <c r="X279"/>
      <c r="Y279"/>
      <c r="Z279"/>
      <c r="AA279"/>
      <c r="AB279"/>
      <c r="AC279"/>
      <c r="AD279"/>
      <c r="AE279"/>
      <c r="AF279">
        <f>20</f>
        <v>20</v>
      </c>
      <c r="AG279"/>
      <c r="AH279"/>
      <c r="AI279"/>
      <c r="AJ279"/>
      <c r="AK279"/>
      <c r="AL279"/>
      <c r="AM279"/>
      <c r="AN279"/>
      <c r="AO279">
        <f>3</f>
        <v>3</v>
      </c>
      <c r="AP279"/>
      <c r="AQ279"/>
      <c r="AR279"/>
      <c r="AS279"/>
      <c r="AT279"/>
      <c r="AU279"/>
      <c r="AV279">
        <f t="shared" si="29"/>
        <v>37</v>
      </c>
      <c r="AW279" s="351">
        <f t="shared" si="30"/>
        <v>4.3735224586288417E-2</v>
      </c>
    </row>
    <row r="280" spans="1:49" ht="15.75">
      <c r="A280" s="357">
        <v>46163</v>
      </c>
      <c r="B280" s="346"/>
      <c r="C280" s="346"/>
      <c r="D280" s="346"/>
      <c r="E280" s="346"/>
      <c r="F280" s="346"/>
      <c r="G280" s="346"/>
      <c r="H280" s="346"/>
      <c r="I280" s="346"/>
      <c r="J280" s="346"/>
      <c r="K280" s="346"/>
      <c r="L280" s="346"/>
      <c r="M280" s="346"/>
      <c r="N280" s="346"/>
      <c r="O280" s="346">
        <f>30+3</f>
        <v>33</v>
      </c>
      <c r="P280" s="346"/>
      <c r="Q280" s="346"/>
      <c r="R280" s="346">
        <f>3</f>
        <v>3</v>
      </c>
      <c r="S280" s="346">
        <f>3+2+2</f>
        <v>7</v>
      </c>
      <c r="T280" s="346"/>
      <c r="U280" s="346"/>
      <c r="V280" s="346">
        <f>3</f>
        <v>3</v>
      </c>
      <c r="W280" s="346"/>
      <c r="X280" s="346"/>
      <c r="Y280" s="346"/>
      <c r="Z280" s="346"/>
      <c r="AA280" s="346"/>
      <c r="AB280" s="346"/>
      <c r="AC280" s="346"/>
      <c r="AD280" s="346">
        <f>16+8+18</f>
        <v>42</v>
      </c>
      <c r="AE280" s="346"/>
      <c r="AF280" s="346"/>
      <c r="AG280" s="346"/>
      <c r="AH280" s="346"/>
      <c r="AI280" s="346"/>
      <c r="AJ280" s="346"/>
      <c r="AK280" s="346"/>
      <c r="AL280" s="346"/>
      <c r="AM280" s="346"/>
      <c r="AN280" s="346"/>
      <c r="AO280" s="346"/>
      <c r="AP280" s="346"/>
      <c r="AQ280" s="346"/>
      <c r="AR280" s="346"/>
      <c r="AS280" s="346"/>
      <c r="AT280" s="346"/>
      <c r="AU280" s="346"/>
      <c r="AV280">
        <f t="shared" ref="AV280:AV302" si="35">SUM(B280:AU280)</f>
        <v>88</v>
      </c>
      <c r="AW280" s="351">
        <f t="shared" ref="AW280:AW302" si="36">AV280/$AV$303</f>
        <v>0.10401891252955082</v>
      </c>
    </row>
    <row r="281" spans="1:49" ht="15.75">
      <c r="A281" s="357">
        <v>46164</v>
      </c>
      <c r="B281"/>
      <c r="C281"/>
      <c r="D281"/>
      <c r="E281"/>
      <c r="F281"/>
      <c r="G281"/>
      <c r="H281"/>
      <c r="I281"/>
      <c r="J281"/>
      <c r="K281"/>
      <c r="L281"/>
      <c r="M281"/>
      <c r="N281"/>
      <c r="O281"/>
      <c r="P281"/>
      <c r="Q281"/>
      <c r="R281"/>
      <c r="S281">
        <f>2+2+2</f>
        <v>6</v>
      </c>
      <c r="T281"/>
      <c r="U281"/>
      <c r="V281">
        <f>3</f>
        <v>3</v>
      </c>
      <c r="W281"/>
      <c r="X281"/>
      <c r="Y281"/>
      <c r="Z281">
        <f>3+2+2+1</f>
        <v>8</v>
      </c>
      <c r="AA281"/>
      <c r="AB281"/>
      <c r="AC281"/>
      <c r="AD281">
        <f>2+37+7</f>
        <v>46</v>
      </c>
      <c r="AE281"/>
      <c r="AF281"/>
      <c r="AG281"/>
      <c r="AH281"/>
      <c r="AI281"/>
      <c r="AJ281"/>
      <c r="AK281"/>
      <c r="AL281"/>
      <c r="AM281"/>
      <c r="AN281"/>
      <c r="AO281"/>
      <c r="AP281"/>
      <c r="AQ281"/>
      <c r="AR281"/>
      <c r="AS281"/>
      <c r="AT281"/>
      <c r="AU281"/>
      <c r="AV281">
        <f t="shared" si="35"/>
        <v>63</v>
      </c>
      <c r="AW281" s="351">
        <f t="shared" si="36"/>
        <v>7.4468085106382975E-2</v>
      </c>
    </row>
    <row r="282" spans="1:49" ht="15.75">
      <c r="A282" s="357">
        <v>46164</v>
      </c>
      <c r="B282" s="346"/>
      <c r="C282" s="346"/>
      <c r="D282" s="346"/>
      <c r="E282" s="346">
        <f>15</f>
        <v>15</v>
      </c>
      <c r="F282" s="346"/>
      <c r="G282" s="346"/>
      <c r="H282" s="346"/>
      <c r="I282" s="346"/>
      <c r="J282" s="346"/>
      <c r="K282" s="346"/>
      <c r="L282" s="346"/>
      <c r="M282" s="346"/>
      <c r="N282" s="346"/>
      <c r="O282" s="346"/>
      <c r="P282" s="346"/>
      <c r="Q282" s="346"/>
      <c r="R282" s="346"/>
      <c r="S282" s="346">
        <f>2+3+2+3</f>
        <v>10</v>
      </c>
      <c r="T282" s="346"/>
      <c r="U282" s="346"/>
      <c r="V282" s="346"/>
      <c r="W282" s="346"/>
      <c r="X282" s="346"/>
      <c r="Y282" s="346"/>
      <c r="Z282" s="346"/>
      <c r="AA282" s="346"/>
      <c r="AB282" s="346"/>
      <c r="AC282" s="346"/>
      <c r="AD282" s="346"/>
      <c r="AE282" s="346"/>
      <c r="AF282" s="346"/>
      <c r="AG282" s="346"/>
      <c r="AH282" s="346"/>
      <c r="AI282" s="346"/>
      <c r="AJ282" s="346"/>
      <c r="AK282" s="346"/>
      <c r="AL282" s="346"/>
      <c r="AM282" s="346"/>
      <c r="AN282" s="346"/>
      <c r="AO282" s="346"/>
      <c r="AP282" s="346"/>
      <c r="AQ282" s="346"/>
      <c r="AR282" s="346"/>
      <c r="AS282" s="346"/>
      <c r="AT282" s="346"/>
      <c r="AU282" s="346"/>
      <c r="AV282">
        <f t="shared" si="35"/>
        <v>25</v>
      </c>
      <c r="AW282" s="351">
        <f t="shared" si="36"/>
        <v>2.955082742316785E-2</v>
      </c>
    </row>
    <row r="283" spans="1:49" ht="15.75">
      <c r="A283" s="357">
        <v>46164</v>
      </c>
      <c r="B283"/>
      <c r="C283"/>
      <c r="D283"/>
      <c r="E283"/>
      <c r="F283"/>
      <c r="G283"/>
      <c r="H283"/>
      <c r="I283"/>
      <c r="J283"/>
      <c r="K283"/>
      <c r="L283"/>
      <c r="M283"/>
      <c r="N283"/>
      <c r="O283"/>
      <c r="P283"/>
      <c r="Q283"/>
      <c r="R283"/>
      <c r="S283">
        <f>2</f>
        <v>2</v>
      </c>
      <c r="T283"/>
      <c r="U283"/>
      <c r="V283">
        <f>5</f>
        <v>5</v>
      </c>
      <c r="W283"/>
      <c r="X283"/>
      <c r="Y283"/>
      <c r="Z283"/>
      <c r="AA283"/>
      <c r="AB283"/>
      <c r="AC283"/>
      <c r="AD283"/>
      <c r="AE283"/>
      <c r="AF283"/>
      <c r="AG283"/>
      <c r="AH283"/>
      <c r="AI283"/>
      <c r="AJ283"/>
      <c r="AK283"/>
      <c r="AL283"/>
      <c r="AM283"/>
      <c r="AN283"/>
      <c r="AO283"/>
      <c r="AP283"/>
      <c r="AQ283"/>
      <c r="AR283"/>
      <c r="AS283"/>
      <c r="AT283"/>
      <c r="AU283"/>
      <c r="AV283">
        <f t="shared" si="35"/>
        <v>7</v>
      </c>
      <c r="AW283" s="351">
        <f t="shared" si="36"/>
        <v>8.2742316784869974E-3</v>
      </c>
    </row>
    <row r="284" spans="1:49" ht="15.75">
      <c r="A284" s="357">
        <v>46168</v>
      </c>
      <c r="B284" s="346"/>
      <c r="C284" s="346"/>
      <c r="D284" s="346"/>
      <c r="E284" s="346"/>
      <c r="F284" s="346">
        <f>2</f>
        <v>2</v>
      </c>
      <c r="G284" s="346"/>
      <c r="H284" s="346"/>
      <c r="I284" s="346"/>
      <c r="J284" s="346"/>
      <c r="K284" s="346"/>
      <c r="L284" s="346"/>
      <c r="M284" s="346"/>
      <c r="N284" s="346"/>
      <c r="O284" s="346"/>
      <c r="P284" s="346"/>
      <c r="Q284" s="346"/>
      <c r="R284" s="346"/>
      <c r="S284" s="346">
        <f>2+2+2+2</f>
        <v>8</v>
      </c>
      <c r="T284" s="346"/>
      <c r="U284" s="346"/>
      <c r="V284" s="346"/>
      <c r="W284" s="346"/>
      <c r="X284" s="346"/>
      <c r="Y284" s="346"/>
      <c r="Z284" s="346"/>
      <c r="AA284" s="346"/>
      <c r="AB284" s="346"/>
      <c r="AC284" s="346"/>
      <c r="AD284" s="346"/>
      <c r="AE284" s="346"/>
      <c r="AF284" s="346"/>
      <c r="AG284" s="346"/>
      <c r="AH284" s="346"/>
      <c r="AI284" s="346"/>
      <c r="AJ284" s="346"/>
      <c r="AK284" s="346"/>
      <c r="AL284" s="346"/>
      <c r="AM284" s="346"/>
      <c r="AN284" s="346"/>
      <c r="AO284" s="346"/>
      <c r="AP284" s="346"/>
      <c r="AQ284" s="346"/>
      <c r="AR284" s="346"/>
      <c r="AS284" s="346"/>
      <c r="AT284" s="346"/>
      <c r="AU284" s="346"/>
      <c r="AV284">
        <f t="shared" si="35"/>
        <v>10</v>
      </c>
      <c r="AW284" s="351">
        <f t="shared" si="36"/>
        <v>1.1820330969267139E-2</v>
      </c>
    </row>
    <row r="285" spans="1:49" ht="15.75">
      <c r="A285" s="357">
        <v>46169</v>
      </c>
      <c r="B285"/>
      <c r="C285"/>
      <c r="D285"/>
      <c r="E285"/>
      <c r="F285"/>
      <c r="G285"/>
      <c r="H285"/>
      <c r="I285"/>
      <c r="J285"/>
      <c r="K285"/>
      <c r="L285"/>
      <c r="M285"/>
      <c r="N285"/>
      <c r="O285"/>
      <c r="P285"/>
      <c r="Q285"/>
      <c r="R285"/>
      <c r="S285">
        <f>2+2+2+2+2+1+2</f>
        <v>13</v>
      </c>
      <c r="T285"/>
      <c r="U285"/>
      <c r="V285"/>
      <c r="W285"/>
      <c r="X285"/>
      <c r="Y285"/>
      <c r="Z285"/>
      <c r="AA285"/>
      <c r="AB285"/>
      <c r="AC285"/>
      <c r="AD285"/>
      <c r="AE285"/>
      <c r="AF285"/>
      <c r="AG285"/>
      <c r="AH285"/>
      <c r="AI285"/>
      <c r="AJ285"/>
      <c r="AK285"/>
      <c r="AL285"/>
      <c r="AM285"/>
      <c r="AN285"/>
      <c r="AO285"/>
      <c r="AP285"/>
      <c r="AQ285"/>
      <c r="AR285"/>
      <c r="AS285"/>
      <c r="AT285"/>
      <c r="AU285"/>
      <c r="AV285">
        <f t="shared" si="35"/>
        <v>13</v>
      </c>
      <c r="AW285" s="351">
        <f t="shared" si="36"/>
        <v>1.5366430260047281E-2</v>
      </c>
    </row>
    <row r="286" spans="1:49" ht="15.75">
      <c r="A286" s="357">
        <v>46169</v>
      </c>
      <c r="B286" s="346"/>
      <c r="C286" s="346"/>
      <c r="D286" s="346"/>
      <c r="E286" s="346"/>
      <c r="F286" s="346"/>
      <c r="G286" s="346"/>
      <c r="H286" s="346"/>
      <c r="I286" s="346"/>
      <c r="J286" s="346"/>
      <c r="K286" s="346"/>
      <c r="L286" s="346"/>
      <c r="M286" s="346"/>
      <c r="N286" s="346"/>
      <c r="O286" s="346"/>
      <c r="P286" s="346"/>
      <c r="Q286" s="346"/>
      <c r="R286" s="346"/>
      <c r="S286" s="346">
        <f>2+1+1</f>
        <v>4</v>
      </c>
      <c r="T286" s="346"/>
      <c r="U286" s="346"/>
      <c r="V286" s="346"/>
      <c r="W286" s="346"/>
      <c r="X286" s="346"/>
      <c r="Y286" s="346"/>
      <c r="Z286" s="346"/>
      <c r="AA286" s="346"/>
      <c r="AB286" s="346"/>
      <c r="AC286" s="346"/>
      <c r="AD286" s="346"/>
      <c r="AE286" s="346"/>
      <c r="AF286" s="346"/>
      <c r="AG286" s="346"/>
      <c r="AH286" s="346"/>
      <c r="AI286" s="346"/>
      <c r="AJ286" s="346"/>
      <c r="AK286" s="346"/>
      <c r="AL286" s="346"/>
      <c r="AM286" s="346"/>
      <c r="AN286" s="346"/>
      <c r="AO286" s="346"/>
      <c r="AP286" s="346"/>
      <c r="AQ286" s="346"/>
      <c r="AR286" s="346"/>
      <c r="AS286" s="346"/>
      <c r="AT286" s="346"/>
      <c r="AU286" s="346"/>
      <c r="AV286">
        <f t="shared" si="35"/>
        <v>4</v>
      </c>
      <c r="AW286" s="351">
        <f t="shared" si="36"/>
        <v>4.7281323877068557E-3</v>
      </c>
    </row>
    <row r="287" spans="1:49" ht="15.75">
      <c r="A287" s="357">
        <v>46170</v>
      </c>
      <c r="B287"/>
      <c r="C287"/>
      <c r="D287"/>
      <c r="E287"/>
      <c r="F287"/>
      <c r="G287"/>
      <c r="H287"/>
      <c r="I287"/>
      <c r="J287"/>
      <c r="K287"/>
      <c r="L287"/>
      <c r="M287"/>
      <c r="N287"/>
      <c r="O287"/>
      <c r="P287"/>
      <c r="Q287"/>
      <c r="R287"/>
      <c r="S287"/>
      <c r="T287"/>
      <c r="U287"/>
      <c r="V287"/>
      <c r="W287"/>
      <c r="X287"/>
      <c r="Y287"/>
      <c r="Z287"/>
      <c r="AA287"/>
      <c r="AB287"/>
      <c r="AC287"/>
      <c r="AD287"/>
      <c r="AE287"/>
      <c r="AF287"/>
      <c r="AG287"/>
      <c r="AH287"/>
      <c r="AI287"/>
      <c r="AJ287"/>
      <c r="AK287"/>
      <c r="AL287"/>
      <c r="AM287"/>
      <c r="AN287"/>
      <c r="AO287"/>
      <c r="AP287"/>
      <c r="AQ287"/>
      <c r="AR287"/>
      <c r="AS287"/>
      <c r="AT287"/>
      <c r="AU287"/>
      <c r="AV287">
        <f t="shared" si="35"/>
        <v>0</v>
      </c>
      <c r="AW287" s="351">
        <f t="shared" si="36"/>
        <v>0</v>
      </c>
    </row>
    <row r="288" spans="1:49" ht="15.75">
      <c r="A288" s="357"/>
      <c r="B288" s="346"/>
      <c r="C288" s="346"/>
      <c r="D288" s="346"/>
      <c r="E288" s="346"/>
      <c r="F288" s="346"/>
      <c r="G288" s="346"/>
      <c r="H288" s="346"/>
      <c r="I288" s="346"/>
      <c r="J288" s="346"/>
      <c r="K288" s="346"/>
      <c r="L288" s="346"/>
      <c r="M288" s="346"/>
      <c r="N288" s="346"/>
      <c r="O288" s="346"/>
      <c r="P288" s="346"/>
      <c r="Q288" s="346"/>
      <c r="R288" s="346"/>
      <c r="S288" s="346"/>
      <c r="T288" s="346"/>
      <c r="U288" s="346"/>
      <c r="V288" s="346"/>
      <c r="W288" s="346"/>
      <c r="X288" s="346"/>
      <c r="Y288" s="346"/>
      <c r="Z288" s="346"/>
      <c r="AA288" s="346"/>
      <c r="AB288" s="346"/>
      <c r="AC288" s="346"/>
      <c r="AD288" s="346"/>
      <c r="AE288" s="346"/>
      <c r="AF288" s="346"/>
      <c r="AG288" s="346"/>
      <c r="AH288" s="346"/>
      <c r="AI288" s="346"/>
      <c r="AJ288" s="346"/>
      <c r="AK288" s="346"/>
      <c r="AL288" s="346"/>
      <c r="AM288" s="346"/>
      <c r="AN288" s="346"/>
      <c r="AO288" s="346"/>
      <c r="AP288" s="346"/>
      <c r="AQ288" s="346"/>
      <c r="AR288" s="346"/>
      <c r="AS288" s="346"/>
      <c r="AT288" s="346"/>
      <c r="AU288" s="346"/>
      <c r="AV288">
        <f t="shared" si="35"/>
        <v>0</v>
      </c>
      <c r="AW288" s="351">
        <f t="shared" si="36"/>
        <v>0</v>
      </c>
    </row>
    <row r="289" spans="1:49" ht="15.75" hidden="1">
      <c r="A289" s="357"/>
      <c r="B289"/>
      <c r="C289"/>
      <c r="D289"/>
      <c r="E289"/>
      <c r="F289"/>
      <c r="G289"/>
      <c r="H289"/>
      <c r="I289"/>
      <c r="J289"/>
      <c r="K289"/>
      <c r="L289"/>
      <c r="M289"/>
      <c r="N289"/>
      <c r="O289"/>
      <c r="P289"/>
      <c r="Q289"/>
      <c r="R289"/>
      <c r="S289"/>
      <c r="T289"/>
      <c r="U289"/>
      <c r="V289"/>
      <c r="W289"/>
      <c r="X289"/>
      <c r="Y289"/>
      <c r="Z289"/>
      <c r="AA289"/>
      <c r="AB289"/>
      <c r="AC289"/>
      <c r="AD289"/>
      <c r="AE289"/>
      <c r="AF289"/>
      <c r="AG289"/>
      <c r="AH289"/>
      <c r="AI289"/>
      <c r="AJ289"/>
      <c r="AK289"/>
      <c r="AL289"/>
      <c r="AM289"/>
      <c r="AN289"/>
      <c r="AO289"/>
      <c r="AP289"/>
      <c r="AQ289"/>
      <c r="AR289"/>
      <c r="AS289"/>
      <c r="AT289"/>
      <c r="AU289"/>
      <c r="AV289">
        <f t="shared" si="35"/>
        <v>0</v>
      </c>
      <c r="AW289" s="351">
        <f t="shared" si="36"/>
        <v>0</v>
      </c>
    </row>
    <row r="290" spans="1:49" ht="15.75" hidden="1">
      <c r="A290" s="357"/>
      <c r="B290" s="346"/>
      <c r="C290" s="346"/>
      <c r="D290" s="346"/>
      <c r="E290" s="346"/>
      <c r="F290" s="346"/>
      <c r="G290" s="346"/>
      <c r="H290" s="346"/>
      <c r="I290" s="346"/>
      <c r="J290" s="346"/>
      <c r="K290" s="346"/>
      <c r="L290" s="346"/>
      <c r="M290" s="346"/>
      <c r="N290" s="346"/>
      <c r="O290" s="346"/>
      <c r="P290" s="346"/>
      <c r="Q290" s="346"/>
      <c r="R290" s="346"/>
      <c r="S290" s="346"/>
      <c r="T290" s="346"/>
      <c r="U290" s="346"/>
      <c r="V290" s="346"/>
      <c r="W290" s="346"/>
      <c r="X290" s="346"/>
      <c r="Y290" s="346"/>
      <c r="Z290" s="346"/>
      <c r="AA290" s="346"/>
      <c r="AB290" s="346"/>
      <c r="AC290" s="346"/>
      <c r="AD290" s="346"/>
      <c r="AE290" s="346"/>
      <c r="AF290" s="346"/>
      <c r="AG290" s="346"/>
      <c r="AH290" s="346"/>
      <c r="AI290" s="346"/>
      <c r="AJ290" s="346"/>
      <c r="AK290" s="346"/>
      <c r="AL290" s="346"/>
      <c r="AM290" s="346"/>
      <c r="AN290" s="346"/>
      <c r="AO290" s="346"/>
      <c r="AP290" s="346"/>
      <c r="AQ290" s="346"/>
      <c r="AR290" s="346"/>
      <c r="AS290" s="346"/>
      <c r="AT290" s="346"/>
      <c r="AU290" s="346"/>
      <c r="AV290">
        <f t="shared" si="35"/>
        <v>0</v>
      </c>
      <c r="AW290" s="351">
        <f t="shared" si="36"/>
        <v>0</v>
      </c>
    </row>
    <row r="291" spans="1:49" ht="15.75" hidden="1">
      <c r="A291" s="357"/>
      <c r="B291"/>
      <c r="C291"/>
      <c r="D291"/>
      <c r="E291"/>
      <c r="F291"/>
      <c r="G291"/>
      <c r="H291"/>
      <c r="I291"/>
      <c r="J291"/>
      <c r="K291"/>
      <c r="L291"/>
      <c r="M291"/>
      <c r="N291"/>
      <c r="O291"/>
      <c r="P291"/>
      <c r="Q291"/>
      <c r="R291"/>
      <c r="S291"/>
      <c r="T291"/>
      <c r="U291"/>
      <c r="V291"/>
      <c r="W291"/>
      <c r="X291"/>
      <c r="Y291"/>
      <c r="Z291"/>
      <c r="AA291"/>
      <c r="AB291"/>
      <c r="AC291"/>
      <c r="AD291"/>
      <c r="AE291"/>
      <c r="AF291"/>
      <c r="AG291"/>
      <c r="AH291"/>
      <c r="AI291"/>
      <c r="AJ291"/>
      <c r="AK291"/>
      <c r="AL291"/>
      <c r="AM291"/>
      <c r="AN291"/>
      <c r="AO291"/>
      <c r="AP291"/>
      <c r="AQ291"/>
      <c r="AR291"/>
      <c r="AS291"/>
      <c r="AT291"/>
      <c r="AU291"/>
      <c r="AV291">
        <f t="shared" si="35"/>
        <v>0</v>
      </c>
      <c r="AW291" s="351">
        <f t="shared" si="36"/>
        <v>0</v>
      </c>
    </row>
    <row r="292" spans="1:49" ht="15.75" hidden="1">
      <c r="A292" s="357"/>
      <c r="B292" s="346"/>
      <c r="C292" s="346"/>
      <c r="D292" s="346"/>
      <c r="E292" s="346"/>
      <c r="F292" s="346"/>
      <c r="G292" s="346"/>
      <c r="H292" s="346"/>
      <c r="I292" s="346"/>
      <c r="J292" s="346"/>
      <c r="K292" s="346"/>
      <c r="L292" s="346"/>
      <c r="M292" s="346"/>
      <c r="N292" s="346"/>
      <c r="O292" s="346"/>
      <c r="P292" s="346"/>
      <c r="Q292" s="346"/>
      <c r="R292" s="346"/>
      <c r="S292" s="346"/>
      <c r="T292" s="346"/>
      <c r="U292" s="346"/>
      <c r="V292" s="346"/>
      <c r="W292" s="346"/>
      <c r="X292" s="346"/>
      <c r="Y292" s="346"/>
      <c r="Z292" s="346"/>
      <c r="AA292" s="346"/>
      <c r="AB292" s="346"/>
      <c r="AC292" s="346"/>
      <c r="AD292" s="346"/>
      <c r="AE292" s="346"/>
      <c r="AF292" s="346"/>
      <c r="AG292" s="346"/>
      <c r="AH292" s="346"/>
      <c r="AI292" s="346"/>
      <c r="AJ292" s="346"/>
      <c r="AK292" s="346"/>
      <c r="AL292" s="346"/>
      <c r="AM292" s="346"/>
      <c r="AN292" s="346"/>
      <c r="AO292" s="346"/>
      <c r="AP292" s="346"/>
      <c r="AQ292" s="346"/>
      <c r="AR292" s="346"/>
      <c r="AS292" s="346"/>
      <c r="AT292" s="346"/>
      <c r="AU292" s="346"/>
      <c r="AV292">
        <f t="shared" si="35"/>
        <v>0</v>
      </c>
      <c r="AW292" s="351">
        <f t="shared" si="36"/>
        <v>0</v>
      </c>
    </row>
    <row r="293" spans="1:49" ht="15.75" hidden="1">
      <c r="A293" s="357"/>
      <c r="B293"/>
      <c r="C293"/>
      <c r="D293"/>
      <c r="E293"/>
      <c r="F293"/>
      <c r="G293"/>
      <c r="H293"/>
      <c r="I293"/>
      <c r="J293"/>
      <c r="K293"/>
      <c r="L293"/>
      <c r="M293"/>
      <c r="N293"/>
      <c r="O293"/>
      <c r="P293"/>
      <c r="Q293"/>
      <c r="R293"/>
      <c r="S293"/>
      <c r="T293"/>
      <c r="U293"/>
      <c r="V293"/>
      <c r="W293"/>
      <c r="X293"/>
      <c r="Y293"/>
      <c r="Z293"/>
      <c r="AA293"/>
      <c r="AB293"/>
      <c r="AC293"/>
      <c r="AD293"/>
      <c r="AE293"/>
      <c r="AF293"/>
      <c r="AG293"/>
      <c r="AH293"/>
      <c r="AI293"/>
      <c r="AJ293"/>
      <c r="AK293"/>
      <c r="AL293"/>
      <c r="AM293"/>
      <c r="AN293"/>
      <c r="AO293"/>
      <c r="AP293"/>
      <c r="AQ293"/>
      <c r="AR293"/>
      <c r="AS293"/>
      <c r="AT293"/>
      <c r="AU293"/>
      <c r="AV293">
        <f t="shared" si="35"/>
        <v>0</v>
      </c>
      <c r="AW293" s="351">
        <f t="shared" si="36"/>
        <v>0</v>
      </c>
    </row>
    <row r="294" spans="1:49" ht="15.75" hidden="1">
      <c r="A294" s="357"/>
      <c r="B294" s="346"/>
      <c r="C294" s="346"/>
      <c r="D294" s="346"/>
      <c r="E294" s="346"/>
      <c r="F294" s="346"/>
      <c r="G294" s="346"/>
      <c r="H294" s="346"/>
      <c r="I294" s="346"/>
      <c r="J294" s="346"/>
      <c r="K294" s="346"/>
      <c r="L294" s="346"/>
      <c r="M294" s="346"/>
      <c r="N294" s="346"/>
      <c r="O294" s="346"/>
      <c r="P294" s="346"/>
      <c r="Q294" s="346"/>
      <c r="R294" s="346"/>
      <c r="S294" s="346"/>
      <c r="T294" s="346"/>
      <c r="U294" s="346"/>
      <c r="V294" s="346"/>
      <c r="W294" s="346"/>
      <c r="X294" s="346"/>
      <c r="Y294" s="346"/>
      <c r="Z294" s="346"/>
      <c r="AA294" s="346"/>
      <c r="AB294" s="346"/>
      <c r="AC294" s="346"/>
      <c r="AD294" s="346"/>
      <c r="AE294" s="346"/>
      <c r="AF294" s="346"/>
      <c r="AG294" s="346"/>
      <c r="AH294" s="346"/>
      <c r="AI294" s="346"/>
      <c r="AJ294" s="346"/>
      <c r="AK294" s="346"/>
      <c r="AL294" s="346"/>
      <c r="AM294" s="346"/>
      <c r="AN294" s="346"/>
      <c r="AO294" s="346"/>
      <c r="AP294" s="346"/>
      <c r="AQ294" s="346"/>
      <c r="AR294" s="346"/>
      <c r="AS294" s="346"/>
      <c r="AT294" s="346"/>
      <c r="AU294" s="346"/>
      <c r="AV294">
        <f t="shared" si="35"/>
        <v>0</v>
      </c>
      <c r="AW294" s="351">
        <f t="shared" si="36"/>
        <v>0</v>
      </c>
    </row>
    <row r="295" spans="1:49" ht="15.75" hidden="1">
      <c r="A295" s="357"/>
      <c r="B295"/>
      <c r="C295"/>
      <c r="D295"/>
      <c r="E295"/>
      <c r="F295"/>
      <c r="G295"/>
      <c r="H295"/>
      <c r="I295"/>
      <c r="J295"/>
      <c r="K295"/>
      <c r="L295"/>
      <c r="M295"/>
      <c r="N295"/>
      <c r="O295"/>
      <c r="P295"/>
      <c r="Q295"/>
      <c r="R295"/>
      <c r="S295"/>
      <c r="T295"/>
      <c r="U295"/>
      <c r="V295"/>
      <c r="W295"/>
      <c r="X295"/>
      <c r="Y295"/>
      <c r="Z295"/>
      <c r="AA295"/>
      <c r="AB295"/>
      <c r="AC295"/>
      <c r="AD295"/>
      <c r="AE295"/>
      <c r="AF295"/>
      <c r="AG295"/>
      <c r="AH295"/>
      <c r="AI295"/>
      <c r="AJ295"/>
      <c r="AK295"/>
      <c r="AL295"/>
      <c r="AM295"/>
      <c r="AN295"/>
      <c r="AO295"/>
      <c r="AP295"/>
      <c r="AQ295"/>
      <c r="AR295"/>
      <c r="AS295"/>
      <c r="AT295"/>
      <c r="AU295"/>
      <c r="AV295">
        <f t="shared" si="35"/>
        <v>0</v>
      </c>
      <c r="AW295" s="351">
        <f t="shared" si="36"/>
        <v>0</v>
      </c>
    </row>
    <row r="296" spans="1:49" ht="15.75" hidden="1">
      <c r="A296" s="357"/>
      <c r="B296" s="346"/>
      <c r="C296" s="346"/>
      <c r="D296" s="346"/>
      <c r="E296" s="346"/>
      <c r="F296" s="346"/>
      <c r="G296" s="346"/>
      <c r="H296" s="346"/>
      <c r="I296" s="346"/>
      <c r="J296" s="346"/>
      <c r="K296" s="346"/>
      <c r="L296" s="346"/>
      <c r="M296" s="346"/>
      <c r="N296" s="346"/>
      <c r="O296" s="346"/>
      <c r="P296" s="346"/>
      <c r="Q296" s="346"/>
      <c r="R296" s="346"/>
      <c r="S296" s="346"/>
      <c r="T296" s="346"/>
      <c r="U296" s="346"/>
      <c r="V296" s="346"/>
      <c r="W296" s="346"/>
      <c r="X296" s="346"/>
      <c r="Y296" s="346"/>
      <c r="Z296" s="346"/>
      <c r="AA296" s="346"/>
      <c r="AB296" s="346"/>
      <c r="AC296" s="346"/>
      <c r="AD296" s="346"/>
      <c r="AE296" s="346"/>
      <c r="AF296" s="346"/>
      <c r="AG296" s="346"/>
      <c r="AH296" s="346"/>
      <c r="AI296" s="346"/>
      <c r="AJ296" s="346"/>
      <c r="AK296" s="346"/>
      <c r="AL296" s="346"/>
      <c r="AM296" s="346"/>
      <c r="AN296" s="346"/>
      <c r="AO296" s="346"/>
      <c r="AP296" s="346"/>
      <c r="AQ296" s="346"/>
      <c r="AR296" s="346"/>
      <c r="AS296" s="346"/>
      <c r="AT296" s="346"/>
      <c r="AU296" s="346"/>
      <c r="AV296">
        <f t="shared" si="35"/>
        <v>0</v>
      </c>
      <c r="AW296" s="351">
        <f t="shared" si="36"/>
        <v>0</v>
      </c>
    </row>
    <row r="297" spans="1:49" ht="15.75" hidden="1">
      <c r="A297" s="357"/>
      <c r="B297"/>
      <c r="C297"/>
      <c r="D297"/>
      <c r="E297"/>
      <c r="F297"/>
      <c r="G297"/>
      <c r="H297"/>
      <c r="I297"/>
      <c r="J297"/>
      <c r="K297"/>
      <c r="L297"/>
      <c r="M297"/>
      <c r="N297"/>
      <c r="O297"/>
      <c r="P297"/>
      <c r="Q297"/>
      <c r="R297"/>
      <c r="S297"/>
      <c r="T297"/>
      <c r="U297"/>
      <c r="V297"/>
      <c r="W297"/>
      <c r="X297"/>
      <c r="Y297"/>
      <c r="Z297"/>
      <c r="AA297"/>
      <c r="AB297"/>
      <c r="AC297"/>
      <c r="AD297"/>
      <c r="AE297"/>
      <c r="AF297"/>
      <c r="AG297"/>
      <c r="AH297"/>
      <c r="AI297"/>
      <c r="AJ297"/>
      <c r="AK297"/>
      <c r="AL297"/>
      <c r="AM297"/>
      <c r="AN297"/>
      <c r="AO297"/>
      <c r="AP297"/>
      <c r="AQ297"/>
      <c r="AR297"/>
      <c r="AS297"/>
      <c r="AT297"/>
      <c r="AU297"/>
      <c r="AV297">
        <f t="shared" si="35"/>
        <v>0</v>
      </c>
      <c r="AW297" s="351">
        <f t="shared" si="36"/>
        <v>0</v>
      </c>
    </row>
    <row r="298" spans="1:49" ht="15.75" hidden="1">
      <c r="A298" s="357"/>
      <c r="B298" s="346"/>
      <c r="C298" s="346"/>
      <c r="D298" s="346"/>
      <c r="E298" s="346"/>
      <c r="F298" s="346"/>
      <c r="G298" s="346"/>
      <c r="H298" s="346"/>
      <c r="I298" s="346"/>
      <c r="J298" s="346"/>
      <c r="K298" s="346"/>
      <c r="L298" s="346"/>
      <c r="M298" s="346"/>
      <c r="N298" s="346"/>
      <c r="O298" s="346"/>
      <c r="P298" s="346"/>
      <c r="Q298" s="346"/>
      <c r="R298" s="346"/>
      <c r="S298" s="346"/>
      <c r="T298" s="346"/>
      <c r="U298" s="346"/>
      <c r="V298" s="346"/>
      <c r="W298" s="346"/>
      <c r="X298" s="346"/>
      <c r="Y298" s="346"/>
      <c r="Z298" s="346"/>
      <c r="AA298" s="346"/>
      <c r="AB298" s="346"/>
      <c r="AC298" s="346"/>
      <c r="AD298" s="346"/>
      <c r="AE298" s="346"/>
      <c r="AF298" s="346"/>
      <c r="AG298" s="346"/>
      <c r="AH298" s="346"/>
      <c r="AI298" s="346"/>
      <c r="AJ298" s="346"/>
      <c r="AK298" s="346"/>
      <c r="AL298" s="346"/>
      <c r="AM298" s="346"/>
      <c r="AN298" s="346"/>
      <c r="AO298" s="346"/>
      <c r="AP298" s="346"/>
      <c r="AQ298" s="346"/>
      <c r="AR298" s="346"/>
      <c r="AS298" s="346"/>
      <c r="AT298" s="346"/>
      <c r="AU298" s="346"/>
      <c r="AV298">
        <f t="shared" si="35"/>
        <v>0</v>
      </c>
      <c r="AW298" s="351">
        <f t="shared" si="36"/>
        <v>0</v>
      </c>
    </row>
    <row r="299" spans="1:49" ht="15.75" hidden="1">
      <c r="A299" s="357"/>
      <c r="B299"/>
      <c r="C299"/>
      <c r="D299"/>
      <c r="E299"/>
      <c r="F299"/>
      <c r="G299"/>
      <c r="H299"/>
      <c r="I299"/>
      <c r="J299"/>
      <c r="K299"/>
      <c r="L299"/>
      <c r="M299"/>
      <c r="N299"/>
      <c r="O299"/>
      <c r="P299"/>
      <c r="Q299"/>
      <c r="R299"/>
      <c r="S299"/>
      <c r="T299"/>
      <c r="U299"/>
      <c r="V299"/>
      <c r="W299"/>
      <c r="X299"/>
      <c r="Y299"/>
      <c r="Z299"/>
      <c r="AA299"/>
      <c r="AB299"/>
      <c r="AC299"/>
      <c r="AD299"/>
      <c r="AE299"/>
      <c r="AF299"/>
      <c r="AG299"/>
      <c r="AH299"/>
      <c r="AI299"/>
      <c r="AJ299"/>
      <c r="AK299"/>
      <c r="AL299"/>
      <c r="AM299"/>
      <c r="AN299"/>
      <c r="AO299"/>
      <c r="AP299"/>
      <c r="AQ299"/>
      <c r="AR299"/>
      <c r="AS299"/>
      <c r="AT299"/>
      <c r="AU299"/>
      <c r="AV299">
        <f t="shared" si="35"/>
        <v>0</v>
      </c>
      <c r="AW299" s="351">
        <f t="shared" si="36"/>
        <v>0</v>
      </c>
    </row>
    <row r="300" spans="1:49" ht="15.75" hidden="1">
      <c r="A300" s="357"/>
      <c r="B300" s="346"/>
      <c r="C300" s="346"/>
      <c r="D300" s="346"/>
      <c r="E300" s="346"/>
      <c r="F300" s="346"/>
      <c r="G300" s="346"/>
      <c r="H300" s="346"/>
      <c r="I300" s="346"/>
      <c r="J300" s="346"/>
      <c r="K300" s="346"/>
      <c r="L300" s="346"/>
      <c r="M300" s="346"/>
      <c r="N300" s="346"/>
      <c r="O300" s="346"/>
      <c r="P300" s="346"/>
      <c r="Q300" s="346"/>
      <c r="R300" s="346"/>
      <c r="S300" s="346"/>
      <c r="T300" s="346"/>
      <c r="U300" s="346"/>
      <c r="V300" s="346"/>
      <c r="W300" s="346"/>
      <c r="X300" s="346"/>
      <c r="Y300" s="346"/>
      <c r="Z300" s="346"/>
      <c r="AA300" s="346"/>
      <c r="AB300" s="346"/>
      <c r="AC300" s="346"/>
      <c r="AD300" s="346"/>
      <c r="AE300" s="346"/>
      <c r="AF300" s="346"/>
      <c r="AG300" s="346"/>
      <c r="AH300" s="346"/>
      <c r="AI300" s="346"/>
      <c r="AJ300" s="346"/>
      <c r="AK300" s="346"/>
      <c r="AL300" s="346"/>
      <c r="AM300" s="346"/>
      <c r="AN300" s="346"/>
      <c r="AO300" s="346"/>
      <c r="AP300" s="346"/>
      <c r="AQ300" s="346"/>
      <c r="AR300" s="346"/>
      <c r="AS300" s="346"/>
      <c r="AT300" s="346"/>
      <c r="AU300" s="346"/>
      <c r="AV300">
        <f t="shared" si="35"/>
        <v>0</v>
      </c>
      <c r="AW300" s="351">
        <f t="shared" si="36"/>
        <v>0</v>
      </c>
    </row>
    <row r="301" spans="1:49" ht="15.75" hidden="1">
      <c r="A301" s="357"/>
      <c r="B301"/>
      <c r="C301"/>
      <c r="D301"/>
      <c r="E301"/>
      <c r="F301"/>
      <c r="G301"/>
      <c r="H301"/>
      <c r="I301"/>
      <c r="J301"/>
      <c r="K301"/>
      <c r="L301"/>
      <c r="M301"/>
      <c r="N301"/>
      <c r="O301"/>
      <c r="P301"/>
      <c r="Q301"/>
      <c r="R301"/>
      <c r="S301"/>
      <c r="T301"/>
      <c r="U301"/>
      <c r="V301"/>
      <c r="W301"/>
      <c r="X301"/>
      <c r="Y301"/>
      <c r="Z301"/>
      <c r="AA301"/>
      <c r="AB301"/>
      <c r="AC301"/>
      <c r="AD301"/>
      <c r="AE301"/>
      <c r="AF301"/>
      <c r="AG301"/>
      <c r="AH301"/>
      <c r="AI301"/>
      <c r="AJ301"/>
      <c r="AK301"/>
      <c r="AL301"/>
      <c r="AM301"/>
      <c r="AN301"/>
      <c r="AO301"/>
      <c r="AP301"/>
      <c r="AQ301"/>
      <c r="AR301"/>
      <c r="AS301"/>
      <c r="AT301"/>
      <c r="AU301"/>
      <c r="AV301">
        <f t="shared" si="35"/>
        <v>0</v>
      </c>
      <c r="AW301" s="351">
        <f t="shared" si="36"/>
        <v>0</v>
      </c>
    </row>
    <row r="302" spans="1:49" ht="15.75" hidden="1">
      <c r="A302" s="357"/>
      <c r="B302" s="346"/>
      <c r="C302" s="346"/>
      <c r="D302" s="346"/>
      <c r="E302" s="346"/>
      <c r="F302" s="346"/>
      <c r="G302" s="346"/>
      <c r="H302" s="346"/>
      <c r="I302" s="346"/>
      <c r="J302" s="346"/>
      <c r="K302" s="346"/>
      <c r="L302" s="346"/>
      <c r="M302" s="346"/>
      <c r="N302" s="346"/>
      <c r="O302" s="346"/>
      <c r="P302" s="346"/>
      <c r="Q302" s="346"/>
      <c r="R302" s="346"/>
      <c r="S302" s="346"/>
      <c r="T302" s="346"/>
      <c r="U302" s="346"/>
      <c r="V302" s="346"/>
      <c r="W302" s="346"/>
      <c r="X302" s="346"/>
      <c r="Y302" s="346"/>
      <c r="Z302" s="346"/>
      <c r="AA302" s="346"/>
      <c r="AB302" s="346"/>
      <c r="AC302" s="346"/>
      <c r="AD302" s="346"/>
      <c r="AE302" s="346"/>
      <c r="AF302" s="346"/>
      <c r="AG302" s="346"/>
      <c r="AH302" s="346"/>
      <c r="AI302" s="346"/>
      <c r="AJ302" s="346"/>
      <c r="AK302" s="346"/>
      <c r="AL302" s="346"/>
      <c r="AM302" s="346"/>
      <c r="AN302" s="346"/>
      <c r="AO302" s="346"/>
      <c r="AP302" s="346"/>
      <c r="AQ302" s="346"/>
      <c r="AR302" s="346"/>
      <c r="AS302" s="346"/>
      <c r="AT302" s="346"/>
      <c r="AU302" s="346"/>
      <c r="AV302">
        <f t="shared" si="35"/>
        <v>0</v>
      </c>
      <c r="AW302" s="351">
        <f t="shared" si="36"/>
        <v>0</v>
      </c>
    </row>
    <row r="303" spans="1:49" ht="15">
      <c r="A303" s="347" t="s">
        <v>113</v>
      </c>
      <c r="B303" s="347">
        <f t="shared" ref="B303:AV303" si="37">SUM(B248:B302)</f>
        <v>0</v>
      </c>
      <c r="C303" s="347">
        <f t="shared" si="37"/>
        <v>0</v>
      </c>
      <c r="D303" s="347">
        <f t="shared" si="37"/>
        <v>16</v>
      </c>
      <c r="E303" s="347">
        <f t="shared" si="37"/>
        <v>15</v>
      </c>
      <c r="F303" s="347">
        <f t="shared" si="37"/>
        <v>2</v>
      </c>
      <c r="G303" s="347">
        <f t="shared" si="37"/>
        <v>9</v>
      </c>
      <c r="H303" s="347">
        <f t="shared" si="37"/>
        <v>3</v>
      </c>
      <c r="I303" s="347">
        <f t="shared" si="37"/>
        <v>16</v>
      </c>
      <c r="J303" s="347">
        <f t="shared" si="37"/>
        <v>6</v>
      </c>
      <c r="K303" s="347">
        <f t="shared" si="37"/>
        <v>0</v>
      </c>
      <c r="L303" s="347">
        <f t="shared" si="37"/>
        <v>0</v>
      </c>
      <c r="M303" s="347">
        <f t="shared" si="37"/>
        <v>0</v>
      </c>
      <c r="N303" s="347">
        <f t="shared" si="37"/>
        <v>0</v>
      </c>
      <c r="O303" s="347">
        <f t="shared" si="37"/>
        <v>41</v>
      </c>
      <c r="P303" s="347">
        <f t="shared" si="37"/>
        <v>3</v>
      </c>
      <c r="Q303" s="347">
        <f t="shared" si="37"/>
        <v>0</v>
      </c>
      <c r="R303" s="347">
        <f t="shared" si="37"/>
        <v>75</v>
      </c>
      <c r="S303" s="347">
        <f t="shared" si="37"/>
        <v>288</v>
      </c>
      <c r="T303" s="347">
        <f t="shared" si="37"/>
        <v>3</v>
      </c>
      <c r="U303" s="347">
        <f t="shared" si="37"/>
        <v>16</v>
      </c>
      <c r="V303" s="347">
        <f t="shared" si="37"/>
        <v>102</v>
      </c>
      <c r="W303" s="347">
        <f t="shared" si="37"/>
        <v>0</v>
      </c>
      <c r="X303" s="347">
        <f t="shared" si="37"/>
        <v>3</v>
      </c>
      <c r="Y303" s="347">
        <f t="shared" si="37"/>
        <v>0</v>
      </c>
      <c r="Z303" s="347">
        <f t="shared" si="37"/>
        <v>8</v>
      </c>
      <c r="AA303" s="347">
        <f t="shared" si="37"/>
        <v>18</v>
      </c>
      <c r="AB303" s="347">
        <f t="shared" si="37"/>
        <v>0</v>
      </c>
      <c r="AC303" s="347">
        <f t="shared" si="37"/>
        <v>20</v>
      </c>
      <c r="AD303" s="347">
        <f t="shared" si="37"/>
        <v>127</v>
      </c>
      <c r="AE303" s="347">
        <f t="shared" si="37"/>
        <v>14</v>
      </c>
      <c r="AF303" s="347">
        <f t="shared" si="37"/>
        <v>23</v>
      </c>
      <c r="AG303" s="347">
        <f t="shared" si="37"/>
        <v>4</v>
      </c>
      <c r="AH303" s="347">
        <f t="shared" si="37"/>
        <v>18</v>
      </c>
      <c r="AI303" s="347">
        <f t="shared" si="37"/>
        <v>10</v>
      </c>
      <c r="AJ303" s="347">
        <f t="shared" si="37"/>
        <v>3</v>
      </c>
      <c r="AK303" s="347">
        <f t="shared" si="37"/>
        <v>0</v>
      </c>
      <c r="AL303" s="347">
        <f t="shared" si="37"/>
        <v>0</v>
      </c>
      <c r="AM303" s="347">
        <f t="shared" si="37"/>
        <v>0</v>
      </c>
      <c r="AN303" s="347">
        <f t="shared" si="37"/>
        <v>0</v>
      </c>
      <c r="AO303" s="347">
        <f t="shared" si="37"/>
        <v>3</v>
      </c>
      <c r="AP303" s="347">
        <f t="shared" si="37"/>
        <v>0</v>
      </c>
      <c r="AQ303" s="347">
        <f t="shared" si="37"/>
        <v>0</v>
      </c>
      <c r="AR303" s="347">
        <f t="shared" si="37"/>
        <v>0</v>
      </c>
      <c r="AS303" s="347">
        <f t="shared" si="37"/>
        <v>0</v>
      </c>
      <c r="AT303" s="347">
        <f t="shared" si="37"/>
        <v>0</v>
      </c>
      <c r="AU303" s="347">
        <f t="shared" si="37"/>
        <v>0</v>
      </c>
      <c r="AV303" s="347">
        <f t="shared" si="37"/>
        <v>846</v>
      </c>
      <c r="AW303" s="351"/>
    </row>
    <row r="304" spans="1:49" ht="15.75" thickBot="1">
      <c r="A304" s="348" t="s">
        <v>174</v>
      </c>
      <c r="B304" s="348">
        <f t="shared" ref="B304:AU304" si="38">B303/$AV303</f>
        <v>0</v>
      </c>
      <c r="C304" s="348">
        <f t="shared" si="38"/>
        <v>0</v>
      </c>
      <c r="D304" s="348">
        <f t="shared" si="38"/>
        <v>1.8912529550827423E-2</v>
      </c>
      <c r="E304" s="348">
        <f t="shared" si="38"/>
        <v>1.7730496453900711E-2</v>
      </c>
      <c r="F304" s="348">
        <f t="shared" si="38"/>
        <v>2.3640661938534278E-3</v>
      </c>
      <c r="G304" s="348">
        <f t="shared" si="38"/>
        <v>1.0638297872340425E-2</v>
      </c>
      <c r="H304" s="348">
        <f t="shared" si="38"/>
        <v>3.5460992907801418E-3</v>
      </c>
      <c r="I304" s="348">
        <f t="shared" si="38"/>
        <v>1.8912529550827423E-2</v>
      </c>
      <c r="J304" s="348">
        <f t="shared" si="38"/>
        <v>7.0921985815602835E-3</v>
      </c>
      <c r="K304" s="348">
        <f t="shared" si="38"/>
        <v>0</v>
      </c>
      <c r="L304" s="348">
        <f t="shared" si="38"/>
        <v>0</v>
      </c>
      <c r="M304" s="348">
        <f t="shared" si="38"/>
        <v>0</v>
      </c>
      <c r="N304" s="348">
        <f t="shared" si="38"/>
        <v>0</v>
      </c>
      <c r="O304" s="348">
        <f t="shared" si="38"/>
        <v>4.8463356973995272E-2</v>
      </c>
      <c r="P304" s="348">
        <f t="shared" si="38"/>
        <v>3.5460992907801418E-3</v>
      </c>
      <c r="Q304" s="348">
        <f t="shared" si="38"/>
        <v>0</v>
      </c>
      <c r="R304" s="348">
        <f t="shared" si="38"/>
        <v>8.8652482269503549E-2</v>
      </c>
      <c r="S304" s="348">
        <f t="shared" si="38"/>
        <v>0.34042553191489361</v>
      </c>
      <c r="T304" s="348">
        <f t="shared" si="38"/>
        <v>3.5460992907801418E-3</v>
      </c>
      <c r="U304" s="348">
        <f t="shared" si="38"/>
        <v>1.8912529550827423E-2</v>
      </c>
      <c r="V304" s="348">
        <f t="shared" si="38"/>
        <v>0.12056737588652482</v>
      </c>
      <c r="W304" s="348">
        <f t="shared" si="38"/>
        <v>0</v>
      </c>
      <c r="X304" s="348">
        <f t="shared" si="38"/>
        <v>3.5460992907801418E-3</v>
      </c>
      <c r="Y304" s="348">
        <f t="shared" si="38"/>
        <v>0</v>
      </c>
      <c r="Z304" s="348">
        <f t="shared" si="38"/>
        <v>9.4562647754137114E-3</v>
      </c>
      <c r="AA304" s="348">
        <f t="shared" si="38"/>
        <v>2.1276595744680851E-2</v>
      </c>
      <c r="AB304" s="348">
        <f t="shared" si="38"/>
        <v>0</v>
      </c>
      <c r="AC304" s="348">
        <f t="shared" si="38"/>
        <v>2.3640661938534278E-2</v>
      </c>
      <c r="AD304" s="348">
        <f t="shared" si="38"/>
        <v>0.15011820330969267</v>
      </c>
      <c r="AE304" s="348">
        <f t="shared" si="38"/>
        <v>1.6548463356973995E-2</v>
      </c>
      <c r="AF304" s="348">
        <f t="shared" si="38"/>
        <v>2.7186761229314422E-2</v>
      </c>
      <c r="AG304" s="348">
        <f t="shared" si="38"/>
        <v>4.7281323877068557E-3</v>
      </c>
      <c r="AH304" s="348">
        <f t="shared" si="38"/>
        <v>2.1276595744680851E-2</v>
      </c>
      <c r="AI304" s="348">
        <f t="shared" si="38"/>
        <v>1.1820330969267139E-2</v>
      </c>
      <c r="AJ304" s="348">
        <f t="shared" si="38"/>
        <v>3.5460992907801418E-3</v>
      </c>
      <c r="AK304" s="348">
        <f t="shared" si="38"/>
        <v>0</v>
      </c>
      <c r="AL304" s="348">
        <f t="shared" si="38"/>
        <v>0</v>
      </c>
      <c r="AM304" s="348">
        <f t="shared" si="38"/>
        <v>0</v>
      </c>
      <c r="AN304" s="348">
        <f t="shared" si="38"/>
        <v>0</v>
      </c>
      <c r="AO304" s="348">
        <f t="shared" si="38"/>
        <v>3.5460992907801418E-3</v>
      </c>
      <c r="AP304" s="348">
        <f t="shared" si="38"/>
        <v>0</v>
      </c>
      <c r="AQ304" s="348">
        <f t="shared" si="38"/>
        <v>0</v>
      </c>
      <c r="AR304" s="348">
        <f t="shared" si="38"/>
        <v>0</v>
      </c>
      <c r="AS304" s="348">
        <f t="shared" si="38"/>
        <v>0</v>
      </c>
      <c r="AT304" s="348">
        <f t="shared" si="38"/>
        <v>0</v>
      </c>
      <c r="AU304" s="348">
        <f t="shared" si="38"/>
        <v>0</v>
      </c>
      <c r="AV304"/>
      <c r="AW304" s="351"/>
    </row>
    <row r="305" spans="1:49">
      <c r="A305" s="355"/>
    </row>
    <row r="306" spans="1:49">
      <c r="A306" s="354"/>
    </row>
    <row r="307" spans="1:49" ht="18.75" customHeight="1">
      <c r="A307" s="354"/>
    </row>
    <row r="308" spans="1:49" ht="18.75" customHeight="1">
      <c r="A308" s="357">
        <v>46192</v>
      </c>
      <c r="B308" s="346"/>
      <c r="C308" s="346"/>
      <c r="D308" s="346"/>
      <c r="E308" s="346"/>
      <c r="F308" s="346"/>
      <c r="G308" s="346"/>
      <c r="H308" s="346"/>
      <c r="I308" s="346"/>
      <c r="J308" s="346"/>
      <c r="K308" s="346"/>
      <c r="L308" s="346"/>
      <c r="M308" s="346"/>
      <c r="N308" s="346"/>
      <c r="O308" s="346"/>
      <c r="P308" s="346"/>
      <c r="Q308" s="346"/>
      <c r="R308" s="346"/>
      <c r="S308" s="346"/>
      <c r="T308" s="346">
        <v>10</v>
      </c>
      <c r="U308" s="346"/>
      <c r="V308" s="346"/>
      <c r="W308" s="346"/>
      <c r="X308" s="346"/>
      <c r="Y308" s="346"/>
      <c r="Z308" s="346"/>
      <c r="AA308" s="346"/>
      <c r="AB308" s="346"/>
      <c r="AC308" s="346"/>
      <c r="AD308" s="346"/>
      <c r="AE308" s="346"/>
      <c r="AF308" s="346"/>
      <c r="AG308" s="346"/>
      <c r="AH308" s="346"/>
      <c r="AI308" s="346"/>
      <c r="AJ308" s="346"/>
      <c r="AK308" s="346"/>
      <c r="AL308" s="346"/>
      <c r="AM308" s="346"/>
      <c r="AN308" s="346"/>
      <c r="AO308" s="346"/>
      <c r="AP308" s="346"/>
      <c r="AQ308" s="346"/>
      <c r="AR308" s="346"/>
      <c r="AS308" s="346"/>
      <c r="AT308" s="346"/>
      <c r="AU308" s="346"/>
      <c r="AV308">
        <f t="shared" ref="AV308:AV328" si="39">SUM(B308:AU308)</f>
        <v>10</v>
      </c>
      <c r="AW308" s="351">
        <f t="shared" ref="AW308" si="40">AV308/$AV$368</f>
        <v>2.6809651474530832E-2</v>
      </c>
    </row>
    <row r="309" spans="1:49" ht="18.75" customHeight="1">
      <c r="A309" s="357">
        <v>46193</v>
      </c>
      <c r="B309"/>
      <c r="C309"/>
      <c r="D309"/>
      <c r="E309"/>
      <c r="F309"/>
      <c r="G309"/>
      <c r="H309"/>
      <c r="I309"/>
      <c r="J309"/>
      <c r="K309"/>
      <c r="L309"/>
      <c r="M309"/>
      <c r="N309"/>
      <c r="O309"/>
      <c r="P309"/>
      <c r="Q309"/>
      <c r="R309"/>
      <c r="S309">
        <f>2+2+2+2</f>
        <v>8</v>
      </c>
      <c r="T309"/>
      <c r="U309"/>
      <c r="V309">
        <f>4+5</f>
        <v>9</v>
      </c>
      <c r="W309"/>
      <c r="X309"/>
      <c r="Y309"/>
      <c r="Z309"/>
      <c r="AA309"/>
      <c r="AB309"/>
      <c r="AC309">
        <f>15</f>
        <v>15</v>
      </c>
      <c r="AD309"/>
      <c r="AE309"/>
      <c r="AF309"/>
      <c r="AG309"/>
      <c r="AH309">
        <v>16</v>
      </c>
      <c r="AI309"/>
      <c r="AJ309"/>
      <c r="AK309"/>
      <c r="AL309"/>
      <c r="AM309"/>
      <c r="AN309"/>
      <c r="AO309"/>
      <c r="AP309"/>
      <c r="AQ309"/>
      <c r="AR309"/>
      <c r="AS309"/>
      <c r="AT309"/>
      <c r="AU309"/>
      <c r="AV309">
        <f t="shared" si="39"/>
        <v>48</v>
      </c>
      <c r="AW309" s="351">
        <f t="shared" ref="AW309:AW322" si="41">AV309/$AV$368</f>
        <v>0.12868632707774799</v>
      </c>
    </row>
    <row r="310" spans="1:49" ht="18.75" customHeight="1">
      <c r="A310" s="357">
        <v>46194</v>
      </c>
      <c r="B310" s="346"/>
      <c r="C310" s="346"/>
      <c r="D310" s="346"/>
      <c r="E310" s="346"/>
      <c r="F310" s="346"/>
      <c r="G310" s="346"/>
      <c r="H310" s="346"/>
      <c r="I310" s="346"/>
      <c r="J310" s="346"/>
      <c r="K310" s="346"/>
      <c r="L310" s="346"/>
      <c r="M310" s="346"/>
      <c r="N310" s="346"/>
      <c r="O310" s="346"/>
      <c r="P310" s="346"/>
      <c r="Q310" s="346"/>
      <c r="R310" s="346"/>
      <c r="S310" s="346"/>
      <c r="T310" s="346"/>
      <c r="U310" s="346"/>
      <c r="V310" s="346"/>
      <c r="W310" s="346"/>
      <c r="X310" s="346"/>
      <c r="Y310" s="346"/>
      <c r="Z310" s="346"/>
      <c r="AA310" s="346"/>
      <c r="AB310" s="346"/>
      <c r="AC310" s="346"/>
      <c r="AD310" s="346"/>
      <c r="AE310" s="346"/>
      <c r="AF310" s="346"/>
      <c r="AG310" s="346"/>
      <c r="AH310" s="346"/>
      <c r="AI310" s="346"/>
      <c r="AJ310" s="346"/>
      <c r="AK310" s="346"/>
      <c r="AL310" s="346"/>
      <c r="AM310" s="346"/>
      <c r="AN310" s="346"/>
      <c r="AO310" s="346"/>
      <c r="AP310" s="346"/>
      <c r="AQ310" s="346"/>
      <c r="AR310" s="346"/>
      <c r="AS310" s="346"/>
      <c r="AT310" s="346"/>
      <c r="AU310" s="346"/>
      <c r="AV310">
        <f t="shared" si="39"/>
        <v>0</v>
      </c>
      <c r="AW310" s="351">
        <f t="shared" si="41"/>
        <v>0</v>
      </c>
    </row>
    <row r="311" spans="1:49" ht="18.75" customHeight="1">
      <c r="A311" s="357">
        <v>46195</v>
      </c>
      <c r="B311"/>
      <c r="C311"/>
      <c r="D311"/>
      <c r="E311"/>
      <c r="F311"/>
      <c r="G311"/>
      <c r="H311"/>
      <c r="I311"/>
      <c r="J311"/>
      <c r="K311"/>
      <c r="L311"/>
      <c r="M311"/>
      <c r="N311"/>
      <c r="O311"/>
      <c r="P311"/>
      <c r="Q311"/>
      <c r="R311">
        <f>2</f>
        <v>2</v>
      </c>
      <c r="S311">
        <f>2+2+2+2+2</f>
        <v>10</v>
      </c>
      <c r="T311"/>
      <c r="U311"/>
      <c r="V311"/>
      <c r="W311"/>
      <c r="X311"/>
      <c r="Y311"/>
      <c r="Z311"/>
      <c r="AA311"/>
      <c r="AB311"/>
      <c r="AC311"/>
      <c r="AD311" s="77"/>
      <c r="AE311" s="77"/>
      <c r="AF311" s="77"/>
      <c r="AG311" s="77"/>
      <c r="AH311"/>
      <c r="AI311"/>
      <c r="AJ311"/>
      <c r="AK311"/>
      <c r="AL311"/>
      <c r="AM311"/>
      <c r="AN311"/>
      <c r="AO311"/>
      <c r="AP311"/>
      <c r="AQ311"/>
      <c r="AR311"/>
      <c r="AS311"/>
      <c r="AT311"/>
      <c r="AU311"/>
      <c r="AV311">
        <f t="shared" si="39"/>
        <v>12</v>
      </c>
      <c r="AW311" s="351">
        <f t="shared" si="41"/>
        <v>3.2171581769436998E-2</v>
      </c>
    </row>
    <row r="312" spans="1:49" ht="18.75" customHeight="1">
      <c r="A312" s="357">
        <v>46195</v>
      </c>
      <c r="B312" s="346"/>
      <c r="C312" s="346"/>
      <c r="D312" s="346"/>
      <c r="E312" s="346"/>
      <c r="F312" s="346"/>
      <c r="G312" s="346"/>
      <c r="H312" s="346"/>
      <c r="I312" s="346"/>
      <c r="J312" s="346"/>
      <c r="K312" s="346"/>
      <c r="L312" s="346"/>
      <c r="M312" s="346"/>
      <c r="N312" s="346"/>
      <c r="O312" s="346"/>
      <c r="P312" s="346"/>
      <c r="Q312" s="346"/>
      <c r="R312" s="346"/>
      <c r="S312" s="346">
        <f>2+2+2+2</f>
        <v>8</v>
      </c>
      <c r="T312" s="346"/>
      <c r="U312" s="346"/>
      <c r="V312" s="346"/>
      <c r="W312" s="346"/>
      <c r="X312" s="346"/>
      <c r="Y312" s="346"/>
      <c r="Z312" s="346"/>
      <c r="AA312" s="346"/>
      <c r="AB312" s="346"/>
      <c r="AC312" s="346"/>
      <c r="AD312" s="346"/>
      <c r="AE312" s="346"/>
      <c r="AF312" s="346"/>
      <c r="AG312" s="346"/>
      <c r="AH312" s="346"/>
      <c r="AI312" s="346"/>
      <c r="AJ312" s="346"/>
      <c r="AK312" s="346"/>
      <c r="AL312" s="346"/>
      <c r="AM312" s="346"/>
      <c r="AN312" s="346"/>
      <c r="AO312" s="346"/>
      <c r="AP312" s="346"/>
      <c r="AQ312" s="346"/>
      <c r="AR312" s="346"/>
      <c r="AS312" s="346"/>
      <c r="AT312" s="346"/>
      <c r="AU312" s="346"/>
      <c r="AV312">
        <f t="shared" si="39"/>
        <v>8</v>
      </c>
      <c r="AW312" s="351">
        <f t="shared" si="41"/>
        <v>2.1447721179624665E-2</v>
      </c>
    </row>
    <row r="313" spans="1:49" ht="18.75" customHeight="1">
      <c r="A313" s="357">
        <v>46196</v>
      </c>
      <c r="B313"/>
      <c r="C313"/>
      <c r="D313"/>
      <c r="E313"/>
      <c r="F313"/>
      <c r="G313"/>
      <c r="H313"/>
      <c r="I313"/>
      <c r="J313"/>
      <c r="K313"/>
      <c r="L313"/>
      <c r="M313"/>
      <c r="N313"/>
      <c r="O313"/>
      <c r="P313"/>
      <c r="Q313"/>
      <c r="R313"/>
      <c r="S313"/>
      <c r="T313"/>
      <c r="U313"/>
      <c r="V313"/>
      <c r="W313"/>
      <c r="X313"/>
      <c r="Y313"/>
      <c r="Z313"/>
      <c r="AA313"/>
      <c r="AB313"/>
      <c r="AC313"/>
      <c r="AD313"/>
      <c r="AE313"/>
      <c r="AF313"/>
      <c r="AG313"/>
      <c r="AH313"/>
      <c r="AI313"/>
      <c r="AJ313"/>
      <c r="AK313"/>
      <c r="AL313"/>
      <c r="AM313"/>
      <c r="AN313"/>
      <c r="AO313"/>
      <c r="AP313"/>
      <c r="AQ313"/>
      <c r="AR313"/>
      <c r="AS313"/>
      <c r="AT313"/>
      <c r="AU313"/>
      <c r="AV313">
        <f t="shared" si="39"/>
        <v>0</v>
      </c>
      <c r="AW313" s="351">
        <f t="shared" si="41"/>
        <v>0</v>
      </c>
    </row>
    <row r="314" spans="1:49" ht="18.75" customHeight="1">
      <c r="A314" s="357">
        <v>46196</v>
      </c>
      <c r="B314" s="346"/>
      <c r="C314" s="346"/>
      <c r="D314" s="346"/>
      <c r="E314" s="346"/>
      <c r="F314" s="346"/>
      <c r="G314" s="346"/>
      <c r="H314" s="346"/>
      <c r="I314" s="346"/>
      <c r="J314" s="346"/>
      <c r="K314" s="346"/>
      <c r="L314" s="346"/>
      <c r="M314" s="346"/>
      <c r="N314" s="346"/>
      <c r="O314" s="346"/>
      <c r="P314" s="346"/>
      <c r="Q314" s="346"/>
      <c r="R314" s="346"/>
      <c r="S314" s="346">
        <f>2</f>
        <v>2</v>
      </c>
      <c r="T314" s="346"/>
      <c r="U314" s="346"/>
      <c r="V314" s="346"/>
      <c r="W314" s="346"/>
      <c r="X314" s="346"/>
      <c r="Y314" s="346"/>
      <c r="Z314" s="346"/>
      <c r="AA314" s="346"/>
      <c r="AB314" s="346"/>
      <c r="AC314" s="346"/>
      <c r="AD314" s="346"/>
      <c r="AE314" s="346"/>
      <c r="AF314" s="346"/>
      <c r="AG314" s="346"/>
      <c r="AH314" s="346"/>
      <c r="AI314" s="346"/>
      <c r="AJ314" s="346"/>
      <c r="AK314" s="346"/>
      <c r="AL314" s="346"/>
      <c r="AM314" s="346"/>
      <c r="AN314" s="346"/>
      <c r="AO314" s="346"/>
      <c r="AP314" s="346"/>
      <c r="AQ314" s="346"/>
      <c r="AR314" s="346"/>
      <c r="AS314" s="346"/>
      <c r="AT314" s="346"/>
      <c r="AU314" s="346"/>
      <c r="AV314">
        <f t="shared" si="39"/>
        <v>2</v>
      </c>
      <c r="AW314" s="351">
        <f t="shared" si="41"/>
        <v>5.3619302949061663E-3</v>
      </c>
    </row>
    <row r="315" spans="1:49" ht="18.75" customHeight="1">
      <c r="A315" s="357">
        <v>46196</v>
      </c>
      <c r="B315"/>
      <c r="C315"/>
      <c r="D315"/>
      <c r="E315"/>
      <c r="F315"/>
      <c r="G315"/>
      <c r="H315"/>
      <c r="I315"/>
      <c r="J315"/>
      <c r="K315"/>
      <c r="L315"/>
      <c r="M315"/>
      <c r="N315"/>
      <c r="O315"/>
      <c r="P315"/>
      <c r="Q315"/>
      <c r="R315"/>
      <c r="S315">
        <f>2</f>
        <v>2</v>
      </c>
      <c r="T315"/>
      <c r="U315"/>
      <c r="V315"/>
      <c r="W315"/>
      <c r="X315"/>
      <c r="Y315"/>
      <c r="Z315"/>
      <c r="AA315"/>
      <c r="AB315"/>
      <c r="AC315"/>
      <c r="AD315"/>
      <c r="AE315"/>
      <c r="AF315"/>
      <c r="AG315"/>
      <c r="AH315"/>
      <c r="AI315"/>
      <c r="AJ315"/>
      <c r="AK315"/>
      <c r="AL315"/>
      <c r="AM315"/>
      <c r="AN315"/>
      <c r="AO315"/>
      <c r="AP315"/>
      <c r="AQ315"/>
      <c r="AR315"/>
      <c r="AS315"/>
      <c r="AT315"/>
      <c r="AU315"/>
      <c r="AV315">
        <f t="shared" si="39"/>
        <v>2</v>
      </c>
      <c r="AW315" s="351">
        <f t="shared" si="41"/>
        <v>5.3619302949061663E-3</v>
      </c>
    </row>
    <row r="316" spans="1:49" ht="18.75" customHeight="1">
      <c r="A316" s="357">
        <v>46197</v>
      </c>
      <c r="B316" s="346"/>
      <c r="C316" s="346"/>
      <c r="D316" s="346"/>
      <c r="E316" s="346"/>
      <c r="F316" s="346"/>
      <c r="G316" s="346"/>
      <c r="H316" s="346"/>
      <c r="I316" s="346"/>
      <c r="J316" s="346"/>
      <c r="K316" s="346"/>
      <c r="L316" s="346"/>
      <c r="M316" s="346"/>
      <c r="N316" s="346"/>
      <c r="O316" s="346"/>
      <c r="P316" s="346"/>
      <c r="Q316" s="346"/>
      <c r="R316" s="346"/>
      <c r="S316" s="346">
        <f>2+2+2</f>
        <v>6</v>
      </c>
      <c r="T316" s="346"/>
      <c r="U316" s="346"/>
      <c r="V316" s="346"/>
      <c r="W316" s="346"/>
      <c r="X316" s="346"/>
      <c r="Y316" s="346"/>
      <c r="Z316" s="346">
        <f>6</f>
        <v>6</v>
      </c>
      <c r="AA316" s="346"/>
      <c r="AB316" s="346"/>
      <c r="AC316" s="346">
        <f>2+4+2+4+4</f>
        <v>16</v>
      </c>
      <c r="AD316" s="346"/>
      <c r="AE316" s="346"/>
      <c r="AF316" s="346"/>
      <c r="AG316" s="346"/>
      <c r="AH316" s="346"/>
      <c r="AI316" s="346"/>
      <c r="AJ316" s="346"/>
      <c r="AK316" s="346"/>
      <c r="AL316" s="346"/>
      <c r="AM316" s="346"/>
      <c r="AN316" s="346"/>
      <c r="AO316" s="346"/>
      <c r="AP316" s="346"/>
      <c r="AQ316" s="346"/>
      <c r="AR316" s="346"/>
      <c r="AS316" s="346"/>
      <c r="AT316" s="346"/>
      <c r="AU316" s="346"/>
      <c r="AV316">
        <f t="shared" si="39"/>
        <v>28</v>
      </c>
      <c r="AW316" s="351">
        <f t="shared" si="41"/>
        <v>7.5067024128686322E-2</v>
      </c>
    </row>
    <row r="317" spans="1:49" ht="18" customHeight="1">
      <c r="A317" s="357">
        <v>46197</v>
      </c>
      <c r="B317"/>
      <c r="C317"/>
      <c r="D317"/>
      <c r="E317"/>
      <c r="F317"/>
      <c r="G317"/>
      <c r="H317"/>
      <c r="I317"/>
      <c r="J317"/>
      <c r="K317"/>
      <c r="L317"/>
      <c r="M317"/>
      <c r="N317"/>
      <c r="O317"/>
      <c r="P317">
        <f>30+5+8+9</f>
        <v>52</v>
      </c>
      <c r="Q317">
        <v>15</v>
      </c>
      <c r="R317">
        <v>15</v>
      </c>
      <c r="S317">
        <f>2+2+2+1+3+2+2</f>
        <v>14</v>
      </c>
      <c r="T317"/>
      <c r="U317"/>
      <c r="V317"/>
      <c r="W317"/>
      <c r="X317"/>
      <c r="Y317"/>
      <c r="Z317"/>
      <c r="AA317"/>
      <c r="AB317"/>
      <c r="AC317"/>
      <c r="AD317"/>
      <c r="AE317"/>
      <c r="AF317"/>
      <c r="AG317"/>
      <c r="AH317"/>
      <c r="AI317"/>
      <c r="AJ317"/>
      <c r="AK317"/>
      <c r="AL317"/>
      <c r="AM317"/>
      <c r="AN317"/>
      <c r="AO317"/>
      <c r="AP317"/>
      <c r="AQ317"/>
      <c r="AR317"/>
      <c r="AS317"/>
      <c r="AT317"/>
      <c r="AU317"/>
      <c r="AV317">
        <f t="shared" si="39"/>
        <v>96</v>
      </c>
      <c r="AW317" s="351">
        <f t="shared" si="41"/>
        <v>0.25737265415549598</v>
      </c>
    </row>
    <row r="318" spans="1:49" ht="18.75" customHeight="1">
      <c r="A318" s="357">
        <v>46198</v>
      </c>
      <c r="B318" s="346"/>
      <c r="C318" s="346"/>
      <c r="D318" s="346"/>
      <c r="E318" s="346"/>
      <c r="F318" s="484"/>
      <c r="G318" s="346"/>
      <c r="H318" s="346"/>
      <c r="I318" s="346"/>
      <c r="J318" s="346"/>
      <c r="K318" s="346"/>
      <c r="L318" s="346"/>
      <c r="M318" s="346"/>
      <c r="N318" s="346"/>
      <c r="O318" s="346"/>
      <c r="P318" s="346"/>
      <c r="Q318" s="346"/>
      <c r="R318" s="346"/>
      <c r="S318" s="346">
        <f>2</f>
        <v>2</v>
      </c>
      <c r="T318" s="346"/>
      <c r="U318" s="346"/>
      <c r="V318" s="77"/>
      <c r="W318" s="346"/>
      <c r="X318" s="346"/>
      <c r="Y318" s="346"/>
      <c r="Z318" s="346"/>
      <c r="AA318" s="346"/>
      <c r="AB318" s="346"/>
      <c r="AC318" s="346">
        <f>2</f>
        <v>2</v>
      </c>
      <c r="AD318" s="346"/>
      <c r="AE318" s="346"/>
      <c r="AF318" s="346"/>
      <c r="AG318" s="346"/>
      <c r="AH318" s="346"/>
      <c r="AI318" s="346"/>
      <c r="AJ318" s="346"/>
      <c r="AK318" s="346"/>
      <c r="AL318" s="346"/>
      <c r="AM318" s="346"/>
      <c r="AN318" s="346"/>
      <c r="AO318" s="346"/>
      <c r="AP318" s="346"/>
      <c r="AQ318" s="346"/>
      <c r="AR318" s="346"/>
      <c r="AS318" s="346"/>
      <c r="AT318" s="346"/>
      <c r="AU318" s="346"/>
      <c r="AV318">
        <f t="shared" si="39"/>
        <v>4</v>
      </c>
      <c r="AW318" s="351">
        <f t="shared" si="41"/>
        <v>1.0723860589812333E-2</v>
      </c>
    </row>
    <row r="319" spans="1:49" ht="18.75" customHeight="1">
      <c r="A319" s="357">
        <v>46198</v>
      </c>
      <c r="B319"/>
      <c r="C319"/>
      <c r="D319"/>
      <c r="E319"/>
      <c r="F319"/>
      <c r="G319"/>
      <c r="H319"/>
      <c r="I319"/>
      <c r="J319"/>
      <c r="K319"/>
      <c r="L319"/>
      <c r="M319"/>
      <c r="N319"/>
      <c r="O319"/>
      <c r="P319"/>
      <c r="Q319"/>
      <c r="R319"/>
      <c r="S319">
        <f>2+3</f>
        <v>5</v>
      </c>
      <c r="T319"/>
      <c r="U319"/>
      <c r="V319"/>
      <c r="W319"/>
      <c r="X319"/>
      <c r="Y319"/>
      <c r="Z319"/>
      <c r="AA319"/>
      <c r="AB319"/>
      <c r="AC319">
        <f>4+2+2+3</f>
        <v>11</v>
      </c>
      <c r="AD319"/>
      <c r="AE319"/>
      <c r="AF319"/>
      <c r="AG319"/>
      <c r="AH319"/>
      <c r="AI319"/>
      <c r="AJ319"/>
      <c r="AK319"/>
      <c r="AL319"/>
      <c r="AM319"/>
      <c r="AN319"/>
      <c r="AO319"/>
      <c r="AP319"/>
      <c r="AQ319"/>
      <c r="AR319"/>
      <c r="AS319"/>
      <c r="AT319"/>
      <c r="AU319"/>
      <c r="AV319">
        <f t="shared" si="39"/>
        <v>16</v>
      </c>
      <c r="AW319" s="351">
        <f t="shared" si="41"/>
        <v>4.2895442359249331E-2</v>
      </c>
    </row>
    <row r="320" spans="1:49" ht="18.75" customHeight="1">
      <c r="A320" s="357">
        <v>46198</v>
      </c>
      <c r="B320" s="346"/>
      <c r="C320" s="346"/>
      <c r="D320" s="346"/>
      <c r="E320" s="346"/>
      <c r="F320" s="346"/>
      <c r="G320" s="346"/>
      <c r="H320" s="346"/>
      <c r="I320" s="346"/>
      <c r="J320" s="346"/>
      <c r="K320" s="346"/>
      <c r="L320" s="346"/>
      <c r="M320" s="346"/>
      <c r="N320" s="346"/>
      <c r="O320" s="346"/>
      <c r="P320" s="346"/>
      <c r="Q320" s="346"/>
      <c r="R320" s="346"/>
      <c r="S320" s="346">
        <f>3+2</f>
        <v>5</v>
      </c>
      <c r="T320" s="346"/>
      <c r="U320" s="346"/>
      <c r="V320" s="346"/>
      <c r="W320" s="346"/>
      <c r="X320" s="346"/>
      <c r="Y320" s="346"/>
      <c r="Z320" s="346"/>
      <c r="AA320" s="346"/>
      <c r="AB320" s="346"/>
      <c r="AC320" s="346"/>
      <c r="AD320" s="346"/>
      <c r="AE320" s="346"/>
      <c r="AF320" s="346"/>
      <c r="AG320" s="346"/>
      <c r="AH320" s="346"/>
      <c r="AI320" s="346"/>
      <c r="AJ320" s="346"/>
      <c r="AK320" s="346"/>
      <c r="AL320" s="346"/>
      <c r="AM320" s="346"/>
      <c r="AN320" s="346"/>
      <c r="AO320" s="346"/>
      <c r="AP320" s="346"/>
      <c r="AQ320" s="346"/>
      <c r="AR320" s="346"/>
      <c r="AS320" s="346"/>
      <c r="AT320" s="346"/>
      <c r="AU320" s="346"/>
      <c r="AV320">
        <f t="shared" si="39"/>
        <v>5</v>
      </c>
      <c r="AW320" s="351">
        <f t="shared" si="41"/>
        <v>1.3404825737265416E-2</v>
      </c>
    </row>
    <row r="321" spans="1:49" ht="18.75" customHeight="1">
      <c r="A321" s="357">
        <v>46198</v>
      </c>
      <c r="B321"/>
      <c r="C321"/>
      <c r="D321"/>
      <c r="E321"/>
      <c r="F321"/>
      <c r="G321"/>
      <c r="H321"/>
      <c r="I321"/>
      <c r="J321"/>
      <c r="K321"/>
      <c r="L321"/>
      <c r="M321"/>
      <c r="N321"/>
      <c r="O321"/>
      <c r="P321"/>
      <c r="Q321"/>
      <c r="R321"/>
      <c r="S321"/>
      <c r="T321">
        <f>40</f>
        <v>40</v>
      </c>
      <c r="U321"/>
      <c r="V321"/>
      <c r="W321"/>
      <c r="X321"/>
      <c r="Y321"/>
      <c r="Z321"/>
      <c r="AA321"/>
      <c r="AB321"/>
      <c r="AC321"/>
      <c r="AD321"/>
      <c r="AE321"/>
      <c r="AF321"/>
      <c r="AG321"/>
      <c r="AH321"/>
      <c r="AI321"/>
      <c r="AJ321"/>
      <c r="AK321"/>
      <c r="AL321"/>
      <c r="AM321"/>
      <c r="AN321"/>
      <c r="AO321"/>
      <c r="AP321"/>
      <c r="AQ321"/>
      <c r="AR321"/>
      <c r="AS321"/>
      <c r="AT321"/>
      <c r="AU321"/>
      <c r="AV321">
        <f t="shared" si="39"/>
        <v>40</v>
      </c>
      <c r="AW321" s="351">
        <f t="shared" si="41"/>
        <v>0.10723860589812333</v>
      </c>
    </row>
    <row r="322" spans="1:49" ht="18.75" customHeight="1">
      <c r="A322" s="357">
        <v>46199</v>
      </c>
      <c r="B322" s="346"/>
      <c r="C322" s="346"/>
      <c r="D322" s="346"/>
      <c r="E322" s="346"/>
      <c r="F322" s="346"/>
      <c r="G322" s="346"/>
      <c r="H322" s="346"/>
      <c r="I322" s="346"/>
      <c r="J322" s="346"/>
      <c r="K322" s="346"/>
      <c r="L322" s="346"/>
      <c r="M322" s="346"/>
      <c r="N322" s="346"/>
      <c r="O322" s="346"/>
      <c r="P322" s="346"/>
      <c r="Q322" s="346"/>
      <c r="R322" s="346"/>
      <c r="S322" s="346">
        <f>2</f>
        <v>2</v>
      </c>
      <c r="T322" s="346">
        <f>25</f>
        <v>25</v>
      </c>
      <c r="U322" s="346"/>
      <c r="V322" s="346"/>
      <c r="W322" s="346"/>
      <c r="X322" s="346"/>
      <c r="Y322" s="346"/>
      <c r="Z322" s="346"/>
      <c r="AA322" s="346"/>
      <c r="AB322" s="346"/>
      <c r="AC322" s="346"/>
      <c r="AD322" s="346"/>
      <c r="AE322" s="346"/>
      <c r="AF322" s="346"/>
      <c r="AG322" s="346"/>
      <c r="AH322" s="346"/>
      <c r="AI322" s="346"/>
      <c r="AJ322" s="346"/>
      <c r="AK322" s="346"/>
      <c r="AL322" s="346"/>
      <c r="AM322" s="346"/>
      <c r="AN322" s="346"/>
      <c r="AO322" s="346"/>
      <c r="AP322" s="346"/>
      <c r="AQ322" s="346"/>
      <c r="AR322" s="346"/>
      <c r="AS322" s="346"/>
      <c r="AT322" s="346"/>
      <c r="AU322" s="346"/>
      <c r="AV322">
        <f t="shared" si="39"/>
        <v>27</v>
      </c>
      <c r="AW322" s="351">
        <f t="shared" si="41"/>
        <v>7.2386058981233251E-2</v>
      </c>
    </row>
    <row r="323" spans="1:49" ht="18.75" customHeight="1">
      <c r="A323" s="357">
        <v>46199</v>
      </c>
      <c r="B323" s="346"/>
      <c r="C323" s="346"/>
      <c r="D323" s="346"/>
      <c r="E323" s="346"/>
      <c r="F323" s="346"/>
      <c r="G323" s="346"/>
      <c r="H323" s="346"/>
      <c r="I323" s="346"/>
      <c r="J323" s="346"/>
      <c r="K323" s="346"/>
      <c r="L323" s="346"/>
      <c r="M323" s="346"/>
      <c r="N323" s="346"/>
      <c r="O323" s="346"/>
      <c r="P323" s="346"/>
      <c r="Q323" s="346"/>
      <c r="R323" s="346"/>
      <c r="S323" s="346"/>
      <c r="T323" s="346"/>
      <c r="U323" s="346"/>
      <c r="V323" s="346"/>
      <c r="W323" s="346"/>
      <c r="X323" s="346"/>
      <c r="Y323" s="346"/>
      <c r="Z323" s="346"/>
      <c r="AA323" s="346"/>
      <c r="AB323" s="346"/>
      <c r="AC323" s="346"/>
      <c r="AD323" s="346"/>
      <c r="AE323" s="346"/>
      <c r="AF323" s="346"/>
      <c r="AG323" s="346"/>
      <c r="AH323" s="346"/>
      <c r="AI323" s="346"/>
      <c r="AJ323" s="346"/>
      <c r="AK323" s="346"/>
      <c r="AL323" s="346"/>
      <c r="AM323" s="346"/>
      <c r="AN323" s="346"/>
      <c r="AO323" s="346"/>
      <c r="AP323" s="346"/>
      <c r="AQ323" s="346"/>
      <c r="AR323" s="346"/>
      <c r="AS323" s="346"/>
      <c r="AT323" s="346"/>
      <c r="AU323" s="346"/>
      <c r="AV323">
        <f t="shared" ref="AV323:AV325" si="42">SUM(B323:AU323)</f>
        <v>0</v>
      </c>
      <c r="AW323" s="351">
        <f t="shared" ref="AW323:AW325" si="43">AV323/$AV$368</f>
        <v>0</v>
      </c>
    </row>
    <row r="324" spans="1:49" ht="18.75" customHeight="1">
      <c r="A324" s="357">
        <v>46200</v>
      </c>
      <c r="B324" s="346"/>
      <c r="C324" s="346"/>
      <c r="D324" s="346"/>
      <c r="E324" s="346"/>
      <c r="F324" s="346"/>
      <c r="G324" s="346"/>
      <c r="H324" s="346"/>
      <c r="I324" s="346"/>
      <c r="J324" s="346"/>
      <c r="K324" s="346"/>
      <c r="L324" s="346"/>
      <c r="M324" s="346"/>
      <c r="N324" s="346"/>
      <c r="O324" s="346">
        <f>25</f>
        <v>25</v>
      </c>
      <c r="P324" s="346"/>
      <c r="Q324" s="346"/>
      <c r="R324" s="346"/>
      <c r="S324" s="346">
        <f>2</f>
        <v>2</v>
      </c>
      <c r="T324" s="346"/>
      <c r="U324" s="346"/>
      <c r="V324" s="346"/>
      <c r="W324" s="346">
        <f>19</f>
        <v>19</v>
      </c>
      <c r="X324" s="346"/>
      <c r="Y324" s="346"/>
      <c r="Z324" s="346"/>
      <c r="AA324" s="346"/>
      <c r="AB324" s="346"/>
      <c r="AC324" s="346"/>
      <c r="AD324" s="346"/>
      <c r="AE324" s="346"/>
      <c r="AF324" s="346"/>
      <c r="AG324" s="346"/>
      <c r="AH324" s="346"/>
      <c r="AI324" s="346"/>
      <c r="AJ324" s="346"/>
      <c r="AK324" s="346"/>
      <c r="AL324" s="346"/>
      <c r="AM324" s="346"/>
      <c r="AN324" s="346"/>
      <c r="AO324" s="346"/>
      <c r="AP324" s="346"/>
      <c r="AQ324" s="346"/>
      <c r="AR324" s="346"/>
      <c r="AS324" s="346"/>
      <c r="AT324" s="346"/>
      <c r="AU324" s="346"/>
      <c r="AV324">
        <f t="shared" si="42"/>
        <v>46</v>
      </c>
      <c r="AW324" s="351">
        <f t="shared" si="43"/>
        <v>0.12332439678284182</v>
      </c>
    </row>
    <row r="325" spans="1:49" ht="18.75" customHeight="1">
      <c r="A325" s="357">
        <v>46200</v>
      </c>
      <c r="B325"/>
      <c r="C325"/>
      <c r="D325"/>
      <c r="E325"/>
      <c r="F325"/>
      <c r="G325"/>
      <c r="H325"/>
      <c r="I325"/>
      <c r="J325"/>
      <c r="K325"/>
      <c r="L325"/>
      <c r="M325"/>
      <c r="N325"/>
      <c r="O325"/>
      <c r="P325"/>
      <c r="Q325"/>
      <c r="R325"/>
      <c r="S325">
        <f>2</f>
        <v>2</v>
      </c>
      <c r="T325"/>
      <c r="U325"/>
      <c r="V325"/>
      <c r="W325"/>
      <c r="X325"/>
      <c r="Y325"/>
      <c r="Z325"/>
      <c r="AA325"/>
      <c r="AB325"/>
      <c r="AC325"/>
      <c r="AD325"/>
      <c r="AE325"/>
      <c r="AF325"/>
      <c r="AG325"/>
      <c r="AH325"/>
      <c r="AI325"/>
      <c r="AJ325"/>
      <c r="AK325"/>
      <c r="AL325"/>
      <c r="AM325"/>
      <c r="AN325"/>
      <c r="AO325"/>
      <c r="AP325"/>
      <c r="AQ325"/>
      <c r="AR325"/>
      <c r="AS325"/>
      <c r="AT325"/>
      <c r="AU325"/>
      <c r="AV325">
        <f t="shared" si="42"/>
        <v>2</v>
      </c>
      <c r="AW325" s="351">
        <f t="shared" si="43"/>
        <v>5.3619302949061663E-3</v>
      </c>
    </row>
    <row r="326" spans="1:49" ht="18.75" customHeight="1">
      <c r="A326" s="357">
        <v>46202</v>
      </c>
      <c r="B326"/>
      <c r="C326"/>
      <c r="D326"/>
      <c r="E326"/>
      <c r="F326"/>
      <c r="G326"/>
      <c r="H326"/>
      <c r="I326"/>
      <c r="J326"/>
      <c r="K326"/>
      <c r="L326"/>
      <c r="M326"/>
      <c r="N326"/>
      <c r="O326"/>
      <c r="P326"/>
      <c r="Q326"/>
      <c r="R326"/>
      <c r="S326">
        <f>2</f>
        <v>2</v>
      </c>
      <c r="T326"/>
      <c r="U326"/>
      <c r="V326"/>
      <c r="W326"/>
      <c r="X326"/>
      <c r="Y326" s="358"/>
      <c r="Z326"/>
      <c r="AA326"/>
      <c r="AB326"/>
      <c r="AC326"/>
      <c r="AD326"/>
      <c r="AE326"/>
      <c r="AF326"/>
      <c r="AG326"/>
      <c r="AH326"/>
      <c r="AI326"/>
      <c r="AJ326"/>
      <c r="AK326"/>
      <c r="AL326"/>
      <c r="AM326"/>
      <c r="AN326"/>
      <c r="AO326"/>
      <c r="AP326"/>
      <c r="AQ326"/>
      <c r="AR326"/>
      <c r="AS326"/>
      <c r="AT326"/>
      <c r="AU326"/>
      <c r="AV326">
        <f t="shared" si="39"/>
        <v>2</v>
      </c>
      <c r="AW326" s="351">
        <f t="shared" ref="AW326:AW340" si="44">AV326/$AV$368</f>
        <v>5.3619302949061663E-3</v>
      </c>
    </row>
    <row r="327" spans="1:49" ht="18.75" customHeight="1">
      <c r="A327" s="357">
        <v>46202</v>
      </c>
      <c r="B327" s="346"/>
      <c r="C327" s="346"/>
      <c r="D327" s="346"/>
      <c r="E327" s="346"/>
      <c r="F327" s="346"/>
      <c r="G327" s="346"/>
      <c r="H327" s="346"/>
      <c r="I327" s="346"/>
      <c r="J327" s="346"/>
      <c r="K327" s="346"/>
      <c r="L327" s="346"/>
      <c r="M327" s="346"/>
      <c r="N327" s="346"/>
      <c r="O327" s="346"/>
      <c r="P327" s="346"/>
      <c r="Q327" s="346"/>
      <c r="R327" s="346"/>
      <c r="S327" s="346">
        <f>2</f>
        <v>2</v>
      </c>
      <c r="T327" s="346"/>
      <c r="U327" s="346"/>
      <c r="V327" s="346"/>
      <c r="W327" s="346"/>
      <c r="X327" s="346"/>
      <c r="Y327" s="346"/>
      <c r="Z327" s="346"/>
      <c r="AA327" s="346"/>
      <c r="AB327" s="346"/>
      <c r="AC327" s="346"/>
      <c r="AD327" s="346"/>
      <c r="AE327" s="346">
        <v>2</v>
      </c>
      <c r="AF327" s="346"/>
      <c r="AG327" s="346"/>
      <c r="AH327" s="346"/>
      <c r="AI327" s="346"/>
      <c r="AJ327" s="346"/>
      <c r="AK327" s="346"/>
      <c r="AL327" s="346"/>
      <c r="AM327" s="346"/>
      <c r="AN327" s="346"/>
      <c r="AO327" s="346"/>
      <c r="AP327" s="346"/>
      <c r="AQ327" s="346"/>
      <c r="AR327" s="346"/>
      <c r="AS327" s="346"/>
      <c r="AT327" s="346"/>
      <c r="AU327" s="346"/>
      <c r="AV327">
        <f t="shared" si="39"/>
        <v>4</v>
      </c>
      <c r="AW327" s="351">
        <f t="shared" si="44"/>
        <v>1.0723860589812333E-2</v>
      </c>
    </row>
    <row r="328" spans="1:49" ht="18.75" customHeight="1">
      <c r="A328" s="357">
        <v>46202</v>
      </c>
      <c r="B328" s="346"/>
      <c r="C328" s="346"/>
      <c r="D328" s="346"/>
      <c r="E328" s="346"/>
      <c r="F328" s="346"/>
      <c r="G328" s="346"/>
      <c r="H328" s="346"/>
      <c r="I328" s="346"/>
      <c r="J328" s="346"/>
      <c r="K328" s="346"/>
      <c r="L328" s="346"/>
      <c r="M328" s="346"/>
      <c r="N328" s="346"/>
      <c r="O328" s="346"/>
      <c r="P328" s="346"/>
      <c r="Q328" s="346"/>
      <c r="R328" s="346"/>
      <c r="S328" s="346"/>
      <c r="T328" s="346"/>
      <c r="U328" s="346"/>
      <c r="V328" s="346"/>
      <c r="W328" s="346"/>
      <c r="X328" s="346"/>
      <c r="Y328" s="346"/>
      <c r="Z328" s="346"/>
      <c r="AA328" s="346"/>
      <c r="AB328" s="346"/>
      <c r="AC328" s="346"/>
      <c r="AD328" s="346"/>
      <c r="AE328" s="346"/>
      <c r="AF328" s="346"/>
      <c r="AG328" s="346"/>
      <c r="AH328" s="346"/>
      <c r="AI328" s="346"/>
      <c r="AJ328" s="346"/>
      <c r="AK328" s="346"/>
      <c r="AL328" s="346"/>
      <c r="AM328" s="346"/>
      <c r="AN328" s="346"/>
      <c r="AO328" s="346"/>
      <c r="AP328" s="346"/>
      <c r="AQ328" s="346"/>
      <c r="AR328" s="346"/>
      <c r="AS328" s="346"/>
      <c r="AT328" s="346"/>
      <c r="AU328" s="346"/>
      <c r="AV328">
        <f t="shared" si="39"/>
        <v>0</v>
      </c>
      <c r="AW328" s="351">
        <f t="shared" si="44"/>
        <v>0</v>
      </c>
    </row>
    <row r="329" spans="1:49" ht="18.75" customHeight="1">
      <c r="A329" s="357">
        <v>46203</v>
      </c>
      <c r="B329"/>
      <c r="C329"/>
      <c r="D329"/>
      <c r="E329"/>
      <c r="F329"/>
      <c r="G329"/>
      <c r="H329"/>
      <c r="I329"/>
      <c r="J329"/>
      <c r="K329"/>
      <c r="L329"/>
      <c r="M329"/>
      <c r="N329"/>
      <c r="O329"/>
      <c r="P329"/>
      <c r="Q329"/>
      <c r="R329"/>
      <c r="S329"/>
      <c r="T329"/>
      <c r="U329"/>
      <c r="V329"/>
      <c r="W329"/>
      <c r="X329"/>
      <c r="Y329"/>
      <c r="Z329"/>
      <c r="AA329"/>
      <c r="AB329"/>
      <c r="AC329"/>
      <c r="AD329"/>
      <c r="AE329"/>
      <c r="AF329"/>
      <c r="AG329"/>
      <c r="AH329"/>
      <c r="AI329"/>
      <c r="AJ329"/>
      <c r="AK329"/>
      <c r="AL329"/>
      <c r="AM329"/>
      <c r="AN329"/>
      <c r="AO329"/>
      <c r="AP329"/>
      <c r="AQ329"/>
      <c r="AR329"/>
      <c r="AS329"/>
      <c r="AT329"/>
      <c r="AU329"/>
      <c r="AV329">
        <f t="shared" ref="AV329:AV367" si="45">SUM(B329:AU329)</f>
        <v>0</v>
      </c>
      <c r="AW329" s="351">
        <f t="shared" si="44"/>
        <v>0</v>
      </c>
    </row>
    <row r="330" spans="1:49" ht="18.75" customHeight="1">
      <c r="A330" s="357">
        <v>46203</v>
      </c>
      <c r="B330" s="346"/>
      <c r="C330" s="346"/>
      <c r="D330" s="346"/>
      <c r="E330" s="346"/>
      <c r="F330" s="346"/>
      <c r="G330" s="346"/>
      <c r="H330" s="346"/>
      <c r="I330" s="346"/>
      <c r="J330" s="346"/>
      <c r="K330" s="346"/>
      <c r="L330" s="346"/>
      <c r="M330" s="346"/>
      <c r="N330" s="346"/>
      <c r="O330" s="346"/>
      <c r="P330" s="346"/>
      <c r="Q330" s="346"/>
      <c r="R330" s="346"/>
      <c r="S330" s="346">
        <f>2+4+2+3+3+5+2</f>
        <v>21</v>
      </c>
      <c r="T330" s="346"/>
      <c r="U330" s="346"/>
      <c r="V330" s="346"/>
      <c r="W330" s="346"/>
      <c r="X330" s="346"/>
      <c r="Y330" s="346"/>
      <c r="Z330" s="346"/>
      <c r="AA330" s="346"/>
      <c r="AB330" s="346"/>
      <c r="AC330" s="346"/>
      <c r="AD330" s="346"/>
      <c r="AE330" s="346"/>
      <c r="AF330" s="346"/>
      <c r="AG330" s="346"/>
      <c r="AH330" s="346"/>
      <c r="AI330" s="346"/>
      <c r="AJ330" s="346"/>
      <c r="AK330" s="346"/>
      <c r="AL330" s="346"/>
      <c r="AM330" s="346"/>
      <c r="AN330" s="346"/>
      <c r="AO330" s="346"/>
      <c r="AP330" s="346"/>
      <c r="AQ330" s="346"/>
      <c r="AR330" s="346"/>
      <c r="AS330" s="346"/>
      <c r="AT330" s="346"/>
      <c r="AU330" s="346"/>
      <c r="AV330">
        <f t="shared" si="45"/>
        <v>21</v>
      </c>
      <c r="AW330" s="351">
        <f t="shared" si="44"/>
        <v>5.6300268096514748E-2</v>
      </c>
    </row>
    <row r="331" spans="1:49" ht="18.75" customHeight="1">
      <c r="A331" s="357"/>
      <c r="B331" s="346"/>
      <c r="C331" s="346"/>
      <c r="D331" s="346"/>
      <c r="E331" s="346"/>
      <c r="F331" s="346"/>
      <c r="G331" s="346"/>
      <c r="H331" s="346"/>
      <c r="I331" s="346"/>
      <c r="J331" s="346"/>
      <c r="K331" s="346"/>
      <c r="L331" s="346"/>
      <c r="M331" s="346"/>
      <c r="N331" s="346"/>
      <c r="O331" s="346"/>
      <c r="P331" s="346"/>
      <c r="Q331" s="346"/>
      <c r="R331" s="346"/>
      <c r="S331" s="346"/>
      <c r="T331" s="346"/>
      <c r="U331" s="346"/>
      <c r="V331" s="346"/>
      <c r="W331" s="346"/>
      <c r="X331" s="346"/>
      <c r="Y331" s="346"/>
      <c r="Z331" s="346"/>
      <c r="AA331" s="346"/>
      <c r="AB331" s="346"/>
      <c r="AC331" s="346"/>
      <c r="AD331" s="346"/>
      <c r="AE331" s="346"/>
      <c r="AF331" s="346"/>
      <c r="AG331" s="346"/>
      <c r="AH331" s="346"/>
      <c r="AI331" s="346"/>
      <c r="AJ331" s="346"/>
      <c r="AK331" s="346"/>
      <c r="AL331" s="346"/>
      <c r="AM331" s="346"/>
      <c r="AN331" s="346"/>
      <c r="AO331" s="346"/>
      <c r="AP331" s="346"/>
      <c r="AQ331" s="346"/>
      <c r="AR331" s="346"/>
      <c r="AS331" s="346"/>
      <c r="AT331" s="346"/>
      <c r="AU331" s="346"/>
      <c r="AV331">
        <f t="shared" si="45"/>
        <v>0</v>
      </c>
      <c r="AW331" s="351">
        <f t="shared" si="44"/>
        <v>0</v>
      </c>
    </row>
    <row r="332" spans="1:49" ht="18.75" customHeight="1">
      <c r="A332" s="357"/>
      <c r="B332" s="346"/>
      <c r="C332" s="346"/>
      <c r="D332" s="346"/>
      <c r="E332" s="346"/>
      <c r="F332" s="346"/>
      <c r="G332" s="346"/>
      <c r="H332" s="346"/>
      <c r="I332" s="346"/>
      <c r="J332" s="346"/>
      <c r="K332" s="346"/>
      <c r="L332" s="346"/>
      <c r="M332" s="346"/>
      <c r="N332" s="346"/>
      <c r="O332" s="346"/>
      <c r="P332" s="346"/>
      <c r="Q332" s="346"/>
      <c r="R332" s="346"/>
      <c r="S332" s="346"/>
      <c r="T332" s="346"/>
      <c r="U332" s="346"/>
      <c r="V332" s="346"/>
      <c r="W332" s="346"/>
      <c r="X332" s="346"/>
      <c r="Y332" s="346"/>
      <c r="Z332" s="346"/>
      <c r="AA332" s="346"/>
      <c r="AB332" s="346"/>
      <c r="AC332" s="346"/>
      <c r="AD332" s="346"/>
      <c r="AE332" s="346"/>
      <c r="AF332" s="346"/>
      <c r="AG332" s="346"/>
      <c r="AH332" s="346"/>
      <c r="AI332" s="346"/>
      <c r="AJ332" s="346"/>
      <c r="AK332" s="346"/>
      <c r="AL332" s="346"/>
      <c r="AM332" s="346"/>
      <c r="AN332" s="346"/>
      <c r="AO332" s="346"/>
      <c r="AP332" s="346"/>
      <c r="AQ332" s="346"/>
      <c r="AR332" s="346"/>
      <c r="AS332" s="346"/>
      <c r="AT332" s="346"/>
      <c r="AU332" s="346"/>
      <c r="AV332">
        <f t="shared" si="45"/>
        <v>0</v>
      </c>
      <c r="AW332" s="351">
        <f t="shared" si="44"/>
        <v>0</v>
      </c>
    </row>
    <row r="333" spans="1:49" ht="18.75" customHeight="1">
      <c r="A333" s="357"/>
      <c r="B333"/>
      <c r="C333"/>
      <c r="D333"/>
      <c r="E333"/>
      <c r="F333"/>
      <c r="G333"/>
      <c r="H333"/>
      <c r="I333"/>
      <c r="J333"/>
      <c r="K333"/>
      <c r="L333"/>
      <c r="M333"/>
      <c r="N333"/>
      <c r="O333"/>
      <c r="P333"/>
      <c r="Q333"/>
      <c r="R333"/>
      <c r="S333"/>
      <c r="T333"/>
      <c r="U333"/>
      <c r="V333"/>
      <c r="W333"/>
      <c r="X333"/>
      <c r="Y333"/>
      <c r="Z333"/>
      <c r="AA333"/>
      <c r="AB333"/>
      <c r="AC333"/>
      <c r="AD333"/>
      <c r="AE333"/>
      <c r="AF333"/>
      <c r="AG333"/>
      <c r="AH333"/>
      <c r="AI333"/>
      <c r="AJ333"/>
      <c r="AK333"/>
      <c r="AL333"/>
      <c r="AM333"/>
      <c r="AN333"/>
      <c r="AO333"/>
      <c r="AP333"/>
      <c r="AQ333"/>
      <c r="AR333"/>
      <c r="AS333"/>
      <c r="AT333"/>
      <c r="AU333"/>
      <c r="AV333">
        <f t="shared" si="45"/>
        <v>0</v>
      </c>
      <c r="AW333" s="351">
        <f t="shared" si="44"/>
        <v>0</v>
      </c>
    </row>
    <row r="334" spans="1:49" ht="18.75" hidden="1" customHeight="1">
      <c r="A334" s="357"/>
      <c r="B334" s="346"/>
      <c r="C334" s="346"/>
      <c r="D334" s="346"/>
      <c r="E334" s="346"/>
      <c r="F334" s="346"/>
      <c r="G334" s="346"/>
      <c r="H334" s="346"/>
      <c r="I334" s="346"/>
      <c r="J334" s="346"/>
      <c r="K334" s="346"/>
      <c r="L334" s="346"/>
      <c r="M334" s="346"/>
      <c r="N334" s="346"/>
      <c r="O334" s="346"/>
      <c r="P334" s="346"/>
      <c r="Q334" s="346"/>
      <c r="R334" s="346"/>
      <c r="S334" s="346"/>
      <c r="T334" s="346"/>
      <c r="U334" s="346"/>
      <c r="V334" s="346"/>
      <c r="W334" s="346"/>
      <c r="X334" s="346"/>
      <c r="Y334" s="346"/>
      <c r="Z334" s="346"/>
      <c r="AA334" s="346"/>
      <c r="AB334" s="346"/>
      <c r="AC334" s="346"/>
      <c r="AD334" s="346"/>
      <c r="AE334" s="346"/>
      <c r="AF334" s="346"/>
      <c r="AG334" s="346"/>
      <c r="AH334" s="346"/>
      <c r="AI334" s="346"/>
      <c r="AJ334" s="346"/>
      <c r="AK334" s="346"/>
      <c r="AL334" s="346"/>
      <c r="AM334" s="346"/>
      <c r="AN334" s="346"/>
      <c r="AO334" s="346"/>
      <c r="AP334" s="346"/>
      <c r="AQ334" s="346"/>
      <c r="AR334" s="346"/>
      <c r="AS334" s="346"/>
      <c r="AT334" s="346"/>
      <c r="AU334" s="346"/>
      <c r="AV334">
        <f t="shared" si="45"/>
        <v>0</v>
      </c>
      <c r="AW334" s="351">
        <f t="shared" si="44"/>
        <v>0</v>
      </c>
    </row>
    <row r="335" spans="1:49" ht="18.75" hidden="1" customHeight="1">
      <c r="A335" s="357"/>
      <c r="B335"/>
      <c r="C335"/>
      <c r="D335"/>
      <c r="E335"/>
      <c r="F335"/>
      <c r="G335"/>
      <c r="H335"/>
      <c r="I335"/>
      <c r="J335"/>
      <c r="K335"/>
      <c r="L335"/>
      <c r="M335"/>
      <c r="N335"/>
      <c r="O335"/>
      <c r="P335"/>
      <c r="Q335"/>
      <c r="R335"/>
      <c r="S335"/>
      <c r="T335"/>
      <c r="U335"/>
      <c r="V335"/>
      <c r="W335"/>
      <c r="X335"/>
      <c r="Y335"/>
      <c r="Z335"/>
      <c r="AA335"/>
      <c r="AB335"/>
      <c r="AC335"/>
      <c r="AD335"/>
      <c r="AE335"/>
      <c r="AF335"/>
      <c r="AG335"/>
      <c r="AH335"/>
      <c r="AI335"/>
      <c r="AJ335"/>
      <c r="AK335"/>
      <c r="AL335"/>
      <c r="AM335"/>
      <c r="AN335"/>
      <c r="AO335"/>
      <c r="AP335"/>
      <c r="AQ335"/>
      <c r="AR335"/>
      <c r="AS335"/>
      <c r="AT335"/>
      <c r="AU335"/>
      <c r="AV335">
        <f t="shared" si="45"/>
        <v>0</v>
      </c>
      <c r="AW335" s="351">
        <f t="shared" si="44"/>
        <v>0</v>
      </c>
    </row>
    <row r="336" spans="1:49" ht="18.75" hidden="1" customHeight="1">
      <c r="A336" s="357"/>
      <c r="B336"/>
      <c r="C336"/>
      <c r="D336"/>
      <c r="E336"/>
      <c r="F336"/>
      <c r="G336"/>
      <c r="H336"/>
      <c r="I336"/>
      <c r="J336"/>
      <c r="K336"/>
      <c r="L336"/>
      <c r="M336"/>
      <c r="N336"/>
      <c r="O336"/>
      <c r="P336"/>
      <c r="Q336"/>
      <c r="R336"/>
      <c r="S336"/>
      <c r="T336"/>
      <c r="U336"/>
      <c r="V336"/>
      <c r="W336"/>
      <c r="X336"/>
      <c r="Y336"/>
      <c r="Z336"/>
      <c r="AA336"/>
      <c r="AB336"/>
      <c r="AC336"/>
      <c r="AD336"/>
      <c r="AE336"/>
      <c r="AF336"/>
      <c r="AG336"/>
      <c r="AH336"/>
      <c r="AI336"/>
      <c r="AJ336"/>
      <c r="AK336"/>
      <c r="AL336"/>
      <c r="AM336"/>
      <c r="AN336"/>
      <c r="AO336"/>
      <c r="AP336"/>
      <c r="AQ336"/>
      <c r="AR336"/>
      <c r="AS336"/>
      <c r="AT336"/>
      <c r="AU336"/>
      <c r="AV336">
        <f t="shared" si="45"/>
        <v>0</v>
      </c>
      <c r="AW336" s="351">
        <f t="shared" si="44"/>
        <v>0</v>
      </c>
    </row>
    <row r="337" spans="1:49" ht="18.75" hidden="1" customHeight="1">
      <c r="A337" s="357"/>
      <c r="B337" s="346"/>
      <c r="C337" s="346"/>
      <c r="D337" s="346"/>
      <c r="E337" s="346"/>
      <c r="F337" s="346"/>
      <c r="G337" s="346"/>
      <c r="H337" s="346"/>
      <c r="I337" s="346"/>
      <c r="J337" s="346"/>
      <c r="K337" s="346"/>
      <c r="L337" s="346"/>
      <c r="M337" s="346"/>
      <c r="N337" s="346"/>
      <c r="O337" s="346"/>
      <c r="P337" s="346"/>
      <c r="Q337" s="346"/>
      <c r="R337" s="346"/>
      <c r="S337" s="346"/>
      <c r="T337" s="346"/>
      <c r="U337" s="346"/>
      <c r="V337" s="346"/>
      <c r="W337" s="346"/>
      <c r="X337" s="346"/>
      <c r="Y337" s="346"/>
      <c r="Z337" s="346"/>
      <c r="AA337" s="346"/>
      <c r="AB337" s="346"/>
      <c r="AC337" s="346"/>
      <c r="AD337" s="346"/>
      <c r="AE337" s="346"/>
      <c r="AF337" s="346"/>
      <c r="AG337" s="346"/>
      <c r="AH337" s="346"/>
      <c r="AI337" s="346"/>
      <c r="AJ337" s="346"/>
      <c r="AK337" s="346"/>
      <c r="AL337" s="346"/>
      <c r="AM337" s="346"/>
      <c r="AN337" s="346"/>
      <c r="AO337" s="346"/>
      <c r="AP337" s="346"/>
      <c r="AQ337" s="346"/>
      <c r="AR337" s="346"/>
      <c r="AS337" s="346"/>
      <c r="AT337" s="346"/>
      <c r="AU337" s="346"/>
      <c r="AV337">
        <f t="shared" si="45"/>
        <v>0</v>
      </c>
      <c r="AW337" s="351">
        <f t="shared" si="44"/>
        <v>0</v>
      </c>
    </row>
    <row r="338" spans="1:49" ht="18.75" hidden="1" customHeight="1">
      <c r="A338" s="357"/>
      <c r="B338"/>
      <c r="C338"/>
      <c r="D338"/>
      <c r="E338"/>
      <c r="F338"/>
      <c r="G338"/>
      <c r="H338"/>
      <c r="I338"/>
      <c r="J338"/>
      <c r="K338"/>
      <c r="L338"/>
      <c r="M338"/>
      <c r="N338"/>
      <c r="O338"/>
      <c r="P338"/>
      <c r="Q338"/>
      <c r="R338"/>
      <c r="S338"/>
      <c r="T338"/>
      <c r="U338"/>
      <c r="V338"/>
      <c r="W338"/>
      <c r="X338"/>
      <c r="Y338"/>
      <c r="Z338"/>
      <c r="AA338"/>
      <c r="AB338"/>
      <c r="AC338"/>
      <c r="AD338"/>
      <c r="AE338"/>
      <c r="AF338"/>
      <c r="AG338"/>
      <c r="AH338"/>
      <c r="AI338"/>
      <c r="AJ338"/>
      <c r="AK338"/>
      <c r="AL338"/>
      <c r="AM338"/>
      <c r="AN338"/>
      <c r="AO338"/>
      <c r="AP338"/>
      <c r="AQ338"/>
      <c r="AR338"/>
      <c r="AS338"/>
      <c r="AT338"/>
      <c r="AU338"/>
      <c r="AV338">
        <f t="shared" si="45"/>
        <v>0</v>
      </c>
      <c r="AW338" s="351">
        <f t="shared" si="44"/>
        <v>0</v>
      </c>
    </row>
    <row r="339" spans="1:49" ht="18.75" hidden="1" customHeight="1">
      <c r="A339" s="357"/>
      <c r="B339"/>
      <c r="C339"/>
      <c r="D339"/>
      <c r="E339"/>
      <c r="F339"/>
      <c r="G339"/>
      <c r="H339"/>
      <c r="I339"/>
      <c r="J339"/>
      <c r="K339"/>
      <c r="L339"/>
      <c r="M339"/>
      <c r="N339"/>
      <c r="O339"/>
      <c r="P339"/>
      <c r="Q339"/>
      <c r="R339"/>
      <c r="S339"/>
      <c r="T339"/>
      <c r="U339"/>
      <c r="V339"/>
      <c r="W339"/>
      <c r="X339"/>
      <c r="Y339"/>
      <c r="Z339"/>
      <c r="AA339"/>
      <c r="AB339"/>
      <c r="AC339"/>
      <c r="AD339"/>
      <c r="AE339"/>
      <c r="AF339"/>
      <c r="AG339"/>
      <c r="AH339"/>
      <c r="AI339"/>
      <c r="AJ339"/>
      <c r="AK339"/>
      <c r="AL339"/>
      <c r="AM339"/>
      <c r="AN339"/>
      <c r="AO339"/>
      <c r="AP339"/>
      <c r="AQ339"/>
      <c r="AR339"/>
      <c r="AS339"/>
      <c r="AT339"/>
      <c r="AU339"/>
      <c r="AV339">
        <f t="shared" si="45"/>
        <v>0</v>
      </c>
      <c r="AW339" s="351">
        <f t="shared" si="44"/>
        <v>0</v>
      </c>
    </row>
    <row r="340" spans="1:49" ht="18.75" hidden="1" customHeight="1">
      <c r="A340" s="357"/>
      <c r="B340"/>
      <c r="C340"/>
      <c r="D340"/>
      <c r="E340"/>
      <c r="F340"/>
      <c r="G340"/>
      <c r="H340"/>
      <c r="I340"/>
      <c r="J340"/>
      <c r="K340"/>
      <c r="L340"/>
      <c r="M340"/>
      <c r="N340"/>
      <c r="O340"/>
      <c r="P340"/>
      <c r="Q340"/>
      <c r="R340"/>
      <c r="S340"/>
      <c r="T340"/>
      <c r="U340"/>
      <c r="V340"/>
      <c r="W340"/>
      <c r="X340"/>
      <c r="Y340"/>
      <c r="Z340"/>
      <c r="AA340"/>
      <c r="AB340"/>
      <c r="AC340"/>
      <c r="AD340"/>
      <c r="AE340"/>
      <c r="AF340"/>
      <c r="AG340"/>
      <c r="AH340"/>
      <c r="AI340"/>
      <c r="AJ340"/>
      <c r="AK340"/>
      <c r="AL340"/>
      <c r="AM340"/>
      <c r="AN340"/>
      <c r="AO340"/>
      <c r="AP340"/>
      <c r="AQ340"/>
      <c r="AR340"/>
      <c r="AS340"/>
      <c r="AT340"/>
      <c r="AU340"/>
      <c r="AV340">
        <f t="shared" si="45"/>
        <v>0</v>
      </c>
      <c r="AW340" s="351">
        <f t="shared" si="44"/>
        <v>0</v>
      </c>
    </row>
    <row r="341" spans="1:49" ht="18.75" hidden="1" customHeight="1">
      <c r="A341" s="357"/>
      <c r="B341" s="346"/>
      <c r="C341" s="346"/>
      <c r="D341" s="346"/>
      <c r="E341" s="346"/>
      <c r="F341" s="346"/>
      <c r="G341" s="346"/>
      <c r="H341" s="346"/>
      <c r="I341" s="346"/>
      <c r="J341" s="346"/>
      <c r="K341" s="346"/>
      <c r="L341" s="346"/>
      <c r="M341" s="346"/>
      <c r="N341" s="346"/>
      <c r="O341" s="346"/>
      <c r="P341" s="346"/>
      <c r="Q341" s="346"/>
      <c r="R341" s="346"/>
      <c r="S341" s="346"/>
      <c r="T341" s="346"/>
      <c r="U341" s="346"/>
      <c r="V341" s="346"/>
      <c r="W341" s="346"/>
      <c r="X341" s="346"/>
      <c r="Y341" s="346"/>
      <c r="Z341" s="346"/>
      <c r="AA341" s="346"/>
      <c r="AB341" s="346"/>
      <c r="AC341" s="346"/>
      <c r="AD341" s="346"/>
      <c r="AE341" s="346"/>
      <c r="AF341" s="346"/>
      <c r="AG341" s="346"/>
      <c r="AH341" s="346"/>
      <c r="AI341" s="346"/>
      <c r="AJ341" s="346"/>
      <c r="AK341" s="346"/>
      <c r="AL341" s="346"/>
      <c r="AM341" s="346"/>
      <c r="AN341" s="346"/>
      <c r="AO341" s="346"/>
      <c r="AP341" s="346"/>
      <c r="AQ341" s="346"/>
      <c r="AR341" s="346"/>
      <c r="AS341" s="346"/>
      <c r="AT341" s="346"/>
      <c r="AU341" s="346"/>
      <c r="AV341">
        <f t="shared" si="45"/>
        <v>0</v>
      </c>
      <c r="AW341" s="351">
        <f t="shared" ref="AW341:AW367" si="46">AV341/$AV$368</f>
        <v>0</v>
      </c>
    </row>
    <row r="342" spans="1:49" ht="18.75" hidden="1" customHeight="1">
      <c r="A342" s="357"/>
      <c r="B342"/>
      <c r="C342"/>
      <c r="D342"/>
      <c r="E342"/>
      <c r="F342"/>
      <c r="G342"/>
      <c r="H342"/>
      <c r="I342"/>
      <c r="J342"/>
      <c r="K342"/>
      <c r="L342"/>
      <c r="M342"/>
      <c r="N342"/>
      <c r="O342"/>
      <c r="P342"/>
      <c r="Q342"/>
      <c r="R342"/>
      <c r="S342"/>
      <c r="T342"/>
      <c r="U342"/>
      <c r="V342"/>
      <c r="W342"/>
      <c r="X342"/>
      <c r="Y342"/>
      <c r="Z342"/>
      <c r="AA342"/>
      <c r="AB342"/>
      <c r="AC342"/>
      <c r="AD342"/>
      <c r="AE342"/>
      <c r="AF342"/>
      <c r="AG342"/>
      <c r="AH342"/>
      <c r="AI342"/>
      <c r="AJ342"/>
      <c r="AK342"/>
      <c r="AL342"/>
      <c r="AM342"/>
      <c r="AN342"/>
      <c r="AO342"/>
      <c r="AP342"/>
      <c r="AQ342"/>
      <c r="AR342"/>
      <c r="AS342"/>
      <c r="AT342"/>
      <c r="AU342"/>
      <c r="AV342">
        <f t="shared" si="45"/>
        <v>0</v>
      </c>
      <c r="AW342" s="351">
        <f t="shared" si="46"/>
        <v>0</v>
      </c>
    </row>
    <row r="343" spans="1:49" ht="18.75" hidden="1" customHeight="1">
      <c r="A343" s="357"/>
      <c r="B343" s="346"/>
      <c r="C343" s="346"/>
      <c r="D343" s="346"/>
      <c r="E343" s="346"/>
      <c r="F343" s="346"/>
      <c r="G343" s="346"/>
      <c r="H343" s="346"/>
      <c r="I343" s="346"/>
      <c r="J343" s="346"/>
      <c r="K343" s="346"/>
      <c r="L343" s="346"/>
      <c r="M343" s="346"/>
      <c r="N343" s="346"/>
      <c r="O343" s="346"/>
      <c r="P343" s="346"/>
      <c r="Q343" s="346"/>
      <c r="R343" s="346"/>
      <c r="S343" s="346"/>
      <c r="T343" s="137"/>
      <c r="U343" s="346"/>
      <c r="V343" s="346"/>
      <c r="W343" s="346"/>
      <c r="X343" s="346"/>
      <c r="Y343" s="346"/>
      <c r="Z343" s="346"/>
      <c r="AA343" s="346"/>
      <c r="AB343" s="346"/>
      <c r="AC343" s="346"/>
      <c r="AD343" s="346"/>
      <c r="AE343" s="346"/>
      <c r="AF343" s="346"/>
      <c r="AG343" s="346"/>
      <c r="AH343" s="346"/>
      <c r="AI343" s="346"/>
      <c r="AJ343" s="346"/>
      <c r="AK343" s="346"/>
      <c r="AL343" s="346"/>
      <c r="AM343" s="346"/>
      <c r="AN343" s="346"/>
      <c r="AO343" s="346"/>
      <c r="AP343" s="346"/>
      <c r="AQ343" s="346"/>
      <c r="AR343" s="346"/>
      <c r="AS343" s="346"/>
      <c r="AT343" s="346"/>
      <c r="AU343" s="346"/>
      <c r="AV343">
        <f t="shared" si="45"/>
        <v>0</v>
      </c>
      <c r="AW343" s="351">
        <f t="shared" si="46"/>
        <v>0</v>
      </c>
    </row>
    <row r="344" spans="1:49" ht="15.75" hidden="1">
      <c r="A344" s="357"/>
      <c r="B344"/>
      <c r="C344"/>
      <c r="D344"/>
      <c r="E344"/>
      <c r="F344"/>
      <c r="G344"/>
      <c r="H344"/>
      <c r="I344"/>
      <c r="J344"/>
      <c r="K344"/>
      <c r="L344"/>
      <c r="M344"/>
      <c r="N344"/>
      <c r="O344"/>
      <c r="P344"/>
      <c r="Q344"/>
      <c r="R344"/>
      <c r="S344"/>
      <c r="T344"/>
      <c r="U344"/>
      <c r="V344"/>
      <c r="W344"/>
      <c r="X344"/>
      <c r="Y344"/>
      <c r="Z344"/>
      <c r="AA344"/>
      <c r="AB344"/>
      <c r="AC344"/>
      <c r="AD344"/>
      <c r="AE344"/>
      <c r="AF344"/>
      <c r="AG344"/>
      <c r="AH344"/>
      <c r="AI344"/>
      <c r="AJ344"/>
      <c r="AK344"/>
      <c r="AL344"/>
      <c r="AM344"/>
      <c r="AN344"/>
      <c r="AO344"/>
      <c r="AP344"/>
      <c r="AQ344"/>
      <c r="AR344"/>
      <c r="AS344"/>
      <c r="AT344"/>
      <c r="AU344"/>
      <c r="AV344">
        <f t="shared" si="45"/>
        <v>0</v>
      </c>
      <c r="AW344" s="351">
        <f t="shared" si="46"/>
        <v>0</v>
      </c>
    </row>
    <row r="345" spans="1:49" ht="18.75" hidden="1" customHeight="1">
      <c r="A345" s="357"/>
      <c r="B345" s="346"/>
      <c r="C345" s="346"/>
      <c r="D345" s="346"/>
      <c r="E345" s="346"/>
      <c r="F345" s="346"/>
      <c r="G345" s="346"/>
      <c r="H345" s="346"/>
      <c r="I345" s="346"/>
      <c r="J345" s="346"/>
      <c r="K345" s="346"/>
      <c r="L345" s="346"/>
      <c r="M345" s="346"/>
      <c r="N345" s="346"/>
      <c r="O345" s="346"/>
      <c r="P345" s="346"/>
      <c r="Q345" s="346"/>
      <c r="R345" s="346"/>
      <c r="S345" s="346"/>
      <c r="T345" s="346"/>
      <c r="U345" s="346"/>
      <c r="V345" s="346"/>
      <c r="W345" s="346"/>
      <c r="X345" s="346"/>
      <c r="Y345" s="346"/>
      <c r="Z345" s="346"/>
      <c r="AA345" s="346"/>
      <c r="AB345" s="346"/>
      <c r="AC345" s="346"/>
      <c r="AD345" s="346"/>
      <c r="AE345" s="346"/>
      <c r="AF345" s="346"/>
      <c r="AG345" s="346"/>
      <c r="AH345" s="346"/>
      <c r="AI345" s="346"/>
      <c r="AJ345" s="346"/>
      <c r="AK345" s="346"/>
      <c r="AL345" s="346"/>
      <c r="AM345" s="346"/>
      <c r="AN345" s="346"/>
      <c r="AO345" s="346"/>
      <c r="AP345" s="346"/>
      <c r="AQ345" s="346"/>
      <c r="AR345" s="346"/>
      <c r="AS345" s="346"/>
      <c r="AT345" s="346"/>
      <c r="AU345" s="346"/>
      <c r="AV345">
        <f t="shared" si="45"/>
        <v>0</v>
      </c>
      <c r="AW345" s="351">
        <f t="shared" si="46"/>
        <v>0</v>
      </c>
    </row>
    <row r="346" spans="1:49" ht="18.75" hidden="1" customHeight="1">
      <c r="A346" s="357"/>
      <c r="B346"/>
      <c r="C346"/>
      <c r="D346"/>
      <c r="E346"/>
      <c r="F346"/>
      <c r="G346"/>
      <c r="H346"/>
      <c r="I346"/>
      <c r="J346"/>
      <c r="K346"/>
      <c r="L346"/>
      <c r="M346"/>
      <c r="O346"/>
      <c r="P346"/>
      <c r="Q346"/>
      <c r="R346"/>
      <c r="S346"/>
      <c r="T346"/>
      <c r="U346"/>
      <c r="V346"/>
      <c r="W346"/>
      <c r="X346"/>
      <c r="Y346"/>
      <c r="Z346"/>
      <c r="AA346"/>
      <c r="AB346"/>
      <c r="AC346"/>
      <c r="AD346"/>
      <c r="AE346"/>
      <c r="AF346"/>
      <c r="AG346"/>
      <c r="AH346"/>
      <c r="AI346"/>
      <c r="AJ346"/>
      <c r="AK346"/>
      <c r="AL346"/>
      <c r="AM346"/>
      <c r="AN346"/>
      <c r="AO346"/>
      <c r="AP346"/>
      <c r="AQ346"/>
      <c r="AR346"/>
      <c r="AS346"/>
      <c r="AT346"/>
      <c r="AU346"/>
      <c r="AV346">
        <f t="shared" si="45"/>
        <v>0</v>
      </c>
      <c r="AW346" s="351">
        <f t="shared" si="46"/>
        <v>0</v>
      </c>
    </row>
    <row r="347" spans="1:49" ht="18.75" hidden="1" customHeight="1">
      <c r="A347" s="357"/>
      <c r="B347" s="346"/>
      <c r="C347" s="346"/>
      <c r="D347" s="346"/>
      <c r="E347" s="346"/>
      <c r="F347" s="346"/>
      <c r="G347" s="346"/>
      <c r="H347" s="346"/>
      <c r="I347" s="346"/>
      <c r="J347" s="346"/>
      <c r="K347" s="346"/>
      <c r="L347" s="346"/>
      <c r="M347" s="346"/>
      <c r="N347" s="346"/>
      <c r="O347" s="346"/>
      <c r="P347" s="346"/>
      <c r="Q347" s="346"/>
      <c r="R347" s="346"/>
      <c r="S347" s="346"/>
      <c r="T347" s="346"/>
      <c r="U347" s="346"/>
      <c r="V347" s="346"/>
      <c r="W347" s="346"/>
      <c r="X347" s="346"/>
      <c r="Y347" s="346"/>
      <c r="Z347" s="346"/>
      <c r="AA347" s="346"/>
      <c r="AB347" s="346"/>
      <c r="AC347" s="346"/>
      <c r="AD347" s="346"/>
      <c r="AE347" s="346"/>
      <c r="AF347" s="346"/>
      <c r="AG347" s="346"/>
      <c r="AH347" s="346"/>
      <c r="AI347" s="346"/>
      <c r="AJ347" s="346"/>
      <c r="AK347" s="346"/>
      <c r="AL347" s="346"/>
      <c r="AM347" s="346"/>
      <c r="AN347" s="346"/>
      <c r="AO347" s="346"/>
      <c r="AP347" s="346"/>
      <c r="AQ347" s="346"/>
      <c r="AR347" s="346"/>
      <c r="AS347" s="346"/>
      <c r="AT347" s="346"/>
      <c r="AU347" s="346"/>
      <c r="AV347">
        <f t="shared" si="45"/>
        <v>0</v>
      </c>
      <c r="AW347" s="351">
        <f t="shared" si="46"/>
        <v>0</v>
      </c>
    </row>
    <row r="348" spans="1:49" ht="18.75" hidden="1" customHeight="1">
      <c r="A348" s="357"/>
      <c r="B348"/>
      <c r="C348"/>
      <c r="D348"/>
      <c r="E348"/>
      <c r="F348"/>
      <c r="G348"/>
      <c r="H348"/>
      <c r="I348"/>
      <c r="J348"/>
      <c r="K348"/>
      <c r="L348"/>
      <c r="M348"/>
      <c r="N348"/>
      <c r="O348"/>
      <c r="P348"/>
      <c r="Q348"/>
      <c r="R348"/>
      <c r="S348"/>
      <c r="T348"/>
      <c r="U348"/>
      <c r="V348"/>
      <c r="W348"/>
      <c r="X348"/>
      <c r="Y348"/>
      <c r="Z348"/>
      <c r="AA348"/>
      <c r="AB348"/>
      <c r="AC348"/>
      <c r="AD348"/>
      <c r="AE348"/>
      <c r="AF348"/>
      <c r="AG348"/>
      <c r="AH348"/>
      <c r="AI348"/>
      <c r="AJ348"/>
      <c r="AK348"/>
      <c r="AL348"/>
      <c r="AM348"/>
      <c r="AN348"/>
      <c r="AO348"/>
      <c r="AP348"/>
      <c r="AQ348"/>
      <c r="AR348"/>
      <c r="AS348"/>
      <c r="AT348"/>
      <c r="AU348"/>
      <c r="AV348">
        <f t="shared" si="45"/>
        <v>0</v>
      </c>
      <c r="AW348" s="351">
        <f t="shared" si="46"/>
        <v>0</v>
      </c>
    </row>
    <row r="349" spans="1:49" ht="18.75" hidden="1" customHeight="1">
      <c r="A349" s="357"/>
      <c r="B349" s="346"/>
      <c r="C349" s="346"/>
      <c r="D349" s="346"/>
      <c r="E349" s="346"/>
      <c r="F349" s="346"/>
      <c r="G349" s="346"/>
      <c r="H349" s="346"/>
      <c r="I349" s="346"/>
      <c r="J349" s="346"/>
      <c r="K349" s="346"/>
      <c r="L349" s="346"/>
      <c r="M349" s="346"/>
      <c r="N349" s="346"/>
      <c r="O349" s="346"/>
      <c r="P349" s="346"/>
      <c r="Q349" s="346"/>
      <c r="R349" s="346"/>
      <c r="S349" s="346"/>
      <c r="T349" s="346"/>
      <c r="U349" s="346"/>
      <c r="V349" s="346"/>
      <c r="W349" s="346"/>
      <c r="X349" s="346"/>
      <c r="Y349" s="346"/>
      <c r="Z349" s="346"/>
      <c r="AA349" s="346"/>
      <c r="AB349" s="346"/>
      <c r="AC349" s="346"/>
      <c r="AD349" s="346"/>
      <c r="AE349" s="346"/>
      <c r="AF349" s="346"/>
      <c r="AG349" s="346"/>
      <c r="AH349" s="346"/>
      <c r="AI349" s="346"/>
      <c r="AJ349" s="346"/>
      <c r="AK349" s="346"/>
      <c r="AL349" s="346"/>
      <c r="AM349" s="346"/>
      <c r="AN349" s="346"/>
      <c r="AO349" s="346"/>
      <c r="AP349" s="346"/>
      <c r="AQ349" s="346"/>
      <c r="AR349" s="346"/>
      <c r="AS349" s="346"/>
      <c r="AT349" s="346"/>
      <c r="AU349" s="346"/>
      <c r="AV349">
        <f t="shared" si="45"/>
        <v>0</v>
      </c>
      <c r="AW349" s="351">
        <f t="shared" si="46"/>
        <v>0</v>
      </c>
    </row>
    <row r="350" spans="1:49" ht="18.75" hidden="1" customHeight="1">
      <c r="A350" s="357"/>
      <c r="B350"/>
      <c r="C350"/>
      <c r="D350"/>
      <c r="E350"/>
      <c r="F350"/>
      <c r="G350"/>
      <c r="H350"/>
      <c r="I350"/>
      <c r="J350"/>
      <c r="K350"/>
      <c r="L350"/>
      <c r="M350"/>
      <c r="N350"/>
      <c r="O350"/>
      <c r="P350"/>
      <c r="Q350"/>
      <c r="R350"/>
      <c r="S350"/>
      <c r="T350"/>
      <c r="U350"/>
      <c r="V350"/>
      <c r="W350"/>
      <c r="X350"/>
      <c r="Y350"/>
      <c r="Z350"/>
      <c r="AA350"/>
      <c r="AB350"/>
      <c r="AC350"/>
      <c r="AD350"/>
      <c r="AE350"/>
      <c r="AF350"/>
      <c r="AG350"/>
      <c r="AH350"/>
      <c r="AI350"/>
      <c r="AJ350"/>
      <c r="AK350"/>
      <c r="AL350"/>
      <c r="AM350"/>
      <c r="AN350"/>
      <c r="AO350"/>
      <c r="AP350"/>
      <c r="AQ350"/>
      <c r="AR350"/>
      <c r="AS350"/>
      <c r="AT350"/>
      <c r="AU350"/>
      <c r="AV350">
        <f t="shared" si="45"/>
        <v>0</v>
      </c>
      <c r="AW350" s="351">
        <f t="shared" si="46"/>
        <v>0</v>
      </c>
    </row>
    <row r="351" spans="1:49" ht="18.75" hidden="1" customHeight="1">
      <c r="A351" s="357"/>
      <c r="B351" s="346"/>
      <c r="C351" s="346"/>
      <c r="D351" s="346"/>
      <c r="E351" s="346"/>
      <c r="F351" s="346"/>
      <c r="G351" s="346"/>
      <c r="H351" s="346"/>
      <c r="I351" s="346"/>
      <c r="J351" s="346"/>
      <c r="K351" s="346"/>
      <c r="L351" s="346"/>
      <c r="M351" s="346"/>
      <c r="N351" s="346"/>
      <c r="O351" s="346"/>
      <c r="P351" s="346"/>
      <c r="Q351" s="346"/>
      <c r="R351" s="346"/>
      <c r="S351" s="346"/>
      <c r="T351" s="346"/>
      <c r="U351" s="346"/>
      <c r="V351" s="346"/>
      <c r="W351" s="346"/>
      <c r="X351" s="346"/>
      <c r="Y351" s="346"/>
      <c r="Z351" s="346"/>
      <c r="AA351" s="346"/>
      <c r="AB351" s="346"/>
      <c r="AC351" s="346"/>
      <c r="AD351" s="346"/>
      <c r="AE351" s="346"/>
      <c r="AF351" s="346"/>
      <c r="AG351" s="346"/>
      <c r="AH351" s="346"/>
      <c r="AI351" s="346"/>
      <c r="AJ351" s="346"/>
      <c r="AK351" s="346"/>
      <c r="AL351" s="346"/>
      <c r="AM351" s="346"/>
      <c r="AN351" s="346"/>
      <c r="AO351" s="346"/>
      <c r="AP351" s="346"/>
      <c r="AQ351" s="346"/>
      <c r="AR351" s="346"/>
      <c r="AS351" s="346"/>
      <c r="AT351" s="346"/>
      <c r="AU351" s="346"/>
      <c r="AV351">
        <f t="shared" si="45"/>
        <v>0</v>
      </c>
      <c r="AW351" s="351">
        <f t="shared" si="46"/>
        <v>0</v>
      </c>
    </row>
    <row r="352" spans="1:49" ht="18.75" hidden="1" customHeight="1">
      <c r="A352" s="357"/>
      <c r="B352"/>
      <c r="C352"/>
      <c r="D352"/>
      <c r="E352"/>
      <c r="F352"/>
      <c r="G352"/>
      <c r="H352"/>
      <c r="I352"/>
      <c r="J352"/>
      <c r="K352"/>
      <c r="L352"/>
      <c r="M352"/>
      <c r="N352"/>
      <c r="O352"/>
      <c r="P352"/>
      <c r="Q352"/>
      <c r="R352"/>
      <c r="S352"/>
      <c r="T352"/>
      <c r="U352"/>
      <c r="V352"/>
      <c r="W352"/>
      <c r="X352"/>
      <c r="Y352"/>
      <c r="Z352"/>
      <c r="AA352"/>
      <c r="AB352"/>
      <c r="AC352"/>
      <c r="AD352"/>
      <c r="AE352"/>
      <c r="AF352"/>
      <c r="AG352"/>
      <c r="AH352"/>
      <c r="AI352"/>
      <c r="AJ352"/>
      <c r="AK352"/>
      <c r="AL352"/>
      <c r="AM352"/>
      <c r="AN352"/>
      <c r="AO352"/>
      <c r="AP352"/>
      <c r="AQ352"/>
      <c r="AR352"/>
      <c r="AS352"/>
      <c r="AT352"/>
      <c r="AU352"/>
      <c r="AV352">
        <f t="shared" si="45"/>
        <v>0</v>
      </c>
      <c r="AW352" s="351">
        <f t="shared" si="46"/>
        <v>0</v>
      </c>
    </row>
    <row r="353" spans="1:49" ht="18.75" hidden="1" customHeight="1">
      <c r="A353" s="357"/>
      <c r="B353" s="346"/>
      <c r="C353" s="346"/>
      <c r="D353" s="346"/>
      <c r="E353" s="346"/>
      <c r="F353" s="346"/>
      <c r="G353" s="346"/>
      <c r="H353" s="346"/>
      <c r="I353" s="346"/>
      <c r="J353" s="346"/>
      <c r="K353" s="346"/>
      <c r="L353" s="346"/>
      <c r="M353" s="346"/>
      <c r="N353" s="346"/>
      <c r="O353" s="346"/>
      <c r="P353" s="346"/>
      <c r="Q353" s="346"/>
      <c r="R353" s="346"/>
      <c r="S353" s="346"/>
      <c r="T353" s="346"/>
      <c r="U353" s="346"/>
      <c r="V353" s="346"/>
      <c r="W353" s="346"/>
      <c r="X353" s="346"/>
      <c r="Y353" s="346"/>
      <c r="Z353" s="346"/>
      <c r="AA353" s="346"/>
      <c r="AB353" s="346"/>
      <c r="AC353" s="346"/>
      <c r="AD353" s="346"/>
      <c r="AE353" s="346"/>
      <c r="AF353" s="346"/>
      <c r="AG353" s="346"/>
      <c r="AH353" s="346"/>
      <c r="AI353" s="346"/>
      <c r="AJ353" s="346"/>
      <c r="AK353" s="346"/>
      <c r="AL353" s="346"/>
      <c r="AM353" s="346"/>
      <c r="AN353" s="346"/>
      <c r="AO353" s="346"/>
      <c r="AP353" s="346"/>
      <c r="AQ353" s="346"/>
      <c r="AR353" s="346"/>
      <c r="AS353" s="346"/>
      <c r="AT353" s="346"/>
      <c r="AU353" s="346"/>
      <c r="AV353">
        <f t="shared" si="45"/>
        <v>0</v>
      </c>
      <c r="AW353" s="351">
        <f t="shared" si="46"/>
        <v>0</v>
      </c>
    </row>
    <row r="354" spans="1:49" ht="18.75" hidden="1" customHeight="1">
      <c r="A354" s="357"/>
      <c r="B354"/>
      <c r="C354"/>
      <c r="D354"/>
      <c r="E354"/>
      <c r="F354"/>
      <c r="G354"/>
      <c r="H354"/>
      <c r="I354"/>
      <c r="J354"/>
      <c r="K354"/>
      <c r="L354"/>
      <c r="M354"/>
      <c r="N354"/>
      <c r="O354"/>
      <c r="P354"/>
      <c r="Q354"/>
      <c r="R354"/>
      <c r="S354"/>
      <c r="T354"/>
      <c r="U354"/>
      <c r="V354"/>
      <c r="W354"/>
      <c r="X354"/>
      <c r="Y354"/>
      <c r="Z354"/>
      <c r="AA354"/>
      <c r="AB354"/>
      <c r="AC354"/>
      <c r="AD354"/>
      <c r="AE354"/>
      <c r="AF354"/>
      <c r="AG354"/>
      <c r="AH354"/>
      <c r="AI354"/>
      <c r="AJ354"/>
      <c r="AK354"/>
      <c r="AL354"/>
      <c r="AM354"/>
      <c r="AN354"/>
      <c r="AO354"/>
      <c r="AP354"/>
      <c r="AQ354"/>
      <c r="AR354"/>
      <c r="AS354"/>
      <c r="AT354"/>
      <c r="AU354"/>
      <c r="AV354">
        <f t="shared" si="45"/>
        <v>0</v>
      </c>
      <c r="AW354" s="351">
        <f t="shared" si="46"/>
        <v>0</v>
      </c>
    </row>
    <row r="355" spans="1:49" ht="18.75" hidden="1" customHeight="1">
      <c r="A355" s="357"/>
      <c r="B355" s="346"/>
      <c r="C355" s="346"/>
      <c r="D355" s="346"/>
      <c r="E355" s="346"/>
      <c r="F355" s="346"/>
      <c r="G355" s="346"/>
      <c r="H355" s="346"/>
      <c r="I355" s="346"/>
      <c r="J355" s="346"/>
      <c r="K355" s="346"/>
      <c r="L355" s="346"/>
      <c r="M355" s="346"/>
      <c r="N355" s="346"/>
      <c r="O355" s="346"/>
      <c r="P355" s="346"/>
      <c r="Q355" s="346"/>
      <c r="R355" s="346"/>
      <c r="S355" s="346"/>
      <c r="T355" s="346"/>
      <c r="U355" s="346"/>
      <c r="V355" s="346"/>
      <c r="W355" s="346"/>
      <c r="X355" s="346"/>
      <c r="Y355" s="346"/>
      <c r="Z355" s="346"/>
      <c r="AA355" s="346"/>
      <c r="AB355" s="346"/>
      <c r="AC355" s="346"/>
      <c r="AD355" s="346"/>
      <c r="AE355" s="346"/>
      <c r="AF355" s="346"/>
      <c r="AG355" s="346"/>
      <c r="AH355" s="346"/>
      <c r="AI355" s="346"/>
      <c r="AJ355" s="346"/>
      <c r="AK355" s="346"/>
      <c r="AL355" s="346"/>
      <c r="AM355" s="346"/>
      <c r="AN355" s="346"/>
      <c r="AO355" s="346"/>
      <c r="AP355" s="346"/>
      <c r="AQ355" s="346"/>
      <c r="AR355" s="346"/>
      <c r="AS355" s="346"/>
      <c r="AT355" s="346"/>
      <c r="AU355" s="346"/>
      <c r="AV355">
        <f t="shared" si="45"/>
        <v>0</v>
      </c>
      <c r="AW355" s="351">
        <f t="shared" si="46"/>
        <v>0</v>
      </c>
    </row>
    <row r="356" spans="1:49" ht="18.75" hidden="1" customHeight="1">
      <c r="A356" s="357"/>
      <c r="B356"/>
      <c r="C356"/>
      <c r="D356"/>
      <c r="E356"/>
      <c r="F356"/>
      <c r="G356"/>
      <c r="H356"/>
      <c r="I356"/>
      <c r="J356"/>
      <c r="K356"/>
      <c r="L356"/>
      <c r="M356"/>
      <c r="N356"/>
      <c r="O356"/>
      <c r="P356"/>
      <c r="Q356"/>
      <c r="R356"/>
      <c r="S356"/>
      <c r="T356"/>
      <c r="U356"/>
      <c r="V356"/>
      <c r="W356"/>
      <c r="X356"/>
      <c r="Y356"/>
      <c r="Z356"/>
      <c r="AA356"/>
      <c r="AB356"/>
      <c r="AC356"/>
      <c r="AD356"/>
      <c r="AE356"/>
      <c r="AF356"/>
      <c r="AG356"/>
      <c r="AH356"/>
      <c r="AI356"/>
      <c r="AJ356"/>
      <c r="AK356"/>
      <c r="AL356"/>
      <c r="AM356"/>
      <c r="AN356"/>
      <c r="AO356"/>
      <c r="AP356"/>
      <c r="AQ356"/>
      <c r="AR356"/>
      <c r="AS356"/>
      <c r="AT356"/>
      <c r="AU356"/>
      <c r="AV356">
        <f t="shared" si="45"/>
        <v>0</v>
      </c>
      <c r="AW356" s="351">
        <f t="shared" si="46"/>
        <v>0</v>
      </c>
    </row>
    <row r="357" spans="1:49" ht="18.75" hidden="1" customHeight="1">
      <c r="A357" s="357"/>
      <c r="B357" s="346"/>
      <c r="C357" s="346"/>
      <c r="D357" s="346"/>
      <c r="E357" s="346"/>
      <c r="F357" s="346"/>
      <c r="G357" s="346"/>
      <c r="H357" s="346"/>
      <c r="I357" s="346"/>
      <c r="J357" s="346"/>
      <c r="K357" s="346"/>
      <c r="L357" s="346"/>
      <c r="M357" s="346"/>
      <c r="N357" s="346"/>
      <c r="O357" s="346"/>
      <c r="P357" s="346"/>
      <c r="Q357" s="346"/>
      <c r="R357" s="346"/>
      <c r="S357" s="346"/>
      <c r="T357" s="346"/>
      <c r="U357" s="346"/>
      <c r="V357" s="346"/>
      <c r="W357" s="346"/>
      <c r="X357" s="346"/>
      <c r="Y357" s="346"/>
      <c r="Z357" s="346"/>
      <c r="AA357" s="346"/>
      <c r="AB357" s="346"/>
      <c r="AC357" s="346"/>
      <c r="AD357" s="346"/>
      <c r="AE357" s="346"/>
      <c r="AF357" s="346"/>
      <c r="AG357" s="346"/>
      <c r="AH357" s="346"/>
      <c r="AI357" s="346"/>
      <c r="AJ357" s="346"/>
      <c r="AK357" s="346"/>
      <c r="AL357" s="346"/>
      <c r="AM357" s="346"/>
      <c r="AN357" s="346"/>
      <c r="AO357" s="346"/>
      <c r="AP357" s="346"/>
      <c r="AQ357" s="346"/>
      <c r="AR357" s="346"/>
      <c r="AS357" s="346"/>
      <c r="AT357" s="346"/>
      <c r="AU357" s="346"/>
      <c r="AV357">
        <f t="shared" si="45"/>
        <v>0</v>
      </c>
      <c r="AW357" s="351">
        <f t="shared" si="46"/>
        <v>0</v>
      </c>
    </row>
    <row r="358" spans="1:49" ht="18.75" hidden="1" customHeight="1">
      <c r="A358" s="357"/>
      <c r="B358"/>
      <c r="C358"/>
      <c r="D358"/>
      <c r="E358"/>
      <c r="F358"/>
      <c r="G358"/>
      <c r="H358"/>
      <c r="I358"/>
      <c r="J358"/>
      <c r="K358"/>
      <c r="L358"/>
      <c r="M358"/>
      <c r="N358"/>
      <c r="O358"/>
      <c r="P358"/>
      <c r="Q358"/>
      <c r="R358"/>
      <c r="S358"/>
      <c r="T358"/>
      <c r="U358"/>
      <c r="V358"/>
      <c r="W358"/>
      <c r="X358"/>
      <c r="Y358"/>
      <c r="Z358"/>
      <c r="AA358"/>
      <c r="AB358"/>
      <c r="AC358"/>
      <c r="AD358"/>
      <c r="AE358"/>
      <c r="AF358"/>
      <c r="AG358"/>
      <c r="AH358"/>
      <c r="AI358"/>
      <c r="AJ358"/>
      <c r="AK358"/>
      <c r="AL358"/>
      <c r="AM358"/>
      <c r="AN358"/>
      <c r="AO358"/>
      <c r="AP358"/>
      <c r="AQ358"/>
      <c r="AR358"/>
      <c r="AS358"/>
      <c r="AT358"/>
      <c r="AU358"/>
      <c r="AV358">
        <f t="shared" si="45"/>
        <v>0</v>
      </c>
      <c r="AW358" s="351">
        <f t="shared" si="46"/>
        <v>0</v>
      </c>
    </row>
    <row r="359" spans="1:49" ht="18.75" hidden="1" customHeight="1">
      <c r="A359" s="357"/>
      <c r="B359" s="346"/>
      <c r="C359" s="346"/>
      <c r="D359" s="346"/>
      <c r="E359" s="346"/>
      <c r="F359" s="346"/>
      <c r="G359" s="346"/>
      <c r="H359" s="346"/>
      <c r="I359" s="346"/>
      <c r="J359" s="346"/>
      <c r="K359" s="346"/>
      <c r="L359" s="346"/>
      <c r="M359" s="346"/>
      <c r="N359" s="346"/>
      <c r="O359" s="346"/>
      <c r="P359" s="346"/>
      <c r="Q359" s="346"/>
      <c r="R359" s="346"/>
      <c r="S359" s="346"/>
      <c r="T359" s="346"/>
      <c r="U359" s="346"/>
      <c r="V359" s="346"/>
      <c r="W359" s="346"/>
      <c r="X359" s="346"/>
      <c r="Y359" s="346"/>
      <c r="Z359" s="346"/>
      <c r="AA359" s="346"/>
      <c r="AB359" s="346"/>
      <c r="AC359" s="346"/>
      <c r="AD359" s="346"/>
      <c r="AE359" s="346"/>
      <c r="AF359" s="346"/>
      <c r="AG359" s="346"/>
      <c r="AH359" s="346"/>
      <c r="AI359" s="346"/>
      <c r="AJ359" s="346"/>
      <c r="AK359" s="346"/>
      <c r="AL359" s="346"/>
      <c r="AM359" s="346"/>
      <c r="AN359" s="346"/>
      <c r="AO359" s="346"/>
      <c r="AP359" s="346"/>
      <c r="AQ359" s="346"/>
      <c r="AR359" s="346"/>
      <c r="AS359" s="346"/>
      <c r="AT359" s="346"/>
      <c r="AU359" s="346"/>
      <c r="AV359">
        <f t="shared" si="45"/>
        <v>0</v>
      </c>
      <c r="AW359" s="351">
        <f t="shared" si="46"/>
        <v>0</v>
      </c>
    </row>
    <row r="360" spans="1:49" ht="18.75" hidden="1" customHeight="1">
      <c r="A360" s="357"/>
      <c r="B360"/>
      <c r="C360"/>
      <c r="D360"/>
      <c r="E360"/>
      <c r="F360"/>
      <c r="G360"/>
      <c r="H360"/>
      <c r="I360"/>
      <c r="J360"/>
      <c r="K360"/>
      <c r="L360"/>
      <c r="M360"/>
      <c r="N360"/>
      <c r="O360"/>
      <c r="P360"/>
      <c r="Q360"/>
      <c r="R360"/>
      <c r="S360"/>
      <c r="T360"/>
      <c r="U360"/>
      <c r="V360"/>
      <c r="W360"/>
      <c r="X360"/>
      <c r="Y360"/>
      <c r="Z360"/>
      <c r="AA360"/>
      <c r="AB360"/>
      <c r="AC360"/>
      <c r="AD360"/>
      <c r="AE360"/>
      <c r="AF360"/>
      <c r="AG360"/>
      <c r="AH360"/>
      <c r="AI360"/>
      <c r="AJ360"/>
      <c r="AK360"/>
      <c r="AL360"/>
      <c r="AM360"/>
      <c r="AN360"/>
      <c r="AO360"/>
      <c r="AP360"/>
      <c r="AQ360"/>
      <c r="AR360"/>
      <c r="AS360"/>
      <c r="AT360"/>
      <c r="AU360"/>
      <c r="AV360">
        <f t="shared" si="45"/>
        <v>0</v>
      </c>
      <c r="AW360" s="351">
        <f t="shared" si="46"/>
        <v>0</v>
      </c>
    </row>
    <row r="361" spans="1:49" ht="18.75" hidden="1" customHeight="1">
      <c r="A361" s="357"/>
      <c r="B361" s="346"/>
      <c r="C361" s="346"/>
      <c r="D361" s="346"/>
      <c r="E361" s="346"/>
      <c r="F361" s="346"/>
      <c r="G361" s="346"/>
      <c r="H361" s="346"/>
      <c r="I361" s="346"/>
      <c r="J361" s="346"/>
      <c r="K361" s="346"/>
      <c r="L361" s="346"/>
      <c r="M361" s="346"/>
      <c r="N361" s="346"/>
      <c r="O361" s="346"/>
      <c r="P361" s="346"/>
      <c r="Q361" s="346"/>
      <c r="R361" s="346"/>
      <c r="S361" s="346"/>
      <c r="T361" s="346"/>
      <c r="U361" s="346"/>
      <c r="V361" s="346"/>
      <c r="W361" s="346"/>
      <c r="X361" s="346"/>
      <c r="Y361" s="346"/>
      <c r="Z361" s="346"/>
      <c r="AA361" s="346"/>
      <c r="AB361" s="346"/>
      <c r="AC361" s="346"/>
      <c r="AD361" s="346"/>
      <c r="AE361" s="346"/>
      <c r="AF361" s="346"/>
      <c r="AG361" s="346"/>
      <c r="AH361" s="346"/>
      <c r="AI361" s="346"/>
      <c r="AJ361" s="346"/>
      <c r="AK361" s="346"/>
      <c r="AL361" s="346"/>
      <c r="AM361" s="346"/>
      <c r="AN361" s="346"/>
      <c r="AO361" s="346"/>
      <c r="AP361" s="346"/>
      <c r="AQ361" s="346"/>
      <c r="AR361" s="346"/>
      <c r="AS361" s="346"/>
      <c r="AT361" s="346"/>
      <c r="AU361" s="346"/>
      <c r="AV361">
        <f t="shared" si="45"/>
        <v>0</v>
      </c>
      <c r="AW361" s="351">
        <f t="shared" si="46"/>
        <v>0</v>
      </c>
    </row>
    <row r="362" spans="1:49" ht="18.75" hidden="1" customHeight="1">
      <c r="A362" s="357"/>
      <c r="B362"/>
      <c r="C362"/>
      <c r="D362"/>
      <c r="E362"/>
      <c r="F362"/>
      <c r="G362"/>
      <c r="H362"/>
      <c r="I362"/>
      <c r="J362"/>
      <c r="K362"/>
      <c r="L362"/>
      <c r="M362"/>
      <c r="N362"/>
      <c r="O362"/>
      <c r="P362"/>
      <c r="Q362"/>
      <c r="R362"/>
      <c r="S362"/>
      <c r="T362"/>
      <c r="U362"/>
      <c r="V362"/>
      <c r="W362"/>
      <c r="X362"/>
      <c r="Y362"/>
      <c r="Z362"/>
      <c r="AA362"/>
      <c r="AB362"/>
      <c r="AC362"/>
      <c r="AD362"/>
      <c r="AE362"/>
      <c r="AF362"/>
      <c r="AG362"/>
      <c r="AH362"/>
      <c r="AI362"/>
      <c r="AJ362"/>
      <c r="AK362"/>
      <c r="AL362"/>
      <c r="AM362"/>
      <c r="AN362"/>
      <c r="AO362"/>
      <c r="AP362"/>
      <c r="AQ362"/>
      <c r="AR362"/>
      <c r="AS362"/>
      <c r="AT362"/>
      <c r="AU362"/>
      <c r="AV362">
        <f t="shared" si="45"/>
        <v>0</v>
      </c>
      <c r="AW362" s="351">
        <f t="shared" si="46"/>
        <v>0</v>
      </c>
    </row>
    <row r="363" spans="1:49" ht="18.75" hidden="1" customHeight="1">
      <c r="A363" s="357"/>
      <c r="B363" s="346"/>
      <c r="C363" s="346"/>
      <c r="D363" s="346"/>
      <c r="E363" s="346"/>
      <c r="F363" s="346"/>
      <c r="G363" s="346"/>
      <c r="H363" s="346"/>
      <c r="I363" s="346"/>
      <c r="J363" s="346"/>
      <c r="K363" s="346"/>
      <c r="L363" s="346"/>
      <c r="M363" s="346"/>
      <c r="N363" s="346"/>
      <c r="O363" s="346"/>
      <c r="P363" s="346"/>
      <c r="Q363" s="346"/>
      <c r="R363" s="346"/>
      <c r="S363" s="346"/>
      <c r="T363" s="346"/>
      <c r="U363" s="346"/>
      <c r="V363" s="346"/>
      <c r="W363" s="346"/>
      <c r="X363" s="346"/>
      <c r="Y363" s="346"/>
      <c r="Z363" s="346"/>
      <c r="AA363" s="346"/>
      <c r="AB363" s="346"/>
      <c r="AC363" s="346"/>
      <c r="AD363" s="346"/>
      <c r="AE363" s="346"/>
      <c r="AF363" s="346"/>
      <c r="AG363" s="346"/>
      <c r="AH363" s="346"/>
      <c r="AI363" s="346"/>
      <c r="AJ363" s="346"/>
      <c r="AK363" s="346"/>
      <c r="AL363" s="346"/>
      <c r="AM363" s="346"/>
      <c r="AN363" s="346"/>
      <c r="AO363" s="346"/>
      <c r="AP363" s="346"/>
      <c r="AQ363" s="346"/>
      <c r="AR363" s="346"/>
      <c r="AS363" s="346"/>
      <c r="AT363" s="346"/>
      <c r="AU363" s="346"/>
      <c r="AV363">
        <f t="shared" si="45"/>
        <v>0</v>
      </c>
      <c r="AW363" s="351">
        <f t="shared" si="46"/>
        <v>0</v>
      </c>
    </row>
    <row r="364" spans="1:49" ht="18.75" hidden="1" customHeight="1">
      <c r="A364" s="357"/>
      <c r="B364"/>
      <c r="C364"/>
      <c r="D364"/>
      <c r="E364"/>
      <c r="F364"/>
      <c r="G364"/>
      <c r="H364"/>
      <c r="I364"/>
      <c r="J364"/>
      <c r="K364"/>
      <c r="L364"/>
      <c r="M364"/>
      <c r="N364"/>
      <c r="O364"/>
      <c r="P364"/>
      <c r="Q364"/>
      <c r="R364"/>
      <c r="S364"/>
      <c r="T364"/>
      <c r="U364"/>
      <c r="V364"/>
      <c r="W364"/>
      <c r="X364"/>
      <c r="Y364"/>
      <c r="Z364"/>
      <c r="AA364"/>
      <c r="AB364"/>
      <c r="AC364"/>
      <c r="AD364"/>
      <c r="AE364"/>
      <c r="AF364"/>
      <c r="AG364"/>
      <c r="AH364"/>
      <c r="AI364"/>
      <c r="AJ364"/>
      <c r="AK364"/>
      <c r="AL364"/>
      <c r="AM364"/>
      <c r="AN364"/>
      <c r="AO364"/>
      <c r="AP364"/>
      <c r="AQ364"/>
      <c r="AR364"/>
      <c r="AS364"/>
      <c r="AT364"/>
      <c r="AU364"/>
      <c r="AV364">
        <f t="shared" si="45"/>
        <v>0</v>
      </c>
      <c r="AW364" s="351">
        <f t="shared" si="46"/>
        <v>0</v>
      </c>
    </row>
    <row r="365" spans="1:49" ht="18.75" hidden="1" customHeight="1">
      <c r="A365" s="357"/>
      <c r="B365" s="346"/>
      <c r="C365" s="346"/>
      <c r="D365" s="346"/>
      <c r="E365" s="346"/>
      <c r="F365" s="346"/>
      <c r="G365" s="346"/>
      <c r="H365" s="346"/>
      <c r="I365" s="346"/>
      <c r="J365" s="346"/>
      <c r="K365" s="346"/>
      <c r="L365" s="346"/>
      <c r="M365" s="346"/>
      <c r="N365" s="346"/>
      <c r="O365" s="346"/>
      <c r="P365" s="346"/>
      <c r="Q365" s="346"/>
      <c r="R365" s="346"/>
      <c r="S365" s="346"/>
      <c r="T365" s="346"/>
      <c r="U365" s="346"/>
      <c r="V365" s="346"/>
      <c r="W365" s="346"/>
      <c r="X365" s="346"/>
      <c r="Y365" s="346"/>
      <c r="Z365" s="346"/>
      <c r="AA365" s="346"/>
      <c r="AB365" s="346"/>
      <c r="AC365" s="346"/>
      <c r="AD365" s="346"/>
      <c r="AE365" s="346"/>
      <c r="AF365" s="346"/>
      <c r="AG365" s="346"/>
      <c r="AH365" s="346"/>
      <c r="AI365" s="346"/>
      <c r="AJ365" s="346"/>
      <c r="AK365" s="346"/>
      <c r="AL365" s="346"/>
      <c r="AM365" s="346"/>
      <c r="AN365" s="346"/>
      <c r="AO365" s="346"/>
      <c r="AP365" s="346"/>
      <c r="AQ365" s="346"/>
      <c r="AR365" s="346"/>
      <c r="AS365" s="346"/>
      <c r="AT365" s="346"/>
      <c r="AU365" s="346"/>
      <c r="AV365">
        <f t="shared" si="45"/>
        <v>0</v>
      </c>
      <c r="AW365" s="351">
        <f t="shared" si="46"/>
        <v>0</v>
      </c>
    </row>
    <row r="366" spans="1:49" ht="18.75" hidden="1" customHeight="1">
      <c r="A366" s="357"/>
      <c r="B366"/>
      <c r="C366"/>
      <c r="D366"/>
      <c r="E366"/>
      <c r="F366"/>
      <c r="G366"/>
      <c r="H366"/>
      <c r="I366"/>
      <c r="J366"/>
      <c r="K366"/>
      <c r="L366"/>
      <c r="M366"/>
      <c r="N366"/>
      <c r="O366"/>
      <c r="P366"/>
      <c r="Q366"/>
      <c r="R366"/>
      <c r="S366"/>
      <c r="T366"/>
      <c r="U366"/>
      <c r="V366"/>
      <c r="W366"/>
      <c r="X366"/>
      <c r="Y366"/>
      <c r="Z366"/>
      <c r="AA366"/>
      <c r="AB366"/>
      <c r="AC366"/>
      <c r="AD366"/>
      <c r="AE366"/>
      <c r="AF366"/>
      <c r="AG366"/>
      <c r="AH366"/>
      <c r="AI366"/>
      <c r="AJ366"/>
      <c r="AK366"/>
      <c r="AL366"/>
      <c r="AM366"/>
      <c r="AN366"/>
      <c r="AO366"/>
      <c r="AP366"/>
      <c r="AQ366"/>
      <c r="AR366"/>
      <c r="AS366"/>
      <c r="AT366"/>
      <c r="AU366"/>
      <c r="AV366">
        <f t="shared" si="45"/>
        <v>0</v>
      </c>
      <c r="AW366" s="351">
        <f t="shared" si="46"/>
        <v>0</v>
      </c>
    </row>
    <row r="367" spans="1:49" ht="18.75" hidden="1" customHeight="1">
      <c r="A367" s="357"/>
      <c r="B367" s="346"/>
      <c r="C367" s="346"/>
      <c r="D367" s="346"/>
      <c r="E367" s="346"/>
      <c r="F367" s="346"/>
      <c r="G367" s="346"/>
      <c r="H367" s="346"/>
      <c r="I367" s="346"/>
      <c r="J367" s="346"/>
      <c r="K367" s="346"/>
      <c r="L367" s="346"/>
      <c r="M367" s="346"/>
      <c r="N367" s="346"/>
      <c r="O367" s="346"/>
      <c r="P367" s="346"/>
      <c r="Q367" s="346"/>
      <c r="R367" s="346"/>
      <c r="S367" s="346"/>
      <c r="T367" s="346"/>
      <c r="U367" s="346"/>
      <c r="V367" s="346"/>
      <c r="W367" s="346"/>
      <c r="X367" s="346"/>
      <c r="Y367" s="346"/>
      <c r="Z367" s="346"/>
      <c r="AA367" s="346"/>
      <c r="AB367" s="346"/>
      <c r="AC367" s="346"/>
      <c r="AD367" s="346"/>
      <c r="AE367" s="346"/>
      <c r="AF367" s="346"/>
      <c r="AG367" s="346"/>
      <c r="AH367" s="346"/>
      <c r="AI367" s="346"/>
      <c r="AJ367" s="346"/>
      <c r="AK367" s="346"/>
      <c r="AL367" s="346"/>
      <c r="AM367" s="346"/>
      <c r="AN367" s="346"/>
      <c r="AO367" s="346"/>
      <c r="AP367" s="346"/>
      <c r="AQ367" s="346"/>
      <c r="AR367" s="346"/>
      <c r="AS367" s="346"/>
      <c r="AT367" s="346"/>
      <c r="AU367" s="346"/>
      <c r="AV367">
        <f t="shared" si="45"/>
        <v>0</v>
      </c>
      <c r="AW367" s="351">
        <f t="shared" si="46"/>
        <v>0</v>
      </c>
    </row>
    <row r="368" spans="1:49" ht="18.75" customHeight="1">
      <c r="A368" s="347" t="s">
        <v>113</v>
      </c>
      <c r="B368" s="347">
        <f t="shared" ref="B368:AV368" si="47">SUM(B308:B367)</f>
        <v>0</v>
      </c>
      <c r="C368" s="347">
        <f t="shared" si="47"/>
        <v>0</v>
      </c>
      <c r="D368" s="347">
        <f t="shared" si="47"/>
        <v>0</v>
      </c>
      <c r="E368" s="347">
        <f t="shared" si="47"/>
        <v>0</v>
      </c>
      <c r="F368" s="347">
        <f t="shared" si="47"/>
        <v>0</v>
      </c>
      <c r="G368" s="347">
        <f t="shared" si="47"/>
        <v>0</v>
      </c>
      <c r="H368" s="347">
        <f t="shared" si="47"/>
        <v>0</v>
      </c>
      <c r="I368" s="347">
        <f t="shared" si="47"/>
        <v>0</v>
      </c>
      <c r="J368" s="347">
        <f t="shared" si="47"/>
        <v>0</v>
      </c>
      <c r="K368" s="347">
        <f t="shared" si="47"/>
        <v>0</v>
      </c>
      <c r="L368" s="347">
        <f t="shared" si="47"/>
        <v>0</v>
      </c>
      <c r="M368" s="347">
        <f t="shared" si="47"/>
        <v>0</v>
      </c>
      <c r="N368" s="347">
        <f t="shared" si="47"/>
        <v>0</v>
      </c>
      <c r="O368" s="347">
        <f t="shared" si="47"/>
        <v>25</v>
      </c>
      <c r="P368" s="347">
        <f t="shared" si="47"/>
        <v>52</v>
      </c>
      <c r="Q368" s="347">
        <f t="shared" si="47"/>
        <v>15</v>
      </c>
      <c r="R368" s="347">
        <f t="shared" si="47"/>
        <v>17</v>
      </c>
      <c r="S368" s="347">
        <f t="shared" si="47"/>
        <v>93</v>
      </c>
      <c r="T368" s="347">
        <f t="shared" si="47"/>
        <v>75</v>
      </c>
      <c r="U368" s="347">
        <f t="shared" si="47"/>
        <v>0</v>
      </c>
      <c r="V368" s="347">
        <f t="shared" si="47"/>
        <v>9</v>
      </c>
      <c r="W368" s="347">
        <f t="shared" si="47"/>
        <v>19</v>
      </c>
      <c r="X368" s="347">
        <f t="shared" si="47"/>
        <v>0</v>
      </c>
      <c r="Y368" s="347">
        <f t="shared" si="47"/>
        <v>0</v>
      </c>
      <c r="Z368" s="347">
        <f t="shared" si="47"/>
        <v>6</v>
      </c>
      <c r="AA368" s="347">
        <f t="shared" si="47"/>
        <v>0</v>
      </c>
      <c r="AB368" s="347">
        <f t="shared" si="47"/>
        <v>0</v>
      </c>
      <c r="AC368" s="347">
        <f t="shared" si="47"/>
        <v>44</v>
      </c>
      <c r="AD368" s="347">
        <f t="shared" si="47"/>
        <v>0</v>
      </c>
      <c r="AE368" s="347">
        <f t="shared" si="47"/>
        <v>2</v>
      </c>
      <c r="AF368" s="347">
        <f t="shared" si="47"/>
        <v>0</v>
      </c>
      <c r="AG368" s="347">
        <f t="shared" si="47"/>
        <v>0</v>
      </c>
      <c r="AH368" s="347">
        <f t="shared" si="47"/>
        <v>16</v>
      </c>
      <c r="AI368" s="347">
        <f t="shared" si="47"/>
        <v>0</v>
      </c>
      <c r="AJ368" s="347">
        <f t="shared" si="47"/>
        <v>0</v>
      </c>
      <c r="AK368" s="347">
        <f t="shared" si="47"/>
        <v>0</v>
      </c>
      <c r="AL368" s="347">
        <f t="shared" si="47"/>
        <v>0</v>
      </c>
      <c r="AM368" s="347">
        <f t="shared" si="47"/>
        <v>0</v>
      </c>
      <c r="AN368" s="347">
        <f t="shared" si="47"/>
        <v>0</v>
      </c>
      <c r="AO368" s="347">
        <f t="shared" si="47"/>
        <v>0</v>
      </c>
      <c r="AP368" s="347">
        <f t="shared" si="47"/>
        <v>0</v>
      </c>
      <c r="AQ368" s="347">
        <f t="shared" si="47"/>
        <v>0</v>
      </c>
      <c r="AR368" s="347">
        <f t="shared" si="47"/>
        <v>0</v>
      </c>
      <c r="AS368" s="347">
        <f t="shared" si="47"/>
        <v>0</v>
      </c>
      <c r="AT368" s="347">
        <f t="shared" si="47"/>
        <v>0</v>
      </c>
      <c r="AU368" s="347">
        <f t="shared" si="47"/>
        <v>0</v>
      </c>
      <c r="AV368" s="347">
        <f t="shared" si="47"/>
        <v>373</v>
      </c>
      <c r="AW368" s="351"/>
    </row>
    <row r="369" spans="1:49" ht="18.75" customHeight="1" thickBot="1">
      <c r="A369" s="348" t="s">
        <v>174</v>
      </c>
      <c r="B369" s="348">
        <f t="shared" ref="B369:AU369" si="48">B368/$AV368</f>
        <v>0</v>
      </c>
      <c r="C369" s="348">
        <f t="shared" si="48"/>
        <v>0</v>
      </c>
      <c r="D369" s="348">
        <f t="shared" si="48"/>
        <v>0</v>
      </c>
      <c r="E369" s="348">
        <f t="shared" si="48"/>
        <v>0</v>
      </c>
      <c r="F369" s="348">
        <f t="shared" si="48"/>
        <v>0</v>
      </c>
      <c r="G369" s="348">
        <f t="shared" si="48"/>
        <v>0</v>
      </c>
      <c r="H369" s="348">
        <f t="shared" si="48"/>
        <v>0</v>
      </c>
      <c r="I369" s="348">
        <f t="shared" si="48"/>
        <v>0</v>
      </c>
      <c r="J369" s="348">
        <f t="shared" si="48"/>
        <v>0</v>
      </c>
      <c r="K369" s="348">
        <f t="shared" si="48"/>
        <v>0</v>
      </c>
      <c r="L369" s="348">
        <f t="shared" si="48"/>
        <v>0</v>
      </c>
      <c r="M369" s="348">
        <f t="shared" si="48"/>
        <v>0</v>
      </c>
      <c r="N369" s="348">
        <f t="shared" si="48"/>
        <v>0</v>
      </c>
      <c r="O369" s="348">
        <f t="shared" si="48"/>
        <v>6.7024128686327081E-2</v>
      </c>
      <c r="P369" s="348">
        <f t="shared" si="48"/>
        <v>0.13941018766756033</v>
      </c>
      <c r="Q369" s="348">
        <f t="shared" si="48"/>
        <v>4.0214477211796246E-2</v>
      </c>
      <c r="R369" s="348">
        <f t="shared" si="48"/>
        <v>4.5576407506702415E-2</v>
      </c>
      <c r="S369" s="348">
        <f t="shared" si="48"/>
        <v>0.24932975871313673</v>
      </c>
      <c r="T369" s="348">
        <f t="shared" si="48"/>
        <v>0.20107238605898123</v>
      </c>
      <c r="U369" s="348">
        <f t="shared" si="48"/>
        <v>0</v>
      </c>
      <c r="V369" s="348">
        <f t="shared" si="48"/>
        <v>2.4128686327077747E-2</v>
      </c>
      <c r="W369" s="348">
        <f t="shared" si="48"/>
        <v>5.0938337801608578E-2</v>
      </c>
      <c r="X369" s="348">
        <f t="shared" si="48"/>
        <v>0</v>
      </c>
      <c r="Y369" s="348">
        <f t="shared" si="48"/>
        <v>0</v>
      </c>
      <c r="Z369" s="348">
        <f t="shared" si="48"/>
        <v>1.6085790884718499E-2</v>
      </c>
      <c r="AA369" s="348">
        <f t="shared" si="48"/>
        <v>0</v>
      </c>
      <c r="AB369" s="348">
        <f t="shared" si="48"/>
        <v>0</v>
      </c>
      <c r="AC369" s="348">
        <f t="shared" si="48"/>
        <v>0.11796246648793565</v>
      </c>
      <c r="AD369" s="348">
        <f t="shared" si="48"/>
        <v>0</v>
      </c>
      <c r="AE369" s="348">
        <f t="shared" si="48"/>
        <v>5.3619302949061663E-3</v>
      </c>
      <c r="AF369" s="348">
        <f t="shared" si="48"/>
        <v>0</v>
      </c>
      <c r="AG369" s="348">
        <f t="shared" si="48"/>
        <v>0</v>
      </c>
      <c r="AH369" s="348">
        <f t="shared" si="48"/>
        <v>4.2895442359249331E-2</v>
      </c>
      <c r="AI369" s="348">
        <f t="shared" si="48"/>
        <v>0</v>
      </c>
      <c r="AJ369" s="348">
        <f t="shared" si="48"/>
        <v>0</v>
      </c>
      <c r="AK369" s="348">
        <f t="shared" si="48"/>
        <v>0</v>
      </c>
      <c r="AL369" s="348">
        <f t="shared" si="48"/>
        <v>0</v>
      </c>
      <c r="AM369" s="348">
        <f t="shared" si="48"/>
        <v>0</v>
      </c>
      <c r="AN369" s="348">
        <f t="shared" si="48"/>
        <v>0</v>
      </c>
      <c r="AO369" s="348">
        <f t="shared" si="48"/>
        <v>0</v>
      </c>
      <c r="AP369" s="348">
        <f t="shared" si="48"/>
        <v>0</v>
      </c>
      <c r="AQ369" s="348">
        <f t="shared" si="48"/>
        <v>0</v>
      </c>
      <c r="AR369" s="348">
        <f t="shared" si="48"/>
        <v>0</v>
      </c>
      <c r="AS369" s="348">
        <f t="shared" si="48"/>
        <v>0</v>
      </c>
      <c r="AT369" s="348">
        <f t="shared" si="48"/>
        <v>0</v>
      </c>
      <c r="AU369" s="348">
        <f t="shared" si="48"/>
        <v>0</v>
      </c>
      <c r="AV369"/>
      <c r="AW369" s="351"/>
    </row>
    <row r="370" spans="1:49" ht="18.75" customHeight="1">
      <c r="A370" s="354"/>
    </row>
    <row r="371" spans="1:49" ht="18.75" customHeight="1">
      <c r="A371" s="354"/>
    </row>
    <row r="372" spans="1:49" ht="18.75" customHeight="1">
      <c r="A372" s="357">
        <v>46204</v>
      </c>
      <c r="B372" s="346"/>
      <c r="C372" s="346"/>
      <c r="D372" s="346"/>
      <c r="E372" s="346"/>
      <c r="F372" s="346"/>
      <c r="G372" s="346"/>
      <c r="H372" s="346"/>
      <c r="I372" s="346"/>
      <c r="J372" s="346"/>
      <c r="K372" s="346"/>
      <c r="L372" s="346"/>
      <c r="M372" s="346"/>
      <c r="N372" s="346"/>
      <c r="O372" s="346"/>
      <c r="P372" s="346"/>
      <c r="Q372" s="346"/>
      <c r="R372" s="346"/>
      <c r="S372" s="346">
        <f>2+2+2</f>
        <v>6</v>
      </c>
      <c r="T372" s="346"/>
      <c r="U372" s="346">
        <f>1</f>
        <v>1</v>
      </c>
      <c r="V372" s="346"/>
      <c r="W372" s="346"/>
      <c r="X372" s="346"/>
      <c r="Y372" s="346"/>
      <c r="Z372" s="346"/>
      <c r="AA372" s="346"/>
      <c r="AB372" s="346"/>
      <c r="AC372" s="346">
        <f>3</f>
        <v>3</v>
      </c>
      <c r="AD372" s="346"/>
      <c r="AE372" s="346"/>
      <c r="AF372" s="346"/>
      <c r="AG372" s="346"/>
      <c r="AH372" s="346">
        <f>3</f>
        <v>3</v>
      </c>
      <c r="AI372" s="346"/>
      <c r="AJ372" s="346"/>
      <c r="AK372" s="346"/>
      <c r="AL372" s="346"/>
      <c r="AM372" s="346"/>
      <c r="AN372" s="346"/>
      <c r="AO372" s="346"/>
      <c r="AP372" s="346"/>
      <c r="AQ372" s="346"/>
      <c r="AR372" s="346"/>
      <c r="AS372" s="346"/>
      <c r="AT372" s="346"/>
      <c r="AU372" s="346"/>
      <c r="AV372">
        <f t="shared" ref="AV372:AV402" si="49">SUM(B372:AU372)</f>
        <v>13</v>
      </c>
      <c r="AW372" s="351">
        <f>AV372/$AV$368</f>
        <v>3.4852546916890083E-2</v>
      </c>
    </row>
    <row r="373" spans="1:49" ht="18.75" customHeight="1">
      <c r="A373" s="357">
        <v>46204</v>
      </c>
      <c r="B373"/>
      <c r="C373"/>
      <c r="D373"/>
      <c r="E373"/>
      <c r="F373"/>
      <c r="G373"/>
      <c r="H373"/>
      <c r="I373"/>
      <c r="J373"/>
      <c r="K373"/>
      <c r="L373"/>
      <c r="M373"/>
      <c r="N373"/>
      <c r="O373"/>
      <c r="P373"/>
      <c r="Q373"/>
      <c r="R373"/>
      <c r="S373"/>
      <c r="T373"/>
      <c r="U373"/>
      <c r="V373"/>
      <c r="W373"/>
      <c r="X373"/>
      <c r="Y373"/>
      <c r="Z373"/>
      <c r="AA373"/>
      <c r="AB373"/>
      <c r="AC373"/>
      <c r="AD373"/>
      <c r="AE373"/>
      <c r="AF373"/>
      <c r="AG373"/>
      <c r="AH373"/>
      <c r="AI373"/>
      <c r="AJ373"/>
      <c r="AK373"/>
      <c r="AL373"/>
      <c r="AM373"/>
      <c r="AN373"/>
      <c r="AO373"/>
      <c r="AP373"/>
      <c r="AQ373"/>
      <c r="AR373"/>
      <c r="AS373"/>
      <c r="AT373"/>
      <c r="AU373"/>
      <c r="AV373">
        <f t="shared" si="49"/>
        <v>0</v>
      </c>
      <c r="AW373" s="351">
        <f t="shared" ref="AW373:AW428" si="50">AV373/$AV$368</f>
        <v>0</v>
      </c>
    </row>
    <row r="374" spans="1:49" ht="18.75" customHeight="1">
      <c r="A374" s="357">
        <v>46205</v>
      </c>
      <c r="B374" s="346"/>
      <c r="C374" s="346"/>
      <c r="D374" s="346"/>
      <c r="E374" s="346"/>
      <c r="F374" s="346"/>
      <c r="G374" s="346"/>
      <c r="H374" s="346"/>
      <c r="I374" s="346"/>
      <c r="J374" s="346"/>
      <c r="K374" s="346"/>
      <c r="L374" s="346"/>
      <c r="M374" s="346"/>
      <c r="N374" s="346"/>
      <c r="O374" s="346"/>
      <c r="P374" s="346"/>
      <c r="Q374" s="346"/>
      <c r="R374" s="346"/>
      <c r="S374" s="346"/>
      <c r="T374" s="346"/>
      <c r="U374" s="346"/>
      <c r="V374" s="346"/>
      <c r="W374" s="346"/>
      <c r="X374" s="346"/>
      <c r="Y374" s="346"/>
      <c r="Z374" s="346"/>
      <c r="AA374" s="346"/>
      <c r="AB374" s="346"/>
      <c r="AC374" s="346"/>
      <c r="AD374" s="346"/>
      <c r="AE374" s="346"/>
      <c r="AF374" s="346"/>
      <c r="AG374" s="346"/>
      <c r="AH374" s="346"/>
      <c r="AI374" s="346"/>
      <c r="AJ374" s="346"/>
      <c r="AK374" s="346"/>
      <c r="AL374" s="346"/>
      <c r="AM374" s="346"/>
      <c r="AN374" s="346"/>
      <c r="AO374" s="346"/>
      <c r="AP374" s="346"/>
      <c r="AQ374" s="346"/>
      <c r="AR374" s="346"/>
      <c r="AS374" s="346"/>
      <c r="AT374" s="346"/>
      <c r="AU374" s="346"/>
      <c r="AV374">
        <f t="shared" si="49"/>
        <v>0</v>
      </c>
      <c r="AW374" s="351">
        <f t="shared" si="50"/>
        <v>0</v>
      </c>
    </row>
    <row r="375" spans="1:49" ht="18.75" customHeight="1">
      <c r="A375" s="357">
        <v>46205</v>
      </c>
      <c r="B375"/>
      <c r="C375"/>
      <c r="D375"/>
      <c r="E375"/>
      <c r="F375"/>
      <c r="G375"/>
      <c r="H375"/>
      <c r="I375"/>
      <c r="J375"/>
      <c r="K375"/>
      <c r="L375"/>
      <c r="M375"/>
      <c r="N375"/>
      <c r="O375"/>
      <c r="P375"/>
      <c r="Q375"/>
      <c r="R375"/>
      <c r="S375"/>
      <c r="T375"/>
      <c r="U375"/>
      <c r="V375"/>
      <c r="W375"/>
      <c r="X375"/>
      <c r="Y375"/>
      <c r="Z375"/>
      <c r="AA375"/>
      <c r="AB375"/>
      <c r="AC375"/>
      <c r="AD375"/>
      <c r="AE375"/>
      <c r="AF375"/>
      <c r="AG375"/>
      <c r="AH375">
        <f>8</f>
        <v>8</v>
      </c>
      <c r="AI375"/>
      <c r="AJ375"/>
      <c r="AK375"/>
      <c r="AL375"/>
      <c r="AM375"/>
      <c r="AN375"/>
      <c r="AO375"/>
      <c r="AP375"/>
      <c r="AQ375"/>
      <c r="AR375"/>
      <c r="AS375"/>
      <c r="AT375"/>
      <c r="AU375"/>
      <c r="AV375">
        <f t="shared" si="49"/>
        <v>8</v>
      </c>
      <c r="AW375" s="351">
        <f t="shared" si="50"/>
        <v>2.1447721179624665E-2</v>
      </c>
    </row>
    <row r="376" spans="1:49" ht="18.75" customHeight="1">
      <c r="A376" s="357">
        <v>46205</v>
      </c>
      <c r="B376" s="346"/>
      <c r="C376" s="346"/>
      <c r="D376" s="346"/>
      <c r="E376" s="346"/>
      <c r="F376" s="346"/>
      <c r="G376" s="346"/>
      <c r="H376" s="346"/>
      <c r="I376" s="346"/>
      <c r="J376" s="346"/>
      <c r="K376" s="346"/>
      <c r="L376" s="346"/>
      <c r="M376" s="346"/>
      <c r="N376" s="346"/>
      <c r="O376" s="346"/>
      <c r="P376" s="346"/>
      <c r="Q376" s="346"/>
      <c r="R376" s="346">
        <f>2</f>
        <v>2</v>
      </c>
      <c r="S376" s="346">
        <f>2+3</f>
        <v>5</v>
      </c>
      <c r="T376" s="346"/>
      <c r="U376" s="346"/>
      <c r="V376" s="346"/>
      <c r="W376" s="346"/>
      <c r="X376" s="346"/>
      <c r="Y376" s="346"/>
      <c r="Z376" s="346"/>
      <c r="AA376" s="346"/>
      <c r="AB376" s="346"/>
      <c r="AC376" s="346"/>
      <c r="AD376" s="346"/>
      <c r="AE376" s="346"/>
      <c r="AF376" s="346"/>
      <c r="AG376" s="346"/>
      <c r="AH376" s="346"/>
      <c r="AI376" s="346"/>
      <c r="AJ376" s="346"/>
      <c r="AK376" s="346"/>
      <c r="AL376" s="346"/>
      <c r="AM376" s="346"/>
      <c r="AN376" s="346"/>
      <c r="AO376" s="346"/>
      <c r="AP376" s="346"/>
      <c r="AQ376" s="346"/>
      <c r="AR376" s="346"/>
      <c r="AS376" s="346"/>
      <c r="AT376" s="346"/>
      <c r="AU376" s="346"/>
      <c r="AV376">
        <f t="shared" si="49"/>
        <v>7</v>
      </c>
      <c r="AW376" s="351">
        <f t="shared" si="50"/>
        <v>1.876675603217158E-2</v>
      </c>
    </row>
    <row r="377" spans="1:49" ht="19.5" customHeight="1">
      <c r="A377" s="357">
        <v>46206</v>
      </c>
      <c r="B377"/>
      <c r="C377"/>
      <c r="D377"/>
      <c r="E377"/>
      <c r="F377"/>
      <c r="G377"/>
      <c r="H377"/>
      <c r="I377"/>
      <c r="J377"/>
      <c r="K377"/>
      <c r="L377"/>
      <c r="M377"/>
      <c r="N377"/>
      <c r="O377"/>
      <c r="P377"/>
      <c r="Q377"/>
      <c r="R377"/>
      <c r="S377">
        <f>2+2+2+2+2+2+1</f>
        <v>13</v>
      </c>
      <c r="T377"/>
      <c r="U377"/>
      <c r="V377"/>
      <c r="W377"/>
      <c r="X377"/>
      <c r="Y377"/>
      <c r="Z377"/>
      <c r="AA377"/>
      <c r="AB377"/>
      <c r="AC377">
        <v>4</v>
      </c>
      <c r="AD377"/>
      <c r="AE377"/>
      <c r="AF377"/>
      <c r="AG377"/>
      <c r="AH377"/>
      <c r="AI377"/>
      <c r="AJ377"/>
      <c r="AK377"/>
      <c r="AL377"/>
      <c r="AM377"/>
      <c r="AN377"/>
      <c r="AO377"/>
      <c r="AP377"/>
      <c r="AQ377"/>
      <c r="AR377"/>
      <c r="AS377"/>
      <c r="AT377"/>
      <c r="AU377"/>
      <c r="AV377">
        <f t="shared" si="49"/>
        <v>17</v>
      </c>
      <c r="AW377" s="351">
        <f t="shared" si="50"/>
        <v>4.5576407506702415E-2</v>
      </c>
    </row>
    <row r="378" spans="1:49" ht="18.75" customHeight="1">
      <c r="A378" s="357">
        <v>46206</v>
      </c>
      <c r="B378"/>
      <c r="C378"/>
      <c r="D378"/>
      <c r="E378"/>
      <c r="F378"/>
      <c r="G378"/>
      <c r="H378"/>
      <c r="I378"/>
      <c r="J378"/>
      <c r="K378"/>
      <c r="L378"/>
      <c r="M378"/>
      <c r="N378"/>
      <c r="O378"/>
      <c r="P378"/>
      <c r="Q378"/>
      <c r="R378"/>
      <c r="S378">
        <f>2+5+4+2+3+3+3+2</f>
        <v>24</v>
      </c>
      <c r="T378"/>
      <c r="U378"/>
      <c r="V378"/>
      <c r="W378"/>
      <c r="X378"/>
      <c r="Y378"/>
      <c r="Z378"/>
      <c r="AA378"/>
      <c r="AB378"/>
      <c r="AC378"/>
      <c r="AD378"/>
      <c r="AE378"/>
      <c r="AF378"/>
      <c r="AG378"/>
      <c r="AH378"/>
      <c r="AI378"/>
      <c r="AJ378"/>
      <c r="AK378"/>
      <c r="AL378"/>
      <c r="AM378"/>
      <c r="AN378"/>
      <c r="AO378"/>
      <c r="AP378"/>
      <c r="AQ378"/>
      <c r="AR378"/>
      <c r="AS378"/>
      <c r="AT378"/>
      <c r="AU378"/>
      <c r="AV378">
        <f t="shared" si="49"/>
        <v>24</v>
      </c>
      <c r="AW378" s="351">
        <f t="shared" si="50"/>
        <v>6.4343163538873996E-2</v>
      </c>
    </row>
    <row r="379" spans="1:49" ht="18.75" customHeight="1">
      <c r="A379" s="357">
        <v>46209</v>
      </c>
      <c r="B379" s="346"/>
      <c r="C379" s="346"/>
      <c r="D379" s="346"/>
      <c r="E379" s="346"/>
      <c r="F379" s="346"/>
      <c r="G379" s="346"/>
      <c r="H379" s="346"/>
      <c r="I379" s="346"/>
      <c r="J379" s="346"/>
      <c r="K379" s="346"/>
      <c r="L379" s="346"/>
      <c r="M379" s="346"/>
      <c r="N379" s="346"/>
      <c r="O379" s="346"/>
      <c r="P379" s="346"/>
      <c r="Q379" s="346"/>
      <c r="R379" s="346"/>
      <c r="S379" s="346">
        <f>2+2+2+2</f>
        <v>8</v>
      </c>
      <c r="T379" s="346"/>
      <c r="U379" s="346"/>
      <c r="V379" s="346"/>
      <c r="W379" s="346"/>
      <c r="X379" s="346"/>
      <c r="Y379" s="346"/>
      <c r="Z379" s="346"/>
      <c r="AA379" s="346"/>
      <c r="AB379" s="346"/>
      <c r="AC379" s="346"/>
      <c r="AD379" s="346">
        <f>3+60+60</f>
        <v>123</v>
      </c>
      <c r="AE379" s="346"/>
      <c r="AF379" s="346"/>
      <c r="AG379" s="346"/>
      <c r="AH379" s="346">
        <f>3+4</f>
        <v>7</v>
      </c>
      <c r="AI379" s="346"/>
      <c r="AJ379" s="346"/>
      <c r="AK379" s="346"/>
      <c r="AL379" s="346"/>
      <c r="AM379" s="346"/>
      <c r="AN379" s="346"/>
      <c r="AO379" s="346"/>
      <c r="AP379" s="346"/>
      <c r="AQ379" s="346"/>
      <c r="AR379" s="346"/>
      <c r="AS379" s="346"/>
      <c r="AT379" s="346"/>
      <c r="AU379" s="346"/>
      <c r="AV379">
        <f t="shared" si="49"/>
        <v>138</v>
      </c>
      <c r="AW379" s="351">
        <f t="shared" si="50"/>
        <v>0.36997319034852549</v>
      </c>
    </row>
    <row r="380" spans="1:49" ht="18.75" customHeight="1">
      <c r="A380" s="357">
        <v>46210</v>
      </c>
      <c r="B380"/>
      <c r="C380"/>
      <c r="D380"/>
      <c r="E380" s="357"/>
      <c r="F380"/>
      <c r="G380"/>
      <c r="H380"/>
      <c r="I380"/>
      <c r="J380"/>
      <c r="K380"/>
      <c r="L380"/>
      <c r="M380"/>
      <c r="N380"/>
      <c r="O380">
        <f>3+4+4</f>
        <v>11</v>
      </c>
      <c r="P380"/>
      <c r="Q380"/>
      <c r="R380"/>
      <c r="S380">
        <f>3+2+3</f>
        <v>8</v>
      </c>
      <c r="T380"/>
      <c r="U380"/>
      <c r="V380"/>
      <c r="W380"/>
      <c r="X380"/>
      <c r="Y380"/>
      <c r="Z380"/>
      <c r="AA380"/>
      <c r="AB380"/>
      <c r="AC380"/>
      <c r="AD380">
        <f>6</f>
        <v>6</v>
      </c>
      <c r="AE380"/>
      <c r="AF380"/>
      <c r="AG380"/>
      <c r="AH380"/>
      <c r="AI380"/>
      <c r="AJ380"/>
      <c r="AK380"/>
      <c r="AL380"/>
      <c r="AM380"/>
      <c r="AN380"/>
      <c r="AO380"/>
      <c r="AP380"/>
      <c r="AQ380"/>
      <c r="AR380"/>
      <c r="AS380"/>
      <c r="AT380"/>
      <c r="AU380"/>
      <c r="AV380">
        <f t="shared" si="49"/>
        <v>25</v>
      </c>
      <c r="AW380" s="351">
        <f t="shared" si="50"/>
        <v>6.7024128686327081E-2</v>
      </c>
    </row>
    <row r="381" spans="1:49" ht="18.75" customHeight="1">
      <c r="A381" s="357">
        <v>46210</v>
      </c>
      <c r="B381" s="346"/>
      <c r="C381" s="346"/>
      <c r="D381" s="346"/>
      <c r="E381" s="346"/>
      <c r="F381" s="346"/>
      <c r="G381" s="346"/>
      <c r="H381" s="346"/>
      <c r="I381" s="346"/>
      <c r="J381" s="346"/>
      <c r="K381" s="346"/>
      <c r="L381" s="346"/>
      <c r="M381" s="346"/>
      <c r="N381" s="346"/>
      <c r="O381" s="346"/>
      <c r="P381" s="346"/>
      <c r="Q381" s="346"/>
      <c r="R381" s="346"/>
      <c r="S381" s="346"/>
      <c r="T381" s="346"/>
      <c r="U381" s="346"/>
      <c r="V381" s="346"/>
      <c r="W381" s="346"/>
      <c r="X381" s="346"/>
      <c r="Y381" s="346"/>
      <c r="Z381" s="346"/>
      <c r="AA381" s="346"/>
      <c r="AB381" s="346"/>
      <c r="AC381" s="346"/>
      <c r="AD381" s="346"/>
      <c r="AE381" s="346"/>
      <c r="AF381" s="346"/>
      <c r="AG381" s="346"/>
      <c r="AH381" s="346"/>
      <c r="AI381" s="346"/>
      <c r="AJ381" s="346"/>
      <c r="AK381" s="346"/>
      <c r="AL381" s="346"/>
      <c r="AM381" s="346"/>
      <c r="AN381" s="346"/>
      <c r="AO381" s="346"/>
      <c r="AP381" s="346"/>
      <c r="AQ381" s="346"/>
      <c r="AR381" s="346"/>
      <c r="AS381" s="346"/>
      <c r="AT381" s="346"/>
      <c r="AU381" s="346"/>
      <c r="AV381">
        <f t="shared" si="49"/>
        <v>0</v>
      </c>
      <c r="AW381" s="351">
        <f t="shared" si="50"/>
        <v>0</v>
      </c>
    </row>
    <row r="382" spans="1:49" ht="18.75" customHeight="1">
      <c r="A382" s="357">
        <v>46211</v>
      </c>
      <c r="B382" s="346"/>
      <c r="C382" s="346"/>
      <c r="D382" s="346"/>
      <c r="E382" s="346"/>
      <c r="F382" s="346"/>
      <c r="G382" s="346">
        <f>10</f>
        <v>10</v>
      </c>
      <c r="H382" s="346"/>
      <c r="I382" s="346"/>
      <c r="J382" s="346"/>
      <c r="K382" s="346"/>
      <c r="L382" s="346"/>
      <c r="M382" s="346"/>
      <c r="N382" s="346"/>
      <c r="O382" s="346"/>
      <c r="P382" s="346"/>
      <c r="Q382" s="346"/>
      <c r="R382" s="346"/>
      <c r="S382" s="346">
        <f>2+4+2+2+2+1+2+2</f>
        <v>17</v>
      </c>
      <c r="T382" s="346"/>
      <c r="U382" s="346"/>
      <c r="V382" s="346"/>
      <c r="W382" s="346"/>
      <c r="X382" s="346"/>
      <c r="Y382" s="346"/>
      <c r="Z382" s="346"/>
      <c r="AA382" s="346"/>
      <c r="AB382" s="346"/>
      <c r="AC382" s="346"/>
      <c r="AD382" s="346"/>
      <c r="AE382" s="346"/>
      <c r="AF382" s="346"/>
      <c r="AG382" s="346"/>
      <c r="AH382" s="346"/>
      <c r="AI382" s="346"/>
      <c r="AJ382" s="346"/>
      <c r="AK382" s="346"/>
      <c r="AL382" s="346"/>
      <c r="AM382" s="346"/>
      <c r="AN382" s="346"/>
      <c r="AO382" s="346"/>
      <c r="AP382" s="346"/>
      <c r="AQ382" s="346"/>
      <c r="AR382" s="346"/>
      <c r="AS382" s="346"/>
      <c r="AT382" s="346"/>
      <c r="AU382" s="346"/>
      <c r="AV382">
        <f t="shared" si="49"/>
        <v>27</v>
      </c>
      <c r="AW382" s="351">
        <f t="shared" si="50"/>
        <v>7.2386058981233251E-2</v>
      </c>
    </row>
    <row r="383" spans="1:49" ht="18.75" customHeight="1">
      <c r="A383" s="357">
        <v>46211</v>
      </c>
      <c r="B383"/>
      <c r="C383"/>
      <c r="D383"/>
      <c r="E383"/>
      <c r="F383"/>
      <c r="G383"/>
      <c r="H383"/>
      <c r="I383"/>
      <c r="J383"/>
      <c r="K383"/>
      <c r="L383"/>
      <c r="M383"/>
      <c r="N383"/>
      <c r="O383"/>
      <c r="P383"/>
      <c r="Q383"/>
      <c r="R383"/>
      <c r="S383"/>
      <c r="T383"/>
      <c r="U383"/>
      <c r="V383"/>
      <c r="W383"/>
      <c r="X383"/>
      <c r="Y383"/>
      <c r="Z383"/>
      <c r="AA383"/>
      <c r="AB383"/>
      <c r="AC383"/>
      <c r="AD383"/>
      <c r="AE383"/>
      <c r="AF383"/>
      <c r="AG383"/>
      <c r="AH383"/>
      <c r="AI383"/>
      <c r="AJ383"/>
      <c r="AK383"/>
      <c r="AL383"/>
      <c r="AM383"/>
      <c r="AN383"/>
      <c r="AO383"/>
      <c r="AP383"/>
      <c r="AQ383"/>
      <c r="AR383"/>
      <c r="AS383"/>
      <c r="AT383"/>
      <c r="AU383"/>
      <c r="AV383">
        <f t="shared" si="49"/>
        <v>0</v>
      </c>
      <c r="AW383" s="351">
        <f t="shared" si="50"/>
        <v>0</v>
      </c>
    </row>
    <row r="384" spans="1:49" ht="18.75" customHeight="1">
      <c r="A384" s="357">
        <v>46211</v>
      </c>
      <c r="B384" s="346"/>
      <c r="C384" s="346"/>
      <c r="D384" s="346"/>
      <c r="E384" s="346"/>
      <c r="F384" s="346"/>
      <c r="G384" s="346"/>
      <c r="H384" s="346"/>
      <c r="I384" s="346"/>
      <c r="J384" s="346"/>
      <c r="K384" s="346"/>
      <c r="L384" s="346"/>
      <c r="M384" s="346"/>
      <c r="N384" s="346"/>
      <c r="O384" s="346"/>
      <c r="P384" s="346"/>
      <c r="Q384" s="346"/>
      <c r="R384" s="346"/>
      <c r="S384" s="346"/>
      <c r="T384" s="346"/>
      <c r="U384" s="346"/>
      <c r="V384" s="346"/>
      <c r="W384" s="346"/>
      <c r="X384" s="346"/>
      <c r="Y384" s="346"/>
      <c r="Z384" s="346"/>
      <c r="AA384" s="346"/>
      <c r="AB384" s="346"/>
      <c r="AC384" s="346"/>
      <c r="AD384" s="346"/>
      <c r="AE384" s="346"/>
      <c r="AF384" s="346"/>
      <c r="AG384" s="346"/>
      <c r="AH384" s="346"/>
      <c r="AI384" s="346"/>
      <c r="AJ384" s="346"/>
      <c r="AK384" s="346"/>
      <c r="AL384" s="346"/>
      <c r="AM384" s="346"/>
      <c r="AN384" s="346"/>
      <c r="AO384" s="346"/>
      <c r="AP384" s="346"/>
      <c r="AQ384" s="346"/>
      <c r="AR384" s="346"/>
      <c r="AS384" s="346"/>
      <c r="AT384" s="346"/>
      <c r="AU384" s="346"/>
      <c r="AV384">
        <f t="shared" si="49"/>
        <v>0</v>
      </c>
      <c r="AW384" s="351">
        <f t="shared" si="50"/>
        <v>0</v>
      </c>
    </row>
    <row r="385" spans="1:49" ht="18.75" customHeight="1">
      <c r="A385" s="357">
        <v>46211</v>
      </c>
      <c r="B385"/>
      <c r="C385"/>
      <c r="D385"/>
      <c r="E385"/>
      <c r="F385"/>
      <c r="G385"/>
      <c r="H385"/>
      <c r="I385"/>
      <c r="J385"/>
      <c r="K385"/>
      <c r="L385"/>
      <c r="M385"/>
      <c r="N385"/>
      <c r="O385"/>
      <c r="P385"/>
      <c r="Q385"/>
      <c r="R385"/>
      <c r="S385">
        <f>2</f>
        <v>2</v>
      </c>
      <c r="T385"/>
      <c r="U385"/>
      <c r="V385"/>
      <c r="W385"/>
      <c r="X385"/>
      <c r="Y385"/>
      <c r="Z385"/>
      <c r="AA385"/>
      <c r="AB385"/>
      <c r="AC385"/>
      <c r="AD385"/>
      <c r="AE385"/>
      <c r="AF385"/>
      <c r="AG385"/>
      <c r="AH385"/>
      <c r="AI385"/>
      <c r="AJ385"/>
      <c r="AK385"/>
      <c r="AL385"/>
      <c r="AM385"/>
      <c r="AN385"/>
      <c r="AO385"/>
      <c r="AP385"/>
      <c r="AQ385"/>
      <c r="AR385">
        <f>2+2</f>
        <v>4</v>
      </c>
      <c r="AS385">
        <f>6</f>
        <v>6</v>
      </c>
      <c r="AT385"/>
      <c r="AU385"/>
      <c r="AV385">
        <f t="shared" si="49"/>
        <v>12</v>
      </c>
      <c r="AW385" s="351">
        <f t="shared" si="50"/>
        <v>3.2171581769436998E-2</v>
      </c>
    </row>
    <row r="386" spans="1:49" ht="18.75" customHeight="1">
      <c r="A386" s="357">
        <v>46211</v>
      </c>
      <c r="B386"/>
      <c r="C386"/>
      <c r="D386"/>
      <c r="E386"/>
      <c r="F386"/>
      <c r="G386"/>
      <c r="H386"/>
      <c r="I386"/>
      <c r="J386"/>
      <c r="K386"/>
      <c r="L386"/>
      <c r="M386"/>
      <c r="N386"/>
      <c r="O386"/>
      <c r="P386"/>
      <c r="Q386"/>
      <c r="R386"/>
      <c r="S386"/>
      <c r="T386"/>
      <c r="U386"/>
      <c r="V386"/>
      <c r="W386"/>
      <c r="X386"/>
      <c r="Y386"/>
      <c r="Z386"/>
      <c r="AA386"/>
      <c r="AB386"/>
      <c r="AC386"/>
      <c r="AD386"/>
      <c r="AE386"/>
      <c r="AF386"/>
      <c r="AG386"/>
      <c r="AH386"/>
      <c r="AI386"/>
      <c r="AJ386"/>
      <c r="AK386"/>
      <c r="AL386"/>
      <c r="AM386"/>
      <c r="AN386"/>
      <c r="AO386"/>
      <c r="AP386"/>
      <c r="AQ386"/>
      <c r="AR386"/>
      <c r="AS386"/>
      <c r="AT386"/>
      <c r="AU386"/>
      <c r="AV386">
        <f t="shared" ref="AV386:AV389" si="51">SUM(B386:AU386)</f>
        <v>0</v>
      </c>
      <c r="AW386" s="351">
        <f t="shared" ref="AW386:AW389" si="52">AV386/$AV$368</f>
        <v>0</v>
      </c>
    </row>
    <row r="387" spans="1:49" ht="18.75" customHeight="1">
      <c r="A387" s="357">
        <v>46212</v>
      </c>
      <c r="B387" s="346"/>
      <c r="C387" s="346"/>
      <c r="D387" s="346"/>
      <c r="E387" s="346"/>
      <c r="F387" s="346"/>
      <c r="G387" s="346"/>
      <c r="H387" s="346"/>
      <c r="I387" s="346"/>
      <c r="J387" s="346"/>
      <c r="K387" s="346"/>
      <c r="L387" s="346"/>
      <c r="M387" s="346"/>
      <c r="N387" s="346"/>
      <c r="O387" s="346"/>
      <c r="P387" s="346"/>
      <c r="Q387" s="346"/>
      <c r="R387" s="346"/>
      <c r="S387" s="346">
        <f>3+2+2+1+2+2</f>
        <v>12</v>
      </c>
      <c r="T387" s="346"/>
      <c r="U387" s="346"/>
      <c r="V387" s="346"/>
      <c r="W387" s="346"/>
      <c r="X387" s="346"/>
      <c r="Y387" s="346"/>
      <c r="Z387" s="346"/>
      <c r="AA387" s="346"/>
      <c r="AB387" s="346"/>
      <c r="AC387" s="346"/>
      <c r="AD387" s="346"/>
      <c r="AE387" s="346"/>
      <c r="AF387" s="346"/>
      <c r="AG387" s="346"/>
      <c r="AH387" s="346"/>
      <c r="AI387" s="346"/>
      <c r="AJ387" s="346"/>
      <c r="AK387" s="346"/>
      <c r="AL387" s="346"/>
      <c r="AM387" s="346"/>
      <c r="AN387" s="346"/>
      <c r="AO387" s="346"/>
      <c r="AP387" s="346"/>
      <c r="AQ387" s="346"/>
      <c r="AR387" s="346"/>
      <c r="AS387" s="346"/>
      <c r="AT387" s="346"/>
      <c r="AU387" s="346"/>
      <c r="AV387">
        <f t="shared" si="51"/>
        <v>12</v>
      </c>
      <c r="AW387" s="351">
        <f t="shared" si="52"/>
        <v>3.2171581769436998E-2</v>
      </c>
    </row>
    <row r="388" spans="1:49" ht="18.75" customHeight="1">
      <c r="A388" s="357">
        <v>46212</v>
      </c>
      <c r="B388"/>
      <c r="C388"/>
      <c r="D388"/>
      <c r="E388"/>
      <c r="F388"/>
      <c r="G388"/>
      <c r="H388"/>
      <c r="I388"/>
      <c r="J388"/>
      <c r="K388"/>
      <c r="L388"/>
      <c r="M388"/>
      <c r="N388"/>
      <c r="O388"/>
      <c r="P388"/>
      <c r="Q388"/>
      <c r="R388"/>
      <c r="S388"/>
      <c r="T388"/>
      <c r="U388"/>
      <c r="V388"/>
      <c r="W388"/>
      <c r="X388"/>
      <c r="Y388"/>
      <c r="Z388"/>
      <c r="AA388"/>
      <c r="AB388"/>
      <c r="AC388">
        <v>10</v>
      </c>
      <c r="AD388"/>
      <c r="AE388"/>
      <c r="AF388"/>
      <c r="AG388"/>
      <c r="AH388"/>
      <c r="AI388"/>
      <c r="AJ388"/>
      <c r="AK388"/>
      <c r="AL388"/>
      <c r="AM388"/>
      <c r="AN388"/>
      <c r="AO388"/>
      <c r="AP388"/>
      <c r="AQ388"/>
      <c r="AR388"/>
      <c r="AS388"/>
      <c r="AT388"/>
      <c r="AU388"/>
      <c r="AV388">
        <f t="shared" si="51"/>
        <v>10</v>
      </c>
      <c r="AW388" s="351">
        <f t="shared" si="52"/>
        <v>2.6809651474530832E-2</v>
      </c>
    </row>
    <row r="389" spans="1:49" ht="18.75" customHeight="1">
      <c r="A389" s="357">
        <v>46212</v>
      </c>
      <c r="B389" s="346"/>
      <c r="C389" s="346"/>
      <c r="D389" s="346"/>
      <c r="E389" s="346"/>
      <c r="F389" s="346"/>
      <c r="G389" s="346"/>
      <c r="H389" s="346"/>
      <c r="I389" s="346"/>
      <c r="J389" s="346"/>
      <c r="K389" s="346"/>
      <c r="L389" s="346"/>
      <c r="M389" s="346"/>
      <c r="N389" s="346"/>
      <c r="O389" s="346"/>
      <c r="P389" s="346"/>
      <c r="Q389" s="346"/>
      <c r="R389" s="346"/>
      <c r="S389" s="346">
        <f>2</f>
        <v>2</v>
      </c>
      <c r="T389" s="346"/>
      <c r="U389" s="346"/>
      <c r="V389" s="346"/>
      <c r="W389" s="346"/>
      <c r="X389" s="346"/>
      <c r="Y389" s="346"/>
      <c r="Z389" s="346"/>
      <c r="AA389" s="346"/>
      <c r="AB389" s="346"/>
      <c r="AC389" s="346"/>
      <c r="AD389" s="346">
        <f>3</f>
        <v>3</v>
      </c>
      <c r="AE389" s="346"/>
      <c r="AF389" s="346"/>
      <c r="AG389" s="346"/>
      <c r="AH389" s="346"/>
      <c r="AI389" s="346"/>
      <c r="AJ389" s="346"/>
      <c r="AK389" s="346"/>
      <c r="AL389" s="346"/>
      <c r="AM389" s="346"/>
      <c r="AN389" s="346"/>
      <c r="AO389" s="346"/>
      <c r="AP389" s="346"/>
      <c r="AQ389" s="346"/>
      <c r="AR389" s="346"/>
      <c r="AS389" s="346"/>
      <c r="AT389" s="346"/>
      <c r="AU389" s="346"/>
      <c r="AV389">
        <f t="shared" si="51"/>
        <v>5</v>
      </c>
      <c r="AW389" s="351">
        <f t="shared" si="52"/>
        <v>1.3404825737265416E-2</v>
      </c>
    </row>
    <row r="390" spans="1:49" ht="18.75" customHeight="1">
      <c r="A390" s="357">
        <v>46213</v>
      </c>
      <c r="B390"/>
      <c r="C390"/>
      <c r="D390"/>
      <c r="E390"/>
      <c r="F390"/>
      <c r="G390"/>
      <c r="H390"/>
      <c r="I390"/>
      <c r="J390"/>
      <c r="K390"/>
      <c r="L390"/>
      <c r="M390"/>
      <c r="N390"/>
      <c r="O390"/>
      <c r="P390"/>
      <c r="Q390"/>
      <c r="R390"/>
      <c r="S390">
        <f>4+2</f>
        <v>6</v>
      </c>
      <c r="T390"/>
      <c r="U390"/>
      <c r="V390"/>
      <c r="W390"/>
      <c r="X390"/>
      <c r="Y390"/>
      <c r="Z390"/>
      <c r="AA390"/>
      <c r="AB390"/>
      <c r="AC390"/>
      <c r="AD390"/>
      <c r="AE390"/>
      <c r="AF390"/>
      <c r="AG390"/>
      <c r="AH390"/>
      <c r="AI390"/>
      <c r="AJ390"/>
      <c r="AK390"/>
      <c r="AL390"/>
      <c r="AM390"/>
      <c r="AN390"/>
      <c r="AO390">
        <f>30</f>
        <v>30</v>
      </c>
      <c r="AP390"/>
      <c r="AQ390"/>
      <c r="AR390"/>
      <c r="AS390"/>
      <c r="AT390"/>
      <c r="AU390"/>
      <c r="AV390">
        <f t="shared" si="49"/>
        <v>36</v>
      </c>
      <c r="AW390" s="351">
        <f t="shared" si="50"/>
        <v>9.6514745308310987E-2</v>
      </c>
    </row>
    <row r="391" spans="1:49" ht="18.75" customHeight="1">
      <c r="A391" s="357">
        <v>46213</v>
      </c>
      <c r="B391" s="346"/>
      <c r="C391" s="346"/>
      <c r="D391" s="346"/>
      <c r="E391" s="346"/>
      <c r="F391" s="346"/>
      <c r="G391" s="346"/>
      <c r="H391" s="346"/>
      <c r="I391" s="346"/>
      <c r="J391" s="346"/>
      <c r="K391" s="346"/>
      <c r="L391" s="346"/>
      <c r="M391" s="346"/>
      <c r="N391" s="346"/>
      <c r="O391" s="346"/>
      <c r="P391" s="346"/>
      <c r="Q391" s="346"/>
      <c r="R391" s="346"/>
      <c r="S391" s="346">
        <f>2+2+2+2</f>
        <v>8</v>
      </c>
      <c r="T391" s="346"/>
      <c r="U391" s="346"/>
      <c r="V391" s="346"/>
      <c r="W391" s="346"/>
      <c r="X391" s="346"/>
      <c r="Y391" s="346"/>
      <c r="Z391" s="346"/>
      <c r="AA391" s="346"/>
      <c r="AB391" s="346"/>
      <c r="AC391" s="346">
        <f>3+4</f>
        <v>7</v>
      </c>
      <c r="AD391" s="346">
        <f>3</f>
        <v>3</v>
      </c>
      <c r="AE391" s="346">
        <f>4+3+3+3</f>
        <v>13</v>
      </c>
      <c r="AF391" s="346"/>
      <c r="AG391" s="346"/>
      <c r="AH391" s="346"/>
      <c r="AI391" s="346"/>
      <c r="AJ391" s="346"/>
      <c r="AK391" s="346"/>
      <c r="AL391" s="346"/>
      <c r="AM391" s="346"/>
      <c r="AN391" s="346"/>
      <c r="AO391" s="346"/>
      <c r="AP391" s="346"/>
      <c r="AQ391" s="346"/>
      <c r="AR391" s="346"/>
      <c r="AS391" s="346"/>
      <c r="AT391" s="346">
        <f>4+24</f>
        <v>28</v>
      </c>
      <c r="AU391" s="346"/>
      <c r="AV391">
        <f t="shared" si="49"/>
        <v>59</v>
      </c>
      <c r="AW391" s="351">
        <f t="shared" si="50"/>
        <v>0.1581769436997319</v>
      </c>
    </row>
    <row r="392" spans="1:49" ht="18.75" customHeight="1">
      <c r="A392" s="357">
        <v>46216</v>
      </c>
      <c r="B392"/>
      <c r="C392"/>
      <c r="D392"/>
      <c r="E392"/>
      <c r="F392"/>
      <c r="G392">
        <f>4+4</f>
        <v>8</v>
      </c>
      <c r="H392"/>
      <c r="I392"/>
      <c r="J392"/>
      <c r="K392"/>
      <c r="L392"/>
      <c r="M392"/>
      <c r="N392"/>
      <c r="O392"/>
      <c r="P392"/>
      <c r="Q392"/>
      <c r="R392"/>
      <c r="S392">
        <f>2+2+5+2+6+2+2+2+2</f>
        <v>25</v>
      </c>
      <c r="T392"/>
      <c r="U392"/>
      <c r="V392"/>
      <c r="W392"/>
      <c r="X392"/>
      <c r="Y392"/>
      <c r="Z392"/>
      <c r="AA392"/>
      <c r="AB392"/>
      <c r="AC392">
        <f>5+5+6+4+8+7+4+3+4+2+4+7+2</f>
        <v>61</v>
      </c>
      <c r="AD392">
        <f>6</f>
        <v>6</v>
      </c>
      <c r="AE392"/>
      <c r="AF392"/>
      <c r="AG392"/>
      <c r="AH392">
        <f>2</f>
        <v>2</v>
      </c>
      <c r="AI392"/>
      <c r="AJ392"/>
      <c r="AK392"/>
      <c r="AL392"/>
      <c r="AM392"/>
      <c r="AN392"/>
      <c r="AO392"/>
      <c r="AP392"/>
      <c r="AQ392"/>
      <c r="AR392"/>
      <c r="AS392"/>
      <c r="AT392"/>
      <c r="AU392"/>
      <c r="AV392">
        <f t="shared" si="49"/>
        <v>102</v>
      </c>
      <c r="AW392" s="351">
        <f t="shared" si="50"/>
        <v>0.27345844504021449</v>
      </c>
    </row>
    <row r="393" spans="1:49" ht="18.75" customHeight="1">
      <c r="A393" s="357">
        <v>46216</v>
      </c>
      <c r="B393" s="346"/>
      <c r="C393" s="346"/>
      <c r="D393" s="346"/>
      <c r="E393" s="346"/>
      <c r="F393" s="346"/>
      <c r="G393" s="346"/>
      <c r="H393" s="346"/>
      <c r="I393" s="346"/>
      <c r="J393" s="346"/>
      <c r="K393" s="346"/>
      <c r="L393" s="346"/>
      <c r="M393" s="346"/>
      <c r="N393" s="346"/>
      <c r="O393" s="346"/>
      <c r="P393" s="346"/>
      <c r="Q393" s="346"/>
      <c r="R393" s="346"/>
      <c r="S393" s="346">
        <f>2</f>
        <v>2</v>
      </c>
      <c r="T393" s="346"/>
      <c r="U393" s="346"/>
      <c r="V393" s="346"/>
      <c r="W393" s="346"/>
      <c r="X393" s="346"/>
      <c r="Y393" s="346"/>
      <c r="Z393" s="346"/>
      <c r="AA393" s="346"/>
      <c r="AB393" s="346"/>
      <c r="AC393" s="346">
        <f>4+3+4+2+4+7+2+2</f>
        <v>28</v>
      </c>
      <c r="AD393" s="346"/>
      <c r="AE393" s="346"/>
      <c r="AF393" s="346"/>
      <c r="AG393" s="346"/>
      <c r="AH393" s="346"/>
      <c r="AI393" s="346"/>
      <c r="AJ393" s="346"/>
      <c r="AK393" s="346"/>
      <c r="AL393" s="346"/>
      <c r="AM393" s="346"/>
      <c r="AN393" s="346"/>
      <c r="AO393" s="346"/>
      <c r="AP393" s="346"/>
      <c r="AQ393" s="346"/>
      <c r="AR393" s="346"/>
      <c r="AS393" s="346"/>
      <c r="AT393" s="346"/>
      <c r="AU393" s="346"/>
      <c r="AV393">
        <f t="shared" si="49"/>
        <v>30</v>
      </c>
      <c r="AW393" s="351">
        <f t="shared" si="50"/>
        <v>8.0428954423592491E-2</v>
      </c>
    </row>
    <row r="394" spans="1:49" ht="18.75" customHeight="1">
      <c r="A394" s="357">
        <v>46217</v>
      </c>
      <c r="B394" s="346"/>
      <c r="C394" s="346"/>
      <c r="D394" s="346"/>
      <c r="E394" s="346"/>
      <c r="F394" s="346"/>
      <c r="G394" s="346"/>
      <c r="H394" s="346"/>
      <c r="I394" s="346">
        <f>6+22</f>
        <v>28</v>
      </c>
      <c r="J394" s="346"/>
      <c r="K394" s="346"/>
      <c r="L394" s="346"/>
      <c r="M394" s="346"/>
      <c r="N394" s="346"/>
      <c r="O394" s="346"/>
      <c r="P394" s="346"/>
      <c r="Q394" s="346"/>
      <c r="R394" s="346"/>
      <c r="S394" s="346">
        <f>1+2+2+3+2+2+1+1</f>
        <v>14</v>
      </c>
      <c r="T394" s="346"/>
      <c r="U394" s="346"/>
      <c r="V394" s="346"/>
      <c r="W394" s="346"/>
      <c r="X394" s="346"/>
      <c r="Y394" s="346"/>
      <c r="Z394" s="346"/>
      <c r="AA394" s="346"/>
      <c r="AB394" s="346"/>
      <c r="AC394" s="346">
        <f>3+5+2+2+2+2+3+4+1+1+2+2+2</f>
        <v>31</v>
      </c>
      <c r="AD394" s="346"/>
      <c r="AE394" s="346"/>
      <c r="AF394" s="346"/>
      <c r="AG394" s="346"/>
      <c r="AH394" s="346"/>
      <c r="AI394" s="346"/>
      <c r="AJ394" s="346"/>
      <c r="AK394" s="346"/>
      <c r="AL394" s="346"/>
      <c r="AM394" s="346"/>
      <c r="AN394" s="346"/>
      <c r="AO394" s="346"/>
      <c r="AP394" s="346"/>
      <c r="AQ394" s="346"/>
      <c r="AR394" s="346"/>
      <c r="AS394" s="346"/>
      <c r="AT394" s="346"/>
      <c r="AU394" s="346"/>
      <c r="AV394">
        <f t="shared" ref="AV394" si="53">SUM(B394:AU394)</f>
        <v>73</v>
      </c>
      <c r="AW394" s="351">
        <f t="shared" ref="AW394" si="54">AV394/$AV$368</f>
        <v>0.19571045576407506</v>
      </c>
    </row>
    <row r="395" spans="1:49" ht="18.75" customHeight="1">
      <c r="A395" s="357">
        <v>46218</v>
      </c>
      <c r="B395" s="346"/>
      <c r="C395" s="346"/>
      <c r="D395" s="346"/>
      <c r="E395" s="346"/>
      <c r="F395" s="346"/>
      <c r="G395" s="346"/>
      <c r="H395" s="346"/>
      <c r="I395" s="346"/>
      <c r="J395" s="346"/>
      <c r="K395" s="346"/>
      <c r="L395" s="346"/>
      <c r="M395" s="346"/>
      <c r="N395" s="346"/>
      <c r="O395" s="346"/>
      <c r="P395" s="346"/>
      <c r="Q395" s="346"/>
      <c r="R395" s="346"/>
      <c r="S395" s="346">
        <f>5</f>
        <v>5</v>
      </c>
      <c r="T395" s="346"/>
      <c r="U395" s="346"/>
      <c r="V395" s="346"/>
      <c r="W395" s="346"/>
      <c r="X395" s="346"/>
      <c r="Y395" s="346"/>
      <c r="Z395" s="346"/>
      <c r="AA395" s="346"/>
      <c r="AB395" s="346"/>
      <c r="AC395" s="346"/>
      <c r="AD395" s="346">
        <f>4</f>
        <v>4</v>
      </c>
      <c r="AE395" s="346">
        <f>6+4+4</f>
        <v>14</v>
      </c>
      <c r="AF395" s="346"/>
      <c r="AG395" s="346"/>
      <c r="AH395" s="346"/>
      <c r="AI395" s="346"/>
      <c r="AJ395" s="346"/>
      <c r="AK395" s="346"/>
      <c r="AL395" s="346"/>
      <c r="AM395" s="346"/>
      <c r="AN395" s="346"/>
      <c r="AO395" s="346"/>
      <c r="AP395" s="346"/>
      <c r="AQ395" s="346"/>
      <c r="AR395" s="346"/>
      <c r="AS395" s="346"/>
      <c r="AT395" s="346"/>
      <c r="AU395" s="346"/>
      <c r="AV395">
        <f t="shared" si="49"/>
        <v>23</v>
      </c>
      <c r="AW395" s="351">
        <f t="shared" si="50"/>
        <v>6.1662198391420911E-2</v>
      </c>
    </row>
    <row r="396" spans="1:49" ht="18.75" customHeight="1">
      <c r="A396" s="357">
        <v>46218</v>
      </c>
      <c r="B396"/>
      <c r="C396"/>
      <c r="D396"/>
      <c r="E396"/>
      <c r="F396"/>
      <c r="G396"/>
      <c r="H396"/>
      <c r="I396"/>
      <c r="J396"/>
      <c r="K396"/>
      <c r="L396"/>
      <c r="M396"/>
      <c r="N396"/>
      <c r="O396"/>
      <c r="P396"/>
      <c r="Q396"/>
      <c r="R396"/>
      <c r="S396">
        <f>3+2+2+2</f>
        <v>9</v>
      </c>
      <c r="T396"/>
      <c r="U396"/>
      <c r="V396"/>
      <c r="W396"/>
      <c r="X396"/>
      <c r="Y396"/>
      <c r="Z396"/>
      <c r="AA396"/>
      <c r="AB396"/>
      <c r="AC396"/>
      <c r="AD396"/>
      <c r="AE396"/>
      <c r="AF396"/>
      <c r="AG396"/>
      <c r="AH396"/>
      <c r="AI396"/>
      <c r="AJ396"/>
      <c r="AK396"/>
      <c r="AL396"/>
      <c r="AM396"/>
      <c r="AN396"/>
      <c r="AO396"/>
      <c r="AP396"/>
      <c r="AQ396"/>
      <c r="AR396"/>
      <c r="AS396"/>
      <c r="AT396"/>
      <c r="AU396"/>
      <c r="AV396">
        <f t="shared" si="49"/>
        <v>9</v>
      </c>
      <c r="AW396" s="351">
        <f t="shared" si="50"/>
        <v>2.4128686327077747E-2</v>
      </c>
    </row>
    <row r="397" spans="1:49" ht="18.75" customHeight="1">
      <c r="A397" s="357">
        <v>46219</v>
      </c>
      <c r="B397" s="346"/>
      <c r="C397" s="346"/>
      <c r="D397" s="346"/>
      <c r="E397" s="346"/>
      <c r="F397" s="346"/>
      <c r="G397" s="346"/>
      <c r="H397" s="346"/>
      <c r="I397" s="346"/>
      <c r="J397" s="346"/>
      <c r="K397" s="346"/>
      <c r="L397" s="346"/>
      <c r="M397" s="346"/>
      <c r="N397" s="346"/>
      <c r="O397" s="346"/>
      <c r="P397" s="346"/>
      <c r="Q397" s="346"/>
      <c r="R397" s="346"/>
      <c r="S397" s="346">
        <f>2</f>
        <v>2</v>
      </c>
      <c r="T397" s="346"/>
      <c r="U397" s="346"/>
      <c r="V397" s="346"/>
      <c r="W397" s="346"/>
      <c r="X397" s="346"/>
      <c r="Y397" s="346"/>
      <c r="Z397" s="346"/>
      <c r="AA397" s="346"/>
      <c r="AB397" s="346"/>
      <c r="AC397" s="346"/>
      <c r="AD397" s="346"/>
      <c r="AE397" s="346"/>
      <c r="AF397" s="346"/>
      <c r="AG397" s="346"/>
      <c r="AH397" s="346">
        <f>3</f>
        <v>3</v>
      </c>
      <c r="AI397" s="346"/>
      <c r="AJ397" s="346"/>
      <c r="AK397" s="346"/>
      <c r="AL397" s="346"/>
      <c r="AM397" s="346"/>
      <c r="AN397" s="346"/>
      <c r="AO397" s="346"/>
      <c r="AP397" s="346"/>
      <c r="AQ397" s="346"/>
      <c r="AR397" s="346"/>
      <c r="AS397" s="346"/>
      <c r="AT397" s="346"/>
      <c r="AU397" s="346"/>
      <c r="AV397">
        <f t="shared" si="49"/>
        <v>5</v>
      </c>
      <c r="AW397" s="351">
        <f t="shared" si="50"/>
        <v>1.3404825737265416E-2</v>
      </c>
    </row>
    <row r="398" spans="1:49" ht="18.75" customHeight="1">
      <c r="A398" s="357">
        <v>46219</v>
      </c>
      <c r="B398"/>
      <c r="C398"/>
      <c r="D398"/>
      <c r="E398"/>
      <c r="F398"/>
      <c r="G398"/>
      <c r="H398"/>
      <c r="I398"/>
      <c r="J398"/>
      <c r="K398"/>
      <c r="L398"/>
      <c r="M398"/>
      <c r="N398"/>
      <c r="O398"/>
      <c r="P398"/>
      <c r="Q398"/>
      <c r="R398"/>
      <c r="S398">
        <f>2+2+3</f>
        <v>7</v>
      </c>
      <c r="T398">
        <f>4+5</f>
        <v>9</v>
      </c>
      <c r="U398"/>
      <c r="V398"/>
      <c r="W398"/>
      <c r="X398"/>
      <c r="Y398"/>
      <c r="Z398"/>
      <c r="AA398"/>
      <c r="AB398"/>
      <c r="AC398">
        <f>7+4</f>
        <v>11</v>
      </c>
      <c r="AD398"/>
      <c r="AE398"/>
      <c r="AF398"/>
      <c r="AG398"/>
      <c r="AH398"/>
      <c r="AI398"/>
      <c r="AJ398"/>
      <c r="AK398"/>
      <c r="AL398"/>
      <c r="AM398"/>
      <c r="AN398"/>
      <c r="AO398"/>
      <c r="AP398"/>
      <c r="AQ398"/>
      <c r="AR398"/>
      <c r="AS398"/>
      <c r="AT398"/>
      <c r="AU398"/>
      <c r="AV398">
        <f t="shared" si="49"/>
        <v>27</v>
      </c>
      <c r="AW398" s="351">
        <f t="shared" si="50"/>
        <v>7.2386058981233251E-2</v>
      </c>
    </row>
    <row r="399" spans="1:49" ht="18.75" customHeight="1">
      <c r="A399" s="357">
        <v>46219</v>
      </c>
      <c r="B399" s="346"/>
      <c r="C399" s="346"/>
      <c r="D399" s="346"/>
      <c r="E399" s="346"/>
      <c r="F399" s="346"/>
      <c r="G399" s="346"/>
      <c r="H399" s="346"/>
      <c r="I399" s="346"/>
      <c r="J399" s="346"/>
      <c r="K399" s="346"/>
      <c r="L399" s="346"/>
      <c r="M399" s="346"/>
      <c r="N399" s="346"/>
      <c r="O399" s="346"/>
      <c r="P399" s="346"/>
      <c r="Q399" s="346"/>
      <c r="R399" s="346"/>
      <c r="S399" s="346"/>
      <c r="T399" s="346"/>
      <c r="U399" s="346"/>
      <c r="V399" s="346"/>
      <c r="W399" s="346"/>
      <c r="X399" s="346"/>
      <c r="Y399" s="346"/>
      <c r="Z399" s="346"/>
      <c r="AA399" s="346"/>
      <c r="AB399" s="346"/>
      <c r="AC399" s="346">
        <f>25+6</f>
        <v>31</v>
      </c>
      <c r="AD399" s="346"/>
      <c r="AE399" s="346"/>
      <c r="AF399" s="346"/>
      <c r="AG399" s="346"/>
      <c r="AH399" s="346"/>
      <c r="AI399" s="346"/>
      <c r="AJ399" s="346"/>
      <c r="AK399" s="346"/>
      <c r="AL399" s="346"/>
      <c r="AM399" s="346"/>
      <c r="AN399" s="346"/>
      <c r="AO399" s="346"/>
      <c r="AP399" s="346"/>
      <c r="AQ399" s="346"/>
      <c r="AR399" s="346"/>
      <c r="AS399" s="346"/>
      <c r="AT399" s="346"/>
      <c r="AU399" s="346"/>
      <c r="AV399">
        <f t="shared" si="49"/>
        <v>31</v>
      </c>
      <c r="AW399" s="351">
        <f t="shared" si="50"/>
        <v>8.3109919571045576E-2</v>
      </c>
    </row>
    <row r="400" spans="1:49" ht="18.75" customHeight="1">
      <c r="A400" s="357">
        <v>46219</v>
      </c>
      <c r="B400"/>
      <c r="C400"/>
      <c r="D400"/>
      <c r="E400"/>
      <c r="F400"/>
      <c r="G400"/>
      <c r="H400"/>
      <c r="I400"/>
      <c r="J400"/>
      <c r="K400"/>
      <c r="L400"/>
      <c r="M400"/>
      <c r="N400"/>
      <c r="O400"/>
      <c r="P400"/>
      <c r="Q400"/>
      <c r="R400"/>
      <c r="S400">
        <f>2+1+3</f>
        <v>6</v>
      </c>
      <c r="T400"/>
      <c r="U400"/>
      <c r="V400"/>
      <c r="W400"/>
      <c r="X400"/>
      <c r="Y400">
        <f>1+2</f>
        <v>3</v>
      </c>
      <c r="Z400"/>
      <c r="AA400"/>
      <c r="AB400"/>
      <c r="AC400"/>
      <c r="AD400"/>
      <c r="AE400"/>
      <c r="AF400"/>
      <c r="AG400">
        <f>2+3+1+2</f>
        <v>8</v>
      </c>
      <c r="AH400">
        <f>20+3+11</f>
        <v>34</v>
      </c>
      <c r="AI400"/>
      <c r="AJ400"/>
      <c r="AK400"/>
      <c r="AL400"/>
      <c r="AM400"/>
      <c r="AN400"/>
      <c r="AO400"/>
      <c r="AP400"/>
      <c r="AQ400"/>
      <c r="AR400"/>
      <c r="AS400"/>
      <c r="AT400"/>
      <c r="AU400"/>
      <c r="AV400">
        <f t="shared" si="49"/>
        <v>51</v>
      </c>
      <c r="AW400" s="351">
        <f t="shared" si="50"/>
        <v>0.13672922252010725</v>
      </c>
    </row>
    <row r="401" spans="1:49" ht="18.75" customHeight="1">
      <c r="A401" s="357">
        <v>46220</v>
      </c>
      <c r="B401" s="346"/>
      <c r="C401" s="346"/>
      <c r="D401" s="346"/>
      <c r="E401" s="346"/>
      <c r="F401" s="346"/>
      <c r="G401" s="346"/>
      <c r="H401" s="346"/>
      <c r="I401" s="346"/>
      <c r="J401" s="346"/>
      <c r="K401" s="346"/>
      <c r="L401" s="346"/>
      <c r="M401" s="346"/>
      <c r="N401" s="346"/>
      <c r="O401" s="346"/>
      <c r="P401" s="346"/>
      <c r="Q401" s="346"/>
      <c r="R401" s="346"/>
      <c r="S401" s="346">
        <f>3</f>
        <v>3</v>
      </c>
      <c r="T401" s="346"/>
      <c r="U401" s="346"/>
      <c r="V401" s="346"/>
      <c r="W401" s="346"/>
      <c r="X401" s="346"/>
      <c r="Y401" s="346"/>
      <c r="Z401" s="346"/>
      <c r="AA401" s="346"/>
      <c r="AB401" s="346"/>
      <c r="AC401" s="346">
        <f>7</f>
        <v>7</v>
      </c>
      <c r="AD401" s="346"/>
      <c r="AE401" s="346"/>
      <c r="AF401" s="346"/>
      <c r="AG401" s="346"/>
      <c r="AH401" s="346"/>
      <c r="AI401" s="346"/>
      <c r="AJ401" s="346"/>
      <c r="AK401" s="346"/>
      <c r="AL401" s="346"/>
      <c r="AM401" s="346"/>
      <c r="AN401" s="346"/>
      <c r="AO401" s="346"/>
      <c r="AP401" s="346"/>
      <c r="AQ401" s="346"/>
      <c r="AR401" s="346"/>
      <c r="AS401" s="346"/>
      <c r="AT401" s="346"/>
      <c r="AU401" s="346"/>
      <c r="AV401">
        <f t="shared" si="49"/>
        <v>10</v>
      </c>
      <c r="AW401" s="351">
        <f t="shared" si="50"/>
        <v>2.6809651474530832E-2</v>
      </c>
    </row>
    <row r="402" spans="1:49" ht="18.75" customHeight="1">
      <c r="A402" s="357">
        <v>46220</v>
      </c>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c r="AL402"/>
      <c r="AM402"/>
      <c r="AN402"/>
      <c r="AO402"/>
      <c r="AP402"/>
      <c r="AQ402"/>
      <c r="AR402"/>
      <c r="AS402"/>
      <c r="AT402"/>
      <c r="AU402"/>
      <c r="AV402">
        <f t="shared" si="49"/>
        <v>0</v>
      </c>
      <c r="AW402" s="351">
        <f t="shared" si="50"/>
        <v>0</v>
      </c>
    </row>
    <row r="403" spans="1:49" ht="18.75" customHeight="1">
      <c r="A403" s="357">
        <v>46223</v>
      </c>
      <c r="B403"/>
      <c r="C403"/>
      <c r="D403"/>
      <c r="E403"/>
      <c r="F403"/>
      <c r="G403"/>
      <c r="H403"/>
      <c r="I403"/>
      <c r="J403"/>
      <c r="K403"/>
      <c r="L403"/>
      <c r="M403"/>
      <c r="N403"/>
      <c r="O403"/>
      <c r="P403"/>
      <c r="Q403"/>
      <c r="R403"/>
      <c r="S403">
        <f>2+1+1+1+1+1+1+2+2</f>
        <v>12</v>
      </c>
      <c r="T403">
        <v>3</v>
      </c>
      <c r="U403">
        <f>2+1</f>
        <v>3</v>
      </c>
      <c r="V403"/>
      <c r="W403"/>
      <c r="X403"/>
      <c r="Y403"/>
      <c r="Z403"/>
      <c r="AA403"/>
      <c r="AB403"/>
      <c r="AC403">
        <f>3</f>
        <v>3</v>
      </c>
      <c r="AD403"/>
      <c r="AE403"/>
      <c r="AF403"/>
      <c r="AG403"/>
      <c r="AH403">
        <f>3</f>
        <v>3</v>
      </c>
      <c r="AI403"/>
      <c r="AJ403"/>
      <c r="AK403"/>
      <c r="AL403"/>
      <c r="AM403"/>
      <c r="AN403"/>
      <c r="AO403"/>
      <c r="AP403"/>
      <c r="AQ403"/>
      <c r="AR403"/>
      <c r="AS403"/>
      <c r="AT403"/>
      <c r="AU403"/>
      <c r="AV403">
        <f t="shared" ref="AV403" si="55">SUM(B403:AU403)</f>
        <v>24</v>
      </c>
      <c r="AW403" s="351">
        <f t="shared" ref="AW403" si="56">AV403/$AV$368</f>
        <v>6.4343163538873996E-2</v>
      </c>
    </row>
    <row r="404" spans="1:49" ht="18.75" customHeight="1">
      <c r="A404" s="357">
        <v>46223</v>
      </c>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c r="AL404"/>
      <c r="AM404"/>
      <c r="AN404"/>
      <c r="AO404"/>
      <c r="AP404"/>
      <c r="AQ404"/>
      <c r="AR404"/>
      <c r="AS404"/>
      <c r="AT404"/>
      <c r="AU404"/>
      <c r="AV404">
        <f t="shared" ref="AV404:AV428" si="57">SUM(B404:AU404)</f>
        <v>0</v>
      </c>
      <c r="AW404" s="351">
        <f t="shared" si="50"/>
        <v>0</v>
      </c>
    </row>
    <row r="405" spans="1:49" ht="18.75" customHeight="1">
      <c r="A405" s="357">
        <v>46224</v>
      </c>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c r="AL405"/>
      <c r="AM405"/>
      <c r="AN405"/>
      <c r="AO405"/>
      <c r="AP405"/>
      <c r="AQ405"/>
      <c r="AR405"/>
      <c r="AS405"/>
      <c r="AT405"/>
      <c r="AU405"/>
      <c r="AV405">
        <f t="shared" si="57"/>
        <v>0</v>
      </c>
      <c r="AW405" s="351">
        <f t="shared" si="50"/>
        <v>0</v>
      </c>
    </row>
    <row r="406" spans="1:49" ht="18.75" customHeight="1">
      <c r="A406" s="357">
        <v>46224</v>
      </c>
      <c r="B406"/>
      <c r="C406"/>
      <c r="D406"/>
      <c r="E406"/>
      <c r="F406"/>
      <c r="G406"/>
      <c r="H406"/>
      <c r="I406"/>
      <c r="J406"/>
      <c r="K406"/>
      <c r="L406"/>
      <c r="M406"/>
      <c r="N406"/>
      <c r="O406"/>
      <c r="P406"/>
      <c r="Q406"/>
      <c r="R406"/>
      <c r="S406">
        <f>2+1+2+1+2+1+2+1+1+1+1+1+2+2+2</f>
        <v>22</v>
      </c>
      <c r="T406"/>
      <c r="U406"/>
      <c r="V406"/>
      <c r="W406"/>
      <c r="X406"/>
      <c r="Y406"/>
      <c r="Z406"/>
      <c r="AA406"/>
      <c r="AB406"/>
      <c r="AC406"/>
      <c r="AD406"/>
      <c r="AE406"/>
      <c r="AF406"/>
      <c r="AG406"/>
      <c r="AH406"/>
      <c r="AI406"/>
      <c r="AJ406"/>
      <c r="AK406"/>
      <c r="AL406"/>
      <c r="AM406"/>
      <c r="AN406"/>
      <c r="AO406"/>
      <c r="AP406"/>
      <c r="AQ406"/>
      <c r="AR406"/>
      <c r="AS406"/>
      <c r="AT406"/>
      <c r="AU406"/>
      <c r="AV406">
        <f t="shared" ref="AV406:AV408" si="58">SUM(B406:AU406)</f>
        <v>22</v>
      </c>
      <c r="AW406" s="351">
        <f t="shared" ref="AW406:AW408" si="59">AV406/$AV$368</f>
        <v>5.8981233243967826E-2</v>
      </c>
    </row>
    <row r="407" spans="1:49" ht="18.75" customHeight="1">
      <c r="A407" s="357">
        <v>46224</v>
      </c>
      <c r="B407" s="346"/>
      <c r="C407" s="346"/>
      <c r="D407" s="346"/>
      <c r="E407" s="346"/>
      <c r="F407" s="346"/>
      <c r="G407" s="346"/>
      <c r="H407" s="346"/>
      <c r="I407" s="346"/>
      <c r="J407" s="346"/>
      <c r="K407" s="346"/>
      <c r="L407" s="346"/>
      <c r="M407" s="346"/>
      <c r="N407" s="346"/>
      <c r="O407" s="346"/>
      <c r="P407" s="346"/>
      <c r="Q407" s="346"/>
      <c r="R407" s="346"/>
      <c r="S407" s="346"/>
      <c r="T407" s="346"/>
      <c r="U407" s="346"/>
      <c r="V407" s="346"/>
      <c r="W407" s="346"/>
      <c r="X407" s="346"/>
      <c r="Y407" s="346"/>
      <c r="Z407" s="346">
        <f>3</f>
        <v>3</v>
      </c>
      <c r="AA407" s="346"/>
      <c r="AB407" s="346"/>
      <c r="AC407" s="346"/>
      <c r="AD407" s="346"/>
      <c r="AE407" s="346"/>
      <c r="AF407" s="346"/>
      <c r="AG407" s="346"/>
      <c r="AH407" s="346"/>
      <c r="AI407" s="346"/>
      <c r="AJ407" s="346"/>
      <c r="AK407" s="346"/>
      <c r="AL407" s="346"/>
      <c r="AM407" s="346"/>
      <c r="AN407" s="346"/>
      <c r="AO407" s="346"/>
      <c r="AP407" s="346"/>
      <c r="AQ407" s="346"/>
      <c r="AR407" s="346"/>
      <c r="AS407" s="346"/>
      <c r="AT407" s="346"/>
      <c r="AU407" s="346"/>
      <c r="AV407">
        <f t="shared" si="58"/>
        <v>3</v>
      </c>
      <c r="AW407" s="351">
        <f t="shared" si="59"/>
        <v>8.0428954423592495E-3</v>
      </c>
    </row>
    <row r="408" spans="1:49" ht="18.75" customHeight="1">
      <c r="A408" s="357">
        <v>46225</v>
      </c>
      <c r="B408"/>
      <c r="C408"/>
      <c r="D408"/>
      <c r="E408"/>
      <c r="F408"/>
      <c r="G408"/>
      <c r="H408"/>
      <c r="I408"/>
      <c r="J408"/>
      <c r="K408"/>
      <c r="L408"/>
      <c r="M408"/>
      <c r="N408"/>
      <c r="O408"/>
      <c r="P408"/>
      <c r="Q408"/>
      <c r="R408"/>
      <c r="S408"/>
      <c r="T408"/>
      <c r="U408"/>
      <c r="V408"/>
      <c r="W408"/>
      <c r="X408"/>
      <c r="Y408"/>
      <c r="Z408"/>
      <c r="AA408"/>
      <c r="AB408"/>
      <c r="AC408"/>
      <c r="AD408">
        <f>2</f>
        <v>2</v>
      </c>
      <c r="AE408"/>
      <c r="AF408"/>
      <c r="AG408"/>
      <c r="AH408"/>
      <c r="AI408"/>
      <c r="AJ408"/>
      <c r="AK408"/>
      <c r="AL408"/>
      <c r="AM408"/>
      <c r="AN408"/>
      <c r="AO408"/>
      <c r="AP408"/>
      <c r="AQ408"/>
      <c r="AR408"/>
      <c r="AS408"/>
      <c r="AT408"/>
      <c r="AU408"/>
      <c r="AV408">
        <f t="shared" si="58"/>
        <v>2</v>
      </c>
      <c r="AW408" s="351">
        <f t="shared" si="59"/>
        <v>5.3619302949061663E-3</v>
      </c>
    </row>
    <row r="409" spans="1:49" ht="18.75" customHeight="1">
      <c r="A409" s="357">
        <v>46225</v>
      </c>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c r="AL409"/>
      <c r="AM409"/>
      <c r="AN409"/>
      <c r="AO409"/>
      <c r="AP409"/>
      <c r="AQ409"/>
      <c r="AR409"/>
      <c r="AS409"/>
      <c r="AT409"/>
      <c r="AU409"/>
      <c r="AV409">
        <f t="shared" si="57"/>
        <v>0</v>
      </c>
      <c r="AW409" s="351">
        <f t="shared" si="50"/>
        <v>0</v>
      </c>
    </row>
    <row r="410" spans="1:49" ht="18.75" customHeight="1">
      <c r="A410" s="357">
        <v>46226</v>
      </c>
      <c r="B410" s="346"/>
      <c r="C410" s="346"/>
      <c r="D410" s="346"/>
      <c r="E410" s="346"/>
      <c r="F410" s="346"/>
      <c r="G410" s="346"/>
      <c r="H410" s="346"/>
      <c r="I410" s="346"/>
      <c r="J410" s="346"/>
      <c r="K410" s="346"/>
      <c r="L410" s="346"/>
      <c r="M410" s="346"/>
      <c r="N410" s="346"/>
      <c r="O410" s="346"/>
      <c r="P410" s="346"/>
      <c r="Q410" s="346"/>
      <c r="R410" s="346"/>
      <c r="S410" s="346">
        <f>2+2</f>
        <v>4</v>
      </c>
      <c r="T410" s="346"/>
      <c r="U410" s="346"/>
      <c r="V410" s="346"/>
      <c r="W410" s="346">
        <v>2</v>
      </c>
      <c r="X410" s="346"/>
      <c r="Y410" s="346"/>
      <c r="Z410" s="346"/>
      <c r="AA410" s="346"/>
      <c r="AB410" s="346"/>
      <c r="AC410" s="346"/>
      <c r="AD410" s="346"/>
      <c r="AE410" s="346"/>
      <c r="AF410" s="346"/>
      <c r="AG410" s="346"/>
      <c r="AH410" s="346"/>
      <c r="AI410" s="346"/>
      <c r="AJ410" s="346"/>
      <c r="AK410" s="346"/>
      <c r="AL410" s="346"/>
      <c r="AM410" s="346"/>
      <c r="AN410" s="346"/>
      <c r="AO410" s="346"/>
      <c r="AP410" s="346"/>
      <c r="AQ410" s="346"/>
      <c r="AR410" s="346"/>
      <c r="AS410" s="346"/>
      <c r="AT410" s="346"/>
      <c r="AU410" s="346"/>
      <c r="AV410">
        <f t="shared" si="57"/>
        <v>6</v>
      </c>
      <c r="AW410" s="351">
        <f t="shared" si="50"/>
        <v>1.6085790884718499E-2</v>
      </c>
    </row>
    <row r="411" spans="1:49" ht="18.75" customHeight="1">
      <c r="A411" s="357">
        <v>46226</v>
      </c>
      <c r="B411"/>
      <c r="C411"/>
      <c r="D411"/>
      <c r="E411"/>
      <c r="F411"/>
      <c r="G411"/>
      <c r="H411"/>
      <c r="I411"/>
      <c r="J411"/>
      <c r="K411"/>
      <c r="L411"/>
      <c r="M411"/>
      <c r="N411"/>
      <c r="O411"/>
      <c r="P411"/>
      <c r="Q411"/>
      <c r="R411"/>
      <c r="S411">
        <v>2</v>
      </c>
      <c r="T411"/>
      <c r="U411"/>
      <c r="V411"/>
      <c r="W411"/>
      <c r="X411"/>
      <c r="Y411"/>
      <c r="Z411"/>
      <c r="AA411"/>
      <c r="AB411"/>
      <c r="AC411"/>
      <c r="AD411">
        <f>3+2</f>
        <v>5</v>
      </c>
      <c r="AE411"/>
      <c r="AF411"/>
      <c r="AG411"/>
      <c r="AH411"/>
      <c r="AI411"/>
      <c r="AJ411"/>
      <c r="AK411"/>
      <c r="AL411"/>
      <c r="AM411"/>
      <c r="AN411"/>
      <c r="AO411"/>
      <c r="AP411"/>
      <c r="AQ411"/>
      <c r="AR411"/>
      <c r="AS411"/>
      <c r="AT411"/>
      <c r="AU411"/>
      <c r="AV411">
        <f t="shared" si="57"/>
        <v>7</v>
      </c>
      <c r="AW411" s="351">
        <f t="shared" si="50"/>
        <v>1.876675603217158E-2</v>
      </c>
    </row>
    <row r="412" spans="1:49" ht="18.75" customHeight="1">
      <c r="A412" s="357">
        <v>46227</v>
      </c>
      <c r="B412" s="346"/>
      <c r="C412" s="346"/>
      <c r="D412" s="346"/>
      <c r="E412" s="346"/>
      <c r="F412" s="346"/>
      <c r="G412" s="346"/>
      <c r="H412" s="346"/>
      <c r="I412" s="346"/>
      <c r="J412" s="346"/>
      <c r="K412" s="346"/>
      <c r="L412" s="346"/>
      <c r="M412" s="346"/>
      <c r="N412" s="346"/>
      <c r="O412" s="346"/>
      <c r="P412" s="346"/>
      <c r="Q412" s="346"/>
      <c r="R412" s="346"/>
      <c r="S412" s="346"/>
      <c r="T412" s="346"/>
      <c r="U412" s="346">
        <f>4+2+2</f>
        <v>8</v>
      </c>
      <c r="V412" s="346">
        <f>2</f>
        <v>2</v>
      </c>
      <c r="W412" s="346"/>
      <c r="X412" s="346"/>
      <c r="Y412" s="346"/>
      <c r="Z412" s="346"/>
      <c r="AA412" s="346"/>
      <c r="AB412" s="346"/>
      <c r="AC412" s="346"/>
      <c r="AD412" s="346">
        <f>2+2</f>
        <v>4</v>
      </c>
      <c r="AE412" s="346"/>
      <c r="AF412" s="346"/>
      <c r="AG412" s="346"/>
      <c r="AH412" s="346"/>
      <c r="AI412" s="346"/>
      <c r="AJ412" s="346"/>
      <c r="AK412" s="346"/>
      <c r="AL412" s="346"/>
      <c r="AM412" s="346"/>
      <c r="AN412" s="346"/>
      <c r="AO412" s="346"/>
      <c r="AP412" s="346"/>
      <c r="AQ412" s="346"/>
      <c r="AR412" s="346"/>
      <c r="AS412" s="346"/>
      <c r="AT412" s="346"/>
      <c r="AU412" s="346"/>
      <c r="AV412">
        <f t="shared" si="57"/>
        <v>14</v>
      </c>
      <c r="AW412" s="351">
        <f t="shared" si="50"/>
        <v>3.7533512064343161E-2</v>
      </c>
    </row>
    <row r="413" spans="1:49" ht="18.75" customHeight="1">
      <c r="A413" s="357">
        <v>46227</v>
      </c>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c r="AL413"/>
      <c r="AM413"/>
      <c r="AN413"/>
      <c r="AO413"/>
      <c r="AP413"/>
      <c r="AQ413"/>
      <c r="AR413"/>
      <c r="AS413"/>
      <c r="AT413"/>
      <c r="AU413"/>
      <c r="AV413">
        <f>SUM(B413:AU413)</f>
        <v>0</v>
      </c>
      <c r="AW413" s="351">
        <f>AV413/$AV$368</f>
        <v>0</v>
      </c>
    </row>
    <row r="414" spans="1:49" ht="18.75" customHeight="1">
      <c r="A414" s="357">
        <v>46230</v>
      </c>
      <c r="B414" s="346"/>
      <c r="C414" s="346"/>
      <c r="D414" s="346"/>
      <c r="E414" s="346"/>
      <c r="F414" s="346"/>
      <c r="G414" s="346"/>
      <c r="H414" s="346"/>
      <c r="I414" s="346"/>
      <c r="J414" s="346"/>
      <c r="K414" s="346"/>
      <c r="L414" s="346"/>
      <c r="M414" s="346"/>
      <c r="N414" s="346"/>
      <c r="O414" s="346"/>
      <c r="P414" s="346"/>
      <c r="Q414" s="346"/>
      <c r="R414" s="346"/>
      <c r="S414" s="346">
        <f>2+2+3+3+2+3</f>
        <v>15</v>
      </c>
      <c r="T414" s="346"/>
      <c r="U414" s="346"/>
      <c r="V414" s="346">
        <f>3+2+8+14</f>
        <v>27</v>
      </c>
      <c r="W414" s="346"/>
      <c r="X414" s="346"/>
      <c r="Y414" s="346"/>
      <c r="Z414" s="346"/>
      <c r="AA414" s="346"/>
      <c r="AB414" s="346"/>
      <c r="AC414" s="346"/>
      <c r="AD414" s="346">
        <f>3</f>
        <v>3</v>
      </c>
      <c r="AE414" s="346"/>
      <c r="AF414" s="346"/>
      <c r="AG414" s="346"/>
      <c r="AH414" s="346"/>
      <c r="AI414" s="346"/>
      <c r="AJ414" s="346"/>
      <c r="AK414" s="346"/>
      <c r="AL414" s="346"/>
      <c r="AM414" s="346"/>
      <c r="AN414" s="346"/>
      <c r="AO414" s="346"/>
      <c r="AP414" s="346"/>
      <c r="AQ414" s="346"/>
      <c r="AR414" s="346"/>
      <c r="AS414" s="346"/>
      <c r="AT414" s="346"/>
      <c r="AU414" s="346"/>
      <c r="AV414">
        <f>SUM(B414:AU414)</f>
        <v>45</v>
      </c>
      <c r="AW414" s="351">
        <f>AV414/$AV$368</f>
        <v>0.12064343163538874</v>
      </c>
    </row>
    <row r="415" spans="1:49" ht="18.75" customHeight="1">
      <c r="A415" s="357">
        <v>46231</v>
      </c>
      <c r="B415"/>
      <c r="C415"/>
      <c r="D415"/>
      <c r="E415"/>
      <c r="F415"/>
      <c r="G415"/>
      <c r="H415"/>
      <c r="I415"/>
      <c r="J415"/>
      <c r="K415"/>
      <c r="L415"/>
      <c r="M415"/>
      <c r="N415"/>
      <c r="O415"/>
      <c r="P415"/>
      <c r="Q415"/>
      <c r="R415"/>
      <c r="S415">
        <f>1+2</f>
        <v>3</v>
      </c>
      <c r="T415"/>
      <c r="U415"/>
      <c r="V415">
        <f>3</f>
        <v>3</v>
      </c>
      <c r="W415"/>
      <c r="X415"/>
      <c r="Y415"/>
      <c r="Z415"/>
      <c r="AA415"/>
      <c r="AB415"/>
      <c r="AC415"/>
      <c r="AD415"/>
      <c r="AE415"/>
      <c r="AF415"/>
      <c r="AG415"/>
      <c r="AH415"/>
      <c r="AI415"/>
      <c r="AJ415"/>
      <c r="AK415"/>
      <c r="AL415"/>
      <c r="AM415"/>
      <c r="AN415"/>
      <c r="AO415"/>
      <c r="AP415"/>
      <c r="AQ415"/>
      <c r="AR415"/>
      <c r="AS415"/>
      <c r="AT415"/>
      <c r="AU415"/>
      <c r="AV415">
        <f>SUM(B415:AU415)</f>
        <v>6</v>
      </c>
      <c r="AW415" s="351">
        <f>AV415/$AV$368</f>
        <v>1.6085790884718499E-2</v>
      </c>
    </row>
    <row r="416" spans="1:49" ht="18.75" customHeight="1">
      <c r="A416" s="357">
        <v>46231</v>
      </c>
      <c r="B416" s="346"/>
      <c r="C416" s="346"/>
      <c r="D416" s="346"/>
      <c r="E416" s="346"/>
      <c r="F416" s="346"/>
      <c r="G416" s="346"/>
      <c r="H416" s="346"/>
      <c r="I416" s="346"/>
      <c r="J416" s="346"/>
      <c r="K416" s="346"/>
      <c r="L416" s="346"/>
      <c r="M416" s="346"/>
      <c r="N416" s="346"/>
      <c r="O416" s="346"/>
      <c r="P416" s="346"/>
      <c r="Q416" s="346"/>
      <c r="R416" s="346"/>
      <c r="S416" s="346">
        <f>2</f>
        <v>2</v>
      </c>
      <c r="T416" s="346"/>
      <c r="U416" s="346"/>
      <c r="V416" s="346"/>
      <c r="W416" s="346"/>
      <c r="X416" s="346"/>
      <c r="Y416" s="346"/>
      <c r="Z416" s="346"/>
      <c r="AA416" s="346"/>
      <c r="AB416" s="346"/>
      <c r="AC416" s="346"/>
      <c r="AD416" s="346">
        <f>3+4</f>
        <v>7</v>
      </c>
      <c r="AE416" s="346"/>
      <c r="AF416" s="346"/>
      <c r="AG416" s="346"/>
      <c r="AH416" s="346"/>
      <c r="AI416" s="346"/>
      <c r="AJ416" s="346"/>
      <c r="AK416" s="346"/>
      <c r="AL416" s="346"/>
      <c r="AM416" s="346"/>
      <c r="AN416" s="346"/>
      <c r="AO416" s="346"/>
      <c r="AP416" s="346"/>
      <c r="AQ416" s="346"/>
      <c r="AR416" s="346"/>
      <c r="AS416" s="346"/>
      <c r="AT416" s="346"/>
      <c r="AU416" s="346"/>
      <c r="AV416">
        <f>SUM(B416:AU416)</f>
        <v>9</v>
      </c>
      <c r="AW416" s="351">
        <f>AV416/$AV$368</f>
        <v>2.4128686327077747E-2</v>
      </c>
    </row>
    <row r="417" spans="1:49" ht="18.75" customHeight="1">
      <c r="A417" s="357">
        <v>46232</v>
      </c>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c r="AL417"/>
      <c r="AM417"/>
      <c r="AN417"/>
      <c r="AO417"/>
      <c r="AP417"/>
      <c r="AQ417"/>
      <c r="AR417"/>
      <c r="AS417"/>
      <c r="AT417"/>
      <c r="AU417"/>
      <c r="AV417">
        <f t="shared" si="57"/>
        <v>0</v>
      </c>
      <c r="AW417" s="351">
        <f t="shared" si="50"/>
        <v>0</v>
      </c>
    </row>
    <row r="418" spans="1:49" ht="18.75" customHeight="1">
      <c r="A418" s="357">
        <v>46232</v>
      </c>
      <c r="B418" s="346"/>
      <c r="C418" s="346"/>
      <c r="D418" s="346"/>
      <c r="E418" s="346"/>
      <c r="F418" s="346"/>
      <c r="G418" s="346"/>
      <c r="H418" s="346"/>
      <c r="I418" s="346"/>
      <c r="J418" s="346"/>
      <c r="K418" s="346"/>
      <c r="L418" s="346"/>
      <c r="M418" s="346"/>
      <c r="N418" s="346"/>
      <c r="O418" s="346"/>
      <c r="P418" s="346"/>
      <c r="Q418" s="346"/>
      <c r="R418" s="346"/>
      <c r="S418" s="346"/>
      <c r="T418" s="346"/>
      <c r="U418" s="346"/>
      <c r="V418" s="346"/>
      <c r="W418" s="346"/>
      <c r="X418" s="346"/>
      <c r="Y418" s="346"/>
      <c r="Z418" s="346"/>
      <c r="AA418" s="346"/>
      <c r="AB418" s="346"/>
      <c r="AC418" s="346"/>
      <c r="AD418" s="346">
        <f>2+4</f>
        <v>6</v>
      </c>
      <c r="AE418" s="346"/>
      <c r="AF418" s="346"/>
      <c r="AG418" s="346"/>
      <c r="AH418" s="346"/>
      <c r="AI418" s="346"/>
      <c r="AJ418" s="346"/>
      <c r="AK418" s="346"/>
      <c r="AL418" s="346"/>
      <c r="AM418" s="346"/>
      <c r="AN418" s="346"/>
      <c r="AO418" s="346"/>
      <c r="AP418" s="346"/>
      <c r="AQ418" s="346"/>
      <c r="AR418" s="346"/>
      <c r="AS418" s="346"/>
      <c r="AT418" s="346"/>
      <c r="AU418" s="346"/>
      <c r="AV418">
        <f t="shared" si="57"/>
        <v>6</v>
      </c>
      <c r="AW418" s="351">
        <f t="shared" si="50"/>
        <v>1.6085790884718499E-2</v>
      </c>
    </row>
    <row r="419" spans="1:49" ht="18.75" customHeight="1">
      <c r="A419" s="357">
        <v>46232</v>
      </c>
      <c r="B419"/>
      <c r="C419"/>
      <c r="D419"/>
      <c r="E419"/>
      <c r="F419"/>
      <c r="G419"/>
      <c r="H419"/>
      <c r="I419"/>
      <c r="J419"/>
      <c r="K419"/>
      <c r="L419"/>
      <c r="M419"/>
      <c r="N419"/>
      <c r="O419"/>
      <c r="P419"/>
      <c r="Q419"/>
      <c r="R419"/>
      <c r="S419">
        <f>2+2+2+2+2</f>
        <v>10</v>
      </c>
      <c r="T419"/>
      <c r="U419"/>
      <c r="V419"/>
      <c r="W419"/>
      <c r="X419"/>
      <c r="Y419"/>
      <c r="Z419"/>
      <c r="AA419"/>
      <c r="AB419"/>
      <c r="AC419"/>
      <c r="AD419"/>
      <c r="AE419"/>
      <c r="AF419"/>
      <c r="AG419"/>
      <c r="AH419"/>
      <c r="AI419"/>
      <c r="AJ419"/>
      <c r="AK419"/>
      <c r="AL419"/>
      <c r="AM419"/>
      <c r="AN419"/>
      <c r="AO419"/>
      <c r="AP419"/>
      <c r="AQ419"/>
      <c r="AR419"/>
      <c r="AS419"/>
      <c r="AT419"/>
      <c r="AU419"/>
      <c r="AV419">
        <f t="shared" si="57"/>
        <v>10</v>
      </c>
      <c r="AW419" s="351">
        <f t="shared" si="50"/>
        <v>2.6809651474530832E-2</v>
      </c>
    </row>
    <row r="420" spans="1:49" ht="18.75" customHeight="1">
      <c r="A420" s="357">
        <v>46233</v>
      </c>
      <c r="B420" s="346"/>
      <c r="C420" s="346"/>
      <c r="D420" s="346"/>
      <c r="E420" s="346"/>
      <c r="F420" s="346"/>
      <c r="G420" s="346"/>
      <c r="H420" s="346"/>
      <c r="I420" s="346"/>
      <c r="J420" s="346"/>
      <c r="K420" s="346"/>
      <c r="L420" s="346"/>
      <c r="M420" s="346"/>
      <c r="N420" s="346"/>
      <c r="O420" s="346"/>
      <c r="P420" s="346"/>
      <c r="Q420" s="346"/>
      <c r="R420" s="346"/>
      <c r="S420" s="346">
        <f>3+2+1+1</f>
        <v>7</v>
      </c>
      <c r="T420" s="346"/>
      <c r="U420" s="346"/>
      <c r="V420" s="346">
        <f>7</f>
        <v>7</v>
      </c>
      <c r="W420" s="346"/>
      <c r="X420" s="346"/>
      <c r="Y420" s="346"/>
      <c r="Z420" s="346"/>
      <c r="AA420" s="346"/>
      <c r="AB420" s="346"/>
      <c r="AC420" s="346"/>
      <c r="AD420" s="346">
        <f>6</f>
        <v>6</v>
      </c>
      <c r="AE420" s="346"/>
      <c r="AF420" s="346"/>
      <c r="AG420" s="346"/>
      <c r="AH420" s="346"/>
      <c r="AI420" s="346"/>
      <c r="AJ420" s="346"/>
      <c r="AK420" s="346"/>
      <c r="AL420" s="346"/>
      <c r="AM420" s="346"/>
      <c r="AN420" s="346"/>
      <c r="AO420" s="346"/>
      <c r="AP420" s="346"/>
      <c r="AQ420" s="346"/>
      <c r="AR420" s="346"/>
      <c r="AS420" s="346"/>
      <c r="AT420" s="346"/>
      <c r="AU420" s="346"/>
      <c r="AV420">
        <f t="shared" si="57"/>
        <v>20</v>
      </c>
      <c r="AW420" s="351">
        <f t="shared" si="50"/>
        <v>5.3619302949061663E-2</v>
      </c>
    </row>
    <row r="421" spans="1:49" ht="18.75" customHeight="1">
      <c r="A421" s="357">
        <v>46233</v>
      </c>
      <c r="B421"/>
      <c r="C421"/>
      <c r="D421"/>
      <c r="E421"/>
      <c r="F421"/>
      <c r="G421"/>
      <c r="H421"/>
      <c r="I421"/>
      <c r="J421"/>
      <c r="K421"/>
      <c r="L421"/>
      <c r="M421"/>
      <c r="N421"/>
      <c r="O421"/>
      <c r="P421"/>
      <c r="Q421"/>
      <c r="R421"/>
      <c r="S421">
        <f>1+1+2+1+1+1+1+1+1+1+1+2+2+2</f>
        <v>18</v>
      </c>
      <c r="T421"/>
      <c r="U421"/>
      <c r="V421"/>
      <c r="W421"/>
      <c r="X421"/>
      <c r="Y421"/>
      <c r="Z421"/>
      <c r="AA421"/>
      <c r="AB421"/>
      <c r="AC421"/>
      <c r="AD421"/>
      <c r="AE421"/>
      <c r="AF421"/>
      <c r="AG421"/>
      <c r="AH421"/>
      <c r="AI421"/>
      <c r="AJ421"/>
      <c r="AK421"/>
      <c r="AL421"/>
      <c r="AM421"/>
      <c r="AN421"/>
      <c r="AO421"/>
      <c r="AP421"/>
      <c r="AQ421"/>
      <c r="AR421"/>
      <c r="AS421"/>
      <c r="AT421"/>
      <c r="AU421"/>
      <c r="AV421">
        <f t="shared" si="57"/>
        <v>18</v>
      </c>
      <c r="AW421" s="351">
        <f t="shared" si="50"/>
        <v>4.8257372654155493E-2</v>
      </c>
    </row>
    <row r="422" spans="1:49" ht="18.75" customHeight="1">
      <c r="A422" s="357">
        <v>46233</v>
      </c>
      <c r="B422" s="346"/>
      <c r="C422" s="346"/>
      <c r="D422" s="346"/>
      <c r="E422" s="346"/>
      <c r="F422" s="346"/>
      <c r="G422" s="346"/>
      <c r="H422" s="346"/>
      <c r="I422" s="346"/>
      <c r="J422" s="346"/>
      <c r="K422" s="346"/>
      <c r="L422" s="346"/>
      <c r="M422" s="346"/>
      <c r="N422" s="346"/>
      <c r="O422" s="346"/>
      <c r="P422" s="346"/>
      <c r="Q422" s="346"/>
      <c r="R422" s="346"/>
      <c r="S422" s="346"/>
      <c r="T422" s="346"/>
      <c r="U422" s="346"/>
      <c r="V422" s="346"/>
      <c r="W422" s="346"/>
      <c r="X422" s="346"/>
      <c r="Y422" s="346"/>
      <c r="Z422" s="346"/>
      <c r="AA422" s="346"/>
      <c r="AB422" s="346"/>
      <c r="AC422" s="346"/>
      <c r="AD422" s="346">
        <v>2</v>
      </c>
      <c r="AE422" s="346"/>
      <c r="AF422" s="346"/>
      <c r="AG422" s="346"/>
      <c r="AH422" s="346"/>
      <c r="AI422" s="346"/>
      <c r="AJ422" s="346"/>
      <c r="AK422" s="346"/>
      <c r="AL422" s="346"/>
      <c r="AM422" s="346"/>
      <c r="AN422" s="346"/>
      <c r="AO422" s="346"/>
      <c r="AP422" s="346"/>
      <c r="AQ422" s="346"/>
      <c r="AR422" s="346"/>
      <c r="AS422" s="346"/>
      <c r="AT422" s="346"/>
      <c r="AU422" s="346"/>
      <c r="AV422">
        <f t="shared" si="57"/>
        <v>2</v>
      </c>
      <c r="AW422" s="351">
        <f t="shared" si="50"/>
        <v>5.3619302949061663E-3</v>
      </c>
    </row>
    <row r="423" spans="1:49" ht="18.75" customHeight="1">
      <c r="A423" s="357">
        <v>46234</v>
      </c>
      <c r="B423"/>
      <c r="C423"/>
      <c r="D423"/>
      <c r="E423"/>
      <c r="F423"/>
      <c r="G423"/>
      <c r="H423"/>
      <c r="I423"/>
      <c r="J423"/>
      <c r="K423"/>
      <c r="L423"/>
      <c r="M423"/>
      <c r="N423"/>
      <c r="O423"/>
      <c r="P423"/>
      <c r="Q423"/>
      <c r="R423"/>
      <c r="S423">
        <f>2+2</f>
        <v>4</v>
      </c>
      <c r="T423"/>
      <c r="U423"/>
      <c r="V423"/>
      <c r="W423"/>
      <c r="X423"/>
      <c r="Y423"/>
      <c r="Z423"/>
      <c r="AA423"/>
      <c r="AB423"/>
      <c r="AC423"/>
      <c r="AD423">
        <f>4+5+3</f>
        <v>12</v>
      </c>
      <c r="AE423"/>
      <c r="AF423"/>
      <c r="AG423"/>
      <c r="AH423"/>
      <c r="AI423"/>
      <c r="AJ423"/>
      <c r="AK423"/>
      <c r="AL423"/>
      <c r="AM423"/>
      <c r="AN423"/>
      <c r="AO423"/>
      <c r="AP423"/>
      <c r="AQ423"/>
      <c r="AR423"/>
      <c r="AS423"/>
      <c r="AT423"/>
      <c r="AU423"/>
      <c r="AV423">
        <f t="shared" si="57"/>
        <v>16</v>
      </c>
      <c r="AW423" s="351">
        <f t="shared" si="50"/>
        <v>4.2895442359249331E-2</v>
      </c>
    </row>
    <row r="424" spans="1:49" ht="18.75" customHeight="1">
      <c r="A424" s="357"/>
      <c r="B424" s="346"/>
      <c r="C424" s="346"/>
      <c r="D424" s="346"/>
      <c r="E424" s="346"/>
      <c r="F424" s="346"/>
      <c r="G424" s="346"/>
      <c r="H424" s="346"/>
      <c r="I424" s="346"/>
      <c r="J424" s="346"/>
      <c r="K424" s="346"/>
      <c r="L424" s="346"/>
      <c r="M424" s="346"/>
      <c r="N424" s="346"/>
      <c r="O424" s="346"/>
      <c r="P424" s="346"/>
      <c r="Q424" s="346"/>
      <c r="R424" s="346"/>
      <c r="S424" s="346"/>
      <c r="T424" s="346"/>
      <c r="U424" s="346"/>
      <c r="V424" s="346"/>
      <c r="W424" s="346"/>
      <c r="X424" s="346"/>
      <c r="Y424" s="346"/>
      <c r="Z424" s="346"/>
      <c r="AA424" s="346"/>
      <c r="AB424" s="346"/>
      <c r="AC424" s="346"/>
      <c r="AD424" s="346"/>
      <c r="AE424" s="346"/>
      <c r="AF424" s="346"/>
      <c r="AG424" s="346"/>
      <c r="AH424" s="346"/>
      <c r="AI424" s="346"/>
      <c r="AJ424" s="346"/>
      <c r="AK424" s="346"/>
      <c r="AL424" s="346"/>
      <c r="AM424" s="346"/>
      <c r="AN424" s="346"/>
      <c r="AO424" s="346"/>
      <c r="AP424" s="346"/>
      <c r="AQ424" s="346"/>
      <c r="AR424" s="346"/>
      <c r="AS424" s="346"/>
      <c r="AT424" s="346"/>
      <c r="AU424" s="346"/>
      <c r="AV424">
        <f t="shared" si="57"/>
        <v>0</v>
      </c>
      <c r="AW424" s="351">
        <f t="shared" si="50"/>
        <v>0</v>
      </c>
    </row>
    <row r="425" spans="1:49" ht="18.75" customHeight="1">
      <c r="A425" s="357"/>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c r="AK425"/>
      <c r="AL425"/>
      <c r="AM425"/>
      <c r="AN425"/>
      <c r="AO425"/>
      <c r="AP425"/>
      <c r="AQ425"/>
      <c r="AR425"/>
      <c r="AS425"/>
      <c r="AT425"/>
      <c r="AU425"/>
      <c r="AV425">
        <f t="shared" si="57"/>
        <v>0</v>
      </c>
      <c r="AW425" s="351">
        <f t="shared" si="50"/>
        <v>0</v>
      </c>
    </row>
    <row r="426" spans="1:49" ht="18.75" customHeight="1">
      <c r="A426" s="357"/>
      <c r="B426" s="346"/>
      <c r="C426" s="346"/>
      <c r="D426" s="346"/>
      <c r="E426" s="346"/>
      <c r="F426" s="346"/>
      <c r="G426" s="346"/>
      <c r="H426" s="346"/>
      <c r="I426" s="346"/>
      <c r="J426" s="346"/>
      <c r="K426" s="346"/>
      <c r="L426" s="346"/>
      <c r="M426" s="346"/>
      <c r="N426" s="346"/>
      <c r="O426" s="346"/>
      <c r="P426" s="346"/>
      <c r="Q426" s="346"/>
      <c r="R426" s="346"/>
      <c r="S426" s="346"/>
      <c r="T426" s="346"/>
      <c r="U426" s="346"/>
      <c r="V426" s="346"/>
      <c r="W426" s="346"/>
      <c r="X426" s="346"/>
      <c r="Y426" s="346"/>
      <c r="Z426" s="346"/>
      <c r="AA426" s="346"/>
      <c r="AB426" s="346"/>
      <c r="AC426" s="346"/>
      <c r="AD426" s="346"/>
      <c r="AE426" s="346"/>
      <c r="AF426" s="346"/>
      <c r="AG426" s="346"/>
      <c r="AH426" s="346"/>
      <c r="AI426" s="346"/>
      <c r="AJ426" s="346"/>
      <c r="AK426" s="346"/>
      <c r="AL426" s="346"/>
      <c r="AM426" s="346"/>
      <c r="AN426" s="346"/>
      <c r="AO426" s="346"/>
      <c r="AP426" s="346"/>
      <c r="AQ426" s="346"/>
      <c r="AR426" s="346"/>
      <c r="AS426" s="346"/>
      <c r="AT426" s="346"/>
      <c r="AU426" s="346"/>
      <c r="AV426">
        <f t="shared" si="57"/>
        <v>0</v>
      </c>
      <c r="AW426" s="351">
        <f t="shared" si="50"/>
        <v>0</v>
      </c>
    </row>
    <row r="427" spans="1:49" ht="18.75" customHeight="1">
      <c r="A427" s="35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c r="AK427"/>
      <c r="AL427"/>
      <c r="AM427"/>
      <c r="AN427"/>
      <c r="AO427"/>
      <c r="AP427"/>
      <c r="AQ427"/>
      <c r="AR427"/>
      <c r="AS427"/>
      <c r="AT427"/>
      <c r="AU427"/>
      <c r="AV427">
        <f t="shared" si="57"/>
        <v>0</v>
      </c>
      <c r="AW427" s="351">
        <f t="shared" si="50"/>
        <v>0</v>
      </c>
    </row>
    <row r="428" spans="1:49" ht="18.75" customHeight="1">
      <c r="A428" s="357"/>
      <c r="B428" s="346"/>
      <c r="C428" s="346"/>
      <c r="D428" s="346"/>
      <c r="E428" s="346"/>
      <c r="F428" s="346"/>
      <c r="G428" s="346"/>
      <c r="H428" s="346"/>
      <c r="I428" s="346"/>
      <c r="J428" s="346"/>
      <c r="K428" s="346"/>
      <c r="L428" s="346"/>
      <c r="M428" s="346"/>
      <c r="N428" s="346"/>
      <c r="O428" s="346"/>
      <c r="P428" s="346"/>
      <c r="Q428" s="346"/>
      <c r="R428" s="346"/>
      <c r="S428" s="346"/>
      <c r="T428" s="346"/>
      <c r="U428" s="346"/>
      <c r="V428" s="346"/>
      <c r="W428" s="346"/>
      <c r="X428" s="346"/>
      <c r="Y428" s="346"/>
      <c r="Z428" s="346"/>
      <c r="AA428" s="346"/>
      <c r="AB428" s="346"/>
      <c r="AC428" s="346"/>
      <c r="AD428" s="346"/>
      <c r="AE428" s="346"/>
      <c r="AF428" s="346"/>
      <c r="AG428" s="346"/>
      <c r="AH428" s="346"/>
      <c r="AI428" s="346"/>
      <c r="AJ428" s="346"/>
      <c r="AK428" s="346"/>
      <c r="AL428" s="346"/>
      <c r="AM428" s="346"/>
      <c r="AN428" s="346"/>
      <c r="AO428" s="346"/>
      <c r="AP428" s="346"/>
      <c r="AQ428" s="346"/>
      <c r="AR428" s="346"/>
      <c r="AS428" s="346"/>
      <c r="AT428" s="346"/>
      <c r="AU428" s="346"/>
      <c r="AV428">
        <f t="shared" si="57"/>
        <v>0</v>
      </c>
      <c r="AW428" s="351">
        <f t="shared" si="50"/>
        <v>0</v>
      </c>
    </row>
    <row r="429" spans="1:49" ht="18.75" customHeight="1">
      <c r="A429" s="347" t="s">
        <v>113</v>
      </c>
      <c r="B429" s="347">
        <f t="shared" ref="B429:AV429" si="60">SUM(B372:B428)</f>
        <v>0</v>
      </c>
      <c r="C429" s="347">
        <f t="shared" si="60"/>
        <v>0</v>
      </c>
      <c r="D429" s="347">
        <f t="shared" si="60"/>
        <v>0</v>
      </c>
      <c r="E429" s="347">
        <f t="shared" si="60"/>
        <v>0</v>
      </c>
      <c r="F429" s="347">
        <f t="shared" si="60"/>
        <v>0</v>
      </c>
      <c r="G429" s="347">
        <f t="shared" si="60"/>
        <v>18</v>
      </c>
      <c r="H429" s="347">
        <f t="shared" si="60"/>
        <v>0</v>
      </c>
      <c r="I429" s="347">
        <f t="shared" si="60"/>
        <v>28</v>
      </c>
      <c r="J429" s="347">
        <f t="shared" si="60"/>
        <v>0</v>
      </c>
      <c r="K429" s="347">
        <f t="shared" si="60"/>
        <v>0</v>
      </c>
      <c r="L429" s="347">
        <f t="shared" si="60"/>
        <v>0</v>
      </c>
      <c r="M429" s="347">
        <f t="shared" si="60"/>
        <v>0</v>
      </c>
      <c r="N429" s="347">
        <f t="shared" si="60"/>
        <v>0</v>
      </c>
      <c r="O429" s="347">
        <f t="shared" si="60"/>
        <v>11</v>
      </c>
      <c r="P429" s="347">
        <f t="shared" si="60"/>
        <v>0</v>
      </c>
      <c r="Q429" s="347">
        <f t="shared" si="60"/>
        <v>0</v>
      </c>
      <c r="R429" s="347">
        <f t="shared" si="60"/>
        <v>2</v>
      </c>
      <c r="S429" s="347">
        <f t="shared" si="60"/>
        <v>283</v>
      </c>
      <c r="T429" s="347">
        <f t="shared" si="60"/>
        <v>12</v>
      </c>
      <c r="U429" s="347">
        <f t="shared" si="60"/>
        <v>12</v>
      </c>
      <c r="V429" s="347">
        <f t="shared" si="60"/>
        <v>39</v>
      </c>
      <c r="W429" s="347">
        <f t="shared" si="60"/>
        <v>2</v>
      </c>
      <c r="X429" s="347">
        <f t="shared" si="60"/>
        <v>0</v>
      </c>
      <c r="Y429" s="347">
        <f t="shared" si="60"/>
        <v>3</v>
      </c>
      <c r="Z429" s="347">
        <f t="shared" si="60"/>
        <v>3</v>
      </c>
      <c r="AA429" s="347">
        <f t="shared" si="60"/>
        <v>0</v>
      </c>
      <c r="AB429" s="347">
        <f t="shared" si="60"/>
        <v>0</v>
      </c>
      <c r="AC429" s="347">
        <f t="shared" si="60"/>
        <v>196</v>
      </c>
      <c r="AD429" s="347">
        <f t="shared" si="60"/>
        <v>192</v>
      </c>
      <c r="AE429" s="347">
        <f t="shared" si="60"/>
        <v>27</v>
      </c>
      <c r="AF429" s="347">
        <f t="shared" si="60"/>
        <v>0</v>
      </c>
      <c r="AG429" s="347">
        <f t="shared" si="60"/>
        <v>8</v>
      </c>
      <c r="AH429" s="347">
        <f t="shared" si="60"/>
        <v>60</v>
      </c>
      <c r="AI429" s="347">
        <f t="shared" si="60"/>
        <v>0</v>
      </c>
      <c r="AJ429" s="347">
        <f t="shared" si="60"/>
        <v>0</v>
      </c>
      <c r="AK429" s="347">
        <f t="shared" si="60"/>
        <v>0</v>
      </c>
      <c r="AL429" s="347">
        <f t="shared" si="60"/>
        <v>0</v>
      </c>
      <c r="AM429" s="347">
        <f t="shared" si="60"/>
        <v>0</v>
      </c>
      <c r="AN429" s="347">
        <f t="shared" si="60"/>
        <v>0</v>
      </c>
      <c r="AO429" s="347">
        <f t="shared" si="60"/>
        <v>30</v>
      </c>
      <c r="AP429" s="347">
        <f t="shared" si="60"/>
        <v>0</v>
      </c>
      <c r="AQ429" s="347">
        <f t="shared" si="60"/>
        <v>0</v>
      </c>
      <c r="AR429" s="347">
        <f t="shared" si="60"/>
        <v>4</v>
      </c>
      <c r="AS429" s="347">
        <f t="shared" si="60"/>
        <v>6</v>
      </c>
      <c r="AT429" s="347">
        <f t="shared" si="60"/>
        <v>28</v>
      </c>
      <c r="AU429" s="347">
        <f t="shared" si="60"/>
        <v>0</v>
      </c>
      <c r="AV429" s="347">
        <f t="shared" si="60"/>
        <v>964</v>
      </c>
      <c r="AW429" s="351"/>
    </row>
    <row r="430" spans="1:49" ht="18.75" customHeight="1" thickBot="1">
      <c r="A430" s="348" t="s">
        <v>174</v>
      </c>
      <c r="B430" s="348">
        <f t="shared" ref="B430:AU430" si="61">B429/$AV429</f>
        <v>0</v>
      </c>
      <c r="C430" s="348">
        <f t="shared" si="61"/>
        <v>0</v>
      </c>
      <c r="D430" s="348">
        <f t="shared" si="61"/>
        <v>0</v>
      </c>
      <c r="E430" s="348">
        <f t="shared" si="61"/>
        <v>0</v>
      </c>
      <c r="F430" s="348">
        <f t="shared" si="61"/>
        <v>0</v>
      </c>
      <c r="G430" s="348">
        <f t="shared" si="61"/>
        <v>1.8672199170124481E-2</v>
      </c>
      <c r="H430" s="348">
        <f t="shared" si="61"/>
        <v>0</v>
      </c>
      <c r="I430" s="348">
        <f t="shared" si="61"/>
        <v>2.9045643153526972E-2</v>
      </c>
      <c r="J430" s="348">
        <f t="shared" si="61"/>
        <v>0</v>
      </c>
      <c r="K430" s="348">
        <f t="shared" si="61"/>
        <v>0</v>
      </c>
      <c r="L430" s="348">
        <f t="shared" si="61"/>
        <v>0</v>
      </c>
      <c r="M430" s="348">
        <f t="shared" si="61"/>
        <v>0</v>
      </c>
      <c r="N430" s="348">
        <f t="shared" si="61"/>
        <v>0</v>
      </c>
      <c r="O430" s="348">
        <f t="shared" si="61"/>
        <v>1.1410788381742738E-2</v>
      </c>
      <c r="P430" s="348">
        <f t="shared" si="61"/>
        <v>0</v>
      </c>
      <c r="Q430" s="348">
        <f t="shared" si="61"/>
        <v>0</v>
      </c>
      <c r="R430" s="348">
        <f t="shared" si="61"/>
        <v>2.0746887966804979E-3</v>
      </c>
      <c r="S430" s="348">
        <f t="shared" si="61"/>
        <v>0.29356846473029047</v>
      </c>
      <c r="T430" s="348">
        <f t="shared" si="61"/>
        <v>1.2448132780082987E-2</v>
      </c>
      <c r="U430" s="348">
        <f t="shared" si="61"/>
        <v>1.2448132780082987E-2</v>
      </c>
      <c r="V430" s="348">
        <f t="shared" si="61"/>
        <v>4.0456431535269712E-2</v>
      </c>
      <c r="W430" s="348">
        <f t="shared" si="61"/>
        <v>2.0746887966804979E-3</v>
      </c>
      <c r="X430" s="348">
        <f t="shared" si="61"/>
        <v>0</v>
      </c>
      <c r="Y430" s="348">
        <f t="shared" si="61"/>
        <v>3.1120331950207467E-3</v>
      </c>
      <c r="Z430" s="348">
        <f t="shared" si="61"/>
        <v>3.1120331950207467E-3</v>
      </c>
      <c r="AA430" s="348">
        <f t="shared" si="61"/>
        <v>0</v>
      </c>
      <c r="AB430" s="348">
        <f t="shared" si="61"/>
        <v>0</v>
      </c>
      <c r="AC430" s="348">
        <f t="shared" si="61"/>
        <v>0.2033195020746888</v>
      </c>
      <c r="AD430" s="348">
        <f t="shared" si="61"/>
        <v>0.19917012448132779</v>
      </c>
      <c r="AE430" s="348">
        <f t="shared" si="61"/>
        <v>2.8008298755186723E-2</v>
      </c>
      <c r="AF430" s="348">
        <f t="shared" si="61"/>
        <v>0</v>
      </c>
      <c r="AG430" s="348">
        <f t="shared" si="61"/>
        <v>8.2987551867219917E-3</v>
      </c>
      <c r="AH430" s="348">
        <f t="shared" si="61"/>
        <v>6.2240663900414939E-2</v>
      </c>
      <c r="AI430" s="348">
        <f t="shared" si="61"/>
        <v>0</v>
      </c>
      <c r="AJ430" s="348">
        <f t="shared" si="61"/>
        <v>0</v>
      </c>
      <c r="AK430" s="348">
        <f t="shared" si="61"/>
        <v>0</v>
      </c>
      <c r="AL430" s="348">
        <f t="shared" si="61"/>
        <v>0</v>
      </c>
      <c r="AM430" s="348">
        <f t="shared" si="61"/>
        <v>0</v>
      </c>
      <c r="AN430" s="348">
        <f t="shared" si="61"/>
        <v>0</v>
      </c>
      <c r="AO430" s="348">
        <f t="shared" si="61"/>
        <v>3.1120331950207469E-2</v>
      </c>
      <c r="AP430" s="348">
        <f t="shared" si="61"/>
        <v>0</v>
      </c>
      <c r="AQ430" s="348">
        <f t="shared" si="61"/>
        <v>0</v>
      </c>
      <c r="AR430" s="348">
        <f t="shared" si="61"/>
        <v>4.1493775933609959E-3</v>
      </c>
      <c r="AS430" s="348">
        <f t="shared" si="61"/>
        <v>6.2240663900414933E-3</v>
      </c>
      <c r="AT430" s="348">
        <f t="shared" si="61"/>
        <v>2.9045643153526972E-2</v>
      </c>
      <c r="AU430" s="348">
        <f t="shared" si="61"/>
        <v>0</v>
      </c>
      <c r="AV430"/>
      <c r="AW430" s="351"/>
    </row>
    <row r="431" spans="1:49" ht="18.75" customHeight="1">
      <c r="A431" s="355"/>
    </row>
    <row r="432" spans="1:49" ht="18.75" customHeight="1">
      <c r="A432" s="355"/>
    </row>
    <row r="433" spans="1:49" ht="18.75" customHeight="1">
      <c r="A433" s="357">
        <v>46237</v>
      </c>
      <c r="B433" s="346"/>
      <c r="C433" s="346"/>
      <c r="D433" s="346"/>
      <c r="E433" s="346"/>
      <c r="F433" s="346"/>
      <c r="G433" s="346"/>
      <c r="H433" s="346"/>
      <c r="I433" s="346"/>
      <c r="J433" s="346"/>
      <c r="K433" s="346"/>
      <c r="L433" s="346"/>
      <c r="M433" s="346"/>
      <c r="N433" s="346"/>
      <c r="O433" s="346"/>
      <c r="P433" s="346"/>
      <c r="Q433" s="346"/>
      <c r="R433" s="346"/>
      <c r="S433" s="346">
        <f>4+3+4</f>
        <v>11</v>
      </c>
      <c r="T433" s="346"/>
      <c r="U433" s="346"/>
      <c r="V433" s="346"/>
      <c r="W433" s="346"/>
      <c r="X433" s="346"/>
      <c r="Y433" s="346"/>
      <c r="Z433" s="346"/>
      <c r="AA433" s="346"/>
      <c r="AB433" s="346"/>
      <c r="AC433" s="346">
        <f>3+3</f>
        <v>6</v>
      </c>
      <c r="AD433" s="346">
        <f>3+3+2</f>
        <v>8</v>
      </c>
      <c r="AE433" s="346"/>
      <c r="AF433" s="346"/>
      <c r="AG433" s="346"/>
      <c r="AH433" s="346"/>
      <c r="AI433" s="346"/>
      <c r="AJ433" s="346"/>
      <c r="AK433" s="346"/>
      <c r="AL433" s="346"/>
      <c r="AM433" s="346"/>
      <c r="AN433" s="346"/>
      <c r="AO433" s="346"/>
      <c r="AP433" s="346"/>
      <c r="AQ433" s="346"/>
      <c r="AR433" s="346"/>
      <c r="AS433" s="346"/>
      <c r="AT433" s="346"/>
      <c r="AU433" s="346"/>
      <c r="AV433">
        <f t="shared" ref="AV433:AV463" si="62">SUM(B433:AU433)</f>
        <v>25</v>
      </c>
      <c r="AW433" s="351">
        <f>AV433/$AV$368</f>
        <v>6.7024128686327081E-2</v>
      </c>
    </row>
    <row r="434" spans="1:49" ht="18.75" customHeight="1">
      <c r="A434" s="359">
        <v>46238</v>
      </c>
      <c r="B434"/>
      <c r="C434"/>
      <c r="D434"/>
      <c r="E434"/>
      <c r="F434"/>
      <c r="G434"/>
      <c r="H434"/>
      <c r="I434"/>
      <c r="J434"/>
      <c r="K434"/>
      <c r="L434"/>
      <c r="M434"/>
      <c r="N434"/>
      <c r="O434"/>
      <c r="P434"/>
      <c r="Q434"/>
      <c r="R434"/>
      <c r="S434">
        <f>2+3+3+1+1</f>
        <v>10</v>
      </c>
      <c r="T434"/>
      <c r="U434"/>
      <c r="V434"/>
      <c r="W434"/>
      <c r="X434"/>
      <c r="Y434"/>
      <c r="Z434"/>
      <c r="AA434"/>
      <c r="AB434"/>
      <c r="AC434"/>
      <c r="AD434">
        <f>5</f>
        <v>5</v>
      </c>
      <c r="AE434"/>
      <c r="AF434"/>
      <c r="AG434"/>
      <c r="AH434"/>
      <c r="AI434"/>
      <c r="AJ434"/>
      <c r="AK434"/>
      <c r="AL434"/>
      <c r="AM434"/>
      <c r="AN434"/>
      <c r="AO434"/>
      <c r="AP434"/>
      <c r="AQ434"/>
      <c r="AR434"/>
      <c r="AS434"/>
      <c r="AT434"/>
      <c r="AU434"/>
      <c r="AV434">
        <f t="shared" si="62"/>
        <v>15</v>
      </c>
      <c r="AW434" s="360">
        <f t="shared" ref="AW434:AW488" si="63">AV434/$AV$368</f>
        <v>4.0214477211796246E-2</v>
      </c>
    </row>
    <row r="435" spans="1:49" ht="18.75" customHeight="1">
      <c r="A435" s="357">
        <v>46239</v>
      </c>
      <c r="B435" s="346"/>
      <c r="C435" s="346"/>
      <c r="D435" s="346"/>
      <c r="E435" s="346"/>
      <c r="F435" s="346"/>
      <c r="G435" s="346"/>
      <c r="H435" s="346"/>
      <c r="I435" s="346"/>
      <c r="J435" s="346"/>
      <c r="K435" s="346"/>
      <c r="L435" s="346"/>
      <c r="M435" s="346"/>
      <c r="N435" s="346"/>
      <c r="O435" s="346"/>
      <c r="P435" s="346"/>
      <c r="Q435" s="346"/>
      <c r="R435" s="346"/>
      <c r="S435" s="346">
        <f>2+2</f>
        <v>4</v>
      </c>
      <c r="T435" s="346"/>
      <c r="U435" s="346"/>
      <c r="V435" s="346"/>
      <c r="W435" s="346"/>
      <c r="X435" s="346"/>
      <c r="Y435" s="346"/>
      <c r="Z435" s="346"/>
      <c r="AA435" s="346"/>
      <c r="AB435" s="346"/>
      <c r="AC435" s="346"/>
      <c r="AD435" s="346"/>
      <c r="AE435" s="346"/>
      <c r="AF435" s="346"/>
      <c r="AG435" s="346"/>
      <c r="AH435" s="346"/>
      <c r="AI435" s="346"/>
      <c r="AJ435" s="346"/>
      <c r="AK435" s="346"/>
      <c r="AL435" s="346"/>
      <c r="AM435" s="346"/>
      <c r="AN435" s="346"/>
      <c r="AO435" s="346"/>
      <c r="AP435" s="346"/>
      <c r="AQ435" s="346"/>
      <c r="AR435" s="346"/>
      <c r="AS435" s="346"/>
      <c r="AT435" s="346"/>
      <c r="AU435" s="346"/>
      <c r="AV435">
        <f t="shared" si="62"/>
        <v>4</v>
      </c>
      <c r="AW435" s="351">
        <f t="shared" si="63"/>
        <v>1.0723860589812333E-2</v>
      </c>
    </row>
    <row r="436" spans="1:49" ht="18.75" customHeight="1">
      <c r="A436" s="357">
        <v>46239</v>
      </c>
      <c r="B436"/>
      <c r="C436"/>
      <c r="D436"/>
      <c r="E436"/>
      <c r="F436"/>
      <c r="G436"/>
      <c r="H436"/>
      <c r="I436"/>
      <c r="J436"/>
      <c r="K436"/>
      <c r="L436"/>
      <c r="M436"/>
      <c r="N436"/>
      <c r="O436"/>
      <c r="P436"/>
      <c r="Q436"/>
      <c r="R436"/>
      <c r="S436">
        <f>3</f>
        <v>3</v>
      </c>
      <c r="T436"/>
      <c r="U436"/>
      <c r="V436"/>
      <c r="W436"/>
      <c r="X436"/>
      <c r="Y436"/>
      <c r="Z436"/>
      <c r="AA436"/>
      <c r="AB436"/>
      <c r="AC436"/>
      <c r="AD436">
        <f>7+25</f>
        <v>32</v>
      </c>
      <c r="AE436"/>
      <c r="AF436"/>
      <c r="AG436"/>
      <c r="AH436"/>
      <c r="AI436"/>
      <c r="AJ436"/>
      <c r="AK436"/>
      <c r="AL436"/>
      <c r="AM436"/>
      <c r="AN436"/>
      <c r="AO436"/>
      <c r="AP436"/>
      <c r="AQ436"/>
      <c r="AR436"/>
      <c r="AS436"/>
      <c r="AT436"/>
      <c r="AU436"/>
      <c r="AV436">
        <f t="shared" si="62"/>
        <v>35</v>
      </c>
      <c r="AW436" s="351">
        <f t="shared" si="63"/>
        <v>9.3833780160857902E-2</v>
      </c>
    </row>
    <row r="437" spans="1:49" ht="18.75" customHeight="1">
      <c r="A437" s="357">
        <v>46239</v>
      </c>
      <c r="B437" s="346"/>
      <c r="C437" s="346"/>
      <c r="D437" s="346"/>
      <c r="E437" s="346"/>
      <c r="F437" s="346"/>
      <c r="G437" s="346"/>
      <c r="H437" s="346"/>
      <c r="I437" s="346"/>
      <c r="J437" s="346"/>
      <c r="K437" s="346"/>
      <c r="L437" s="346"/>
      <c r="M437" s="346"/>
      <c r="N437" s="346"/>
      <c r="O437" s="346"/>
      <c r="P437" s="346"/>
      <c r="Q437" s="346"/>
      <c r="R437" s="346"/>
      <c r="S437" s="346"/>
      <c r="T437" s="346"/>
      <c r="U437" s="346"/>
      <c r="V437" s="346"/>
      <c r="W437" s="346"/>
      <c r="X437" s="346"/>
      <c r="Y437" s="346"/>
      <c r="Z437" s="346"/>
      <c r="AA437" s="346"/>
      <c r="AB437" s="346"/>
      <c r="AC437" s="346"/>
      <c r="AD437" s="346"/>
      <c r="AE437" s="346"/>
      <c r="AF437" s="346"/>
      <c r="AG437" s="346"/>
      <c r="AH437" s="346"/>
      <c r="AI437" s="346"/>
      <c r="AJ437" s="346"/>
      <c r="AK437" s="346"/>
      <c r="AL437" s="346"/>
      <c r="AM437" s="346"/>
      <c r="AN437" s="346"/>
      <c r="AO437" s="346"/>
      <c r="AP437" s="346"/>
      <c r="AQ437" s="346"/>
      <c r="AR437" s="346"/>
      <c r="AS437" s="346"/>
      <c r="AT437" s="346"/>
      <c r="AU437" s="346"/>
      <c r="AV437">
        <f t="shared" si="62"/>
        <v>0</v>
      </c>
      <c r="AW437" s="351">
        <f t="shared" si="63"/>
        <v>0</v>
      </c>
    </row>
    <row r="438" spans="1:49" ht="18.75" customHeight="1">
      <c r="A438" s="357">
        <v>46240</v>
      </c>
      <c r="B438"/>
      <c r="C438"/>
      <c r="D438"/>
      <c r="E438"/>
      <c r="F438"/>
      <c r="G438"/>
      <c r="H438"/>
      <c r="I438"/>
      <c r="J438"/>
      <c r="K438"/>
      <c r="L438"/>
      <c r="M438">
        <f>1+1+3</f>
        <v>5</v>
      </c>
      <c r="N438"/>
      <c r="O438"/>
      <c r="P438"/>
      <c r="Q438"/>
      <c r="R438"/>
      <c r="S438">
        <f>1+2+1+2</f>
        <v>6</v>
      </c>
      <c r="T438"/>
      <c r="U438"/>
      <c r="V438"/>
      <c r="W438"/>
      <c r="X438"/>
      <c r="Y438"/>
      <c r="Z438"/>
      <c r="AA438"/>
      <c r="AB438"/>
      <c r="AC438"/>
      <c r="AD438">
        <f>3+5</f>
        <v>8</v>
      </c>
      <c r="AE438"/>
      <c r="AF438"/>
      <c r="AG438"/>
      <c r="AH438"/>
      <c r="AI438"/>
      <c r="AJ438"/>
      <c r="AK438"/>
      <c r="AL438"/>
      <c r="AM438"/>
      <c r="AN438"/>
      <c r="AO438"/>
      <c r="AP438"/>
      <c r="AQ438"/>
      <c r="AR438"/>
      <c r="AS438"/>
      <c r="AT438"/>
      <c r="AU438"/>
      <c r="AV438">
        <f t="shared" si="62"/>
        <v>19</v>
      </c>
      <c r="AW438" s="351">
        <f t="shared" si="63"/>
        <v>5.0938337801608578E-2</v>
      </c>
    </row>
    <row r="439" spans="1:49" ht="18.75" customHeight="1">
      <c r="A439" s="357">
        <v>46241</v>
      </c>
      <c r="B439" s="346"/>
      <c r="C439" s="346"/>
      <c r="D439" s="346"/>
      <c r="E439" s="346"/>
      <c r="F439" s="346"/>
      <c r="G439" s="346"/>
      <c r="H439" s="346"/>
      <c r="I439" s="346"/>
      <c r="J439" s="346"/>
      <c r="K439" s="346"/>
      <c r="L439" s="346"/>
      <c r="M439" s="346"/>
      <c r="N439" s="346"/>
      <c r="O439" s="346"/>
      <c r="P439" s="346"/>
      <c r="Q439" s="346"/>
      <c r="R439" s="346"/>
      <c r="S439" s="346">
        <f>2+2+2+3+3+3</f>
        <v>15</v>
      </c>
      <c r="T439" s="346"/>
      <c r="U439" s="346"/>
      <c r="V439" s="346"/>
      <c r="W439" s="346"/>
      <c r="X439" s="346"/>
      <c r="Y439" s="346"/>
      <c r="Z439" s="346"/>
      <c r="AA439" s="346"/>
      <c r="AB439" s="346"/>
      <c r="AC439" s="346"/>
      <c r="AD439" s="346">
        <v>5</v>
      </c>
      <c r="AE439" s="346"/>
      <c r="AF439" s="346"/>
      <c r="AG439" s="346"/>
      <c r="AH439" s="346"/>
      <c r="AI439" s="346"/>
      <c r="AJ439" s="346"/>
      <c r="AK439" s="346"/>
      <c r="AL439" s="346"/>
      <c r="AM439" s="346"/>
      <c r="AN439" s="346"/>
      <c r="AO439" s="346"/>
      <c r="AP439" s="346"/>
      <c r="AQ439" s="346"/>
      <c r="AR439" s="346"/>
      <c r="AS439" s="346"/>
      <c r="AT439" s="346"/>
      <c r="AU439" s="346"/>
      <c r="AV439">
        <f t="shared" si="62"/>
        <v>20</v>
      </c>
      <c r="AW439" s="351">
        <f t="shared" si="63"/>
        <v>5.3619302949061663E-2</v>
      </c>
    </row>
    <row r="440" spans="1:49" ht="18.75" customHeight="1">
      <c r="A440" s="357">
        <v>46241</v>
      </c>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c r="AK440"/>
      <c r="AL440"/>
      <c r="AM440"/>
      <c r="AN440"/>
      <c r="AO440"/>
      <c r="AP440"/>
      <c r="AQ440"/>
      <c r="AR440"/>
      <c r="AS440"/>
      <c r="AT440"/>
      <c r="AU440"/>
      <c r="AV440">
        <f t="shared" si="62"/>
        <v>0</v>
      </c>
      <c r="AW440" s="351">
        <f t="shared" si="63"/>
        <v>0</v>
      </c>
    </row>
    <row r="441" spans="1:49" ht="18.75" customHeight="1">
      <c r="A441" s="357">
        <v>46246</v>
      </c>
      <c r="B441" s="346"/>
      <c r="C441" s="346"/>
      <c r="D441" s="346"/>
      <c r="E441" s="346"/>
      <c r="F441" s="346"/>
      <c r="G441" s="346"/>
      <c r="H441" s="346"/>
      <c r="I441" s="346"/>
      <c r="J441" s="346"/>
      <c r="K441" s="346"/>
      <c r="L441" s="346"/>
      <c r="M441" s="346"/>
      <c r="N441" s="346"/>
      <c r="O441" s="346"/>
      <c r="P441" s="346"/>
      <c r="Q441" s="346"/>
      <c r="R441" s="346">
        <f>2</f>
        <v>2</v>
      </c>
      <c r="S441" s="346">
        <f>3</f>
        <v>3</v>
      </c>
      <c r="T441" s="346"/>
      <c r="U441" s="346"/>
      <c r="V441" s="346"/>
      <c r="W441" s="346"/>
      <c r="X441" s="346"/>
      <c r="Y441" s="346"/>
      <c r="Z441" s="346"/>
      <c r="AA441" s="346"/>
      <c r="AB441" s="346"/>
      <c r="AC441" s="346">
        <f>3</f>
        <v>3</v>
      </c>
      <c r="AD441" s="346">
        <v>5</v>
      </c>
      <c r="AE441" s="346"/>
      <c r="AF441" s="346"/>
      <c r="AG441" s="346"/>
      <c r="AH441" s="346"/>
      <c r="AI441" s="346"/>
      <c r="AJ441" s="346"/>
      <c r="AK441" s="346"/>
      <c r="AL441" s="346"/>
      <c r="AM441" s="346"/>
      <c r="AN441" s="346"/>
      <c r="AO441" s="346"/>
      <c r="AP441" s="346"/>
      <c r="AQ441" s="346"/>
      <c r="AR441" s="346"/>
      <c r="AS441" s="346"/>
      <c r="AT441" s="346"/>
      <c r="AU441" s="346"/>
      <c r="AV441">
        <f t="shared" si="62"/>
        <v>13</v>
      </c>
      <c r="AW441" s="351">
        <f t="shared" si="63"/>
        <v>3.4852546916890083E-2</v>
      </c>
    </row>
    <row r="442" spans="1:49" ht="18.75" customHeight="1">
      <c r="A442" s="357">
        <v>46247</v>
      </c>
      <c r="B442"/>
      <c r="C442"/>
      <c r="D442"/>
      <c r="E442"/>
      <c r="F442"/>
      <c r="G442"/>
      <c r="H442"/>
      <c r="I442"/>
      <c r="J442"/>
      <c r="K442"/>
      <c r="L442"/>
      <c r="M442"/>
      <c r="N442"/>
      <c r="O442"/>
      <c r="P442"/>
      <c r="Q442"/>
      <c r="R442">
        <v>2</v>
      </c>
      <c r="S442" s="70">
        <f>1+1</f>
        <v>2</v>
      </c>
      <c r="T442"/>
      <c r="U442"/>
      <c r="V442"/>
      <c r="W442"/>
      <c r="X442"/>
      <c r="Y442"/>
      <c r="Z442"/>
      <c r="AA442"/>
      <c r="AB442"/>
      <c r="AC442"/>
      <c r="AD442">
        <v>1</v>
      </c>
      <c r="AE442"/>
      <c r="AF442"/>
      <c r="AG442"/>
      <c r="AH442"/>
      <c r="AI442"/>
      <c r="AJ442"/>
      <c r="AK442"/>
      <c r="AL442"/>
      <c r="AM442"/>
      <c r="AN442"/>
      <c r="AO442"/>
      <c r="AP442"/>
      <c r="AQ442"/>
      <c r="AR442"/>
      <c r="AS442"/>
      <c r="AT442"/>
      <c r="AU442"/>
      <c r="AV442">
        <f t="shared" si="62"/>
        <v>5</v>
      </c>
      <c r="AW442" s="351">
        <f t="shared" si="63"/>
        <v>1.3404825737265416E-2</v>
      </c>
    </row>
    <row r="443" spans="1:49" ht="18.75" customHeight="1">
      <c r="A443" s="357">
        <v>46247</v>
      </c>
      <c r="B443" s="346"/>
      <c r="C443" s="346"/>
      <c r="D443" s="346"/>
      <c r="E443" s="346"/>
      <c r="F443" s="346"/>
      <c r="G443" s="346"/>
      <c r="H443" s="346"/>
      <c r="I443" s="346"/>
      <c r="J443" s="346"/>
      <c r="K443" s="346"/>
      <c r="L443" s="346"/>
      <c r="M443" s="346">
        <f>3+2</f>
        <v>5</v>
      </c>
      <c r="N443" s="346"/>
      <c r="O443" s="346"/>
      <c r="P443" s="346">
        <v>3</v>
      </c>
      <c r="Q443" s="346"/>
      <c r="R443" s="346">
        <f>1</f>
        <v>1</v>
      </c>
      <c r="S443" s="346">
        <f>2+1+1</f>
        <v>4</v>
      </c>
      <c r="T443" s="346"/>
      <c r="U443" s="346"/>
      <c r="V443" s="346"/>
      <c r="W443" s="346"/>
      <c r="X443" s="346"/>
      <c r="Y443" s="346"/>
      <c r="Z443" s="346"/>
      <c r="AA443" s="346"/>
      <c r="AB443" s="346"/>
      <c r="AC443" s="346"/>
      <c r="AD443" s="346"/>
      <c r="AE443" s="346"/>
      <c r="AF443" s="346"/>
      <c r="AG443" s="346"/>
      <c r="AH443" s="346"/>
      <c r="AI443" s="346"/>
      <c r="AJ443" s="346"/>
      <c r="AK443" s="346"/>
      <c r="AL443" s="346"/>
      <c r="AM443" s="346"/>
      <c r="AN443" s="346"/>
      <c r="AO443" s="346"/>
      <c r="AP443" s="346"/>
      <c r="AQ443" s="346"/>
      <c r="AR443" s="346"/>
      <c r="AS443" s="346"/>
      <c r="AT443" s="346"/>
      <c r="AU443" s="346"/>
      <c r="AV443">
        <f t="shared" si="62"/>
        <v>13</v>
      </c>
      <c r="AW443" s="351">
        <f t="shared" si="63"/>
        <v>3.4852546916890083E-2</v>
      </c>
    </row>
    <row r="444" spans="1:49" ht="18.75" customHeight="1">
      <c r="A444" s="357">
        <v>46247</v>
      </c>
      <c r="B444"/>
      <c r="C444"/>
      <c r="D444"/>
      <c r="E444"/>
      <c r="F444"/>
      <c r="G444"/>
      <c r="H444"/>
      <c r="I444"/>
      <c r="J444"/>
      <c r="K444"/>
      <c r="L444"/>
      <c r="M444"/>
      <c r="N444"/>
      <c r="O444"/>
      <c r="P444"/>
      <c r="Q444"/>
      <c r="R444">
        <f>2+3+4</f>
        <v>9</v>
      </c>
      <c r="S444">
        <f>3+2</f>
        <v>5</v>
      </c>
      <c r="T444"/>
      <c r="U444"/>
      <c r="V444"/>
      <c r="W444"/>
      <c r="X444"/>
      <c r="Y444"/>
      <c r="Z444"/>
      <c r="AA444"/>
      <c r="AB444"/>
      <c r="AC444"/>
      <c r="AD444">
        <f>5</f>
        <v>5</v>
      </c>
      <c r="AE444"/>
      <c r="AF444"/>
      <c r="AG444"/>
      <c r="AH444"/>
      <c r="AI444"/>
      <c r="AJ444"/>
      <c r="AK444"/>
      <c r="AL444"/>
      <c r="AM444"/>
      <c r="AN444"/>
      <c r="AO444"/>
      <c r="AP444"/>
      <c r="AQ444"/>
      <c r="AR444"/>
      <c r="AS444"/>
      <c r="AT444"/>
      <c r="AU444"/>
      <c r="AV444">
        <f t="shared" si="62"/>
        <v>19</v>
      </c>
      <c r="AW444" s="351">
        <f t="shared" si="63"/>
        <v>5.0938337801608578E-2</v>
      </c>
    </row>
    <row r="445" spans="1:49" ht="18.75" customHeight="1">
      <c r="A445" s="357">
        <v>46248</v>
      </c>
      <c r="B445" s="346"/>
      <c r="C445" s="346"/>
      <c r="D445" s="346"/>
      <c r="E445" s="346"/>
      <c r="F445" s="346"/>
      <c r="G445" s="346"/>
      <c r="H445" s="346"/>
      <c r="I445" s="346"/>
      <c r="J445" s="346"/>
      <c r="K445" s="346"/>
      <c r="L445" s="346"/>
      <c r="M445" s="346"/>
      <c r="N445" s="346"/>
      <c r="O445" s="346"/>
      <c r="P445" s="346">
        <v>3</v>
      </c>
      <c r="Q445" s="346"/>
      <c r="R445" s="346"/>
      <c r="S445" s="346">
        <f>2+2+3+2+2+2+2+2</f>
        <v>17</v>
      </c>
      <c r="T445" s="346"/>
      <c r="U445" s="346"/>
      <c r="V445" s="346"/>
      <c r="W445" s="346"/>
      <c r="X445" s="346"/>
      <c r="Y445" s="346"/>
      <c r="Z445" s="346"/>
      <c r="AA445" s="346"/>
      <c r="AB445" s="346"/>
      <c r="AC445" s="346"/>
      <c r="AD445" s="346">
        <f>2+2</f>
        <v>4</v>
      </c>
      <c r="AE445" s="346"/>
      <c r="AF445" s="346"/>
      <c r="AG445" s="346"/>
      <c r="AH445" s="346"/>
      <c r="AI445" s="346"/>
      <c r="AJ445" s="346"/>
      <c r="AK445" s="346"/>
      <c r="AL445" s="346"/>
      <c r="AM445" s="346"/>
      <c r="AN445" s="346"/>
      <c r="AO445" s="346"/>
      <c r="AP445" s="346"/>
      <c r="AQ445" s="346"/>
      <c r="AR445" s="346"/>
      <c r="AS445" s="346"/>
      <c r="AT445" s="346"/>
      <c r="AU445" s="346"/>
      <c r="AV445">
        <f t="shared" si="62"/>
        <v>24</v>
      </c>
      <c r="AW445" s="351">
        <f t="shared" si="63"/>
        <v>6.4343163538873996E-2</v>
      </c>
    </row>
    <row r="446" spans="1:49" ht="18.75" customHeight="1">
      <c r="A446" s="357">
        <v>46248</v>
      </c>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c r="AK446"/>
      <c r="AL446"/>
      <c r="AM446"/>
      <c r="AN446"/>
      <c r="AO446"/>
      <c r="AP446"/>
      <c r="AQ446"/>
      <c r="AR446"/>
      <c r="AS446"/>
      <c r="AT446"/>
      <c r="AU446"/>
      <c r="AV446">
        <f t="shared" si="62"/>
        <v>0</v>
      </c>
      <c r="AW446" s="351">
        <f t="shared" si="63"/>
        <v>0</v>
      </c>
    </row>
    <row r="447" spans="1:49" ht="18.75" customHeight="1">
      <c r="A447" s="357">
        <v>46251</v>
      </c>
      <c r="B447" s="346"/>
      <c r="C447" s="346"/>
      <c r="D447" s="346"/>
      <c r="E447" s="346"/>
      <c r="F447" s="346"/>
      <c r="G447" s="346"/>
      <c r="H447" s="346"/>
      <c r="I447" s="346"/>
      <c r="J447" s="346"/>
      <c r="K447" s="346"/>
      <c r="L447" s="346"/>
      <c r="M447" s="346"/>
      <c r="N447" s="346"/>
      <c r="O447" s="346"/>
      <c r="P447" s="346"/>
      <c r="Q447" s="346"/>
      <c r="R447" s="346">
        <f>2</f>
        <v>2</v>
      </c>
      <c r="S447" s="346">
        <f>2</f>
        <v>2</v>
      </c>
      <c r="T447" s="346"/>
      <c r="U447" s="346"/>
      <c r="V447" s="346"/>
      <c r="W447" s="346"/>
      <c r="X447" s="346"/>
      <c r="Y447" s="346"/>
      <c r="Z447" s="346"/>
      <c r="AA447" s="346"/>
      <c r="AB447" s="346"/>
      <c r="AC447" s="346">
        <f>5</f>
        <v>5</v>
      </c>
      <c r="AD447" s="346">
        <f>3</f>
        <v>3</v>
      </c>
      <c r="AE447" s="346"/>
      <c r="AF447" s="346"/>
      <c r="AG447" s="346"/>
      <c r="AH447" s="346"/>
      <c r="AI447" s="346"/>
      <c r="AJ447" s="346"/>
      <c r="AK447" s="346"/>
      <c r="AL447" s="346"/>
      <c r="AM447" s="346"/>
      <c r="AN447" s="346"/>
      <c r="AO447" s="346"/>
      <c r="AP447" s="346"/>
      <c r="AQ447" s="346">
        <v>12</v>
      </c>
      <c r="AR447" s="346"/>
      <c r="AS447" s="346"/>
      <c r="AT447" s="77">
        <v>26</v>
      </c>
      <c r="AU447" s="346"/>
      <c r="AV447">
        <f t="shared" si="62"/>
        <v>50</v>
      </c>
      <c r="AW447" s="351">
        <f t="shared" si="63"/>
        <v>0.13404825737265416</v>
      </c>
    </row>
    <row r="448" spans="1:49" ht="18.75" customHeight="1">
      <c r="A448" s="357">
        <v>46251</v>
      </c>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c r="AK448"/>
      <c r="AL448"/>
      <c r="AM448"/>
      <c r="AN448"/>
      <c r="AO448"/>
      <c r="AP448"/>
      <c r="AQ448"/>
      <c r="AR448"/>
      <c r="AS448"/>
      <c r="AT448"/>
      <c r="AU448"/>
      <c r="AV448">
        <f t="shared" si="62"/>
        <v>0</v>
      </c>
      <c r="AW448" s="351">
        <f t="shared" si="63"/>
        <v>0</v>
      </c>
    </row>
    <row r="449" spans="1:49" ht="18.75" customHeight="1">
      <c r="A449" s="357">
        <v>46252</v>
      </c>
      <c r="B449" s="346"/>
      <c r="C449" s="346"/>
      <c r="D449" s="346"/>
      <c r="E449" s="346"/>
      <c r="F449" s="346"/>
      <c r="G449" s="346"/>
      <c r="H449" s="346"/>
      <c r="I449" s="346"/>
      <c r="J449" s="346"/>
      <c r="K449" s="346"/>
      <c r="L449" s="346"/>
      <c r="M449" s="346"/>
      <c r="N449" s="346"/>
      <c r="O449" s="346"/>
      <c r="P449" s="346"/>
      <c r="Q449" s="346"/>
      <c r="R449" s="346"/>
      <c r="S449" s="346"/>
      <c r="T449" s="346"/>
      <c r="U449" s="346"/>
      <c r="V449" s="346">
        <f>10</f>
        <v>10</v>
      </c>
      <c r="W449" s="346"/>
      <c r="X449" s="346"/>
      <c r="Y449" s="346"/>
      <c r="Z449" s="346"/>
      <c r="AA449" s="346"/>
      <c r="AB449" s="346"/>
      <c r="AC449" s="346"/>
      <c r="AD449" s="346"/>
      <c r="AE449" s="346"/>
      <c r="AF449" s="346"/>
      <c r="AG449" s="346"/>
      <c r="AH449" s="346"/>
      <c r="AI449" s="346"/>
      <c r="AJ449" s="346"/>
      <c r="AK449" s="346"/>
      <c r="AL449" s="346"/>
      <c r="AM449" s="346"/>
      <c r="AN449" s="346"/>
      <c r="AO449" s="346"/>
      <c r="AP449" s="346"/>
      <c r="AQ449" s="346"/>
      <c r="AR449" s="346"/>
      <c r="AS449" s="346"/>
      <c r="AT449" s="346"/>
      <c r="AU449" s="346"/>
      <c r="AV449">
        <f t="shared" si="62"/>
        <v>10</v>
      </c>
      <c r="AW449" s="351">
        <f t="shared" si="63"/>
        <v>2.6809651474530832E-2</v>
      </c>
    </row>
    <row r="450" spans="1:49" ht="18.75" customHeight="1">
      <c r="A450" s="357">
        <v>46252</v>
      </c>
      <c r="B450"/>
      <c r="C450"/>
      <c r="D450"/>
      <c r="E450"/>
      <c r="F450"/>
      <c r="G450"/>
      <c r="H450"/>
      <c r="I450"/>
      <c r="J450"/>
      <c r="K450"/>
      <c r="L450"/>
      <c r="M450"/>
      <c r="N450"/>
      <c r="O450"/>
      <c r="P450"/>
      <c r="Q450"/>
      <c r="R450"/>
      <c r="S450">
        <f>3+5+2+2+2+2+2+2+2</f>
        <v>22</v>
      </c>
      <c r="T450"/>
      <c r="U450"/>
      <c r="V450"/>
      <c r="W450"/>
      <c r="X450"/>
      <c r="Y450"/>
      <c r="Z450"/>
      <c r="AA450"/>
      <c r="AB450"/>
      <c r="AC450"/>
      <c r="AD450">
        <f>2</f>
        <v>2</v>
      </c>
      <c r="AE450"/>
      <c r="AF450"/>
      <c r="AG450"/>
      <c r="AH450"/>
      <c r="AI450"/>
      <c r="AJ450"/>
      <c r="AK450"/>
      <c r="AL450"/>
      <c r="AM450"/>
      <c r="AN450"/>
      <c r="AO450"/>
      <c r="AP450"/>
      <c r="AQ450"/>
      <c r="AR450"/>
      <c r="AS450"/>
      <c r="AT450"/>
      <c r="AU450"/>
      <c r="AV450">
        <f t="shared" si="62"/>
        <v>24</v>
      </c>
      <c r="AW450" s="351">
        <f t="shared" si="63"/>
        <v>6.4343163538873996E-2</v>
      </c>
    </row>
    <row r="451" spans="1:49" ht="18.75" customHeight="1">
      <c r="A451" s="357">
        <v>46253</v>
      </c>
      <c r="B451" s="346"/>
      <c r="C451" s="346"/>
      <c r="D451" s="346"/>
      <c r="E451" s="346"/>
      <c r="F451" s="346"/>
      <c r="G451" s="346"/>
      <c r="H451" s="346"/>
      <c r="I451" s="346"/>
      <c r="J451" s="346"/>
      <c r="K451" s="346"/>
      <c r="L451" s="346"/>
      <c r="M451" s="346"/>
      <c r="N451" s="346"/>
      <c r="O451" s="346"/>
      <c r="P451" s="346"/>
      <c r="Q451" s="346"/>
      <c r="R451" s="346">
        <f>2</f>
        <v>2</v>
      </c>
      <c r="S451" s="346">
        <f>2+2+1</f>
        <v>5</v>
      </c>
      <c r="T451" s="346"/>
      <c r="U451" s="346"/>
      <c r="V451" s="346"/>
      <c r="W451" s="346"/>
      <c r="X451" s="346"/>
      <c r="Y451" s="346"/>
      <c r="Z451" s="346"/>
      <c r="AA451" s="346"/>
      <c r="AB451" s="346"/>
      <c r="AC451" s="346"/>
      <c r="AD451" s="346">
        <f>3</f>
        <v>3</v>
      </c>
      <c r="AE451" s="346"/>
      <c r="AF451" s="346"/>
      <c r="AG451" s="346"/>
      <c r="AH451" s="346"/>
      <c r="AI451" s="346"/>
      <c r="AJ451" s="346"/>
      <c r="AK451" s="346"/>
      <c r="AL451" s="346"/>
      <c r="AM451" s="346"/>
      <c r="AN451" s="346"/>
      <c r="AO451" s="346"/>
      <c r="AP451" s="346"/>
      <c r="AQ451" s="346"/>
      <c r="AR451" s="346"/>
      <c r="AS451" s="346"/>
      <c r="AT451" s="346"/>
      <c r="AU451" s="346"/>
      <c r="AV451">
        <f t="shared" si="62"/>
        <v>10</v>
      </c>
      <c r="AW451" s="351">
        <f t="shared" si="63"/>
        <v>2.6809651474530832E-2</v>
      </c>
    </row>
    <row r="452" spans="1:49" ht="18.75" customHeight="1">
      <c r="A452" s="357">
        <v>46253</v>
      </c>
      <c r="B452"/>
      <c r="C452"/>
      <c r="D452"/>
      <c r="E452"/>
      <c r="F452"/>
      <c r="G452"/>
      <c r="H452"/>
      <c r="I452"/>
      <c r="J452"/>
      <c r="K452"/>
      <c r="L452"/>
      <c r="M452"/>
      <c r="N452">
        <v>7</v>
      </c>
      <c r="O452"/>
      <c r="P452"/>
      <c r="Q452"/>
      <c r="R452">
        <f>2</f>
        <v>2</v>
      </c>
      <c r="S452">
        <f>2</f>
        <v>2</v>
      </c>
      <c r="T452"/>
      <c r="U452"/>
      <c r="V452"/>
      <c r="W452"/>
      <c r="X452"/>
      <c r="Y452"/>
      <c r="Z452"/>
      <c r="AA452"/>
      <c r="AB452"/>
      <c r="AC452"/>
      <c r="AD452"/>
      <c r="AE452"/>
      <c r="AF452"/>
      <c r="AG452"/>
      <c r="AH452"/>
      <c r="AI452"/>
      <c r="AJ452"/>
      <c r="AK452"/>
      <c r="AL452"/>
      <c r="AM452"/>
      <c r="AN452"/>
      <c r="AO452"/>
      <c r="AP452"/>
      <c r="AQ452"/>
      <c r="AR452"/>
      <c r="AS452"/>
      <c r="AT452"/>
      <c r="AU452"/>
      <c r="AV452">
        <f t="shared" si="62"/>
        <v>11</v>
      </c>
      <c r="AW452" s="351">
        <f t="shared" si="63"/>
        <v>2.9490616621983913E-2</v>
      </c>
    </row>
    <row r="453" spans="1:49" ht="18.75" customHeight="1">
      <c r="A453" s="357">
        <v>46254</v>
      </c>
      <c r="B453" s="346"/>
      <c r="C453" s="346"/>
      <c r="D453" s="346"/>
      <c r="E453" s="346"/>
      <c r="F453" s="346"/>
      <c r="G453" s="346"/>
      <c r="H453" s="346"/>
      <c r="I453" s="346"/>
      <c r="J453" s="346"/>
      <c r="K453" s="346"/>
      <c r="L453" s="346"/>
      <c r="M453" s="346"/>
      <c r="N453" s="346"/>
      <c r="O453" s="346"/>
      <c r="P453" s="346"/>
      <c r="Q453" s="346"/>
      <c r="R453" s="346"/>
      <c r="S453" s="346">
        <f>3</f>
        <v>3</v>
      </c>
      <c r="T453" s="346"/>
      <c r="U453" s="346"/>
      <c r="V453" s="346"/>
      <c r="W453" s="346"/>
      <c r="X453" s="346"/>
      <c r="Y453" s="346"/>
      <c r="Z453" s="346"/>
      <c r="AA453" s="346"/>
      <c r="AB453" s="346"/>
      <c r="AC453" s="346"/>
      <c r="AD453" s="346"/>
      <c r="AE453" s="346"/>
      <c r="AF453" s="346"/>
      <c r="AG453" s="346"/>
      <c r="AH453" s="346"/>
      <c r="AI453" s="346"/>
      <c r="AJ453" s="346"/>
      <c r="AK453" s="346"/>
      <c r="AL453" s="346"/>
      <c r="AM453" s="346"/>
      <c r="AN453" s="346"/>
      <c r="AO453" s="346"/>
      <c r="AP453" s="346"/>
      <c r="AQ453" s="346"/>
      <c r="AR453" s="346"/>
      <c r="AS453" s="346"/>
      <c r="AT453" s="346"/>
      <c r="AU453" s="346"/>
      <c r="AV453">
        <f t="shared" si="62"/>
        <v>3</v>
      </c>
      <c r="AW453" s="351">
        <f t="shared" si="63"/>
        <v>8.0428954423592495E-3</v>
      </c>
    </row>
    <row r="454" spans="1:49" ht="18.75" customHeight="1">
      <c r="A454" s="357">
        <v>46254</v>
      </c>
      <c r="B454"/>
      <c r="C454"/>
      <c r="D454"/>
      <c r="E454"/>
      <c r="F454"/>
      <c r="G454"/>
      <c r="H454"/>
      <c r="I454"/>
      <c r="J454" s="77">
        <v>13</v>
      </c>
      <c r="K454"/>
      <c r="L454"/>
      <c r="M454"/>
      <c r="N454"/>
      <c r="O454"/>
      <c r="P454"/>
      <c r="Q454"/>
      <c r="R454"/>
      <c r="S454">
        <f>1+2+2</f>
        <v>5</v>
      </c>
      <c r="T454"/>
      <c r="U454"/>
      <c r="V454"/>
      <c r="W454"/>
      <c r="X454"/>
      <c r="Y454"/>
      <c r="Z454"/>
      <c r="AA454"/>
      <c r="AB454"/>
      <c r="AC454"/>
      <c r="AD454">
        <f>3</f>
        <v>3</v>
      </c>
      <c r="AE454"/>
      <c r="AF454"/>
      <c r="AG454">
        <f>3+5</f>
        <v>8</v>
      </c>
      <c r="AH454"/>
      <c r="AI454"/>
      <c r="AJ454"/>
      <c r="AK454"/>
      <c r="AL454"/>
      <c r="AM454"/>
      <c r="AN454"/>
      <c r="AO454">
        <v>2</v>
      </c>
      <c r="AP454"/>
      <c r="AQ454"/>
      <c r="AR454"/>
      <c r="AS454"/>
      <c r="AT454"/>
      <c r="AU454"/>
      <c r="AV454">
        <f t="shared" si="62"/>
        <v>31</v>
      </c>
      <c r="AW454" s="351">
        <f t="shared" si="63"/>
        <v>8.3109919571045576E-2</v>
      </c>
    </row>
    <row r="455" spans="1:49" ht="18.75" customHeight="1">
      <c r="A455" s="357">
        <v>46258</v>
      </c>
      <c r="B455" s="346"/>
      <c r="C455" s="346"/>
      <c r="D455" s="346"/>
      <c r="E455" s="346">
        <v>5</v>
      </c>
      <c r="F455" s="346"/>
      <c r="G455" s="346"/>
      <c r="H455" s="346"/>
      <c r="I455" s="346"/>
      <c r="J455" s="346"/>
      <c r="K455" s="346"/>
      <c r="L455" s="346"/>
      <c r="M455" s="346"/>
      <c r="N455" s="346"/>
      <c r="O455" s="346"/>
      <c r="P455" s="346"/>
      <c r="Q455" s="346"/>
      <c r="R455" s="346">
        <f>2</f>
        <v>2</v>
      </c>
      <c r="S455" s="346">
        <f>3+4+2</f>
        <v>9</v>
      </c>
      <c r="T455" s="346"/>
      <c r="U455" s="346"/>
      <c r="V455" s="346"/>
      <c r="W455" s="346"/>
      <c r="X455" s="346"/>
      <c r="Y455" s="346"/>
      <c r="Z455" s="346"/>
      <c r="AA455" s="346"/>
      <c r="AB455" s="346"/>
      <c r="AC455" s="346"/>
      <c r="AD455" s="346"/>
      <c r="AE455" s="346"/>
      <c r="AF455" s="346"/>
      <c r="AG455" s="346"/>
      <c r="AH455" s="346"/>
      <c r="AI455" s="346"/>
      <c r="AJ455" s="346"/>
      <c r="AK455" s="346"/>
      <c r="AL455" s="346"/>
      <c r="AM455" s="346"/>
      <c r="AN455" s="346"/>
      <c r="AO455" s="346"/>
      <c r="AP455" s="346"/>
      <c r="AQ455" s="346"/>
      <c r="AR455" s="346"/>
      <c r="AS455" s="346"/>
      <c r="AT455" s="346"/>
      <c r="AU455" s="346">
        <f>19</f>
        <v>19</v>
      </c>
      <c r="AV455">
        <f t="shared" si="62"/>
        <v>35</v>
      </c>
      <c r="AW455" s="351">
        <f t="shared" si="63"/>
        <v>9.3833780160857902E-2</v>
      </c>
    </row>
    <row r="456" spans="1:49" ht="18.75" customHeight="1">
      <c r="A456" s="357">
        <v>46258</v>
      </c>
      <c r="B456"/>
      <c r="C456"/>
      <c r="D456"/>
      <c r="E456"/>
      <c r="F456"/>
      <c r="G456"/>
      <c r="H456"/>
      <c r="I456"/>
      <c r="J456"/>
      <c r="K456"/>
      <c r="L456"/>
      <c r="M456">
        <f>15</f>
        <v>15</v>
      </c>
      <c r="N456"/>
      <c r="O456">
        <f>22</f>
        <v>22</v>
      </c>
      <c r="P456"/>
      <c r="Q456"/>
      <c r="R456"/>
      <c r="S456"/>
      <c r="T456"/>
      <c r="U456"/>
      <c r="V456"/>
      <c r="W456"/>
      <c r="X456"/>
      <c r="Y456"/>
      <c r="Z456"/>
      <c r="AA456"/>
      <c r="AB456"/>
      <c r="AC456"/>
      <c r="AD456"/>
      <c r="AE456"/>
      <c r="AF456"/>
      <c r="AG456"/>
      <c r="AH456"/>
      <c r="AI456"/>
      <c r="AJ456"/>
      <c r="AK456"/>
      <c r="AL456"/>
      <c r="AM456"/>
      <c r="AN456"/>
      <c r="AO456"/>
      <c r="AP456"/>
      <c r="AQ456"/>
      <c r="AR456"/>
      <c r="AS456"/>
      <c r="AT456"/>
      <c r="AU456"/>
      <c r="AV456">
        <f t="shared" si="62"/>
        <v>37</v>
      </c>
      <c r="AW456" s="351">
        <f t="shared" si="63"/>
        <v>9.9195710455764072E-2</v>
      </c>
    </row>
    <row r="457" spans="1:49" ht="18.75" customHeight="1">
      <c r="A457" s="357">
        <v>46259</v>
      </c>
      <c r="B457" s="346">
        <f>13+5+13</f>
        <v>31</v>
      </c>
      <c r="C457" s="346"/>
      <c r="D457" s="346"/>
      <c r="E457" s="346"/>
      <c r="F457" s="346"/>
      <c r="G457" s="346"/>
      <c r="H457" s="346"/>
      <c r="I457" s="346"/>
      <c r="J457" s="346"/>
      <c r="K457" s="346"/>
      <c r="L457" s="346"/>
      <c r="M457" s="346"/>
      <c r="N457" s="346"/>
      <c r="O457" s="346"/>
      <c r="P457" s="346"/>
      <c r="Q457" s="346"/>
      <c r="R457" s="346"/>
      <c r="S457" s="346"/>
      <c r="T457" s="346"/>
      <c r="U457" s="346"/>
      <c r="V457" s="346"/>
      <c r="W457" s="346"/>
      <c r="X457" s="346"/>
      <c r="Y457" s="346"/>
      <c r="Z457" s="346"/>
      <c r="AA457" s="346"/>
      <c r="AB457" s="346"/>
      <c r="AC457" s="346"/>
      <c r="AD457" s="346">
        <f>4+1</f>
        <v>5</v>
      </c>
      <c r="AE457" s="346"/>
      <c r="AF457" s="346"/>
      <c r="AG457" s="346"/>
      <c r="AH457" s="346"/>
      <c r="AI457" s="346"/>
      <c r="AJ457" s="346"/>
      <c r="AK457" s="346"/>
      <c r="AL457" s="346"/>
      <c r="AM457" s="346"/>
      <c r="AN457" s="346"/>
      <c r="AO457" s="346"/>
      <c r="AP457" s="346"/>
      <c r="AQ457" s="346"/>
      <c r="AR457" s="346"/>
      <c r="AS457" s="346"/>
      <c r="AT457" s="346"/>
      <c r="AU457" s="346"/>
      <c r="AV457">
        <f t="shared" si="62"/>
        <v>36</v>
      </c>
      <c r="AW457" s="351">
        <f t="shared" si="63"/>
        <v>9.6514745308310987E-2</v>
      </c>
    </row>
    <row r="458" spans="1:49" ht="18.75" customHeight="1">
      <c r="A458" s="357">
        <v>46259</v>
      </c>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c r="AK458"/>
      <c r="AL458"/>
      <c r="AM458"/>
      <c r="AN458"/>
      <c r="AO458"/>
      <c r="AP458"/>
      <c r="AQ458"/>
      <c r="AR458"/>
      <c r="AS458"/>
      <c r="AT458"/>
      <c r="AU458"/>
      <c r="AV458">
        <f t="shared" si="62"/>
        <v>0</v>
      </c>
      <c r="AW458" s="351">
        <f t="shared" si="63"/>
        <v>0</v>
      </c>
    </row>
    <row r="459" spans="1:49" ht="18.75" customHeight="1">
      <c r="A459" s="357">
        <v>46260</v>
      </c>
      <c r="B459" s="346"/>
      <c r="C459" s="346"/>
      <c r="D459" s="346"/>
      <c r="E459" s="346"/>
      <c r="F459" s="346"/>
      <c r="G459" s="346"/>
      <c r="H459" s="346"/>
      <c r="I459" s="346"/>
      <c r="J459" s="346"/>
      <c r="K459" s="346"/>
      <c r="L459" s="346"/>
      <c r="M459" s="346"/>
      <c r="N459" s="346"/>
      <c r="O459" s="346"/>
      <c r="P459" s="346"/>
      <c r="Q459" s="346"/>
      <c r="R459" s="346"/>
      <c r="S459" s="346">
        <f>2+2+3+2+3+3</f>
        <v>15</v>
      </c>
      <c r="T459" s="346"/>
      <c r="U459" s="346"/>
      <c r="V459" s="346"/>
      <c r="W459" s="346"/>
      <c r="X459" s="346"/>
      <c r="Y459" s="346"/>
      <c r="Z459" s="346">
        <f>3</f>
        <v>3</v>
      </c>
      <c r="AA459" s="346"/>
      <c r="AB459" s="346"/>
      <c r="AC459" s="346"/>
      <c r="AD459" s="346"/>
      <c r="AE459" s="346"/>
      <c r="AF459" s="346"/>
      <c r="AG459" s="346"/>
      <c r="AH459" s="346"/>
      <c r="AI459" s="346"/>
      <c r="AJ459" s="346"/>
      <c r="AK459" s="346"/>
      <c r="AL459" s="346"/>
      <c r="AM459" s="346"/>
      <c r="AN459" s="346"/>
      <c r="AO459" s="346"/>
      <c r="AP459" s="346"/>
      <c r="AQ459" s="346"/>
      <c r="AR459" s="346"/>
      <c r="AS459" s="346"/>
      <c r="AT459" s="346"/>
      <c r="AU459" s="346"/>
      <c r="AV459">
        <f t="shared" si="62"/>
        <v>18</v>
      </c>
      <c r="AW459" s="351">
        <f t="shared" si="63"/>
        <v>4.8257372654155493E-2</v>
      </c>
    </row>
    <row r="460" spans="1:49" ht="18.75" customHeight="1">
      <c r="A460" s="357">
        <v>46260</v>
      </c>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c r="AK460"/>
      <c r="AL460"/>
      <c r="AM460"/>
      <c r="AN460"/>
      <c r="AO460"/>
      <c r="AP460"/>
      <c r="AQ460"/>
      <c r="AR460"/>
      <c r="AS460"/>
      <c r="AT460"/>
      <c r="AU460"/>
      <c r="AV460">
        <f t="shared" si="62"/>
        <v>0</v>
      </c>
      <c r="AW460" s="351">
        <f t="shared" si="63"/>
        <v>0</v>
      </c>
    </row>
    <row r="461" spans="1:49" ht="18.75" customHeight="1">
      <c r="A461" s="357">
        <v>46261</v>
      </c>
      <c r="B461" s="346">
        <f>15+2+7</f>
        <v>24</v>
      </c>
      <c r="C461" s="346"/>
      <c r="D461" s="346"/>
      <c r="E461" s="346"/>
      <c r="F461" s="346"/>
      <c r="G461" s="346"/>
      <c r="H461" s="346"/>
      <c r="I461" s="346"/>
      <c r="J461" s="346"/>
      <c r="K461" s="346"/>
      <c r="L461" s="346"/>
      <c r="M461" s="346"/>
      <c r="N461" s="346">
        <f>2</f>
        <v>2</v>
      </c>
      <c r="O461" s="346"/>
      <c r="P461" s="346"/>
      <c r="Q461" s="346"/>
      <c r="R461" s="346">
        <f>2</f>
        <v>2</v>
      </c>
      <c r="S461" s="346">
        <f>3+2+2+2+2+2+2+2+2</f>
        <v>19</v>
      </c>
      <c r="T461" s="346"/>
      <c r="U461" s="346"/>
      <c r="V461" s="346">
        <f>3</f>
        <v>3</v>
      </c>
      <c r="W461" s="346"/>
      <c r="X461" s="346"/>
      <c r="Y461" s="346"/>
      <c r="Z461" s="346"/>
      <c r="AA461" s="346"/>
      <c r="AB461" s="346"/>
      <c r="AC461" s="346"/>
      <c r="AD461" s="346"/>
      <c r="AE461" s="346"/>
      <c r="AF461" s="346"/>
      <c r="AG461" s="346"/>
      <c r="AH461" s="346"/>
      <c r="AI461" s="346"/>
      <c r="AJ461" s="346"/>
      <c r="AK461" s="346"/>
      <c r="AL461" s="346"/>
      <c r="AM461" s="346"/>
      <c r="AN461" s="346"/>
      <c r="AO461" s="346"/>
      <c r="AP461" s="346"/>
      <c r="AQ461" s="346"/>
      <c r="AR461" s="346"/>
      <c r="AS461" s="346"/>
      <c r="AT461" s="346"/>
      <c r="AU461" s="346"/>
      <c r="AV461">
        <f t="shared" si="62"/>
        <v>50</v>
      </c>
      <c r="AW461" s="351">
        <f t="shared" si="63"/>
        <v>0.13404825737265416</v>
      </c>
    </row>
    <row r="462" spans="1:49" ht="18.75" customHeight="1">
      <c r="A462" s="357">
        <v>46261</v>
      </c>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c r="AK462"/>
      <c r="AL462"/>
      <c r="AM462"/>
      <c r="AN462"/>
      <c r="AO462"/>
      <c r="AP462"/>
      <c r="AQ462"/>
      <c r="AR462"/>
      <c r="AS462"/>
      <c r="AT462"/>
      <c r="AU462"/>
      <c r="AV462">
        <f t="shared" si="62"/>
        <v>0</v>
      </c>
      <c r="AW462" s="351">
        <f t="shared" si="63"/>
        <v>0</v>
      </c>
    </row>
    <row r="463" spans="1:49" ht="18.75" customHeight="1">
      <c r="A463" s="357">
        <v>46261</v>
      </c>
      <c r="B463" s="346"/>
      <c r="C463" s="346"/>
      <c r="D463" s="346"/>
      <c r="E463" s="346"/>
      <c r="F463" s="346"/>
      <c r="G463" s="346"/>
      <c r="H463" s="346"/>
      <c r="I463" s="346"/>
      <c r="J463" s="346"/>
      <c r="K463" s="346"/>
      <c r="L463" s="346"/>
      <c r="M463" s="346"/>
      <c r="N463" s="346"/>
      <c r="O463" s="346"/>
      <c r="P463" s="346"/>
      <c r="Q463" s="346"/>
      <c r="R463" s="346"/>
      <c r="S463" s="346"/>
      <c r="T463" s="346"/>
      <c r="U463" s="346"/>
      <c r="V463" s="346"/>
      <c r="W463" s="346"/>
      <c r="X463" s="346"/>
      <c r="Y463" s="346"/>
      <c r="Z463" s="346"/>
      <c r="AA463" s="346"/>
      <c r="AB463" s="346"/>
      <c r="AC463" s="346"/>
      <c r="AD463" s="346"/>
      <c r="AE463" s="346"/>
      <c r="AF463" s="346"/>
      <c r="AG463" s="346"/>
      <c r="AH463" s="346"/>
      <c r="AI463" s="346"/>
      <c r="AJ463" s="346"/>
      <c r="AK463" s="346"/>
      <c r="AL463" s="346"/>
      <c r="AM463" s="346"/>
      <c r="AN463" s="346"/>
      <c r="AO463" s="346"/>
      <c r="AP463" s="346"/>
      <c r="AQ463" s="346"/>
      <c r="AR463" s="346"/>
      <c r="AS463" s="346"/>
      <c r="AT463" s="346"/>
      <c r="AU463" s="346"/>
      <c r="AV463">
        <f t="shared" si="62"/>
        <v>0</v>
      </c>
      <c r="AW463" s="351">
        <f t="shared" si="63"/>
        <v>0</v>
      </c>
    </row>
    <row r="464" spans="1:49" ht="18.75" customHeight="1">
      <c r="A464" s="357">
        <v>46262</v>
      </c>
      <c r="B464" s="346"/>
      <c r="C464" s="346"/>
      <c r="D464" s="346"/>
      <c r="E464" s="346"/>
      <c r="F464" s="346"/>
      <c r="G464" s="346"/>
      <c r="H464" s="346"/>
      <c r="I464" s="346"/>
      <c r="J464" s="346"/>
      <c r="K464" s="346"/>
      <c r="L464" s="346"/>
      <c r="M464" s="346"/>
      <c r="N464" s="346"/>
      <c r="O464" s="346"/>
      <c r="P464" s="346"/>
      <c r="Q464" s="346"/>
      <c r="R464" s="346"/>
      <c r="S464" s="346">
        <f>2+2</f>
        <v>4</v>
      </c>
      <c r="T464" s="346"/>
      <c r="U464" s="346"/>
      <c r="V464" s="346">
        <f>10+3+33</f>
        <v>46</v>
      </c>
      <c r="W464" s="346">
        <f>6+5</f>
        <v>11</v>
      </c>
      <c r="X464" s="346"/>
      <c r="Y464" s="346"/>
      <c r="Z464" s="346"/>
      <c r="AA464" s="346"/>
      <c r="AB464" s="346"/>
      <c r="AC464" s="346"/>
      <c r="AD464" s="346"/>
      <c r="AE464" s="346"/>
      <c r="AF464" s="346"/>
      <c r="AG464" s="346"/>
      <c r="AH464" s="346"/>
      <c r="AI464" s="346"/>
      <c r="AJ464" s="346"/>
      <c r="AK464" s="346"/>
      <c r="AL464" s="346"/>
      <c r="AM464" s="346"/>
      <c r="AN464" s="346"/>
      <c r="AO464" s="346"/>
      <c r="AP464" s="346"/>
      <c r="AQ464" s="346"/>
      <c r="AR464" s="346"/>
      <c r="AS464" s="346"/>
      <c r="AT464" s="346"/>
      <c r="AU464" s="346"/>
      <c r="AV464">
        <f t="shared" ref="AV464" si="64">SUM(B464:AU464)</f>
        <v>61</v>
      </c>
      <c r="AW464" s="351">
        <f t="shared" ref="AW464" si="65">AV464/$AV$368</f>
        <v>0.16353887399463807</v>
      </c>
    </row>
    <row r="465" spans="1:49" ht="18.75" customHeight="1">
      <c r="A465" s="357">
        <v>46262</v>
      </c>
      <c r="B465" s="346"/>
      <c r="C465" s="346"/>
      <c r="D465" s="346"/>
      <c r="E465" s="346"/>
      <c r="F465" s="346"/>
      <c r="G465" s="346"/>
      <c r="H465" s="346"/>
      <c r="I465" s="346"/>
      <c r="J465" s="346"/>
      <c r="K465" s="346"/>
      <c r="L465" s="346"/>
      <c r="M465" s="346"/>
      <c r="N465" s="346"/>
      <c r="O465" s="346"/>
      <c r="P465" s="346"/>
      <c r="Q465" s="346"/>
      <c r="R465" s="346"/>
      <c r="S465" s="346"/>
      <c r="T465" s="346"/>
      <c r="U465" s="346"/>
      <c r="V465" s="346"/>
      <c r="W465" s="346"/>
      <c r="X465" s="346"/>
      <c r="Y465" s="346"/>
      <c r="Z465" s="346"/>
      <c r="AA465" s="346"/>
      <c r="AB465" s="346"/>
      <c r="AC465" s="346"/>
      <c r="AD465" s="346"/>
      <c r="AE465" s="346"/>
      <c r="AF465" s="346"/>
      <c r="AG465" s="346"/>
      <c r="AH465" s="346"/>
      <c r="AI465" s="346"/>
      <c r="AJ465" s="346"/>
      <c r="AK465" s="346"/>
      <c r="AL465" s="346"/>
      <c r="AM465" s="346"/>
      <c r="AN465" s="346"/>
      <c r="AO465" s="346"/>
      <c r="AP465" s="346"/>
      <c r="AQ465" s="346"/>
      <c r="AR465" s="346"/>
      <c r="AS465" s="346"/>
      <c r="AT465" s="346"/>
      <c r="AU465" s="346"/>
      <c r="AV465">
        <f t="shared" ref="AV465:AV488" si="66">SUM(B465:AU465)</f>
        <v>0</v>
      </c>
      <c r="AW465" s="351">
        <f t="shared" si="63"/>
        <v>0</v>
      </c>
    </row>
    <row r="466" spans="1:49" ht="18.75" customHeight="1">
      <c r="A466" s="357">
        <v>46262</v>
      </c>
      <c r="B466"/>
      <c r="C466"/>
      <c r="D466"/>
      <c r="E466"/>
      <c r="F466"/>
      <c r="G466"/>
      <c r="H466"/>
      <c r="I466"/>
      <c r="J466"/>
      <c r="K466"/>
      <c r="L466"/>
      <c r="M466"/>
      <c r="N466"/>
      <c r="O466"/>
      <c r="P466"/>
      <c r="Q466"/>
      <c r="R466">
        <f>6</f>
        <v>6</v>
      </c>
      <c r="S466"/>
      <c r="T466"/>
      <c r="U466"/>
      <c r="V466"/>
      <c r="W466"/>
      <c r="X466"/>
      <c r="Y466"/>
      <c r="Z466"/>
      <c r="AA466"/>
      <c r="AB466"/>
      <c r="AC466"/>
      <c r="AD466"/>
      <c r="AE466"/>
      <c r="AF466"/>
      <c r="AG466"/>
      <c r="AH466"/>
      <c r="AI466"/>
      <c r="AJ466"/>
      <c r="AK466"/>
      <c r="AL466"/>
      <c r="AM466"/>
      <c r="AN466"/>
      <c r="AO466"/>
      <c r="AP466"/>
      <c r="AQ466"/>
      <c r="AR466"/>
      <c r="AS466"/>
      <c r="AT466"/>
      <c r="AU466"/>
      <c r="AV466">
        <f t="shared" si="66"/>
        <v>6</v>
      </c>
      <c r="AW466" s="351">
        <f t="shared" si="63"/>
        <v>1.6085790884718499E-2</v>
      </c>
    </row>
    <row r="467" spans="1:49" ht="18.75" customHeight="1">
      <c r="A467" s="357">
        <v>46262</v>
      </c>
      <c r="B467" s="346"/>
      <c r="C467" s="346"/>
      <c r="D467" s="346"/>
      <c r="E467" s="346"/>
      <c r="F467" s="346"/>
      <c r="G467" s="346"/>
      <c r="H467" s="346"/>
      <c r="I467" s="346"/>
      <c r="J467" s="346"/>
      <c r="K467" s="346"/>
      <c r="L467" s="346"/>
      <c r="M467" s="346"/>
      <c r="N467" s="346"/>
      <c r="O467" s="346"/>
      <c r="P467" s="346"/>
      <c r="Q467" s="346"/>
      <c r="R467" s="346">
        <f>50+60+60+16</f>
        <v>186</v>
      </c>
      <c r="S467" s="346"/>
      <c r="T467" s="346"/>
      <c r="U467" s="346"/>
      <c r="V467" s="346"/>
      <c r="W467" s="346"/>
      <c r="X467" s="346"/>
      <c r="Y467" s="346"/>
      <c r="Z467" s="346"/>
      <c r="AA467" s="346"/>
      <c r="AB467" s="346"/>
      <c r="AC467" s="346"/>
      <c r="AD467" s="346"/>
      <c r="AE467" s="346"/>
      <c r="AF467" s="346"/>
      <c r="AG467" s="346"/>
      <c r="AH467" s="346"/>
      <c r="AI467" s="346"/>
      <c r="AJ467" s="346"/>
      <c r="AK467" s="346"/>
      <c r="AL467" s="346"/>
      <c r="AM467" s="346"/>
      <c r="AN467" s="346"/>
      <c r="AO467" s="346"/>
      <c r="AP467" s="346"/>
      <c r="AQ467" s="346"/>
      <c r="AR467" s="346"/>
      <c r="AS467" s="346"/>
      <c r="AT467" s="346"/>
      <c r="AU467" s="346"/>
      <c r="AV467">
        <f t="shared" si="66"/>
        <v>186</v>
      </c>
      <c r="AW467" s="351">
        <f t="shared" si="63"/>
        <v>0.49865951742627346</v>
      </c>
    </row>
    <row r="468" spans="1:49" ht="18.75" customHeight="1">
      <c r="A468" s="357">
        <v>46265</v>
      </c>
      <c r="B468"/>
      <c r="C468"/>
      <c r="D468"/>
      <c r="E468"/>
      <c r="F468"/>
      <c r="G468"/>
      <c r="H468"/>
      <c r="I468"/>
      <c r="J468"/>
      <c r="K468"/>
      <c r="L468"/>
      <c r="M468"/>
      <c r="N468"/>
      <c r="O468"/>
      <c r="P468"/>
      <c r="Q468"/>
      <c r="R468"/>
      <c r="S468">
        <f>2+2+2+2+2</f>
        <v>10</v>
      </c>
      <c r="T468"/>
      <c r="U468"/>
      <c r="V468"/>
      <c r="W468"/>
      <c r="X468"/>
      <c r="Y468"/>
      <c r="Z468"/>
      <c r="AA468"/>
      <c r="AB468"/>
      <c r="AC468"/>
      <c r="AD468">
        <f>3+2</f>
        <v>5</v>
      </c>
      <c r="AE468"/>
      <c r="AF468"/>
      <c r="AG468"/>
      <c r="AH468"/>
      <c r="AI468"/>
      <c r="AJ468"/>
      <c r="AK468"/>
      <c r="AL468"/>
      <c r="AM468"/>
      <c r="AN468"/>
      <c r="AO468"/>
      <c r="AP468"/>
      <c r="AQ468"/>
      <c r="AR468"/>
      <c r="AS468"/>
      <c r="AT468"/>
      <c r="AU468"/>
      <c r="AV468">
        <f t="shared" si="66"/>
        <v>15</v>
      </c>
      <c r="AW468" s="351">
        <f t="shared" si="63"/>
        <v>4.0214477211796246E-2</v>
      </c>
    </row>
    <row r="469" spans="1:49" ht="18.75" customHeight="1">
      <c r="A469" s="357"/>
      <c r="B469" s="346"/>
      <c r="C469" s="346"/>
      <c r="D469" s="346"/>
      <c r="E469" s="346"/>
      <c r="F469" s="346"/>
      <c r="G469" s="346"/>
      <c r="H469" s="346"/>
      <c r="I469" s="346"/>
      <c r="J469" s="346"/>
      <c r="K469" s="346"/>
      <c r="L469" s="346"/>
      <c r="M469" s="346"/>
      <c r="N469" s="346"/>
      <c r="O469" s="346"/>
      <c r="P469" s="346"/>
      <c r="Q469" s="346"/>
      <c r="R469" s="346"/>
      <c r="S469" s="346"/>
      <c r="T469" s="346"/>
      <c r="U469" s="346"/>
      <c r="V469" s="346"/>
      <c r="W469" s="346"/>
      <c r="X469" s="346"/>
      <c r="Y469" s="346"/>
      <c r="Z469" s="346"/>
      <c r="AA469" s="346"/>
      <c r="AB469" s="346"/>
      <c r="AC469" s="346"/>
      <c r="AD469" s="346"/>
      <c r="AE469" s="346"/>
      <c r="AF469" s="346"/>
      <c r="AG469" s="346"/>
      <c r="AH469" s="346"/>
      <c r="AI469" s="346"/>
      <c r="AJ469" s="346"/>
      <c r="AK469" s="346"/>
      <c r="AL469" s="346"/>
      <c r="AM469" s="346"/>
      <c r="AN469" s="346"/>
      <c r="AO469" s="346"/>
      <c r="AP469" s="346"/>
      <c r="AQ469" s="346"/>
      <c r="AR469" s="346"/>
      <c r="AS469" s="346"/>
      <c r="AT469" s="346"/>
      <c r="AU469" s="346"/>
      <c r="AV469">
        <f t="shared" si="66"/>
        <v>0</v>
      </c>
      <c r="AW469" s="351">
        <f t="shared" si="63"/>
        <v>0</v>
      </c>
    </row>
    <row r="470" spans="1:49" ht="18.75" customHeight="1">
      <c r="A470" s="357"/>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f t="shared" si="66"/>
        <v>0</v>
      </c>
      <c r="AW470" s="351">
        <f t="shared" si="63"/>
        <v>0</v>
      </c>
    </row>
    <row r="471" spans="1:49" ht="18.75" customHeight="1">
      <c r="A471" s="357"/>
      <c r="B471" s="346"/>
      <c r="C471" s="346"/>
      <c r="D471" s="346"/>
      <c r="E471" s="346"/>
      <c r="F471" s="346"/>
      <c r="G471" s="346"/>
      <c r="H471" s="346"/>
      <c r="I471" s="346"/>
      <c r="J471" s="346"/>
      <c r="K471" s="346"/>
      <c r="L471" s="346"/>
      <c r="M471" s="346"/>
      <c r="N471" s="346"/>
      <c r="O471" s="346"/>
      <c r="P471" s="346"/>
      <c r="Q471" s="346"/>
      <c r="R471" s="346"/>
      <c r="S471" s="346"/>
      <c r="T471" s="346"/>
      <c r="U471" s="346"/>
      <c r="V471" s="346"/>
      <c r="W471" s="346"/>
      <c r="X471" s="346"/>
      <c r="Y471" s="346"/>
      <c r="Z471" s="346"/>
      <c r="AA471" s="346"/>
      <c r="AB471" s="346"/>
      <c r="AC471" s="346"/>
      <c r="AD471" s="346"/>
      <c r="AE471" s="346"/>
      <c r="AF471" s="346"/>
      <c r="AG471" s="346"/>
      <c r="AH471" s="346"/>
      <c r="AI471" s="346"/>
      <c r="AJ471" s="346"/>
      <c r="AK471" s="346"/>
      <c r="AL471" s="346"/>
      <c r="AM471" s="346"/>
      <c r="AN471" s="346"/>
      <c r="AO471" s="346"/>
      <c r="AP471" s="346"/>
      <c r="AQ471" s="346"/>
      <c r="AR471" s="346"/>
      <c r="AS471" s="346"/>
      <c r="AT471" s="346"/>
      <c r="AU471" s="346"/>
      <c r="AV471">
        <f t="shared" si="66"/>
        <v>0</v>
      </c>
      <c r="AW471" s="351">
        <f t="shared" si="63"/>
        <v>0</v>
      </c>
    </row>
    <row r="472" spans="1:49" ht="18.75" customHeight="1">
      <c r="A472" s="357"/>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f t="shared" si="66"/>
        <v>0</v>
      </c>
      <c r="AW472" s="351">
        <f t="shared" si="63"/>
        <v>0</v>
      </c>
    </row>
    <row r="473" spans="1:49" ht="18.75" customHeight="1">
      <c r="A473" s="357"/>
      <c r="B473" s="346"/>
      <c r="C473" s="346"/>
      <c r="D473" s="346"/>
      <c r="E473" s="346"/>
      <c r="F473" s="346"/>
      <c r="G473" s="346"/>
      <c r="H473" s="346"/>
      <c r="I473" s="346"/>
      <c r="J473" s="346"/>
      <c r="K473" s="346"/>
      <c r="L473" s="346"/>
      <c r="M473" s="346"/>
      <c r="N473" s="346"/>
      <c r="O473" s="346"/>
      <c r="P473" s="346"/>
      <c r="Q473" s="346"/>
      <c r="R473" s="346"/>
      <c r="S473" s="346"/>
      <c r="T473" s="346"/>
      <c r="U473" s="346"/>
      <c r="V473" s="346"/>
      <c r="W473" s="346"/>
      <c r="X473" s="346"/>
      <c r="Y473" s="346"/>
      <c r="Z473" s="346"/>
      <c r="AA473" s="346"/>
      <c r="AB473" s="346"/>
      <c r="AC473" s="346"/>
      <c r="AD473" s="346"/>
      <c r="AE473" s="346"/>
      <c r="AF473" s="346"/>
      <c r="AG473" s="346"/>
      <c r="AH473" s="346"/>
      <c r="AI473" s="346"/>
      <c r="AJ473" s="346"/>
      <c r="AK473" s="346"/>
      <c r="AL473" s="346"/>
      <c r="AM473" s="346"/>
      <c r="AN473" s="346"/>
      <c r="AO473" s="346"/>
      <c r="AP473" s="346"/>
      <c r="AQ473" s="346"/>
      <c r="AR473" s="346"/>
      <c r="AS473" s="346"/>
      <c r="AT473" s="346"/>
      <c r="AU473" s="346"/>
      <c r="AV473">
        <f t="shared" si="66"/>
        <v>0</v>
      </c>
      <c r="AW473" s="351">
        <f t="shared" si="63"/>
        <v>0</v>
      </c>
    </row>
    <row r="474" spans="1:49" ht="18.75" customHeight="1">
      <c r="A474" s="357"/>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c r="AK474"/>
      <c r="AL474"/>
      <c r="AM474"/>
      <c r="AN474"/>
      <c r="AO474"/>
      <c r="AP474"/>
      <c r="AQ474"/>
      <c r="AR474"/>
      <c r="AS474"/>
      <c r="AT474"/>
      <c r="AU474"/>
      <c r="AV474">
        <f t="shared" si="66"/>
        <v>0</v>
      </c>
      <c r="AW474" s="351">
        <f t="shared" si="63"/>
        <v>0</v>
      </c>
    </row>
    <row r="475" spans="1:49" ht="18.75" customHeight="1">
      <c r="A475" s="357"/>
      <c r="B475" s="346"/>
      <c r="C475" s="346"/>
      <c r="D475" s="346"/>
      <c r="E475" s="346"/>
      <c r="F475" s="346"/>
      <c r="G475" s="346"/>
      <c r="H475" s="346"/>
      <c r="I475" s="346"/>
      <c r="J475" s="346"/>
      <c r="K475" s="346"/>
      <c r="L475" s="346"/>
      <c r="M475" s="346"/>
      <c r="N475" s="346"/>
      <c r="O475" s="346"/>
      <c r="P475" s="346"/>
      <c r="Q475" s="346"/>
      <c r="R475" s="346"/>
      <c r="S475" s="346"/>
      <c r="T475" s="346"/>
      <c r="U475" s="346"/>
      <c r="V475" s="346"/>
      <c r="W475" s="346"/>
      <c r="X475" s="346"/>
      <c r="Y475" s="346"/>
      <c r="Z475" s="346"/>
      <c r="AA475" s="346"/>
      <c r="AB475" s="346"/>
      <c r="AC475" s="346"/>
      <c r="AD475" s="346"/>
      <c r="AE475" s="346"/>
      <c r="AF475" s="346"/>
      <c r="AG475" s="346"/>
      <c r="AH475" s="346"/>
      <c r="AI475" s="346"/>
      <c r="AJ475" s="346"/>
      <c r="AK475" s="346"/>
      <c r="AL475" s="346"/>
      <c r="AM475" s="346"/>
      <c r="AN475" s="346"/>
      <c r="AO475" s="346"/>
      <c r="AP475" s="346"/>
      <c r="AQ475" s="346"/>
      <c r="AR475" s="346"/>
      <c r="AS475" s="346"/>
      <c r="AT475" s="346"/>
      <c r="AU475" s="346"/>
      <c r="AV475">
        <f t="shared" si="66"/>
        <v>0</v>
      </c>
      <c r="AW475" s="351">
        <f t="shared" si="63"/>
        <v>0</v>
      </c>
    </row>
    <row r="476" spans="1:49" ht="18.75" customHeight="1">
      <c r="A476" s="357"/>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c r="AK476"/>
      <c r="AL476"/>
      <c r="AM476"/>
      <c r="AN476"/>
      <c r="AO476"/>
      <c r="AP476"/>
      <c r="AQ476"/>
      <c r="AR476"/>
      <c r="AS476"/>
      <c r="AT476"/>
      <c r="AU476"/>
      <c r="AV476">
        <f t="shared" si="66"/>
        <v>0</v>
      </c>
      <c r="AW476" s="351">
        <f t="shared" si="63"/>
        <v>0</v>
      </c>
    </row>
    <row r="477" spans="1:49" ht="18.75" customHeight="1">
      <c r="A477" s="357"/>
      <c r="B477" s="346"/>
      <c r="C477" s="346"/>
      <c r="D477" s="346"/>
      <c r="E477" s="346"/>
      <c r="F477" s="346"/>
      <c r="G477" s="346"/>
      <c r="H477" s="346"/>
      <c r="I477" s="346"/>
      <c r="J477" s="346"/>
      <c r="K477" s="346"/>
      <c r="L477" s="346"/>
      <c r="M477" s="346"/>
      <c r="N477" s="346"/>
      <c r="O477" s="346"/>
      <c r="P477" s="346"/>
      <c r="Q477" s="346"/>
      <c r="R477" s="346"/>
      <c r="S477" s="346"/>
      <c r="T477" s="346"/>
      <c r="U477" s="346"/>
      <c r="V477" s="346"/>
      <c r="W477" s="346"/>
      <c r="X477" s="346"/>
      <c r="Y477" s="346"/>
      <c r="Z477" s="346"/>
      <c r="AA477" s="346"/>
      <c r="AB477" s="346"/>
      <c r="AC477" s="346"/>
      <c r="AD477" s="346"/>
      <c r="AE477" s="346"/>
      <c r="AF477" s="346"/>
      <c r="AG477" s="346"/>
      <c r="AH477" s="346"/>
      <c r="AI477" s="346"/>
      <c r="AJ477" s="346"/>
      <c r="AK477" s="346"/>
      <c r="AL477" s="346"/>
      <c r="AM477" s="346"/>
      <c r="AN477" s="346"/>
      <c r="AO477" s="346"/>
      <c r="AP477" s="346"/>
      <c r="AQ477" s="346"/>
      <c r="AR477" s="346"/>
      <c r="AS477" s="346"/>
      <c r="AT477" s="346"/>
      <c r="AU477" s="346"/>
      <c r="AV477">
        <f t="shared" si="66"/>
        <v>0</v>
      </c>
      <c r="AW477" s="351">
        <f t="shared" si="63"/>
        <v>0</v>
      </c>
    </row>
    <row r="478" spans="1:49" ht="18.75" customHeight="1">
      <c r="A478" s="357"/>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c r="AK478"/>
      <c r="AL478"/>
      <c r="AM478"/>
      <c r="AN478"/>
      <c r="AO478"/>
      <c r="AP478"/>
      <c r="AQ478"/>
      <c r="AR478"/>
      <c r="AS478"/>
      <c r="AT478"/>
      <c r="AU478"/>
      <c r="AV478">
        <f t="shared" si="66"/>
        <v>0</v>
      </c>
      <c r="AW478" s="351">
        <f t="shared" si="63"/>
        <v>0</v>
      </c>
    </row>
    <row r="479" spans="1:49" ht="18.75" customHeight="1">
      <c r="A479" s="357"/>
      <c r="B479" s="346"/>
      <c r="C479" s="346"/>
      <c r="D479" s="346"/>
      <c r="E479" s="346"/>
      <c r="F479" s="346"/>
      <c r="G479" s="346"/>
      <c r="H479" s="346"/>
      <c r="I479" s="346"/>
      <c r="J479" s="346"/>
      <c r="K479" s="346"/>
      <c r="L479" s="346"/>
      <c r="M479" s="346"/>
      <c r="N479" s="346"/>
      <c r="O479" s="346"/>
      <c r="P479" s="346"/>
      <c r="Q479" s="346"/>
      <c r="R479" s="346"/>
      <c r="S479" s="346"/>
      <c r="T479" s="346"/>
      <c r="U479" s="346"/>
      <c r="V479" s="346"/>
      <c r="W479" s="346"/>
      <c r="X479" s="346"/>
      <c r="Y479" s="346"/>
      <c r="Z479" s="346"/>
      <c r="AA479" s="346"/>
      <c r="AB479" s="346"/>
      <c r="AC479" s="346"/>
      <c r="AD479" s="346"/>
      <c r="AE479" s="346"/>
      <c r="AF479" s="346"/>
      <c r="AG479" s="346"/>
      <c r="AH479" s="346"/>
      <c r="AI479" s="346"/>
      <c r="AJ479" s="346"/>
      <c r="AK479" s="346"/>
      <c r="AL479" s="346"/>
      <c r="AM479" s="346"/>
      <c r="AN479" s="346"/>
      <c r="AO479" s="346"/>
      <c r="AP479" s="346"/>
      <c r="AQ479" s="346"/>
      <c r="AR479" s="346"/>
      <c r="AS479" s="346"/>
      <c r="AT479" s="346"/>
      <c r="AU479" s="346"/>
      <c r="AV479">
        <f t="shared" si="66"/>
        <v>0</v>
      </c>
      <c r="AW479" s="351">
        <f t="shared" si="63"/>
        <v>0</v>
      </c>
    </row>
    <row r="480" spans="1:49" ht="18.75" customHeight="1">
      <c r="A480" s="357"/>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c r="AK480"/>
      <c r="AL480"/>
      <c r="AM480"/>
      <c r="AN480"/>
      <c r="AO480"/>
      <c r="AP480"/>
      <c r="AQ480"/>
      <c r="AR480"/>
      <c r="AS480"/>
      <c r="AT480"/>
      <c r="AU480"/>
      <c r="AV480">
        <f t="shared" si="66"/>
        <v>0</v>
      </c>
      <c r="AW480" s="351">
        <f t="shared" si="63"/>
        <v>0</v>
      </c>
    </row>
    <row r="481" spans="1:49" ht="18.75" customHeight="1">
      <c r="A481" s="357"/>
      <c r="B481" s="346"/>
      <c r="C481" s="346"/>
      <c r="D481" s="346"/>
      <c r="E481" s="346"/>
      <c r="F481" s="346"/>
      <c r="G481" s="346"/>
      <c r="H481" s="346"/>
      <c r="I481" s="346"/>
      <c r="J481" s="346"/>
      <c r="K481" s="346"/>
      <c r="L481" s="346"/>
      <c r="M481" s="346"/>
      <c r="N481" s="346"/>
      <c r="O481" s="346"/>
      <c r="P481" s="346"/>
      <c r="Q481" s="346"/>
      <c r="R481" s="346"/>
      <c r="S481" s="346"/>
      <c r="T481" s="346"/>
      <c r="U481" s="346"/>
      <c r="V481" s="346"/>
      <c r="W481" s="346"/>
      <c r="X481" s="346"/>
      <c r="Y481" s="346"/>
      <c r="Z481" s="346"/>
      <c r="AA481" s="346"/>
      <c r="AB481" s="346"/>
      <c r="AC481" s="346"/>
      <c r="AD481" s="346"/>
      <c r="AE481" s="346"/>
      <c r="AF481" s="346"/>
      <c r="AG481" s="346"/>
      <c r="AH481" s="346"/>
      <c r="AI481" s="346"/>
      <c r="AJ481" s="346"/>
      <c r="AK481" s="346"/>
      <c r="AL481" s="346"/>
      <c r="AM481" s="346"/>
      <c r="AN481" s="346"/>
      <c r="AO481" s="346"/>
      <c r="AP481" s="346"/>
      <c r="AQ481" s="346"/>
      <c r="AR481" s="346"/>
      <c r="AS481" s="346"/>
      <c r="AT481" s="346"/>
      <c r="AU481" s="346"/>
      <c r="AV481">
        <f t="shared" si="66"/>
        <v>0</v>
      </c>
      <c r="AW481" s="351">
        <f t="shared" si="63"/>
        <v>0</v>
      </c>
    </row>
    <row r="482" spans="1:49" ht="18.75" customHeight="1">
      <c r="A482" s="357"/>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c r="AK482"/>
      <c r="AL482"/>
      <c r="AM482"/>
      <c r="AN482"/>
      <c r="AO482"/>
      <c r="AP482"/>
      <c r="AQ482"/>
      <c r="AR482"/>
      <c r="AS482"/>
      <c r="AT482"/>
      <c r="AU482"/>
      <c r="AV482">
        <f t="shared" si="66"/>
        <v>0</v>
      </c>
      <c r="AW482" s="351">
        <f t="shared" si="63"/>
        <v>0</v>
      </c>
    </row>
    <row r="483" spans="1:49" ht="18.75" customHeight="1">
      <c r="A483" s="357"/>
      <c r="B483" s="346"/>
      <c r="C483" s="346"/>
      <c r="D483" s="346"/>
      <c r="E483" s="346"/>
      <c r="F483" s="346"/>
      <c r="G483" s="346"/>
      <c r="H483" s="346"/>
      <c r="I483" s="346"/>
      <c r="J483" s="346"/>
      <c r="K483" s="346"/>
      <c r="L483" s="346"/>
      <c r="M483" s="346"/>
      <c r="N483" s="346"/>
      <c r="O483" s="346"/>
      <c r="P483" s="346"/>
      <c r="Q483" s="346"/>
      <c r="R483" s="346"/>
      <c r="S483" s="346"/>
      <c r="T483" s="346"/>
      <c r="U483" s="346"/>
      <c r="V483" s="346"/>
      <c r="W483" s="346"/>
      <c r="X483" s="346"/>
      <c r="Y483" s="346"/>
      <c r="Z483" s="346"/>
      <c r="AA483" s="346"/>
      <c r="AB483" s="346"/>
      <c r="AC483" s="346"/>
      <c r="AD483" s="346"/>
      <c r="AE483" s="346"/>
      <c r="AF483" s="346"/>
      <c r="AG483" s="346"/>
      <c r="AH483" s="346"/>
      <c r="AI483" s="346"/>
      <c r="AJ483" s="346"/>
      <c r="AK483" s="346"/>
      <c r="AL483" s="346"/>
      <c r="AM483" s="346"/>
      <c r="AN483" s="346"/>
      <c r="AO483" s="346"/>
      <c r="AP483" s="346"/>
      <c r="AQ483" s="346"/>
      <c r="AR483" s="346"/>
      <c r="AS483" s="346"/>
      <c r="AT483" s="346"/>
      <c r="AU483" s="346"/>
      <c r="AV483">
        <f t="shared" si="66"/>
        <v>0</v>
      </c>
      <c r="AW483" s="351">
        <f t="shared" si="63"/>
        <v>0</v>
      </c>
    </row>
    <row r="484" spans="1:49" ht="18.75" customHeight="1">
      <c r="A484" s="357"/>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c r="AK484"/>
      <c r="AL484"/>
      <c r="AM484"/>
      <c r="AN484"/>
      <c r="AO484"/>
      <c r="AP484"/>
      <c r="AQ484"/>
      <c r="AR484"/>
      <c r="AS484"/>
      <c r="AT484"/>
      <c r="AU484"/>
      <c r="AV484">
        <f t="shared" si="66"/>
        <v>0</v>
      </c>
      <c r="AW484" s="351">
        <f t="shared" si="63"/>
        <v>0</v>
      </c>
    </row>
    <row r="485" spans="1:49" ht="18.75" customHeight="1">
      <c r="A485" s="357"/>
      <c r="B485" s="346"/>
      <c r="C485" s="346"/>
      <c r="D485" s="346"/>
      <c r="E485" s="346"/>
      <c r="F485" s="346"/>
      <c r="G485" s="346"/>
      <c r="H485" s="346"/>
      <c r="I485" s="346"/>
      <c r="J485" s="346"/>
      <c r="K485" s="346"/>
      <c r="L485" s="346"/>
      <c r="M485" s="346"/>
      <c r="N485" s="346"/>
      <c r="O485" s="346"/>
      <c r="P485" s="346"/>
      <c r="Q485" s="346"/>
      <c r="R485" s="346"/>
      <c r="S485" s="346"/>
      <c r="T485" s="346"/>
      <c r="U485" s="346"/>
      <c r="V485" s="346"/>
      <c r="W485" s="346"/>
      <c r="X485" s="346"/>
      <c r="Y485" s="346"/>
      <c r="Z485" s="346"/>
      <c r="AA485" s="346"/>
      <c r="AB485" s="346"/>
      <c r="AC485" s="346"/>
      <c r="AD485" s="346"/>
      <c r="AE485" s="346"/>
      <c r="AF485" s="346"/>
      <c r="AG485" s="346"/>
      <c r="AH485" s="346"/>
      <c r="AI485" s="346"/>
      <c r="AJ485" s="346"/>
      <c r="AK485" s="346"/>
      <c r="AL485" s="346"/>
      <c r="AM485" s="346"/>
      <c r="AN485" s="346"/>
      <c r="AO485" s="346"/>
      <c r="AP485" s="346"/>
      <c r="AQ485" s="346"/>
      <c r="AR485" s="346"/>
      <c r="AS485" s="346"/>
      <c r="AT485" s="346"/>
      <c r="AU485" s="346"/>
      <c r="AV485">
        <f t="shared" si="66"/>
        <v>0</v>
      </c>
      <c r="AW485" s="351">
        <f t="shared" si="63"/>
        <v>0</v>
      </c>
    </row>
    <row r="486" spans="1:49" ht="18.75" customHeight="1">
      <c r="A486" s="357"/>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c r="AK486"/>
      <c r="AL486"/>
      <c r="AM486"/>
      <c r="AN486"/>
      <c r="AO486"/>
      <c r="AP486"/>
      <c r="AQ486"/>
      <c r="AR486"/>
      <c r="AS486"/>
      <c r="AT486"/>
      <c r="AU486"/>
      <c r="AV486">
        <f t="shared" si="66"/>
        <v>0</v>
      </c>
      <c r="AW486" s="351">
        <f t="shared" si="63"/>
        <v>0</v>
      </c>
    </row>
    <row r="487" spans="1:49" ht="18.75" customHeight="1">
      <c r="A487" s="357"/>
      <c r="B487" s="346"/>
      <c r="C487" s="346"/>
      <c r="D487" s="346"/>
      <c r="E487" s="346"/>
      <c r="F487" s="346"/>
      <c r="G487" s="346"/>
      <c r="H487" s="346"/>
      <c r="I487" s="346"/>
      <c r="J487" s="346"/>
      <c r="K487" s="346"/>
      <c r="L487" s="346"/>
      <c r="M487" s="346"/>
      <c r="N487" s="346"/>
      <c r="O487" s="346"/>
      <c r="P487" s="346"/>
      <c r="Q487" s="346"/>
      <c r="R487" s="346"/>
      <c r="S487" s="346"/>
      <c r="T487" s="346"/>
      <c r="U487" s="346"/>
      <c r="V487" s="346"/>
      <c r="W487" s="346"/>
      <c r="X487" s="346"/>
      <c r="Y487" s="346"/>
      <c r="Z487" s="346"/>
      <c r="AA487" s="346"/>
      <c r="AB487" s="346"/>
      <c r="AC487" s="346"/>
      <c r="AD487" s="346"/>
      <c r="AE487" s="346"/>
      <c r="AF487" s="346"/>
      <c r="AG487" s="346"/>
      <c r="AH487" s="346"/>
      <c r="AI487" s="346"/>
      <c r="AJ487" s="346"/>
      <c r="AK487" s="346"/>
      <c r="AL487" s="346"/>
      <c r="AM487" s="346"/>
      <c r="AN487" s="346"/>
      <c r="AO487" s="346"/>
      <c r="AP487" s="346"/>
      <c r="AQ487" s="346"/>
      <c r="AR487" s="346"/>
      <c r="AS487" s="346"/>
      <c r="AT487" s="346"/>
      <c r="AU487" s="346"/>
      <c r="AV487">
        <f t="shared" si="66"/>
        <v>0</v>
      </c>
      <c r="AW487" s="351">
        <f t="shared" si="63"/>
        <v>0</v>
      </c>
    </row>
    <row r="488" spans="1:49" ht="18.75" customHeight="1">
      <c r="A488" s="357"/>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c r="AK488"/>
      <c r="AL488"/>
      <c r="AM488"/>
      <c r="AN488"/>
      <c r="AO488"/>
      <c r="AP488"/>
      <c r="AQ488"/>
      <c r="AR488"/>
      <c r="AS488"/>
      <c r="AT488"/>
      <c r="AU488"/>
      <c r="AV488">
        <f t="shared" si="66"/>
        <v>0</v>
      </c>
      <c r="AW488" s="351">
        <f t="shared" si="63"/>
        <v>0</v>
      </c>
    </row>
    <row r="489" spans="1:49" ht="18.75" customHeight="1">
      <c r="A489" s="347" t="s">
        <v>113</v>
      </c>
      <c r="B489" s="347">
        <f t="shared" ref="B489:AV489" si="67">SUM(B433:B488)</f>
        <v>55</v>
      </c>
      <c r="C489" s="347">
        <f t="shared" si="67"/>
        <v>0</v>
      </c>
      <c r="D489" s="347">
        <f t="shared" si="67"/>
        <v>0</v>
      </c>
      <c r="E489" s="347">
        <f t="shared" si="67"/>
        <v>5</v>
      </c>
      <c r="F489" s="347">
        <f t="shared" si="67"/>
        <v>0</v>
      </c>
      <c r="G489" s="347">
        <f t="shared" si="67"/>
        <v>0</v>
      </c>
      <c r="H489" s="347">
        <f t="shared" si="67"/>
        <v>0</v>
      </c>
      <c r="I489" s="347">
        <f t="shared" si="67"/>
        <v>0</v>
      </c>
      <c r="J489" s="347">
        <f t="shared" si="67"/>
        <v>13</v>
      </c>
      <c r="K489" s="347">
        <f t="shared" si="67"/>
        <v>0</v>
      </c>
      <c r="L489" s="347">
        <f t="shared" si="67"/>
        <v>0</v>
      </c>
      <c r="M489" s="347">
        <f t="shared" si="67"/>
        <v>25</v>
      </c>
      <c r="N489" s="347">
        <f t="shared" si="67"/>
        <v>9</v>
      </c>
      <c r="O489" s="347">
        <f t="shared" si="67"/>
        <v>22</v>
      </c>
      <c r="P489" s="347">
        <f t="shared" si="67"/>
        <v>6</v>
      </c>
      <c r="Q489" s="347">
        <f t="shared" si="67"/>
        <v>0</v>
      </c>
      <c r="R489" s="347">
        <f t="shared" si="67"/>
        <v>216</v>
      </c>
      <c r="S489" s="347">
        <f t="shared" si="67"/>
        <v>176</v>
      </c>
      <c r="T489" s="347">
        <f t="shared" si="67"/>
        <v>0</v>
      </c>
      <c r="U489" s="347">
        <f t="shared" si="67"/>
        <v>0</v>
      </c>
      <c r="V489" s="347">
        <f t="shared" si="67"/>
        <v>59</v>
      </c>
      <c r="W489" s="347">
        <f t="shared" si="67"/>
        <v>11</v>
      </c>
      <c r="X489" s="347">
        <f t="shared" si="67"/>
        <v>0</v>
      </c>
      <c r="Y489" s="347">
        <f t="shared" si="67"/>
        <v>0</v>
      </c>
      <c r="Z489" s="347">
        <f t="shared" si="67"/>
        <v>3</v>
      </c>
      <c r="AA489" s="347">
        <f t="shared" si="67"/>
        <v>0</v>
      </c>
      <c r="AB489" s="347">
        <f t="shared" si="67"/>
        <v>0</v>
      </c>
      <c r="AC489" s="347">
        <f t="shared" si="67"/>
        <v>14</v>
      </c>
      <c r="AD489" s="347">
        <f t="shared" si="67"/>
        <v>94</v>
      </c>
      <c r="AE489" s="347">
        <f t="shared" si="67"/>
        <v>0</v>
      </c>
      <c r="AF489" s="347">
        <f t="shared" si="67"/>
        <v>0</v>
      </c>
      <c r="AG489" s="347">
        <f t="shared" si="67"/>
        <v>8</v>
      </c>
      <c r="AH489" s="347">
        <f t="shared" si="67"/>
        <v>0</v>
      </c>
      <c r="AI489" s="347">
        <f t="shared" si="67"/>
        <v>0</v>
      </c>
      <c r="AJ489" s="347">
        <f t="shared" si="67"/>
        <v>0</v>
      </c>
      <c r="AK489" s="347">
        <f t="shared" si="67"/>
        <v>0</v>
      </c>
      <c r="AL489" s="347">
        <f t="shared" si="67"/>
        <v>0</v>
      </c>
      <c r="AM489" s="347">
        <f t="shared" si="67"/>
        <v>0</v>
      </c>
      <c r="AN489" s="347">
        <f t="shared" si="67"/>
        <v>0</v>
      </c>
      <c r="AO489" s="347">
        <f t="shared" si="67"/>
        <v>2</v>
      </c>
      <c r="AP489" s="347">
        <f t="shared" si="67"/>
        <v>0</v>
      </c>
      <c r="AQ489" s="347">
        <f t="shared" si="67"/>
        <v>12</v>
      </c>
      <c r="AR489" s="347">
        <f t="shared" si="67"/>
        <v>0</v>
      </c>
      <c r="AS489" s="347">
        <f t="shared" si="67"/>
        <v>0</v>
      </c>
      <c r="AT489" s="347">
        <f t="shared" si="67"/>
        <v>26</v>
      </c>
      <c r="AU489" s="347">
        <f t="shared" si="67"/>
        <v>19</v>
      </c>
      <c r="AV489" s="347">
        <f t="shared" si="67"/>
        <v>775</v>
      </c>
      <c r="AW489" s="351"/>
    </row>
    <row r="490" spans="1:49" ht="18.75" customHeight="1" thickBot="1">
      <c r="A490" s="348" t="s">
        <v>174</v>
      </c>
      <c r="B490" s="348">
        <f t="shared" ref="B490:AU490" si="68">B489/$AV489</f>
        <v>7.0967741935483872E-2</v>
      </c>
      <c r="C490" s="348">
        <f t="shared" si="68"/>
        <v>0</v>
      </c>
      <c r="D490" s="348">
        <f t="shared" si="68"/>
        <v>0</v>
      </c>
      <c r="E490" s="348">
        <f t="shared" si="68"/>
        <v>6.4516129032258064E-3</v>
      </c>
      <c r="F490" s="348">
        <f t="shared" si="68"/>
        <v>0</v>
      </c>
      <c r="G490" s="348">
        <f t="shared" si="68"/>
        <v>0</v>
      </c>
      <c r="H490" s="348">
        <f t="shared" si="68"/>
        <v>0</v>
      </c>
      <c r="I490" s="348">
        <f t="shared" si="68"/>
        <v>0</v>
      </c>
      <c r="J490" s="348">
        <f t="shared" si="68"/>
        <v>1.6774193548387096E-2</v>
      </c>
      <c r="K490" s="348">
        <f t="shared" si="68"/>
        <v>0</v>
      </c>
      <c r="L490" s="348">
        <f t="shared" si="68"/>
        <v>0</v>
      </c>
      <c r="M490" s="348">
        <f t="shared" si="68"/>
        <v>3.2258064516129031E-2</v>
      </c>
      <c r="N490" s="348">
        <f t="shared" si="68"/>
        <v>1.1612903225806452E-2</v>
      </c>
      <c r="O490" s="348">
        <f t="shared" si="68"/>
        <v>2.838709677419355E-2</v>
      </c>
      <c r="P490" s="348">
        <f t="shared" si="68"/>
        <v>7.7419354838709677E-3</v>
      </c>
      <c r="Q490" s="348">
        <f t="shared" si="68"/>
        <v>0</v>
      </c>
      <c r="R490" s="348">
        <f t="shared" si="68"/>
        <v>0.27870967741935482</v>
      </c>
      <c r="S490" s="348">
        <f t="shared" si="68"/>
        <v>0.2270967741935484</v>
      </c>
      <c r="T490" s="348">
        <f t="shared" si="68"/>
        <v>0</v>
      </c>
      <c r="U490" s="348">
        <f t="shared" si="68"/>
        <v>0</v>
      </c>
      <c r="V490" s="348">
        <f t="shared" si="68"/>
        <v>7.6129032258064513E-2</v>
      </c>
      <c r="W490" s="348">
        <f t="shared" si="68"/>
        <v>1.4193548387096775E-2</v>
      </c>
      <c r="X490" s="348">
        <f t="shared" si="68"/>
        <v>0</v>
      </c>
      <c r="Y490" s="348">
        <f t="shared" si="68"/>
        <v>0</v>
      </c>
      <c r="Z490" s="348">
        <f t="shared" si="68"/>
        <v>3.8709677419354839E-3</v>
      </c>
      <c r="AA490" s="348">
        <f t="shared" si="68"/>
        <v>0</v>
      </c>
      <c r="AB490" s="348">
        <f t="shared" si="68"/>
        <v>0</v>
      </c>
      <c r="AC490" s="348">
        <f t="shared" si="68"/>
        <v>1.806451612903226E-2</v>
      </c>
      <c r="AD490" s="348">
        <f t="shared" si="68"/>
        <v>0.12129032258064516</v>
      </c>
      <c r="AE490" s="348">
        <f t="shared" si="68"/>
        <v>0</v>
      </c>
      <c r="AF490" s="348">
        <f t="shared" si="68"/>
        <v>0</v>
      </c>
      <c r="AG490" s="348">
        <f t="shared" si="68"/>
        <v>1.032258064516129E-2</v>
      </c>
      <c r="AH490" s="348">
        <f t="shared" si="68"/>
        <v>0</v>
      </c>
      <c r="AI490" s="348">
        <f t="shared" si="68"/>
        <v>0</v>
      </c>
      <c r="AJ490" s="348">
        <f t="shared" si="68"/>
        <v>0</v>
      </c>
      <c r="AK490" s="348">
        <f t="shared" si="68"/>
        <v>0</v>
      </c>
      <c r="AL490" s="348">
        <f t="shared" si="68"/>
        <v>0</v>
      </c>
      <c r="AM490" s="348">
        <f t="shared" si="68"/>
        <v>0</v>
      </c>
      <c r="AN490" s="348">
        <f t="shared" si="68"/>
        <v>0</v>
      </c>
      <c r="AO490" s="348">
        <f t="shared" si="68"/>
        <v>2.5806451612903226E-3</v>
      </c>
      <c r="AP490" s="348">
        <f t="shared" si="68"/>
        <v>0</v>
      </c>
      <c r="AQ490" s="348">
        <f t="shared" si="68"/>
        <v>1.5483870967741935E-2</v>
      </c>
      <c r="AR490" s="348">
        <f t="shared" si="68"/>
        <v>0</v>
      </c>
      <c r="AS490" s="348">
        <f t="shared" si="68"/>
        <v>0</v>
      </c>
      <c r="AT490" s="348">
        <f t="shared" si="68"/>
        <v>3.3548387096774192E-2</v>
      </c>
      <c r="AU490" s="348">
        <f t="shared" si="68"/>
        <v>2.4516129032258065E-2</v>
      </c>
      <c r="AV490"/>
      <c r="AW490" s="351"/>
    </row>
    <row r="491" spans="1:49" ht="18.75" customHeight="1">
      <c r="A491" s="354"/>
    </row>
    <row r="492" spans="1:49" ht="18.75" customHeight="1">
      <c r="A492" s="354"/>
    </row>
    <row r="493" spans="1:49" ht="18.75" customHeight="1">
      <c r="A493" s="354"/>
    </row>
    <row r="494" spans="1:49" ht="18.75" customHeight="1">
      <c r="A494" s="357">
        <v>46266</v>
      </c>
      <c r="B494"/>
      <c r="C494"/>
      <c r="D494"/>
      <c r="E494"/>
      <c r="F494"/>
      <c r="G494"/>
      <c r="H494"/>
      <c r="I494"/>
      <c r="J494"/>
      <c r="K494"/>
      <c r="L494"/>
      <c r="M494"/>
      <c r="N494"/>
      <c r="O494"/>
      <c r="P494"/>
      <c r="Q494"/>
      <c r="R494">
        <v>8</v>
      </c>
      <c r="S494">
        <f>2+2+2+3</f>
        <v>9</v>
      </c>
      <c r="T494"/>
      <c r="U494"/>
      <c r="V494"/>
      <c r="W494"/>
      <c r="X494"/>
      <c r="Y494"/>
      <c r="Z494"/>
      <c r="AA494"/>
      <c r="AB494"/>
      <c r="AC494"/>
      <c r="AD494"/>
      <c r="AE494"/>
      <c r="AF494"/>
      <c r="AG494"/>
      <c r="AH494"/>
      <c r="AI494"/>
      <c r="AJ494"/>
      <c r="AK494"/>
      <c r="AL494"/>
      <c r="AM494"/>
      <c r="AN494"/>
      <c r="AO494"/>
      <c r="AP494"/>
      <c r="AQ494"/>
      <c r="AR494"/>
      <c r="AS494"/>
      <c r="AT494"/>
      <c r="AU494"/>
      <c r="AV494">
        <f>SUM(B494:AU494)</f>
        <v>17</v>
      </c>
      <c r="AW494" s="351">
        <f>AV494/$AV$368</f>
        <v>4.5576407506702415E-2</v>
      </c>
    </row>
    <row r="495" spans="1:49" ht="18.75" customHeight="1">
      <c r="A495" s="357">
        <v>46266</v>
      </c>
      <c r="B495" s="346"/>
      <c r="C495" s="346"/>
      <c r="D495" s="346"/>
      <c r="E495" s="346"/>
      <c r="F495" s="346"/>
      <c r="G495" s="346"/>
      <c r="H495" s="346"/>
      <c r="I495" s="346"/>
      <c r="J495" s="346"/>
      <c r="K495" s="346"/>
      <c r="L495" s="346"/>
      <c r="M495" s="346"/>
      <c r="N495" s="346"/>
      <c r="O495" s="346"/>
      <c r="P495" s="346"/>
      <c r="Q495" s="346"/>
      <c r="R495" s="346"/>
      <c r="S495" s="346">
        <f>2+3+3+4</f>
        <v>12</v>
      </c>
      <c r="T495" s="346"/>
      <c r="U495" s="346"/>
      <c r="V495" s="346"/>
      <c r="W495" s="346"/>
      <c r="X495" s="346"/>
      <c r="Y495" s="346"/>
      <c r="Z495" s="346"/>
      <c r="AA495" s="346"/>
      <c r="AB495" s="346"/>
      <c r="AC495" s="346"/>
      <c r="AD495" s="346">
        <f>3</f>
        <v>3</v>
      </c>
      <c r="AE495" s="346"/>
      <c r="AF495" s="346"/>
      <c r="AG495" s="346"/>
      <c r="AH495" s="346"/>
      <c r="AI495" s="346"/>
      <c r="AJ495" s="346"/>
      <c r="AK495" s="346"/>
      <c r="AL495" s="346"/>
      <c r="AM495" s="346"/>
      <c r="AN495" s="346"/>
      <c r="AO495" s="346"/>
      <c r="AP495" s="346"/>
      <c r="AQ495" s="346"/>
      <c r="AR495" s="346"/>
      <c r="AS495" s="346"/>
      <c r="AT495" s="346"/>
      <c r="AU495" s="346"/>
      <c r="AV495">
        <f t="shared" ref="AV495:AV525" si="69">SUM(B495:AU495)</f>
        <v>15</v>
      </c>
      <c r="AW495" s="351">
        <f t="shared" ref="AW495:AW551" si="70">AV495/$AV$368</f>
        <v>4.0214477211796246E-2</v>
      </c>
    </row>
    <row r="496" spans="1:49" ht="18.75" customHeight="1">
      <c r="A496" s="357">
        <v>46267</v>
      </c>
      <c r="B496"/>
      <c r="C496"/>
      <c r="D496"/>
      <c r="E496"/>
      <c r="F496"/>
      <c r="G496"/>
      <c r="H496"/>
      <c r="I496"/>
      <c r="J496"/>
      <c r="K496"/>
      <c r="L496"/>
      <c r="M496"/>
      <c r="N496"/>
      <c r="O496"/>
      <c r="P496"/>
      <c r="Q496"/>
      <c r="R496"/>
      <c r="S496">
        <f>2+2+2+2+2+2+3+1+1</f>
        <v>17</v>
      </c>
      <c r="T496"/>
      <c r="U496"/>
      <c r="V496"/>
      <c r="W496"/>
      <c r="X496"/>
      <c r="Y496"/>
      <c r="Z496"/>
      <c r="AA496"/>
      <c r="AB496"/>
      <c r="AC496"/>
      <c r="AD496"/>
      <c r="AE496"/>
      <c r="AF496"/>
      <c r="AG496"/>
      <c r="AH496"/>
      <c r="AI496"/>
      <c r="AJ496"/>
      <c r="AK496"/>
      <c r="AL496"/>
      <c r="AM496"/>
      <c r="AN496"/>
      <c r="AO496"/>
      <c r="AP496"/>
      <c r="AQ496"/>
      <c r="AR496"/>
      <c r="AS496"/>
      <c r="AT496"/>
      <c r="AU496"/>
      <c r="AV496">
        <f t="shared" si="69"/>
        <v>17</v>
      </c>
      <c r="AW496" s="351">
        <f t="shared" si="70"/>
        <v>4.5576407506702415E-2</v>
      </c>
    </row>
    <row r="497" spans="1:49" ht="18.75" customHeight="1">
      <c r="A497" s="357">
        <v>46267</v>
      </c>
      <c r="B497" s="346"/>
      <c r="C497" s="346"/>
      <c r="D497" s="346"/>
      <c r="E497" s="346"/>
      <c r="F497" s="346"/>
      <c r="G497" s="346"/>
      <c r="H497" s="346"/>
      <c r="I497" s="346"/>
      <c r="J497" s="346"/>
      <c r="K497" s="346"/>
      <c r="L497" s="346"/>
      <c r="M497" s="346"/>
      <c r="N497" s="346"/>
      <c r="O497" s="346"/>
      <c r="P497" s="346"/>
      <c r="Q497" s="346"/>
      <c r="R497" s="346"/>
      <c r="S497" s="346">
        <f>1</f>
        <v>1</v>
      </c>
      <c r="T497" s="346"/>
      <c r="U497" s="346"/>
      <c r="V497" s="346">
        <f>8</f>
        <v>8</v>
      </c>
      <c r="W497" s="346"/>
      <c r="X497" s="346"/>
      <c r="Y497" s="346"/>
      <c r="Z497" s="346"/>
      <c r="AA497" s="346"/>
      <c r="AB497" s="346"/>
      <c r="AC497" s="346"/>
      <c r="AD497" s="346"/>
      <c r="AE497" s="346"/>
      <c r="AF497" s="346"/>
      <c r="AG497" s="346"/>
      <c r="AH497" s="346"/>
      <c r="AI497" s="346"/>
      <c r="AJ497" s="346"/>
      <c r="AK497" s="346"/>
      <c r="AL497" s="346"/>
      <c r="AM497" s="346"/>
      <c r="AN497" s="346"/>
      <c r="AO497" s="346"/>
      <c r="AP497" s="346"/>
      <c r="AQ497" s="346"/>
      <c r="AR497" s="346"/>
      <c r="AS497" s="346"/>
      <c r="AT497" s="346"/>
      <c r="AU497" s="346"/>
      <c r="AV497">
        <f t="shared" si="69"/>
        <v>9</v>
      </c>
      <c r="AW497" s="351">
        <f t="shared" si="70"/>
        <v>2.4128686327077747E-2</v>
      </c>
    </row>
    <row r="498" spans="1:49" ht="18.75" customHeight="1">
      <c r="A498" s="359">
        <v>46267</v>
      </c>
      <c r="B498"/>
      <c r="C498"/>
      <c r="D498"/>
      <c r="E498"/>
      <c r="F498"/>
      <c r="G498"/>
      <c r="H498"/>
      <c r="I498"/>
      <c r="J498"/>
      <c r="K498"/>
      <c r="L498"/>
      <c r="M498"/>
      <c r="N498"/>
      <c r="O498"/>
      <c r="P498"/>
      <c r="Q498"/>
      <c r="R498"/>
      <c r="S498">
        <f>3+2</f>
        <v>5</v>
      </c>
      <c r="T498"/>
      <c r="U498"/>
      <c r="V498"/>
      <c r="W498"/>
      <c r="X498"/>
      <c r="Y498"/>
      <c r="Z498"/>
      <c r="AA498"/>
      <c r="AB498"/>
      <c r="AC498"/>
      <c r="AD498"/>
      <c r="AE498"/>
      <c r="AF498"/>
      <c r="AG498"/>
      <c r="AH498"/>
      <c r="AI498"/>
      <c r="AJ498"/>
      <c r="AK498"/>
      <c r="AL498"/>
      <c r="AM498"/>
      <c r="AN498"/>
      <c r="AO498"/>
      <c r="AP498"/>
      <c r="AQ498"/>
      <c r="AR498"/>
      <c r="AS498"/>
      <c r="AT498"/>
      <c r="AU498"/>
      <c r="AV498">
        <f t="shared" si="69"/>
        <v>5</v>
      </c>
      <c r="AW498" s="360">
        <f t="shared" si="70"/>
        <v>1.3404825737265416E-2</v>
      </c>
    </row>
    <row r="499" spans="1:49" ht="18.75" customHeight="1">
      <c r="A499" s="357">
        <v>46268</v>
      </c>
      <c r="B499" s="346"/>
      <c r="C499" s="346"/>
      <c r="D499" s="346"/>
      <c r="E499" s="346"/>
      <c r="F499" s="346"/>
      <c r="G499" s="346"/>
      <c r="H499" s="346"/>
      <c r="I499" s="346"/>
      <c r="J499" s="346"/>
      <c r="K499" s="346"/>
      <c r="L499" s="346"/>
      <c r="M499" s="346"/>
      <c r="N499" s="346"/>
      <c r="O499" s="346"/>
      <c r="P499" s="346"/>
      <c r="Q499" s="346"/>
      <c r="R499" s="346"/>
      <c r="S499" s="346">
        <f>1+1+2+2+2+1</f>
        <v>9</v>
      </c>
      <c r="T499" s="346"/>
      <c r="U499" s="346"/>
      <c r="V499" s="346"/>
      <c r="W499" s="346"/>
      <c r="X499" s="346"/>
      <c r="Y499" s="346"/>
      <c r="Z499" s="346"/>
      <c r="AA499" s="346"/>
      <c r="AB499" s="346"/>
      <c r="AC499" s="346"/>
      <c r="AD499" s="346"/>
      <c r="AE499" s="346"/>
      <c r="AF499" s="346"/>
      <c r="AG499" s="346"/>
      <c r="AH499" s="346"/>
      <c r="AI499" s="346"/>
      <c r="AJ499" s="346"/>
      <c r="AK499" s="346"/>
      <c r="AL499" s="346"/>
      <c r="AM499" s="346"/>
      <c r="AN499" s="346"/>
      <c r="AO499" s="346"/>
      <c r="AP499" s="346"/>
      <c r="AQ499" s="346"/>
      <c r="AR499" s="346"/>
      <c r="AS499" s="346"/>
      <c r="AT499" s="346"/>
      <c r="AU499" s="346"/>
      <c r="AV499">
        <f t="shared" si="69"/>
        <v>9</v>
      </c>
      <c r="AW499" s="351">
        <f t="shared" si="70"/>
        <v>2.4128686327077747E-2</v>
      </c>
    </row>
    <row r="500" spans="1:49" ht="18.75" customHeight="1">
      <c r="A500" s="357">
        <v>46268</v>
      </c>
      <c r="B500"/>
      <c r="C500"/>
      <c r="D500"/>
      <c r="E500"/>
      <c r="F500"/>
      <c r="G500"/>
      <c r="H500"/>
      <c r="I500"/>
      <c r="J500"/>
      <c r="K500"/>
      <c r="L500"/>
      <c r="M500"/>
      <c r="O500"/>
      <c r="P500"/>
      <c r="Q500"/>
      <c r="R500"/>
      <c r="S500">
        <f>3+2+2+2</f>
        <v>9</v>
      </c>
      <c r="T500"/>
      <c r="U500"/>
      <c r="V500"/>
      <c r="W500"/>
      <c r="X500"/>
      <c r="Y500"/>
      <c r="Z500"/>
      <c r="AA500"/>
      <c r="AB500"/>
      <c r="AC500"/>
      <c r="AD500">
        <f>4+4+3</f>
        <v>11</v>
      </c>
      <c r="AE500"/>
      <c r="AF500"/>
      <c r="AG500"/>
      <c r="AH500"/>
      <c r="AI500"/>
      <c r="AJ500"/>
      <c r="AK500"/>
      <c r="AL500"/>
      <c r="AM500"/>
      <c r="AN500"/>
      <c r="AO500"/>
      <c r="AP500"/>
      <c r="AQ500"/>
      <c r="AR500"/>
      <c r="AS500"/>
      <c r="AT500"/>
      <c r="AU500"/>
      <c r="AV500">
        <f t="shared" si="69"/>
        <v>20</v>
      </c>
      <c r="AW500" s="351">
        <f t="shared" si="70"/>
        <v>5.3619302949061663E-2</v>
      </c>
    </row>
    <row r="501" spans="1:49" ht="18.75" customHeight="1">
      <c r="A501" s="357">
        <v>46268</v>
      </c>
      <c r="B501" s="346"/>
      <c r="C501" s="346"/>
      <c r="D501" s="346"/>
      <c r="E501" s="346"/>
      <c r="F501" s="346"/>
      <c r="G501" s="346"/>
      <c r="H501" s="346"/>
      <c r="I501" s="346"/>
      <c r="J501" s="346"/>
      <c r="K501" s="346"/>
      <c r="L501" s="346"/>
      <c r="M501" s="346"/>
      <c r="N501" s="346"/>
      <c r="O501" s="346"/>
      <c r="P501" s="346"/>
      <c r="Q501" s="346"/>
      <c r="R501" s="346"/>
      <c r="S501" s="346"/>
      <c r="T501" s="346"/>
      <c r="U501" s="346"/>
      <c r="V501" s="346"/>
      <c r="W501" s="346"/>
      <c r="X501" s="346"/>
      <c r="Y501" s="346"/>
      <c r="Z501" s="346"/>
      <c r="AA501" s="346"/>
      <c r="AB501" s="346"/>
      <c r="AC501" s="346"/>
      <c r="AD501" s="346"/>
      <c r="AE501" s="346"/>
      <c r="AF501" s="346"/>
      <c r="AG501" s="346"/>
      <c r="AH501" s="346"/>
      <c r="AI501" s="346"/>
      <c r="AJ501" s="346"/>
      <c r="AK501" s="346"/>
      <c r="AL501" s="346"/>
      <c r="AM501" s="346"/>
      <c r="AN501" s="346"/>
      <c r="AO501" s="346"/>
      <c r="AP501" s="346"/>
      <c r="AQ501" s="346"/>
      <c r="AR501" s="346"/>
      <c r="AS501" s="346"/>
      <c r="AT501" s="346"/>
      <c r="AU501" s="346"/>
      <c r="AV501">
        <f t="shared" si="69"/>
        <v>0</v>
      </c>
      <c r="AW501" s="351">
        <f t="shared" si="70"/>
        <v>0</v>
      </c>
    </row>
    <row r="502" spans="1:49" ht="18.75" customHeight="1">
      <c r="A502" s="357">
        <v>46269</v>
      </c>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c r="AK502"/>
      <c r="AL502"/>
      <c r="AM502"/>
      <c r="AN502"/>
      <c r="AO502"/>
      <c r="AP502"/>
      <c r="AQ502"/>
      <c r="AR502"/>
      <c r="AS502"/>
      <c r="AT502"/>
      <c r="AU502"/>
      <c r="AV502">
        <f t="shared" si="69"/>
        <v>0</v>
      </c>
      <c r="AW502" s="351">
        <f t="shared" si="70"/>
        <v>0</v>
      </c>
    </row>
    <row r="503" spans="1:49" ht="18.75" customHeight="1">
      <c r="A503" s="357">
        <v>46273</v>
      </c>
      <c r="B503" s="346"/>
      <c r="C503" s="346"/>
      <c r="D503" s="346"/>
      <c r="E503" s="346"/>
      <c r="F503" s="346"/>
      <c r="G503" s="346"/>
      <c r="H503" s="346"/>
      <c r="I503" s="346"/>
      <c r="J503" s="346"/>
      <c r="K503" s="346"/>
      <c r="L503" s="346"/>
      <c r="M503" s="346"/>
      <c r="N503" s="346"/>
      <c r="O503" s="346"/>
      <c r="P503" s="346"/>
      <c r="Q503" s="346"/>
      <c r="R503" s="346">
        <v>20</v>
      </c>
      <c r="S503" s="346">
        <f>2+3+2</f>
        <v>7</v>
      </c>
      <c r="T503" s="346"/>
      <c r="U503" s="346"/>
      <c r="V503" s="346"/>
      <c r="W503" s="346"/>
      <c r="X503" s="346"/>
      <c r="Y503" s="346">
        <v>20</v>
      </c>
      <c r="Z503" s="346"/>
      <c r="AA503" s="346"/>
      <c r="AB503" s="346"/>
      <c r="AC503" s="346"/>
      <c r="AD503" s="346">
        <f>3</f>
        <v>3</v>
      </c>
      <c r="AE503" s="346"/>
      <c r="AF503" s="346"/>
      <c r="AG503" s="346"/>
      <c r="AH503" s="346"/>
      <c r="AI503" s="346"/>
      <c r="AJ503" s="346"/>
      <c r="AK503" s="346"/>
      <c r="AL503" s="346"/>
      <c r="AM503" s="346"/>
      <c r="AN503" s="346"/>
      <c r="AO503" s="346"/>
      <c r="AP503" s="346"/>
      <c r="AQ503" s="346"/>
      <c r="AR503" s="346"/>
      <c r="AS503" s="346"/>
      <c r="AT503" s="346">
        <f>30+10</f>
        <v>40</v>
      </c>
      <c r="AU503" s="346"/>
      <c r="AV503">
        <f t="shared" si="69"/>
        <v>90</v>
      </c>
      <c r="AW503" s="351">
        <f t="shared" si="70"/>
        <v>0.24128686327077747</v>
      </c>
    </row>
    <row r="504" spans="1:49" ht="15.75">
      <c r="A504" s="357">
        <v>46274</v>
      </c>
      <c r="B504"/>
      <c r="C504"/>
      <c r="D504"/>
      <c r="E504"/>
      <c r="F504"/>
      <c r="G504"/>
      <c r="H504"/>
      <c r="I504"/>
      <c r="J504"/>
      <c r="K504"/>
      <c r="L504"/>
      <c r="M504"/>
      <c r="N504"/>
      <c r="O504"/>
      <c r="P504"/>
      <c r="Q504"/>
      <c r="R504"/>
      <c r="S504">
        <f>1+3+2+2+2+2+2+3+2+2</f>
        <v>21</v>
      </c>
      <c r="T504">
        <v>2</v>
      </c>
      <c r="U504"/>
      <c r="V504"/>
      <c r="W504"/>
      <c r="X504"/>
      <c r="Y504"/>
      <c r="Z504"/>
      <c r="AA504"/>
      <c r="AB504"/>
      <c r="AC504"/>
      <c r="AD504"/>
      <c r="AE504"/>
      <c r="AF504"/>
      <c r="AG504"/>
      <c r="AH504"/>
      <c r="AI504"/>
      <c r="AJ504"/>
      <c r="AK504"/>
      <c r="AL504"/>
      <c r="AM504"/>
      <c r="AN504"/>
      <c r="AO504"/>
      <c r="AP504"/>
      <c r="AQ504"/>
      <c r="AR504"/>
      <c r="AS504"/>
      <c r="AT504"/>
      <c r="AU504"/>
      <c r="AV504">
        <f t="shared" si="69"/>
        <v>23</v>
      </c>
      <c r="AW504" s="351">
        <f t="shared" si="70"/>
        <v>6.1662198391420911E-2</v>
      </c>
    </row>
    <row r="505" spans="1:49" ht="18.75" customHeight="1">
      <c r="A505" s="357">
        <v>46275</v>
      </c>
      <c r="B505" s="346"/>
      <c r="C505" s="346"/>
      <c r="D505" s="346"/>
      <c r="E505" s="346"/>
      <c r="F505" s="346"/>
      <c r="G505" s="346"/>
      <c r="H505" s="346"/>
      <c r="I505" s="346"/>
      <c r="J505" s="346"/>
      <c r="K505" s="346"/>
      <c r="L505" s="346"/>
      <c r="M505" s="346"/>
      <c r="N505" s="346"/>
      <c r="O505" s="346"/>
      <c r="P505" s="346"/>
      <c r="Q505" s="346"/>
      <c r="R505" s="346"/>
      <c r="S505" s="346">
        <f>2+2+1+2+2+2+2+2</f>
        <v>15</v>
      </c>
      <c r="T505" s="346"/>
      <c r="U505" s="346"/>
      <c r="V505" s="346"/>
      <c r="W505" s="346"/>
      <c r="X505" s="346"/>
      <c r="Y505" s="346"/>
      <c r="Z505" s="346"/>
      <c r="AA505" s="346"/>
      <c r="AB505" s="346"/>
      <c r="AC505" s="346"/>
      <c r="AD505" s="346"/>
      <c r="AE505" s="346"/>
      <c r="AF505" s="346"/>
      <c r="AG505" s="346"/>
      <c r="AH505" s="346"/>
      <c r="AI505" s="346"/>
      <c r="AJ505" s="346"/>
      <c r="AK505" s="346"/>
      <c r="AL505" s="346"/>
      <c r="AM505" s="346"/>
      <c r="AN505" s="346"/>
      <c r="AO505" s="346"/>
      <c r="AP505" s="346"/>
      <c r="AQ505" s="346"/>
      <c r="AR505" s="346"/>
      <c r="AS505" s="346"/>
      <c r="AT505" s="346"/>
      <c r="AU505" s="346"/>
      <c r="AV505">
        <f t="shared" si="69"/>
        <v>15</v>
      </c>
      <c r="AW505" s="351">
        <f t="shared" si="70"/>
        <v>4.0214477211796246E-2</v>
      </c>
    </row>
    <row r="506" spans="1:49" ht="18.75" customHeight="1">
      <c r="A506" s="357">
        <v>46276</v>
      </c>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c r="AK506"/>
      <c r="AL506"/>
      <c r="AM506"/>
      <c r="AN506"/>
      <c r="AO506"/>
      <c r="AP506"/>
      <c r="AQ506"/>
      <c r="AR506"/>
      <c r="AS506"/>
      <c r="AT506"/>
      <c r="AU506"/>
      <c r="AV506">
        <f t="shared" si="69"/>
        <v>0</v>
      </c>
      <c r="AW506" s="351">
        <f t="shared" si="70"/>
        <v>0</v>
      </c>
    </row>
    <row r="507" spans="1:49" ht="18.75" customHeight="1">
      <c r="A507" s="357">
        <v>46276</v>
      </c>
      <c r="B507" s="346"/>
      <c r="C507" s="346"/>
      <c r="D507" s="346"/>
      <c r="E507" s="346"/>
      <c r="F507" s="346"/>
      <c r="G507" s="346"/>
      <c r="H507" s="346"/>
      <c r="I507" s="346"/>
      <c r="J507" s="346"/>
      <c r="K507" s="346"/>
      <c r="L507" s="346"/>
      <c r="M507" s="346"/>
      <c r="N507" s="346"/>
      <c r="O507" s="346"/>
      <c r="P507" s="346"/>
      <c r="Q507" s="346"/>
      <c r="R507" s="346"/>
      <c r="S507" s="346">
        <f>2+2</f>
        <v>4</v>
      </c>
      <c r="T507" s="346"/>
      <c r="U507" s="346"/>
      <c r="V507" s="346"/>
      <c r="W507" s="346"/>
      <c r="X507" s="346"/>
      <c r="Y507" s="346"/>
      <c r="Z507" s="346"/>
      <c r="AA507" s="346"/>
      <c r="AB507" s="346"/>
      <c r="AC507" s="346"/>
      <c r="AD507" s="346"/>
      <c r="AE507" s="346"/>
      <c r="AF507" s="346"/>
      <c r="AG507" s="346"/>
      <c r="AH507" s="346"/>
      <c r="AI507" s="346"/>
      <c r="AJ507" s="346"/>
      <c r="AK507" s="346"/>
      <c r="AL507" s="346"/>
      <c r="AM507" s="346"/>
      <c r="AN507" s="346"/>
      <c r="AO507" s="346"/>
      <c r="AP507" s="346"/>
      <c r="AQ507" s="346"/>
      <c r="AR507" s="346"/>
      <c r="AS507" s="346"/>
      <c r="AT507" s="346"/>
      <c r="AU507" s="346"/>
      <c r="AV507">
        <f t="shared" si="69"/>
        <v>4</v>
      </c>
      <c r="AW507" s="351">
        <f t="shared" si="70"/>
        <v>1.0723860589812333E-2</v>
      </c>
    </row>
    <row r="508" spans="1:49" ht="18.75" customHeight="1">
      <c r="A508" s="357">
        <v>46279</v>
      </c>
      <c r="B508"/>
      <c r="C508"/>
      <c r="D508"/>
      <c r="E508"/>
      <c r="F508"/>
      <c r="G508"/>
      <c r="H508"/>
      <c r="I508"/>
      <c r="J508"/>
      <c r="K508"/>
      <c r="L508"/>
      <c r="M508"/>
      <c r="N508"/>
      <c r="O508"/>
      <c r="P508"/>
      <c r="Q508"/>
      <c r="R508"/>
      <c r="S508"/>
      <c r="T508"/>
      <c r="U508"/>
      <c r="V508">
        <f>12</f>
        <v>12</v>
      </c>
      <c r="W508"/>
      <c r="X508"/>
      <c r="Y508"/>
      <c r="Z508"/>
      <c r="AA508"/>
      <c r="AB508"/>
      <c r="AC508">
        <f>2</f>
        <v>2</v>
      </c>
      <c r="AD508">
        <f>2</f>
        <v>2</v>
      </c>
      <c r="AE508"/>
      <c r="AF508"/>
      <c r="AG508"/>
      <c r="AH508"/>
      <c r="AI508"/>
      <c r="AJ508"/>
      <c r="AK508"/>
      <c r="AL508"/>
      <c r="AM508"/>
      <c r="AN508"/>
      <c r="AO508"/>
      <c r="AP508"/>
      <c r="AQ508"/>
      <c r="AR508"/>
      <c r="AS508"/>
      <c r="AT508"/>
      <c r="AU508"/>
      <c r="AV508">
        <f t="shared" si="69"/>
        <v>16</v>
      </c>
      <c r="AW508" s="351">
        <f t="shared" si="70"/>
        <v>4.2895442359249331E-2</v>
      </c>
    </row>
    <row r="509" spans="1:49" ht="18.75" customHeight="1">
      <c r="A509" s="357">
        <v>46279</v>
      </c>
      <c r="B509" s="346"/>
      <c r="C509" s="346"/>
      <c r="D509" s="346"/>
      <c r="E509" s="346"/>
      <c r="F509" s="346"/>
      <c r="G509" s="346"/>
      <c r="H509" s="346"/>
      <c r="I509" s="346"/>
      <c r="J509" s="346"/>
      <c r="K509" s="346"/>
      <c r="L509" s="346"/>
      <c r="M509" s="346"/>
      <c r="N509" s="346"/>
      <c r="O509" s="346"/>
      <c r="P509" s="346"/>
      <c r="Q509" s="346"/>
      <c r="R509" s="346"/>
      <c r="S509" s="346">
        <f>1+4</f>
        <v>5</v>
      </c>
      <c r="T509" s="346"/>
      <c r="U509" s="346"/>
      <c r="V509" s="346"/>
      <c r="W509" s="346"/>
      <c r="X509" s="346"/>
      <c r="Y509" s="346"/>
      <c r="Z509" s="346"/>
      <c r="AA509" s="346"/>
      <c r="AB509" s="346"/>
      <c r="AC509" s="346"/>
      <c r="AD509" s="346"/>
      <c r="AE509" s="346"/>
      <c r="AF509" s="346"/>
      <c r="AG509" s="346"/>
      <c r="AH509" s="346"/>
      <c r="AI509" s="346"/>
      <c r="AJ509" s="346"/>
      <c r="AK509" s="346"/>
      <c r="AL509" s="346"/>
      <c r="AM509" s="346"/>
      <c r="AN509" s="346">
        <f>7</f>
        <v>7</v>
      </c>
      <c r="AO509" s="346"/>
      <c r="AP509" s="346"/>
      <c r="AQ509" s="346"/>
      <c r="AR509" s="346"/>
      <c r="AS509" s="346"/>
      <c r="AT509" s="346"/>
      <c r="AU509" s="346"/>
      <c r="AV509">
        <f t="shared" si="69"/>
        <v>12</v>
      </c>
      <c r="AW509" s="351">
        <f t="shared" si="70"/>
        <v>3.2171581769436998E-2</v>
      </c>
    </row>
    <row r="510" spans="1:49" ht="18.75" customHeight="1">
      <c r="A510" s="357">
        <v>46280</v>
      </c>
      <c r="B510"/>
      <c r="C510"/>
      <c r="D510"/>
      <c r="E510"/>
      <c r="F510"/>
      <c r="G510"/>
      <c r="H510"/>
      <c r="I510"/>
      <c r="J510"/>
      <c r="K510"/>
      <c r="L510"/>
      <c r="M510"/>
      <c r="N510"/>
      <c r="O510"/>
      <c r="P510"/>
      <c r="Q510"/>
      <c r="R510"/>
      <c r="S510">
        <f>2+2</f>
        <v>4</v>
      </c>
      <c r="T510"/>
      <c r="U510"/>
      <c r="V510"/>
      <c r="W510"/>
      <c r="X510"/>
      <c r="Y510"/>
      <c r="Z510"/>
      <c r="AA510"/>
      <c r="AB510"/>
      <c r="AC510"/>
      <c r="AD510"/>
      <c r="AE510"/>
      <c r="AF510"/>
      <c r="AG510"/>
      <c r="AH510"/>
      <c r="AI510"/>
      <c r="AJ510"/>
      <c r="AK510"/>
      <c r="AL510"/>
      <c r="AM510"/>
      <c r="AN510"/>
      <c r="AO510"/>
      <c r="AP510"/>
      <c r="AQ510"/>
      <c r="AR510"/>
      <c r="AS510"/>
      <c r="AT510"/>
      <c r="AU510"/>
      <c r="AV510">
        <f t="shared" si="69"/>
        <v>4</v>
      </c>
      <c r="AW510" s="351">
        <f t="shared" si="70"/>
        <v>1.0723860589812333E-2</v>
      </c>
    </row>
    <row r="511" spans="1:49" ht="18.75" customHeight="1">
      <c r="A511" s="357">
        <v>46280</v>
      </c>
      <c r="B511" s="346"/>
      <c r="C511" s="346"/>
      <c r="D511" s="346"/>
      <c r="E511" s="346"/>
      <c r="F511" s="346"/>
      <c r="G511" s="346"/>
      <c r="H511" s="346"/>
      <c r="I511" s="346"/>
      <c r="J511" s="346"/>
      <c r="K511" s="346"/>
      <c r="L511" s="346"/>
      <c r="M511" s="346"/>
      <c r="N511" s="346"/>
      <c r="O511" s="346"/>
      <c r="P511" s="346"/>
      <c r="Q511" s="346"/>
      <c r="R511" s="346">
        <f>2</f>
        <v>2</v>
      </c>
      <c r="S511" s="346">
        <f>2+2+2+2+1+1+1</f>
        <v>11</v>
      </c>
      <c r="T511" s="346"/>
      <c r="U511" s="346"/>
      <c r="V511" s="346"/>
      <c r="W511" s="346"/>
      <c r="X511" s="346"/>
      <c r="Y511" s="346"/>
      <c r="Z511" s="346"/>
      <c r="AA511" s="346"/>
      <c r="AB511" s="346"/>
      <c r="AC511" s="346"/>
      <c r="AD511" s="346">
        <f>2+2+2</f>
        <v>6</v>
      </c>
      <c r="AE511" s="346"/>
      <c r="AF511" s="346"/>
      <c r="AG511" s="346"/>
      <c r="AH511" s="346">
        <f>2</f>
        <v>2</v>
      </c>
      <c r="AI511" s="346"/>
      <c r="AJ511" s="346"/>
      <c r="AK511" s="346"/>
      <c r="AL511" s="346"/>
      <c r="AM511" s="346"/>
      <c r="AN511" s="346"/>
      <c r="AO511" s="346"/>
      <c r="AP511" s="346"/>
      <c r="AQ511" s="346"/>
      <c r="AR511" s="346"/>
      <c r="AS511" s="346"/>
      <c r="AT511" s="346"/>
      <c r="AU511" s="346"/>
      <c r="AV511">
        <f t="shared" si="69"/>
        <v>21</v>
      </c>
      <c r="AW511" s="351">
        <f t="shared" si="70"/>
        <v>5.6300268096514748E-2</v>
      </c>
    </row>
    <row r="512" spans="1:49" ht="18.75" customHeight="1">
      <c r="A512" s="357">
        <v>46281</v>
      </c>
      <c r="B512"/>
      <c r="C512"/>
      <c r="D512"/>
      <c r="E512"/>
      <c r="F512"/>
      <c r="G512"/>
      <c r="H512"/>
      <c r="I512"/>
      <c r="J512"/>
      <c r="K512"/>
      <c r="L512"/>
      <c r="M512"/>
      <c r="N512"/>
      <c r="O512"/>
      <c r="P512"/>
      <c r="Q512"/>
      <c r="R512"/>
      <c r="S512">
        <f>2+2</f>
        <v>4</v>
      </c>
      <c r="T512"/>
      <c r="U512"/>
      <c r="V512"/>
      <c r="W512"/>
      <c r="X512"/>
      <c r="Y512"/>
      <c r="Z512"/>
      <c r="AA512"/>
      <c r="AB512"/>
      <c r="AC512"/>
      <c r="AD512"/>
      <c r="AE512"/>
      <c r="AF512"/>
      <c r="AG512"/>
      <c r="AH512"/>
      <c r="AI512"/>
      <c r="AJ512"/>
      <c r="AK512"/>
      <c r="AL512"/>
      <c r="AM512"/>
      <c r="AN512"/>
      <c r="AO512"/>
      <c r="AP512"/>
      <c r="AQ512"/>
      <c r="AR512"/>
      <c r="AS512"/>
      <c r="AT512"/>
      <c r="AU512"/>
      <c r="AV512">
        <f t="shared" si="69"/>
        <v>4</v>
      </c>
      <c r="AW512" s="351">
        <f t="shared" si="70"/>
        <v>1.0723860589812333E-2</v>
      </c>
    </row>
    <row r="513" spans="1:49" ht="18.75" customHeight="1">
      <c r="A513" s="357">
        <v>46281</v>
      </c>
      <c r="B513" s="346"/>
      <c r="C513" s="346"/>
      <c r="D513" s="346"/>
      <c r="E513" s="346"/>
      <c r="F513" s="346"/>
      <c r="G513" s="346"/>
      <c r="H513" s="346"/>
      <c r="I513" s="346"/>
      <c r="J513" s="346"/>
      <c r="K513" s="346"/>
      <c r="L513" s="346"/>
      <c r="M513" s="346"/>
      <c r="N513" s="346"/>
      <c r="O513" s="346"/>
      <c r="P513" s="346"/>
      <c r="Q513" s="346"/>
      <c r="R513" s="346"/>
      <c r="S513" s="346"/>
      <c r="T513" s="346"/>
      <c r="U513" s="346"/>
      <c r="V513" s="346"/>
      <c r="W513" s="346"/>
      <c r="X513" s="346"/>
      <c r="Y513" s="346"/>
      <c r="Z513" s="346"/>
      <c r="AA513" s="346"/>
      <c r="AB513" s="346"/>
      <c r="AC513" s="346"/>
      <c r="AD513" s="346"/>
      <c r="AE513" s="346"/>
      <c r="AF513" s="346"/>
      <c r="AG513" s="346"/>
      <c r="AH513" s="346"/>
      <c r="AI513" s="346"/>
      <c r="AJ513" s="346"/>
      <c r="AK513" s="346"/>
      <c r="AL513" s="346"/>
      <c r="AM513" s="346"/>
      <c r="AN513" s="346"/>
      <c r="AO513" s="346"/>
      <c r="AP513" s="346"/>
      <c r="AQ513" s="346"/>
      <c r="AR513" s="346"/>
      <c r="AS513" s="346"/>
      <c r="AT513" s="346"/>
      <c r="AU513" s="346"/>
      <c r="AV513">
        <f t="shared" si="69"/>
        <v>0</v>
      </c>
      <c r="AW513" s="351">
        <f t="shared" si="70"/>
        <v>0</v>
      </c>
    </row>
    <row r="514" spans="1:49" ht="19.5" customHeight="1">
      <c r="A514" s="357">
        <v>46282</v>
      </c>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c r="AK514"/>
      <c r="AL514"/>
      <c r="AM514"/>
      <c r="AN514"/>
      <c r="AO514"/>
      <c r="AP514"/>
      <c r="AQ514"/>
      <c r="AR514"/>
      <c r="AS514"/>
      <c r="AT514"/>
      <c r="AU514"/>
      <c r="AV514">
        <f t="shared" si="69"/>
        <v>0</v>
      </c>
      <c r="AW514" s="351">
        <f t="shared" si="70"/>
        <v>0</v>
      </c>
    </row>
    <row r="515" spans="1:49" ht="18.75" customHeight="1">
      <c r="A515" s="357">
        <v>46282</v>
      </c>
      <c r="B515" s="346"/>
      <c r="C515" s="346"/>
      <c r="D515" s="346"/>
      <c r="E515" s="346"/>
      <c r="F515" s="346"/>
      <c r="G515" s="346"/>
      <c r="H515" s="346"/>
      <c r="I515" s="346"/>
      <c r="J515" s="346"/>
      <c r="K515" s="346"/>
      <c r="L515" s="346"/>
      <c r="M515" s="346"/>
      <c r="N515" s="346"/>
      <c r="O515" s="346"/>
      <c r="P515" s="346"/>
      <c r="Q515" s="346"/>
      <c r="R515" s="346"/>
      <c r="S515" s="346"/>
      <c r="T515" s="346"/>
      <c r="U515" s="346"/>
      <c r="V515" s="346"/>
      <c r="W515" s="346"/>
      <c r="X515" s="346"/>
      <c r="Y515" s="346"/>
      <c r="Z515" s="346"/>
      <c r="AA515" s="346"/>
      <c r="AB515" s="346"/>
      <c r="AC515" s="346"/>
      <c r="AD515" s="346"/>
      <c r="AE515" s="346"/>
      <c r="AF515" s="346"/>
      <c r="AG515" s="346"/>
      <c r="AH515" s="346"/>
      <c r="AI515" s="346"/>
      <c r="AJ515" s="346"/>
      <c r="AK515" s="346"/>
      <c r="AL515" s="346"/>
      <c r="AM515" s="346"/>
      <c r="AN515" s="346"/>
      <c r="AO515" s="346"/>
      <c r="AP515" s="346"/>
      <c r="AQ515" s="346"/>
      <c r="AR515" s="346"/>
      <c r="AS515" s="346"/>
      <c r="AT515" s="346"/>
      <c r="AU515" s="346"/>
      <c r="AV515">
        <f t="shared" si="69"/>
        <v>0</v>
      </c>
      <c r="AW515" s="351">
        <f t="shared" si="70"/>
        <v>0</v>
      </c>
    </row>
    <row r="516" spans="1:49" ht="18.75" customHeight="1">
      <c r="A516" s="357">
        <v>46282</v>
      </c>
      <c r="B516"/>
      <c r="C516"/>
      <c r="D516"/>
      <c r="E516"/>
      <c r="F516"/>
      <c r="G516"/>
      <c r="H516"/>
      <c r="I516"/>
      <c r="J516"/>
      <c r="K516"/>
      <c r="L516"/>
      <c r="M516"/>
      <c r="N516"/>
      <c r="O516"/>
      <c r="P516"/>
      <c r="Q516"/>
      <c r="R516"/>
      <c r="S516">
        <f>2+5</f>
        <v>7</v>
      </c>
      <c r="T516"/>
      <c r="U516"/>
      <c r="V516"/>
      <c r="W516"/>
      <c r="X516"/>
      <c r="Y516"/>
      <c r="Z516"/>
      <c r="AA516"/>
      <c r="AB516"/>
      <c r="AC516"/>
      <c r="AD516">
        <f>2</f>
        <v>2</v>
      </c>
      <c r="AE516"/>
      <c r="AF516"/>
      <c r="AG516"/>
      <c r="AH516"/>
      <c r="AI516"/>
      <c r="AJ516"/>
      <c r="AK516"/>
      <c r="AL516"/>
      <c r="AM516"/>
      <c r="AN516"/>
      <c r="AO516"/>
      <c r="AP516"/>
      <c r="AQ516"/>
      <c r="AR516"/>
      <c r="AS516"/>
      <c r="AT516"/>
      <c r="AU516"/>
      <c r="AV516">
        <f t="shared" si="69"/>
        <v>9</v>
      </c>
      <c r="AW516" s="351">
        <f t="shared" si="70"/>
        <v>2.4128686327077747E-2</v>
      </c>
    </row>
    <row r="517" spans="1:49" ht="18.75" customHeight="1">
      <c r="A517" s="357">
        <v>46283</v>
      </c>
      <c r="B517" s="346"/>
      <c r="C517" s="346"/>
      <c r="D517" s="346"/>
      <c r="E517" s="346"/>
      <c r="F517" s="346"/>
      <c r="G517" s="346"/>
      <c r="H517" s="346"/>
      <c r="I517" s="346"/>
      <c r="J517" s="346"/>
      <c r="K517" s="346"/>
      <c r="L517" s="346"/>
      <c r="M517" s="346"/>
      <c r="N517" s="346"/>
      <c r="O517" s="346"/>
      <c r="P517" s="346"/>
      <c r="Q517" s="346"/>
      <c r="R517" s="346"/>
      <c r="S517" s="346">
        <f>2+2+2</f>
        <v>6</v>
      </c>
      <c r="T517" s="346"/>
      <c r="U517" s="346"/>
      <c r="V517" s="346"/>
      <c r="W517" s="346"/>
      <c r="X517" s="346"/>
      <c r="Y517" s="346">
        <f>15</f>
        <v>15</v>
      </c>
      <c r="Z517" s="346"/>
      <c r="AA517" s="346"/>
      <c r="AB517" s="346"/>
      <c r="AC517" s="346"/>
      <c r="AD517" s="346">
        <f>2</f>
        <v>2</v>
      </c>
      <c r="AE517" s="346"/>
      <c r="AF517" s="346"/>
      <c r="AG517" s="346"/>
      <c r="AH517" s="346"/>
      <c r="AI517" s="346"/>
      <c r="AJ517" s="346"/>
      <c r="AK517" s="346"/>
      <c r="AL517" s="346"/>
      <c r="AM517" s="346"/>
      <c r="AN517" s="346"/>
      <c r="AO517" s="346"/>
      <c r="AP517" s="346"/>
      <c r="AQ517" s="346"/>
      <c r="AR517" s="346"/>
      <c r="AS517" s="346"/>
      <c r="AT517" s="346"/>
      <c r="AU517" s="346"/>
      <c r="AV517">
        <f t="shared" si="69"/>
        <v>23</v>
      </c>
      <c r="AW517" s="351">
        <f t="shared" si="70"/>
        <v>6.1662198391420911E-2</v>
      </c>
    </row>
    <row r="518" spans="1:49" ht="18.75" customHeight="1">
      <c r="A518" s="357">
        <v>46283</v>
      </c>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c r="AK518"/>
      <c r="AL518"/>
      <c r="AM518"/>
      <c r="AN518"/>
      <c r="AO518"/>
      <c r="AP518"/>
      <c r="AQ518"/>
      <c r="AR518"/>
      <c r="AS518"/>
      <c r="AT518"/>
      <c r="AU518"/>
      <c r="AV518">
        <f t="shared" si="69"/>
        <v>0</v>
      </c>
      <c r="AW518" s="351">
        <f t="shared" si="70"/>
        <v>0</v>
      </c>
    </row>
    <row r="519" spans="1:49" ht="18.75" customHeight="1">
      <c r="A519" s="357">
        <v>46283</v>
      </c>
      <c r="B519" s="346"/>
      <c r="C519" s="346"/>
      <c r="D519" s="346"/>
      <c r="E519" s="346"/>
      <c r="F519" s="346"/>
      <c r="G519" s="346"/>
      <c r="H519" s="346"/>
      <c r="I519" s="346"/>
      <c r="J519" s="346"/>
      <c r="K519" s="346"/>
      <c r="L519" s="346"/>
      <c r="M519" s="346"/>
      <c r="N519" s="346"/>
      <c r="O519" s="346"/>
      <c r="P519" s="346"/>
      <c r="Q519" s="346"/>
      <c r="R519" s="346"/>
      <c r="S519" s="346"/>
      <c r="T519" s="346"/>
      <c r="U519" s="346"/>
      <c r="V519" s="346"/>
      <c r="W519" s="346"/>
      <c r="X519" s="346"/>
      <c r="Y519" s="346"/>
      <c r="Z519" s="346"/>
      <c r="AA519" s="346"/>
      <c r="AB519" s="346"/>
      <c r="AC519" s="346"/>
      <c r="AD519" s="346"/>
      <c r="AE519" s="346"/>
      <c r="AF519" s="346"/>
      <c r="AG519" s="346"/>
      <c r="AH519" s="346"/>
      <c r="AI519" s="346"/>
      <c r="AJ519" s="346"/>
      <c r="AK519" s="346"/>
      <c r="AL519" s="346"/>
      <c r="AM519" s="346"/>
      <c r="AN519" s="346"/>
      <c r="AO519" s="346"/>
      <c r="AP519" s="346"/>
      <c r="AQ519" s="346"/>
      <c r="AR519" s="346"/>
      <c r="AS519" s="346"/>
      <c r="AT519" s="346"/>
      <c r="AU519" s="346"/>
      <c r="AV519">
        <f t="shared" si="69"/>
        <v>0</v>
      </c>
      <c r="AW519" s="351">
        <f t="shared" si="70"/>
        <v>0</v>
      </c>
    </row>
    <row r="520" spans="1:49" ht="18.75" customHeight="1">
      <c r="A520" s="357">
        <v>46286</v>
      </c>
      <c r="B520"/>
      <c r="C520"/>
      <c r="D520"/>
      <c r="E520"/>
      <c r="F520"/>
      <c r="G520"/>
      <c r="H520"/>
      <c r="I520"/>
      <c r="J520"/>
      <c r="K520"/>
      <c r="L520"/>
      <c r="M520"/>
      <c r="N520"/>
      <c r="O520"/>
      <c r="P520"/>
      <c r="Q520"/>
      <c r="R520"/>
      <c r="S520">
        <f>2</f>
        <v>2</v>
      </c>
      <c r="T520"/>
      <c r="U520"/>
      <c r="V520"/>
      <c r="W520"/>
      <c r="X520"/>
      <c r="Y520"/>
      <c r="Z520"/>
      <c r="AA520"/>
      <c r="AB520"/>
      <c r="AC520"/>
      <c r="AD520"/>
      <c r="AE520"/>
      <c r="AF520"/>
      <c r="AG520"/>
      <c r="AH520"/>
      <c r="AI520"/>
      <c r="AJ520"/>
      <c r="AK520"/>
      <c r="AL520"/>
      <c r="AM520"/>
      <c r="AN520"/>
      <c r="AO520"/>
      <c r="AP520"/>
      <c r="AQ520"/>
      <c r="AR520"/>
      <c r="AS520"/>
      <c r="AT520"/>
      <c r="AU520"/>
      <c r="AV520">
        <f t="shared" si="69"/>
        <v>2</v>
      </c>
      <c r="AW520" s="351">
        <f t="shared" si="70"/>
        <v>5.3619302949061663E-3</v>
      </c>
    </row>
    <row r="521" spans="1:49" ht="18.75" customHeight="1">
      <c r="A521" s="357">
        <v>46286</v>
      </c>
      <c r="B521" s="346"/>
      <c r="C521" s="346"/>
      <c r="D521" s="346"/>
      <c r="E521" s="346"/>
      <c r="F521" s="346"/>
      <c r="G521" s="346"/>
      <c r="H521" s="346"/>
      <c r="I521" s="346"/>
      <c r="J521" s="346"/>
      <c r="K521" s="346"/>
      <c r="L521" s="346"/>
      <c r="M521" s="346"/>
      <c r="N521" s="346"/>
      <c r="O521" s="346"/>
      <c r="P521" s="346"/>
      <c r="Q521" s="346"/>
      <c r="R521" s="346"/>
      <c r="S521" s="346"/>
      <c r="T521" s="346"/>
      <c r="U521" s="346"/>
      <c r="V521" s="346"/>
      <c r="W521" s="346"/>
      <c r="X521" s="346"/>
      <c r="Y521" s="346"/>
      <c r="Z521" s="346"/>
      <c r="AA521" s="346"/>
      <c r="AB521" s="346"/>
      <c r="AC521" s="346"/>
      <c r="AD521" s="346"/>
      <c r="AE521" s="346"/>
      <c r="AF521" s="346"/>
      <c r="AG521" s="346"/>
      <c r="AH521" s="346"/>
      <c r="AI521" s="346"/>
      <c r="AJ521" s="346"/>
      <c r="AK521" s="346"/>
      <c r="AL521" s="346"/>
      <c r="AM521" s="346"/>
      <c r="AN521" s="346"/>
      <c r="AO521" s="346"/>
      <c r="AP521" s="346"/>
      <c r="AQ521" s="346"/>
      <c r="AR521" s="346"/>
      <c r="AS521" s="346"/>
      <c r="AT521" s="346"/>
      <c r="AU521" s="346"/>
      <c r="AV521">
        <f t="shared" si="69"/>
        <v>0</v>
      </c>
      <c r="AW521" s="351">
        <f t="shared" si="70"/>
        <v>0</v>
      </c>
    </row>
    <row r="522" spans="1:49" ht="18.75" customHeight="1">
      <c r="A522" s="357">
        <v>46287</v>
      </c>
      <c r="B522"/>
      <c r="C522"/>
      <c r="D522"/>
      <c r="E522"/>
      <c r="F522"/>
      <c r="G522"/>
      <c r="H522"/>
      <c r="I522"/>
      <c r="J522"/>
      <c r="K522"/>
      <c r="L522"/>
      <c r="M522"/>
      <c r="N522"/>
      <c r="O522"/>
      <c r="P522"/>
      <c r="Q522"/>
      <c r="R522"/>
      <c r="S522">
        <f>2+2+2+1</f>
        <v>7</v>
      </c>
      <c r="T522"/>
      <c r="U522"/>
      <c r="V522">
        <v>4</v>
      </c>
      <c r="W522"/>
      <c r="X522"/>
      <c r="Y522"/>
      <c r="Z522"/>
      <c r="AA522"/>
      <c r="AB522"/>
      <c r="AC522"/>
      <c r="AD522"/>
      <c r="AE522"/>
      <c r="AF522"/>
      <c r="AG522"/>
      <c r="AH522"/>
      <c r="AI522"/>
      <c r="AJ522"/>
      <c r="AK522"/>
      <c r="AL522"/>
      <c r="AM522"/>
      <c r="AN522"/>
      <c r="AO522"/>
      <c r="AP522"/>
      <c r="AQ522"/>
      <c r="AR522"/>
      <c r="AS522"/>
      <c r="AT522"/>
      <c r="AU522"/>
      <c r="AV522">
        <f t="shared" si="69"/>
        <v>11</v>
      </c>
      <c r="AW522" s="351">
        <f t="shared" si="70"/>
        <v>2.9490616621983913E-2</v>
      </c>
    </row>
    <row r="523" spans="1:49" ht="18.75" customHeight="1">
      <c r="A523" s="357">
        <v>46288</v>
      </c>
      <c r="B523" s="346"/>
      <c r="C523" s="346"/>
      <c r="D523" s="346"/>
      <c r="E523" s="346"/>
      <c r="F523" s="346"/>
      <c r="G523" s="346"/>
      <c r="H523" s="346"/>
      <c r="I523" s="346"/>
      <c r="J523" s="346"/>
      <c r="K523" s="346"/>
      <c r="L523" s="346"/>
      <c r="M523" s="346"/>
      <c r="N523" s="346"/>
      <c r="O523" s="346"/>
      <c r="P523" s="346"/>
      <c r="Q523" s="346"/>
      <c r="R523" s="346"/>
      <c r="S523" s="346"/>
      <c r="T523" s="346"/>
      <c r="U523" s="346"/>
      <c r="V523" s="346"/>
      <c r="W523" s="346"/>
      <c r="X523" s="346"/>
      <c r="Y523" s="346"/>
      <c r="Z523" s="346"/>
      <c r="AA523" s="346"/>
      <c r="AB523" s="346"/>
      <c r="AC523" s="346">
        <f>2</f>
        <v>2</v>
      </c>
      <c r="AD523" s="346"/>
      <c r="AE523" s="346"/>
      <c r="AF523" s="346"/>
      <c r="AG523" s="346"/>
      <c r="AH523" s="346"/>
      <c r="AI523" s="346"/>
      <c r="AJ523" s="346"/>
      <c r="AK523" s="346"/>
      <c r="AL523" s="346"/>
      <c r="AM523" s="346"/>
      <c r="AN523" s="346"/>
      <c r="AO523" s="346"/>
      <c r="AP523" s="346"/>
      <c r="AQ523" s="346"/>
      <c r="AR523" s="346"/>
      <c r="AS523" s="346"/>
      <c r="AT523" s="346"/>
      <c r="AU523" s="346"/>
      <c r="AV523">
        <f t="shared" si="69"/>
        <v>2</v>
      </c>
      <c r="AW523" s="351">
        <f t="shared" si="70"/>
        <v>5.3619302949061663E-3</v>
      </c>
    </row>
    <row r="524" spans="1:49" ht="18.75" customHeight="1">
      <c r="A524" s="357">
        <v>46288</v>
      </c>
      <c r="B524"/>
      <c r="C524"/>
      <c r="D524"/>
      <c r="E524"/>
      <c r="F524"/>
      <c r="G524"/>
      <c r="H524"/>
      <c r="I524"/>
      <c r="J524"/>
      <c r="K524"/>
      <c r="L524"/>
      <c r="M524"/>
      <c r="N524"/>
      <c r="O524"/>
      <c r="P524"/>
      <c r="Q524"/>
      <c r="R524">
        <f>2+2</f>
        <v>4</v>
      </c>
      <c r="S524">
        <f>2+2+2</f>
        <v>6</v>
      </c>
      <c r="T524"/>
      <c r="U524"/>
      <c r="V524"/>
      <c r="W524"/>
      <c r="X524"/>
      <c r="Y524"/>
      <c r="Z524"/>
      <c r="AA524"/>
      <c r="AB524"/>
      <c r="AC524"/>
      <c r="AD524">
        <f>3</f>
        <v>3</v>
      </c>
      <c r="AE524"/>
      <c r="AF524"/>
      <c r="AG524"/>
      <c r="AH524"/>
      <c r="AI524"/>
      <c r="AJ524"/>
      <c r="AK524"/>
      <c r="AL524"/>
      <c r="AM524"/>
      <c r="AN524"/>
      <c r="AO524"/>
      <c r="AP524"/>
      <c r="AQ524"/>
      <c r="AR524"/>
      <c r="AS524"/>
      <c r="AT524"/>
      <c r="AU524"/>
      <c r="AV524">
        <f t="shared" si="69"/>
        <v>13</v>
      </c>
      <c r="AW524" s="351">
        <f t="shared" si="70"/>
        <v>3.4852546916890083E-2</v>
      </c>
    </row>
    <row r="525" spans="1:49" ht="18.75" customHeight="1">
      <c r="A525" s="357">
        <v>46289</v>
      </c>
      <c r="B525" s="346"/>
      <c r="C525" s="346"/>
      <c r="D525" s="346"/>
      <c r="E525" s="346"/>
      <c r="F525" s="346"/>
      <c r="G525" s="346"/>
      <c r="H525" s="346"/>
      <c r="I525" s="346"/>
      <c r="J525" s="346"/>
      <c r="K525" s="346"/>
      <c r="L525" s="346"/>
      <c r="M525" s="346"/>
      <c r="N525" s="346"/>
      <c r="O525" s="346"/>
      <c r="P525" s="346"/>
      <c r="Q525" s="346"/>
      <c r="R525" s="346"/>
      <c r="S525" s="346">
        <f>2+2</f>
        <v>4</v>
      </c>
      <c r="T525" s="346"/>
      <c r="U525" s="346"/>
      <c r="V525" s="346">
        <f>1</f>
        <v>1</v>
      </c>
      <c r="W525" s="346"/>
      <c r="X525" s="346"/>
      <c r="Y525" s="346"/>
      <c r="Z525" s="346"/>
      <c r="AA525" s="346"/>
      <c r="AB525" s="346"/>
      <c r="AC525" s="346"/>
      <c r="AD525" s="346"/>
      <c r="AE525" s="346"/>
      <c r="AF525" s="346"/>
      <c r="AG525" s="346"/>
      <c r="AH525" s="346"/>
      <c r="AI525" s="346"/>
      <c r="AJ525" s="346"/>
      <c r="AK525" s="346"/>
      <c r="AL525" s="346"/>
      <c r="AM525" s="346"/>
      <c r="AN525" s="346"/>
      <c r="AO525" s="346"/>
      <c r="AP525" s="346"/>
      <c r="AQ525" s="346"/>
      <c r="AR525" s="346"/>
      <c r="AS525" s="346"/>
      <c r="AT525" s="346"/>
      <c r="AU525" s="346"/>
      <c r="AV525">
        <f t="shared" si="69"/>
        <v>5</v>
      </c>
      <c r="AW525" s="351">
        <f t="shared" si="70"/>
        <v>1.3404825737265416E-2</v>
      </c>
    </row>
    <row r="526" spans="1:49" ht="18.75" customHeight="1">
      <c r="A526" s="357">
        <v>46290</v>
      </c>
      <c r="B526"/>
      <c r="C526"/>
      <c r="D526"/>
      <c r="E526"/>
      <c r="F526"/>
      <c r="G526"/>
      <c r="H526"/>
      <c r="I526"/>
      <c r="J526"/>
      <c r="K526"/>
      <c r="L526"/>
      <c r="M526"/>
      <c r="N526"/>
      <c r="O526"/>
      <c r="P526"/>
      <c r="Q526"/>
      <c r="R526"/>
      <c r="S526">
        <f>2+2+2+2</f>
        <v>8</v>
      </c>
      <c r="T526"/>
      <c r="U526"/>
      <c r="V526"/>
      <c r="W526"/>
      <c r="X526"/>
      <c r="Y526"/>
      <c r="Z526"/>
      <c r="AA526"/>
      <c r="AB526"/>
      <c r="AC526">
        <f>3</f>
        <v>3</v>
      </c>
      <c r="AD526"/>
      <c r="AE526"/>
      <c r="AF526"/>
      <c r="AG526"/>
      <c r="AH526"/>
      <c r="AI526"/>
      <c r="AJ526"/>
      <c r="AK526"/>
      <c r="AL526"/>
      <c r="AM526"/>
      <c r="AN526"/>
      <c r="AO526"/>
      <c r="AP526"/>
      <c r="AQ526"/>
      <c r="AR526"/>
      <c r="AS526"/>
      <c r="AT526"/>
      <c r="AU526"/>
      <c r="AV526">
        <f t="shared" ref="AV526:AV551" si="71">SUM(B526:AU526)</f>
        <v>11</v>
      </c>
      <c r="AW526" s="351">
        <f t="shared" si="70"/>
        <v>2.9490616621983913E-2</v>
      </c>
    </row>
    <row r="527" spans="1:49" ht="18.75" customHeight="1">
      <c r="A527" s="357">
        <v>46290</v>
      </c>
      <c r="B527" s="346"/>
      <c r="C527" s="346"/>
      <c r="D527" s="346"/>
      <c r="E527" s="346"/>
      <c r="F527" s="346"/>
      <c r="G527" s="346"/>
      <c r="H527" s="346"/>
      <c r="I527" s="346"/>
      <c r="J527" s="346"/>
      <c r="K527" s="346"/>
      <c r="L527" s="346"/>
      <c r="M527" s="346"/>
      <c r="N527" s="346"/>
      <c r="O527" s="346"/>
      <c r="P527" s="346"/>
      <c r="Q527" s="346"/>
      <c r="R527" s="346"/>
      <c r="S527" s="346"/>
      <c r="T527" s="346"/>
      <c r="U527" s="346"/>
      <c r="V527" s="346"/>
      <c r="W527" s="346"/>
      <c r="X527" s="346"/>
      <c r="Y527" s="346"/>
      <c r="Z527" s="346"/>
      <c r="AA527" s="346"/>
      <c r="AB527" s="346"/>
      <c r="AC527" s="346"/>
      <c r="AD527" s="346"/>
      <c r="AE527" s="346"/>
      <c r="AF527" s="346"/>
      <c r="AG527" s="346"/>
      <c r="AH527" s="346"/>
      <c r="AI527" s="346"/>
      <c r="AJ527" s="346"/>
      <c r="AK527" s="346"/>
      <c r="AL527" s="346"/>
      <c r="AM527" s="346"/>
      <c r="AN527" s="346"/>
      <c r="AO527" s="346"/>
      <c r="AP527" s="346"/>
      <c r="AQ527" s="346"/>
      <c r="AR527" s="346"/>
      <c r="AS527" s="346"/>
      <c r="AT527" s="346"/>
      <c r="AU527" s="346"/>
      <c r="AV527">
        <f t="shared" si="71"/>
        <v>0</v>
      </c>
      <c r="AW527" s="351">
        <f t="shared" si="70"/>
        <v>0</v>
      </c>
    </row>
    <row r="528" spans="1:49" ht="18.75" customHeight="1">
      <c r="A528" s="357">
        <v>46293</v>
      </c>
      <c r="B528"/>
      <c r="C528"/>
      <c r="D528"/>
      <c r="E528"/>
      <c r="F528"/>
      <c r="G528"/>
      <c r="H528"/>
      <c r="I528"/>
      <c r="J528"/>
      <c r="K528"/>
      <c r="L528"/>
      <c r="M528"/>
      <c r="N528"/>
      <c r="O528"/>
      <c r="P528"/>
      <c r="Q528"/>
      <c r="R528"/>
      <c r="S528">
        <f>2+2+2+2+2</f>
        <v>10</v>
      </c>
      <c r="T528"/>
      <c r="U528"/>
      <c r="V528"/>
      <c r="W528"/>
      <c r="X528"/>
      <c r="Y528"/>
      <c r="Z528"/>
      <c r="AA528"/>
      <c r="AB528"/>
      <c r="AC528"/>
      <c r="AD528"/>
      <c r="AE528"/>
      <c r="AF528">
        <f>15+3+3</f>
        <v>21</v>
      </c>
      <c r="AG528"/>
      <c r="AH528"/>
      <c r="AI528"/>
      <c r="AJ528"/>
      <c r="AK528"/>
      <c r="AL528"/>
      <c r="AM528"/>
      <c r="AN528"/>
      <c r="AO528"/>
      <c r="AP528"/>
      <c r="AQ528"/>
      <c r="AR528"/>
      <c r="AS528"/>
      <c r="AT528"/>
      <c r="AU528"/>
      <c r="AV528">
        <f t="shared" si="71"/>
        <v>31</v>
      </c>
      <c r="AW528" s="351">
        <f t="shared" si="70"/>
        <v>8.3109919571045576E-2</v>
      </c>
    </row>
    <row r="529" spans="1:49" ht="18.75" customHeight="1">
      <c r="A529" s="357">
        <v>46294</v>
      </c>
      <c r="B529" s="346"/>
      <c r="C529" s="346"/>
      <c r="D529" s="346"/>
      <c r="E529" s="346"/>
      <c r="F529" s="346"/>
      <c r="G529" s="346"/>
      <c r="H529" s="346"/>
      <c r="I529" s="346"/>
      <c r="J529" s="346"/>
      <c r="K529" s="346"/>
      <c r="L529" s="346"/>
      <c r="M529" s="346"/>
      <c r="N529" s="346"/>
      <c r="O529" s="346"/>
      <c r="P529" s="346"/>
      <c r="Q529" s="346"/>
      <c r="R529" s="346"/>
      <c r="S529" s="346"/>
      <c r="T529" s="346"/>
      <c r="U529" s="346"/>
      <c r="V529" s="346"/>
      <c r="W529" s="346"/>
      <c r="X529" s="346"/>
      <c r="Y529" s="346"/>
      <c r="Z529" s="346"/>
      <c r="AA529" s="346"/>
      <c r="AB529" s="346"/>
      <c r="AC529" s="346"/>
      <c r="AD529" s="346"/>
      <c r="AE529" s="346"/>
      <c r="AF529" s="346">
        <f>3</f>
        <v>3</v>
      </c>
      <c r="AG529" s="346"/>
      <c r="AH529" s="346"/>
      <c r="AI529" s="346"/>
      <c r="AJ529" s="346"/>
      <c r="AK529" s="346"/>
      <c r="AL529" s="346"/>
      <c r="AM529" s="346"/>
      <c r="AN529" s="346"/>
      <c r="AO529" s="346"/>
      <c r="AP529" s="346"/>
      <c r="AQ529" s="346"/>
      <c r="AR529" s="346"/>
      <c r="AS529" s="346"/>
      <c r="AT529" s="346"/>
      <c r="AU529" s="346"/>
      <c r="AV529">
        <f t="shared" si="71"/>
        <v>3</v>
      </c>
      <c r="AW529" s="351">
        <f t="shared" si="70"/>
        <v>8.0428954423592495E-3</v>
      </c>
    </row>
    <row r="530" spans="1:49" ht="18.75" customHeight="1">
      <c r="A530" s="357">
        <v>46294</v>
      </c>
      <c r="B530"/>
      <c r="C530"/>
      <c r="D530"/>
      <c r="E530"/>
      <c r="F530"/>
      <c r="G530"/>
      <c r="H530"/>
      <c r="I530"/>
      <c r="J530"/>
      <c r="K530"/>
      <c r="L530"/>
      <c r="M530"/>
      <c r="N530"/>
      <c r="O530"/>
      <c r="P530"/>
      <c r="Q530"/>
      <c r="R530"/>
      <c r="S530">
        <f>2+2</f>
        <v>4</v>
      </c>
      <c r="T530"/>
      <c r="U530"/>
      <c r="V530"/>
      <c r="W530"/>
      <c r="X530"/>
      <c r="Y530"/>
      <c r="Z530"/>
      <c r="AA530"/>
      <c r="AB530"/>
      <c r="AC530"/>
      <c r="AD530"/>
      <c r="AE530"/>
      <c r="AF530"/>
      <c r="AG530"/>
      <c r="AH530"/>
      <c r="AI530"/>
      <c r="AJ530"/>
      <c r="AK530"/>
      <c r="AL530"/>
      <c r="AM530"/>
      <c r="AN530"/>
      <c r="AO530"/>
      <c r="AP530"/>
      <c r="AQ530"/>
      <c r="AR530"/>
      <c r="AS530"/>
      <c r="AT530"/>
      <c r="AU530"/>
      <c r="AV530">
        <f t="shared" si="71"/>
        <v>4</v>
      </c>
      <c r="AW530" s="351">
        <f t="shared" si="70"/>
        <v>1.0723860589812333E-2</v>
      </c>
    </row>
    <row r="531" spans="1:49" ht="18.75" customHeight="1">
      <c r="A531" s="357">
        <v>46295</v>
      </c>
      <c r="B531" s="346"/>
      <c r="C531" s="346"/>
      <c r="D531" s="346"/>
      <c r="E531" s="346"/>
      <c r="F531" s="346"/>
      <c r="G531" s="346"/>
      <c r="H531" s="346"/>
      <c r="I531" s="346"/>
      <c r="J531" s="346"/>
      <c r="K531" s="346"/>
      <c r="L531" s="346"/>
      <c r="M531" s="346"/>
      <c r="N531" s="346"/>
      <c r="O531" s="346"/>
      <c r="P531" s="346"/>
      <c r="Q531" s="346"/>
      <c r="R531" s="346"/>
      <c r="S531" s="346">
        <f>2</f>
        <v>2</v>
      </c>
      <c r="T531" s="346"/>
      <c r="U531" s="346"/>
      <c r="V531" s="346"/>
      <c r="W531" s="346"/>
      <c r="X531" s="346"/>
      <c r="Y531" s="346"/>
      <c r="Z531" s="346"/>
      <c r="AA531" s="346"/>
      <c r="AB531" s="346"/>
      <c r="AC531" s="346"/>
      <c r="AD531" s="346"/>
      <c r="AE531" s="346"/>
      <c r="AF531" s="346"/>
      <c r="AG531" s="346"/>
      <c r="AH531" s="346"/>
      <c r="AI531" s="346"/>
      <c r="AJ531" s="346"/>
      <c r="AK531" s="346"/>
      <c r="AL531" s="346"/>
      <c r="AM531" s="346"/>
      <c r="AN531" s="346"/>
      <c r="AO531" s="346"/>
      <c r="AP531" s="346"/>
      <c r="AQ531" s="346"/>
      <c r="AR531" s="346"/>
      <c r="AS531" s="346"/>
      <c r="AT531" s="346"/>
      <c r="AU531" s="346"/>
      <c r="AV531">
        <f t="shared" si="71"/>
        <v>2</v>
      </c>
      <c r="AW531" s="351">
        <f t="shared" si="70"/>
        <v>5.3619302949061663E-3</v>
      </c>
    </row>
    <row r="532" spans="1:49" ht="18.75" customHeight="1">
      <c r="A532" s="357">
        <v>46295</v>
      </c>
      <c r="B532"/>
      <c r="C532"/>
      <c r="D532"/>
      <c r="E532"/>
      <c r="F532"/>
      <c r="G532"/>
      <c r="H532"/>
      <c r="I532"/>
      <c r="J532"/>
      <c r="K532"/>
      <c r="L532"/>
      <c r="M532"/>
      <c r="N532"/>
      <c r="O532"/>
      <c r="P532"/>
      <c r="Q532"/>
      <c r="R532"/>
      <c r="S532">
        <f>1</f>
        <v>1</v>
      </c>
      <c r="T532"/>
      <c r="U532"/>
      <c r="V532"/>
      <c r="W532"/>
      <c r="X532"/>
      <c r="Y532"/>
      <c r="Z532"/>
      <c r="AA532"/>
      <c r="AB532"/>
      <c r="AC532"/>
      <c r="AD532"/>
      <c r="AE532"/>
      <c r="AF532"/>
      <c r="AG532"/>
      <c r="AH532"/>
      <c r="AI532"/>
      <c r="AJ532"/>
      <c r="AK532"/>
      <c r="AL532"/>
      <c r="AM532"/>
      <c r="AN532"/>
      <c r="AO532"/>
      <c r="AP532"/>
      <c r="AQ532"/>
      <c r="AR532"/>
      <c r="AS532"/>
      <c r="AT532"/>
      <c r="AU532"/>
      <c r="AV532">
        <f t="shared" si="71"/>
        <v>1</v>
      </c>
      <c r="AW532" s="351">
        <f t="shared" si="70"/>
        <v>2.6809651474530832E-3</v>
      </c>
    </row>
    <row r="533" spans="1:49" ht="18.75" customHeight="1">
      <c r="A533" s="357"/>
      <c r="B533" s="346"/>
      <c r="C533" s="346"/>
      <c r="D533" s="346"/>
      <c r="E533" s="346"/>
      <c r="F533" s="346"/>
      <c r="G533" s="346"/>
      <c r="H533" s="346"/>
      <c r="I533" s="346"/>
      <c r="J533" s="346"/>
      <c r="K533" s="346"/>
      <c r="L533" s="346"/>
      <c r="M533" s="346"/>
      <c r="N533" s="346"/>
      <c r="O533" s="346"/>
      <c r="P533" s="346"/>
      <c r="Q533" s="346"/>
      <c r="R533" s="346"/>
      <c r="S533" s="346"/>
      <c r="T533" s="346"/>
      <c r="U533" s="346"/>
      <c r="V533" s="346"/>
      <c r="W533" s="346"/>
      <c r="X533" s="346"/>
      <c r="Y533" s="346"/>
      <c r="Z533" s="346"/>
      <c r="AA533" s="346"/>
      <c r="AB533" s="346"/>
      <c r="AC533" s="346"/>
      <c r="AD533" s="346"/>
      <c r="AE533" s="346"/>
      <c r="AF533" s="346"/>
      <c r="AG533" s="346"/>
      <c r="AH533" s="346"/>
      <c r="AI533" s="346"/>
      <c r="AJ533" s="346"/>
      <c r="AK533" s="346"/>
      <c r="AL533" s="346"/>
      <c r="AM533" s="346"/>
      <c r="AN533" s="346"/>
      <c r="AO533" s="346"/>
      <c r="AP533" s="346"/>
      <c r="AQ533" s="346"/>
      <c r="AR533" s="346"/>
      <c r="AS533" s="346"/>
      <c r="AT533" s="346"/>
      <c r="AU533" s="346"/>
      <c r="AV533">
        <f t="shared" si="71"/>
        <v>0</v>
      </c>
      <c r="AW533" s="351">
        <f t="shared" si="70"/>
        <v>0</v>
      </c>
    </row>
    <row r="534" spans="1:49" ht="18.75" customHeight="1">
      <c r="A534" s="357"/>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c r="AK534"/>
      <c r="AL534"/>
      <c r="AM534"/>
      <c r="AN534"/>
      <c r="AO534"/>
      <c r="AP534"/>
      <c r="AQ534"/>
      <c r="AR534"/>
      <c r="AS534"/>
      <c r="AT534"/>
      <c r="AU534"/>
      <c r="AV534">
        <f t="shared" si="71"/>
        <v>0</v>
      </c>
      <c r="AW534" s="351">
        <f t="shared" si="70"/>
        <v>0</v>
      </c>
    </row>
    <row r="535" spans="1:49" ht="18.75" customHeight="1">
      <c r="A535" s="357"/>
      <c r="B535" s="346"/>
      <c r="C535" s="346"/>
      <c r="D535" s="346"/>
      <c r="E535" s="346"/>
      <c r="F535" s="346"/>
      <c r="G535" s="346"/>
      <c r="H535" s="346"/>
      <c r="I535" s="346"/>
      <c r="J535" s="346"/>
      <c r="K535" s="346"/>
      <c r="L535" s="346"/>
      <c r="M535" s="346"/>
      <c r="N535" s="346"/>
      <c r="O535" s="346"/>
      <c r="P535" s="346"/>
      <c r="Q535" s="346"/>
      <c r="R535" s="346"/>
      <c r="S535" s="346"/>
      <c r="T535" s="346"/>
      <c r="U535" s="346"/>
      <c r="V535" s="346"/>
      <c r="W535" s="346"/>
      <c r="X535" s="346"/>
      <c r="Y535" s="346"/>
      <c r="Z535" s="346"/>
      <c r="AA535" s="346"/>
      <c r="AB535" s="346"/>
      <c r="AC535" s="346"/>
      <c r="AD535" s="346"/>
      <c r="AE535" s="346"/>
      <c r="AF535" s="346"/>
      <c r="AG535" s="346"/>
      <c r="AH535" s="346"/>
      <c r="AI535" s="346"/>
      <c r="AJ535" s="346"/>
      <c r="AK535" s="346"/>
      <c r="AL535" s="346"/>
      <c r="AM535" s="346"/>
      <c r="AN535" s="346"/>
      <c r="AO535" s="346"/>
      <c r="AP535" s="346"/>
      <c r="AQ535" s="346"/>
      <c r="AR535" s="346"/>
      <c r="AS535" s="346"/>
      <c r="AT535" s="346"/>
      <c r="AU535" s="346"/>
      <c r="AV535">
        <f t="shared" si="71"/>
        <v>0</v>
      </c>
      <c r="AW535" s="351">
        <f t="shared" si="70"/>
        <v>0</v>
      </c>
    </row>
    <row r="536" spans="1:49" ht="18.75" customHeight="1">
      <c r="A536" s="357"/>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c r="AK536"/>
      <c r="AL536"/>
      <c r="AM536"/>
      <c r="AN536"/>
      <c r="AO536"/>
      <c r="AP536"/>
      <c r="AQ536"/>
      <c r="AR536"/>
      <c r="AS536"/>
      <c r="AT536"/>
      <c r="AU536"/>
      <c r="AV536">
        <f t="shared" si="71"/>
        <v>0</v>
      </c>
      <c r="AW536" s="351">
        <f t="shared" si="70"/>
        <v>0</v>
      </c>
    </row>
    <row r="537" spans="1:49" ht="18.75" customHeight="1">
      <c r="A537" s="357"/>
      <c r="B537" s="346"/>
      <c r="C537" s="346"/>
      <c r="D537" s="346"/>
      <c r="E537" s="346"/>
      <c r="F537" s="346"/>
      <c r="G537" s="346"/>
      <c r="H537" s="346"/>
      <c r="I537" s="346"/>
      <c r="J537" s="346"/>
      <c r="K537" s="346"/>
      <c r="L537" s="346"/>
      <c r="M537" s="346"/>
      <c r="N537" s="346"/>
      <c r="O537" s="346"/>
      <c r="P537" s="346"/>
      <c r="Q537" s="346"/>
      <c r="R537" s="346"/>
      <c r="S537" s="346"/>
      <c r="T537" s="346"/>
      <c r="U537" s="346"/>
      <c r="V537" s="346"/>
      <c r="W537" s="346"/>
      <c r="X537" s="346"/>
      <c r="Y537" s="346"/>
      <c r="Z537" s="346"/>
      <c r="AA537" s="346"/>
      <c r="AB537" s="346"/>
      <c r="AC537" s="346"/>
      <c r="AD537" s="346"/>
      <c r="AE537" s="346"/>
      <c r="AF537" s="346"/>
      <c r="AG537" s="346"/>
      <c r="AH537" s="346"/>
      <c r="AI537" s="346"/>
      <c r="AJ537" s="346"/>
      <c r="AK537" s="346"/>
      <c r="AL537" s="346"/>
      <c r="AM537" s="346"/>
      <c r="AN537" s="346"/>
      <c r="AO537" s="346"/>
      <c r="AP537" s="346"/>
      <c r="AQ537" s="346"/>
      <c r="AR537" s="346"/>
      <c r="AS537" s="346"/>
      <c r="AT537" s="346"/>
      <c r="AU537" s="346"/>
      <c r="AV537">
        <f t="shared" si="71"/>
        <v>0</v>
      </c>
      <c r="AW537" s="351">
        <f t="shared" si="70"/>
        <v>0</v>
      </c>
    </row>
    <row r="538" spans="1:49" ht="18.75" customHeight="1">
      <c r="A538" s="357"/>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c r="AK538"/>
      <c r="AL538"/>
      <c r="AM538"/>
      <c r="AN538"/>
      <c r="AO538"/>
      <c r="AP538"/>
      <c r="AQ538"/>
      <c r="AR538"/>
      <c r="AS538"/>
      <c r="AT538"/>
      <c r="AU538"/>
      <c r="AV538">
        <f t="shared" si="71"/>
        <v>0</v>
      </c>
      <c r="AW538" s="351">
        <f t="shared" si="70"/>
        <v>0</v>
      </c>
    </row>
    <row r="539" spans="1:49" ht="18.75" customHeight="1">
      <c r="A539" s="357"/>
      <c r="B539" s="346"/>
      <c r="C539" s="346"/>
      <c r="D539" s="346"/>
      <c r="E539" s="346"/>
      <c r="F539" s="346"/>
      <c r="G539" s="346"/>
      <c r="H539" s="346"/>
      <c r="I539" s="346"/>
      <c r="J539" s="346"/>
      <c r="K539" s="346"/>
      <c r="L539" s="346"/>
      <c r="M539" s="346"/>
      <c r="N539" s="346"/>
      <c r="O539" s="346"/>
      <c r="P539" s="346"/>
      <c r="Q539" s="346"/>
      <c r="R539" s="346"/>
      <c r="S539" s="346"/>
      <c r="T539" s="346"/>
      <c r="U539" s="346"/>
      <c r="V539" s="346"/>
      <c r="W539" s="346"/>
      <c r="X539" s="346"/>
      <c r="Y539" s="346"/>
      <c r="Z539" s="346"/>
      <c r="AA539" s="346"/>
      <c r="AB539" s="346"/>
      <c r="AC539" s="346"/>
      <c r="AD539" s="346"/>
      <c r="AE539" s="346"/>
      <c r="AF539" s="346"/>
      <c r="AG539" s="346"/>
      <c r="AH539" s="346"/>
      <c r="AI539" s="346"/>
      <c r="AJ539" s="346"/>
      <c r="AK539" s="346"/>
      <c r="AL539" s="346"/>
      <c r="AM539" s="346"/>
      <c r="AN539" s="346"/>
      <c r="AO539" s="346"/>
      <c r="AP539" s="346"/>
      <c r="AQ539" s="346"/>
      <c r="AR539" s="346"/>
      <c r="AS539" s="346"/>
      <c r="AT539" s="346"/>
      <c r="AU539" s="346"/>
      <c r="AV539">
        <f t="shared" si="71"/>
        <v>0</v>
      </c>
      <c r="AW539" s="351">
        <f t="shared" si="70"/>
        <v>0</v>
      </c>
    </row>
    <row r="540" spans="1:49" ht="18.75" customHeight="1">
      <c r="A540" s="357"/>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c r="AK540"/>
      <c r="AL540"/>
      <c r="AM540"/>
      <c r="AN540"/>
      <c r="AO540"/>
      <c r="AP540"/>
      <c r="AQ540"/>
      <c r="AR540"/>
      <c r="AS540"/>
      <c r="AT540"/>
      <c r="AU540"/>
      <c r="AV540">
        <f t="shared" si="71"/>
        <v>0</v>
      </c>
      <c r="AW540" s="351">
        <f t="shared" si="70"/>
        <v>0</v>
      </c>
    </row>
    <row r="541" spans="1:49" ht="18.75" customHeight="1">
      <c r="A541" s="357"/>
      <c r="B541" s="346"/>
      <c r="C541" s="346"/>
      <c r="D541" s="346"/>
      <c r="E541" s="346"/>
      <c r="F541" s="346"/>
      <c r="G541" s="346"/>
      <c r="H541" s="346"/>
      <c r="I541" s="346"/>
      <c r="J541" s="346"/>
      <c r="K541" s="346"/>
      <c r="L541" s="346"/>
      <c r="M541" s="346"/>
      <c r="N541" s="346"/>
      <c r="O541" s="346"/>
      <c r="P541" s="346"/>
      <c r="Q541" s="346"/>
      <c r="R541" s="346"/>
      <c r="S541" s="346"/>
      <c r="T541" s="346"/>
      <c r="U541" s="346"/>
      <c r="V541" s="346"/>
      <c r="W541" s="346"/>
      <c r="X541" s="346"/>
      <c r="Y541" s="346"/>
      <c r="Z541" s="346"/>
      <c r="AA541" s="346"/>
      <c r="AB541" s="346"/>
      <c r="AC541" s="346"/>
      <c r="AD541" s="346"/>
      <c r="AE541" s="346"/>
      <c r="AF541" s="346"/>
      <c r="AG541" s="346"/>
      <c r="AH541" s="346"/>
      <c r="AI541" s="346"/>
      <c r="AJ541" s="346"/>
      <c r="AK541" s="346"/>
      <c r="AL541" s="346"/>
      <c r="AM541" s="346"/>
      <c r="AN541" s="346"/>
      <c r="AO541" s="346"/>
      <c r="AP541" s="346"/>
      <c r="AQ541" s="346"/>
      <c r="AR541" s="346"/>
      <c r="AS541" s="346"/>
      <c r="AT541" s="346"/>
      <c r="AU541" s="346"/>
      <c r="AV541">
        <f t="shared" si="71"/>
        <v>0</v>
      </c>
      <c r="AW541" s="351">
        <f t="shared" si="70"/>
        <v>0</v>
      </c>
    </row>
    <row r="542" spans="1:49" ht="18.75" customHeight="1">
      <c r="A542" s="357"/>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c r="AK542"/>
      <c r="AL542"/>
      <c r="AM542"/>
      <c r="AN542"/>
      <c r="AO542"/>
      <c r="AP542"/>
      <c r="AQ542"/>
      <c r="AR542"/>
      <c r="AS542"/>
      <c r="AT542"/>
      <c r="AU542"/>
      <c r="AV542">
        <f t="shared" si="71"/>
        <v>0</v>
      </c>
      <c r="AW542" s="351">
        <f t="shared" si="70"/>
        <v>0</v>
      </c>
    </row>
    <row r="543" spans="1:49" ht="18.75" customHeight="1">
      <c r="A543" s="357"/>
      <c r="B543" s="346"/>
      <c r="C543" s="346"/>
      <c r="D543" s="346"/>
      <c r="E543" s="346"/>
      <c r="F543" s="346"/>
      <c r="G543" s="346"/>
      <c r="H543" s="346"/>
      <c r="I543" s="346"/>
      <c r="J543" s="346"/>
      <c r="K543" s="346"/>
      <c r="L543" s="346"/>
      <c r="M543" s="346"/>
      <c r="N543" s="346"/>
      <c r="O543" s="346"/>
      <c r="P543" s="346"/>
      <c r="Q543" s="346"/>
      <c r="R543" s="346"/>
      <c r="S543" s="346"/>
      <c r="T543" s="346"/>
      <c r="U543" s="346"/>
      <c r="V543" s="346"/>
      <c r="W543" s="346"/>
      <c r="X543" s="346"/>
      <c r="Y543" s="346"/>
      <c r="Z543" s="346"/>
      <c r="AA543" s="346"/>
      <c r="AB543" s="346"/>
      <c r="AC543" s="346"/>
      <c r="AD543" s="346"/>
      <c r="AE543" s="346"/>
      <c r="AF543" s="346"/>
      <c r="AG543" s="346"/>
      <c r="AH543" s="346"/>
      <c r="AI543" s="346"/>
      <c r="AJ543" s="346"/>
      <c r="AK543" s="346"/>
      <c r="AL543" s="346"/>
      <c r="AM543" s="346"/>
      <c r="AN543" s="346"/>
      <c r="AO543" s="346"/>
      <c r="AP543" s="346"/>
      <c r="AQ543" s="346"/>
      <c r="AR543" s="346"/>
      <c r="AS543" s="346"/>
      <c r="AT543" s="346"/>
      <c r="AU543" s="346"/>
      <c r="AV543">
        <f t="shared" si="71"/>
        <v>0</v>
      </c>
      <c r="AW543" s="351">
        <f t="shared" si="70"/>
        <v>0</v>
      </c>
    </row>
    <row r="544" spans="1:49" ht="18.75" customHeight="1">
      <c r="A544" s="357"/>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c r="AK544"/>
      <c r="AL544"/>
      <c r="AM544"/>
      <c r="AN544"/>
      <c r="AO544"/>
      <c r="AP544"/>
      <c r="AQ544"/>
      <c r="AR544"/>
      <c r="AS544"/>
      <c r="AT544"/>
      <c r="AU544"/>
      <c r="AV544">
        <f t="shared" si="71"/>
        <v>0</v>
      </c>
      <c r="AW544" s="351">
        <f t="shared" si="70"/>
        <v>0</v>
      </c>
    </row>
    <row r="545" spans="1:49" ht="18.75" customHeight="1">
      <c r="A545" s="357"/>
      <c r="B545" s="346"/>
      <c r="C545" s="346"/>
      <c r="D545" s="346"/>
      <c r="E545" s="346"/>
      <c r="F545" s="346"/>
      <c r="G545" s="346"/>
      <c r="H545" s="346"/>
      <c r="I545" s="346"/>
      <c r="J545" s="346"/>
      <c r="K545" s="346"/>
      <c r="L545" s="346"/>
      <c r="M545" s="346"/>
      <c r="N545" s="346"/>
      <c r="O545" s="346"/>
      <c r="P545" s="346"/>
      <c r="Q545" s="346"/>
      <c r="R545" s="346"/>
      <c r="S545" s="346"/>
      <c r="T545" s="346"/>
      <c r="U545" s="346"/>
      <c r="V545" s="346"/>
      <c r="W545" s="346"/>
      <c r="X545" s="346"/>
      <c r="Y545" s="346"/>
      <c r="Z545" s="346"/>
      <c r="AA545" s="346"/>
      <c r="AB545" s="346"/>
      <c r="AC545" s="346"/>
      <c r="AD545" s="346"/>
      <c r="AE545" s="346"/>
      <c r="AF545" s="346"/>
      <c r="AG545" s="346"/>
      <c r="AH545" s="346"/>
      <c r="AI545" s="346"/>
      <c r="AJ545" s="346"/>
      <c r="AK545" s="346"/>
      <c r="AL545" s="346"/>
      <c r="AM545" s="346"/>
      <c r="AN545" s="346"/>
      <c r="AO545" s="346"/>
      <c r="AP545" s="346"/>
      <c r="AQ545" s="346"/>
      <c r="AR545" s="346"/>
      <c r="AS545" s="346"/>
      <c r="AT545" s="346"/>
      <c r="AU545" s="346"/>
      <c r="AV545">
        <f t="shared" si="71"/>
        <v>0</v>
      </c>
      <c r="AW545" s="351">
        <f t="shared" si="70"/>
        <v>0</v>
      </c>
    </row>
    <row r="546" spans="1:49" ht="18.75" customHeight="1">
      <c r="A546" s="357"/>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c r="AK546"/>
      <c r="AL546"/>
      <c r="AM546"/>
      <c r="AN546"/>
      <c r="AO546"/>
      <c r="AP546"/>
      <c r="AQ546"/>
      <c r="AR546"/>
      <c r="AS546"/>
      <c r="AT546"/>
      <c r="AU546"/>
      <c r="AV546">
        <f t="shared" si="71"/>
        <v>0</v>
      </c>
      <c r="AW546" s="351">
        <f t="shared" si="70"/>
        <v>0</v>
      </c>
    </row>
    <row r="547" spans="1:49" ht="18.75" customHeight="1">
      <c r="A547" s="357"/>
      <c r="B547" s="346"/>
      <c r="C547" s="346"/>
      <c r="D547" s="346"/>
      <c r="E547" s="346"/>
      <c r="F547" s="346"/>
      <c r="G547" s="346"/>
      <c r="H547" s="346"/>
      <c r="I547" s="346"/>
      <c r="J547" s="346"/>
      <c r="K547" s="346"/>
      <c r="L547" s="346"/>
      <c r="M547" s="346"/>
      <c r="N547" s="346"/>
      <c r="O547" s="346"/>
      <c r="P547" s="346"/>
      <c r="Q547" s="346"/>
      <c r="R547" s="346"/>
      <c r="S547" s="346"/>
      <c r="T547" s="346"/>
      <c r="U547" s="346"/>
      <c r="V547" s="346"/>
      <c r="W547" s="346"/>
      <c r="X547" s="346"/>
      <c r="Y547" s="346"/>
      <c r="Z547" s="346"/>
      <c r="AA547" s="346"/>
      <c r="AB547" s="346"/>
      <c r="AC547" s="346"/>
      <c r="AD547" s="346"/>
      <c r="AE547" s="346"/>
      <c r="AF547" s="346"/>
      <c r="AG547" s="346"/>
      <c r="AH547" s="346"/>
      <c r="AI547" s="346"/>
      <c r="AJ547" s="346"/>
      <c r="AK547" s="346"/>
      <c r="AL547" s="346"/>
      <c r="AM547" s="346"/>
      <c r="AN547" s="346"/>
      <c r="AO547" s="346"/>
      <c r="AP547" s="346"/>
      <c r="AQ547" s="346"/>
      <c r="AR547" s="346"/>
      <c r="AS547" s="346"/>
      <c r="AT547" s="346"/>
      <c r="AU547" s="346"/>
      <c r="AV547">
        <f t="shared" si="71"/>
        <v>0</v>
      </c>
      <c r="AW547" s="351">
        <f t="shared" si="70"/>
        <v>0</v>
      </c>
    </row>
    <row r="548" spans="1:49" ht="18.75" customHeight="1">
      <c r="A548" s="357"/>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c r="AK548"/>
      <c r="AL548"/>
      <c r="AM548"/>
      <c r="AN548"/>
      <c r="AO548"/>
      <c r="AP548"/>
      <c r="AQ548"/>
      <c r="AR548"/>
      <c r="AS548"/>
      <c r="AT548"/>
      <c r="AU548"/>
      <c r="AV548">
        <f t="shared" si="71"/>
        <v>0</v>
      </c>
      <c r="AW548" s="351">
        <f t="shared" si="70"/>
        <v>0</v>
      </c>
    </row>
    <row r="549" spans="1:49" ht="18.75" customHeight="1">
      <c r="A549" s="357"/>
      <c r="B549" s="346"/>
      <c r="C549" s="346"/>
      <c r="D549" s="346"/>
      <c r="E549" s="346"/>
      <c r="F549" s="346"/>
      <c r="G549" s="346"/>
      <c r="H549" s="346"/>
      <c r="I549" s="346"/>
      <c r="J549" s="346"/>
      <c r="K549" s="346"/>
      <c r="L549" s="346"/>
      <c r="M549" s="346"/>
      <c r="N549" s="346"/>
      <c r="O549" s="346"/>
      <c r="P549" s="346"/>
      <c r="Q549" s="346"/>
      <c r="R549" s="346"/>
      <c r="S549" s="346"/>
      <c r="T549" s="346"/>
      <c r="U549" s="346"/>
      <c r="V549" s="346"/>
      <c r="W549" s="346"/>
      <c r="X549" s="346"/>
      <c r="Y549" s="346"/>
      <c r="Z549" s="346"/>
      <c r="AA549" s="346"/>
      <c r="AB549" s="346"/>
      <c r="AC549" s="346"/>
      <c r="AD549" s="346"/>
      <c r="AE549" s="346"/>
      <c r="AF549" s="346"/>
      <c r="AG549" s="346"/>
      <c r="AH549" s="346"/>
      <c r="AI549" s="346"/>
      <c r="AJ549" s="346"/>
      <c r="AK549" s="346"/>
      <c r="AL549" s="346"/>
      <c r="AM549" s="346"/>
      <c r="AN549" s="346"/>
      <c r="AO549" s="346"/>
      <c r="AP549" s="346"/>
      <c r="AQ549" s="346"/>
      <c r="AR549" s="346"/>
      <c r="AS549" s="346"/>
      <c r="AT549" s="346"/>
      <c r="AU549" s="346"/>
      <c r="AV549">
        <f t="shared" si="71"/>
        <v>0</v>
      </c>
      <c r="AW549" s="351">
        <f t="shared" si="70"/>
        <v>0</v>
      </c>
    </row>
    <row r="550" spans="1:49" ht="18.75" customHeight="1">
      <c r="A550" s="357"/>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c r="AK550"/>
      <c r="AL550"/>
      <c r="AM550"/>
      <c r="AN550"/>
      <c r="AO550"/>
      <c r="AP550"/>
      <c r="AQ550"/>
      <c r="AR550"/>
      <c r="AS550"/>
      <c r="AT550"/>
      <c r="AU550"/>
      <c r="AV550">
        <f t="shared" si="71"/>
        <v>0</v>
      </c>
      <c r="AW550" s="351">
        <f t="shared" si="70"/>
        <v>0</v>
      </c>
    </row>
    <row r="551" spans="1:49" ht="18.75" customHeight="1">
      <c r="A551" s="357"/>
      <c r="B551" s="346"/>
      <c r="C551" s="346"/>
      <c r="D551" s="346"/>
      <c r="E551" s="346"/>
      <c r="F551" s="346"/>
      <c r="G551" s="346"/>
      <c r="H551" s="346"/>
      <c r="I551" s="346"/>
      <c r="J551" s="346"/>
      <c r="K551" s="346"/>
      <c r="L551" s="346"/>
      <c r="M551" s="346"/>
      <c r="N551" s="346"/>
      <c r="O551" s="346"/>
      <c r="P551" s="346"/>
      <c r="Q551" s="346"/>
      <c r="R551" s="346"/>
      <c r="S551" s="346"/>
      <c r="T551" s="346"/>
      <c r="U551" s="346"/>
      <c r="V551" s="346"/>
      <c r="W551" s="346"/>
      <c r="X551" s="346"/>
      <c r="Y551" s="346"/>
      <c r="Z551" s="346"/>
      <c r="AA551" s="346"/>
      <c r="AB551" s="346"/>
      <c r="AC551" s="346"/>
      <c r="AD551" s="346"/>
      <c r="AE551" s="346"/>
      <c r="AF551" s="346"/>
      <c r="AG551" s="346"/>
      <c r="AH551" s="346"/>
      <c r="AI551" s="346"/>
      <c r="AJ551" s="346"/>
      <c r="AK551" s="346"/>
      <c r="AL551" s="346"/>
      <c r="AM551" s="346"/>
      <c r="AN551" s="346"/>
      <c r="AO551" s="346"/>
      <c r="AP551" s="346"/>
      <c r="AQ551" s="346"/>
      <c r="AR551" s="346"/>
      <c r="AS551" s="346"/>
      <c r="AT551" s="346"/>
      <c r="AU551" s="346"/>
      <c r="AV551">
        <f t="shared" si="71"/>
        <v>0</v>
      </c>
      <c r="AW551" s="351">
        <f t="shared" si="70"/>
        <v>0</v>
      </c>
    </row>
    <row r="552" spans="1:49" ht="18.75" customHeight="1">
      <c r="A552" s="347" t="s">
        <v>113</v>
      </c>
      <c r="B552" s="347">
        <f t="shared" ref="B552:AV552" si="72">SUM(B494:B551)</f>
        <v>0</v>
      </c>
      <c r="C552" s="347">
        <f t="shared" si="72"/>
        <v>0</v>
      </c>
      <c r="D552" s="347">
        <f t="shared" si="72"/>
        <v>0</v>
      </c>
      <c r="E552" s="347">
        <f t="shared" si="72"/>
        <v>0</v>
      </c>
      <c r="F552" s="347">
        <f t="shared" si="72"/>
        <v>0</v>
      </c>
      <c r="G552" s="347">
        <f t="shared" si="72"/>
        <v>0</v>
      </c>
      <c r="H552" s="347">
        <f t="shared" si="72"/>
        <v>0</v>
      </c>
      <c r="I552" s="347">
        <f t="shared" si="72"/>
        <v>0</v>
      </c>
      <c r="J552" s="347">
        <f t="shared" si="72"/>
        <v>0</v>
      </c>
      <c r="K552" s="347">
        <f t="shared" si="72"/>
        <v>0</v>
      </c>
      <c r="L552" s="347">
        <f t="shared" si="72"/>
        <v>0</v>
      </c>
      <c r="M552" s="347">
        <f t="shared" si="72"/>
        <v>0</v>
      </c>
      <c r="N552" s="347">
        <f t="shared" si="72"/>
        <v>0</v>
      </c>
      <c r="O552" s="347">
        <f t="shared" si="72"/>
        <v>0</v>
      </c>
      <c r="P552" s="347">
        <f t="shared" si="72"/>
        <v>0</v>
      </c>
      <c r="Q552" s="347">
        <f t="shared" si="72"/>
        <v>0</v>
      </c>
      <c r="R552" s="347">
        <f t="shared" si="72"/>
        <v>34</v>
      </c>
      <c r="S552" s="347">
        <f t="shared" si="72"/>
        <v>190</v>
      </c>
      <c r="T552" s="347">
        <f t="shared" si="72"/>
        <v>2</v>
      </c>
      <c r="U552" s="347">
        <f t="shared" si="72"/>
        <v>0</v>
      </c>
      <c r="V552" s="347">
        <f t="shared" si="72"/>
        <v>25</v>
      </c>
      <c r="W552" s="347">
        <f t="shared" si="72"/>
        <v>0</v>
      </c>
      <c r="X552" s="347">
        <f t="shared" si="72"/>
        <v>0</v>
      </c>
      <c r="Y552" s="347">
        <f t="shared" si="72"/>
        <v>35</v>
      </c>
      <c r="Z552" s="347">
        <f t="shared" si="72"/>
        <v>0</v>
      </c>
      <c r="AA552" s="347">
        <f t="shared" si="72"/>
        <v>0</v>
      </c>
      <c r="AB552" s="347">
        <f t="shared" si="72"/>
        <v>0</v>
      </c>
      <c r="AC552" s="347">
        <f t="shared" si="72"/>
        <v>7</v>
      </c>
      <c r="AD552" s="347">
        <f t="shared" si="72"/>
        <v>32</v>
      </c>
      <c r="AE552" s="347">
        <f t="shared" si="72"/>
        <v>0</v>
      </c>
      <c r="AF552" s="347">
        <f t="shared" si="72"/>
        <v>24</v>
      </c>
      <c r="AG552" s="347">
        <f t="shared" si="72"/>
        <v>0</v>
      </c>
      <c r="AH552" s="347">
        <f t="shared" si="72"/>
        <v>2</v>
      </c>
      <c r="AI552" s="347">
        <f t="shared" si="72"/>
        <v>0</v>
      </c>
      <c r="AJ552" s="347">
        <f t="shared" si="72"/>
        <v>0</v>
      </c>
      <c r="AK552" s="347">
        <f t="shared" si="72"/>
        <v>0</v>
      </c>
      <c r="AL552" s="347">
        <f t="shared" si="72"/>
        <v>0</v>
      </c>
      <c r="AM552" s="347">
        <f t="shared" si="72"/>
        <v>0</v>
      </c>
      <c r="AN552" s="347">
        <f t="shared" si="72"/>
        <v>7</v>
      </c>
      <c r="AO552" s="347">
        <f t="shared" si="72"/>
        <v>0</v>
      </c>
      <c r="AP552" s="347">
        <f t="shared" si="72"/>
        <v>0</v>
      </c>
      <c r="AQ552" s="347">
        <f t="shared" si="72"/>
        <v>0</v>
      </c>
      <c r="AR552" s="347">
        <f t="shared" si="72"/>
        <v>0</v>
      </c>
      <c r="AS552" s="347">
        <f t="shared" si="72"/>
        <v>0</v>
      </c>
      <c r="AT552" s="347">
        <f t="shared" si="72"/>
        <v>40</v>
      </c>
      <c r="AU552" s="347">
        <f t="shared" si="72"/>
        <v>0</v>
      </c>
      <c r="AV552" s="347">
        <f t="shared" si="72"/>
        <v>398</v>
      </c>
      <c r="AW552" s="351"/>
    </row>
    <row r="553" spans="1:49" ht="15.75" thickBot="1">
      <c r="A553" s="348" t="s">
        <v>174</v>
      </c>
      <c r="B553" s="348">
        <f t="shared" ref="B553:AU553" si="73">B552/$AV552</f>
        <v>0</v>
      </c>
      <c r="C553" s="348">
        <f t="shared" si="73"/>
        <v>0</v>
      </c>
      <c r="D553" s="348">
        <f t="shared" si="73"/>
        <v>0</v>
      </c>
      <c r="E553" s="348">
        <f t="shared" si="73"/>
        <v>0</v>
      </c>
      <c r="F553" s="348">
        <f t="shared" si="73"/>
        <v>0</v>
      </c>
      <c r="G553" s="348">
        <f t="shared" si="73"/>
        <v>0</v>
      </c>
      <c r="H553" s="348">
        <f t="shared" si="73"/>
        <v>0</v>
      </c>
      <c r="I553" s="348">
        <f t="shared" si="73"/>
        <v>0</v>
      </c>
      <c r="J553" s="348">
        <f t="shared" si="73"/>
        <v>0</v>
      </c>
      <c r="K553" s="348">
        <f t="shared" si="73"/>
        <v>0</v>
      </c>
      <c r="L553" s="348">
        <f t="shared" si="73"/>
        <v>0</v>
      </c>
      <c r="M553" s="348">
        <f t="shared" si="73"/>
        <v>0</v>
      </c>
      <c r="N553" s="348">
        <f t="shared" si="73"/>
        <v>0</v>
      </c>
      <c r="O553" s="348">
        <f t="shared" si="73"/>
        <v>0</v>
      </c>
      <c r="P553" s="348">
        <f t="shared" si="73"/>
        <v>0</v>
      </c>
      <c r="Q553" s="348">
        <f t="shared" si="73"/>
        <v>0</v>
      </c>
      <c r="R553" s="348">
        <f t="shared" si="73"/>
        <v>8.5427135678391955E-2</v>
      </c>
      <c r="S553" s="348">
        <f t="shared" si="73"/>
        <v>0.47738693467336685</v>
      </c>
      <c r="T553" s="348">
        <f t="shared" si="73"/>
        <v>5.0251256281407036E-3</v>
      </c>
      <c r="U553" s="348">
        <f t="shared" si="73"/>
        <v>0</v>
      </c>
      <c r="V553" s="348">
        <f t="shared" si="73"/>
        <v>6.2814070351758788E-2</v>
      </c>
      <c r="W553" s="348">
        <f t="shared" si="73"/>
        <v>0</v>
      </c>
      <c r="X553" s="348">
        <f t="shared" si="73"/>
        <v>0</v>
      </c>
      <c r="Y553" s="348">
        <f t="shared" si="73"/>
        <v>8.7939698492462318E-2</v>
      </c>
      <c r="Z553" s="348">
        <f t="shared" si="73"/>
        <v>0</v>
      </c>
      <c r="AA553" s="348">
        <f t="shared" si="73"/>
        <v>0</v>
      </c>
      <c r="AB553" s="348">
        <f t="shared" si="73"/>
        <v>0</v>
      </c>
      <c r="AC553" s="348">
        <f t="shared" si="73"/>
        <v>1.7587939698492462E-2</v>
      </c>
      <c r="AD553" s="348">
        <f t="shared" si="73"/>
        <v>8.0402010050251257E-2</v>
      </c>
      <c r="AE553" s="348">
        <f t="shared" si="73"/>
        <v>0</v>
      </c>
      <c r="AF553" s="348">
        <f t="shared" si="73"/>
        <v>6.030150753768844E-2</v>
      </c>
      <c r="AG553" s="348">
        <f t="shared" si="73"/>
        <v>0</v>
      </c>
      <c r="AH553" s="348">
        <f t="shared" si="73"/>
        <v>5.0251256281407036E-3</v>
      </c>
      <c r="AI553" s="348">
        <f t="shared" si="73"/>
        <v>0</v>
      </c>
      <c r="AJ553" s="348">
        <f t="shared" si="73"/>
        <v>0</v>
      </c>
      <c r="AK553" s="348">
        <f t="shared" si="73"/>
        <v>0</v>
      </c>
      <c r="AL553" s="348">
        <f t="shared" si="73"/>
        <v>0</v>
      </c>
      <c r="AM553" s="348">
        <f t="shared" si="73"/>
        <v>0</v>
      </c>
      <c r="AN553" s="348">
        <f t="shared" si="73"/>
        <v>1.7587939698492462E-2</v>
      </c>
      <c r="AO553" s="348">
        <f t="shared" si="73"/>
        <v>0</v>
      </c>
      <c r="AP553" s="348">
        <f t="shared" si="73"/>
        <v>0</v>
      </c>
      <c r="AQ553" s="348">
        <f t="shared" si="73"/>
        <v>0</v>
      </c>
      <c r="AR553" s="348">
        <f t="shared" si="73"/>
        <v>0</v>
      </c>
      <c r="AS553" s="348">
        <f t="shared" si="73"/>
        <v>0</v>
      </c>
      <c r="AT553" s="348">
        <f t="shared" si="73"/>
        <v>0.10050251256281408</v>
      </c>
      <c r="AU553" s="348">
        <f t="shared" si="73"/>
        <v>0</v>
      </c>
      <c r="AV553"/>
      <c r="AW553" s="351"/>
    </row>
    <row r="554" spans="1:49">
      <c r="A554" s="355"/>
    </row>
    <row r="555" spans="1:49">
      <c r="A555" s="355"/>
    </row>
    <row r="556" spans="1:49" ht="15.75">
      <c r="A556" s="357">
        <v>46296</v>
      </c>
      <c r="B556" s="346"/>
      <c r="C556" s="346"/>
      <c r="D556" s="346"/>
      <c r="E556" s="346"/>
      <c r="F556" s="346"/>
      <c r="G556" s="346"/>
      <c r="H556" s="346"/>
      <c r="I556" s="346"/>
      <c r="J556" s="346"/>
      <c r="K556" s="346"/>
      <c r="L556" s="346"/>
      <c r="M556" s="346"/>
      <c r="N556" s="346"/>
      <c r="O556" s="346"/>
      <c r="P556" s="346"/>
      <c r="Q556" s="346"/>
      <c r="R556" s="346"/>
      <c r="S556" s="346">
        <f>2</f>
        <v>2</v>
      </c>
      <c r="T556" s="346"/>
      <c r="U556" s="346"/>
      <c r="V556" s="346"/>
      <c r="W556" s="346"/>
      <c r="X556" s="346"/>
      <c r="Y556" s="346"/>
      <c r="Z556" s="346"/>
      <c r="AA556" s="346"/>
      <c r="AB556" s="346"/>
      <c r="AC556" s="346"/>
      <c r="AD556" s="346">
        <f>2</f>
        <v>2</v>
      </c>
      <c r="AE556" s="346"/>
      <c r="AF556" s="346"/>
      <c r="AG556" s="346"/>
      <c r="AH556" s="346"/>
      <c r="AI556" s="346"/>
      <c r="AJ556" s="346"/>
      <c r="AK556" s="346"/>
      <c r="AL556" s="346"/>
      <c r="AM556" s="346"/>
      <c r="AN556" s="346"/>
      <c r="AO556" s="346"/>
      <c r="AP556" s="346"/>
      <c r="AQ556" s="346"/>
      <c r="AR556" s="346"/>
      <c r="AS556" s="346"/>
      <c r="AT556" s="346"/>
      <c r="AU556" s="346"/>
      <c r="AV556">
        <f t="shared" ref="AV556:AV587" si="74">SUM(B556:AU556)</f>
        <v>4</v>
      </c>
      <c r="AW556" s="351">
        <f>AV556/$AV$368</f>
        <v>1.0723860589812333E-2</v>
      </c>
    </row>
    <row r="557" spans="1:49" ht="15.75">
      <c r="A557" s="3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c r="AK557"/>
      <c r="AL557"/>
      <c r="AN557"/>
      <c r="AO557"/>
      <c r="AP557"/>
      <c r="AQ557"/>
      <c r="AR557"/>
      <c r="AS557"/>
      <c r="AT557"/>
      <c r="AU557"/>
      <c r="AV557">
        <f t="shared" si="74"/>
        <v>0</v>
      </c>
      <c r="AW557" s="351">
        <f t="shared" ref="AW557:AW611" si="75">AV557/$AV$368</f>
        <v>0</v>
      </c>
    </row>
    <row r="558" spans="1:49" ht="15.75">
      <c r="A558" s="357"/>
      <c r="B558" s="346"/>
      <c r="C558" s="346"/>
      <c r="D558" s="346"/>
      <c r="E558" s="346"/>
      <c r="F558" s="346"/>
      <c r="G558" s="346"/>
      <c r="H558" s="346"/>
      <c r="I558" s="346"/>
      <c r="J558" s="346"/>
      <c r="K558" s="346"/>
      <c r="L558" s="346"/>
      <c r="M558" s="346"/>
      <c r="N558" s="346"/>
      <c r="O558" s="346"/>
      <c r="P558" s="346"/>
      <c r="Q558" s="346"/>
      <c r="R558" s="346"/>
      <c r="S558" s="346"/>
      <c r="T558" s="346"/>
      <c r="U558" s="346"/>
      <c r="V558" s="346"/>
      <c r="W558" s="346"/>
      <c r="X558" s="346"/>
      <c r="Y558" s="346"/>
      <c r="Z558" s="346"/>
      <c r="AA558" s="346"/>
      <c r="AB558" s="346"/>
      <c r="AC558" s="346"/>
      <c r="AD558" s="346"/>
      <c r="AE558" s="346"/>
      <c r="AF558" s="346"/>
      <c r="AG558" s="346"/>
      <c r="AH558" s="346"/>
      <c r="AI558" s="346"/>
      <c r="AJ558" s="346"/>
      <c r="AK558" s="346"/>
      <c r="AL558" s="346"/>
      <c r="AM558" s="346"/>
      <c r="AN558" s="346"/>
      <c r="AO558" s="346"/>
      <c r="AP558" s="346"/>
      <c r="AQ558" s="346"/>
      <c r="AR558" s="346"/>
      <c r="AS558" s="346"/>
      <c r="AT558" s="346"/>
      <c r="AU558" s="346"/>
      <c r="AV558">
        <f t="shared" si="74"/>
        <v>0</v>
      </c>
      <c r="AW558" s="351">
        <f t="shared" si="75"/>
        <v>0</v>
      </c>
    </row>
    <row r="559" spans="1:49" ht="15.75">
      <c r="A559" s="357"/>
      <c r="B559"/>
      <c r="C559"/>
      <c r="D559"/>
      <c r="E559"/>
      <c r="F559" s="77"/>
      <c r="G559"/>
      <c r="H559"/>
      <c r="I559"/>
      <c r="J559"/>
      <c r="K559"/>
      <c r="L559"/>
      <c r="N559"/>
      <c r="O559"/>
      <c r="P559"/>
      <c r="Q559"/>
      <c r="R559"/>
      <c r="S559"/>
      <c r="T559"/>
      <c r="U559"/>
      <c r="V559"/>
      <c r="W559"/>
      <c r="X559"/>
      <c r="Y559"/>
      <c r="Z559"/>
      <c r="AA559"/>
      <c r="AB559"/>
      <c r="AC559"/>
      <c r="AD559"/>
      <c r="AE559"/>
      <c r="AF559"/>
      <c r="AG559"/>
      <c r="AH559"/>
      <c r="AI559"/>
      <c r="AJ559"/>
      <c r="AK559"/>
      <c r="AL559"/>
      <c r="AM559"/>
      <c r="AN559"/>
      <c r="AO559"/>
      <c r="AP559"/>
      <c r="AQ559"/>
      <c r="AR559"/>
      <c r="AS559"/>
      <c r="AT559"/>
      <c r="AU559"/>
      <c r="AV559">
        <f t="shared" si="74"/>
        <v>0</v>
      </c>
      <c r="AW559" s="351">
        <f t="shared" si="75"/>
        <v>0</v>
      </c>
    </row>
    <row r="560" spans="1:49" ht="15.75">
      <c r="A560" s="357"/>
      <c r="B560" s="346"/>
      <c r="C560" s="346"/>
      <c r="D560" s="346"/>
      <c r="E560" s="346"/>
      <c r="F560" s="346"/>
      <c r="G560" s="346"/>
      <c r="H560" s="346"/>
      <c r="I560" s="346"/>
      <c r="J560" s="346"/>
      <c r="K560" s="346"/>
      <c r="L560" s="346"/>
      <c r="M560" s="361"/>
      <c r="N560" s="346"/>
      <c r="O560" s="346"/>
      <c r="P560" s="346"/>
      <c r="Q560" s="346"/>
      <c r="R560" s="346"/>
      <c r="S560" s="346"/>
      <c r="T560" s="346"/>
      <c r="U560" s="346"/>
      <c r="V560" s="346"/>
      <c r="W560" s="346"/>
      <c r="X560" s="346"/>
      <c r="Y560" s="346"/>
      <c r="Z560" s="346"/>
      <c r="AA560" s="346"/>
      <c r="AB560" s="346"/>
      <c r="AC560" s="346"/>
      <c r="AD560" s="346"/>
      <c r="AE560" s="346"/>
      <c r="AF560" s="346"/>
      <c r="AG560" s="346"/>
      <c r="AH560" s="346"/>
      <c r="AI560" s="346"/>
      <c r="AJ560" s="346"/>
      <c r="AK560" s="346"/>
      <c r="AL560" s="346"/>
      <c r="AM560" s="346"/>
      <c r="AN560" s="346"/>
      <c r="AO560" s="346"/>
      <c r="AP560" s="346"/>
      <c r="AQ560" s="346"/>
      <c r="AR560" s="346"/>
      <c r="AS560" s="346"/>
      <c r="AT560" s="346"/>
      <c r="AU560" s="346"/>
      <c r="AV560">
        <f t="shared" si="74"/>
        <v>0</v>
      </c>
      <c r="AW560" s="351">
        <f t="shared" si="75"/>
        <v>0</v>
      </c>
    </row>
    <row r="561" spans="1:49" ht="15.75">
      <c r="A561" s="357"/>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c r="AK561"/>
      <c r="AL561"/>
      <c r="AM561"/>
      <c r="AN561"/>
      <c r="AO561"/>
      <c r="AP561"/>
      <c r="AQ561"/>
      <c r="AR561"/>
      <c r="AS561"/>
      <c r="AT561"/>
      <c r="AU561"/>
      <c r="AV561">
        <f t="shared" si="74"/>
        <v>0</v>
      </c>
      <c r="AW561" s="351">
        <f t="shared" si="75"/>
        <v>0</v>
      </c>
    </row>
    <row r="562" spans="1:49" ht="15.75">
      <c r="A562" s="357"/>
      <c r="B562" s="346"/>
      <c r="C562" s="346"/>
      <c r="D562" s="346"/>
      <c r="E562" s="346"/>
      <c r="F562" s="346"/>
      <c r="G562" s="346"/>
      <c r="H562" s="346"/>
      <c r="I562" s="346"/>
      <c r="J562" s="346"/>
      <c r="K562" s="346"/>
      <c r="L562" s="346"/>
      <c r="M562" s="346"/>
      <c r="N562" s="346"/>
      <c r="O562" s="346"/>
      <c r="P562" s="346"/>
      <c r="Q562" s="346"/>
      <c r="R562" s="346"/>
      <c r="S562" s="346"/>
      <c r="T562" s="346"/>
      <c r="U562" s="346"/>
      <c r="V562" s="346"/>
      <c r="W562" s="346"/>
      <c r="X562" s="346"/>
      <c r="Y562" s="346"/>
      <c r="Z562" s="346"/>
      <c r="AA562" s="346"/>
      <c r="AB562" s="346"/>
      <c r="AC562" s="346"/>
      <c r="AD562" s="346"/>
      <c r="AE562" s="346"/>
      <c r="AF562" s="346"/>
      <c r="AG562" s="346"/>
      <c r="AH562" s="346"/>
      <c r="AI562" s="346"/>
      <c r="AJ562" s="346"/>
      <c r="AK562" s="346"/>
      <c r="AL562" s="346"/>
      <c r="AM562" s="346"/>
      <c r="AN562" s="346"/>
      <c r="AO562" s="346"/>
      <c r="AP562" s="346"/>
      <c r="AQ562" s="346"/>
      <c r="AR562" s="346"/>
      <c r="AS562" s="346"/>
      <c r="AT562" s="346"/>
      <c r="AU562" s="346"/>
      <c r="AV562">
        <f t="shared" si="74"/>
        <v>0</v>
      </c>
      <c r="AW562" s="351">
        <f t="shared" si="75"/>
        <v>0</v>
      </c>
    </row>
    <row r="563" spans="1:49" ht="15.75">
      <c r="A563" s="357"/>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c r="AK563"/>
      <c r="AL563"/>
      <c r="AM563"/>
      <c r="AN563"/>
      <c r="AO563"/>
      <c r="AP563"/>
      <c r="AQ563"/>
      <c r="AR563"/>
      <c r="AS563"/>
      <c r="AT563"/>
      <c r="AU563"/>
      <c r="AV563">
        <f t="shared" si="74"/>
        <v>0</v>
      </c>
      <c r="AW563" s="351">
        <f t="shared" si="75"/>
        <v>0</v>
      </c>
    </row>
    <row r="564" spans="1:49" ht="15.75">
      <c r="A564" s="357"/>
      <c r="B564" s="346"/>
      <c r="C564" s="346"/>
      <c r="D564" s="346"/>
      <c r="E564" s="346"/>
      <c r="F564" s="346"/>
      <c r="G564" s="346"/>
      <c r="H564" s="346"/>
      <c r="I564" s="346"/>
      <c r="J564" s="346"/>
      <c r="K564" s="346"/>
      <c r="L564" s="346"/>
      <c r="M564" s="346"/>
      <c r="N564" s="346"/>
      <c r="O564" s="346"/>
      <c r="P564" s="346"/>
      <c r="Q564" s="346"/>
      <c r="R564" s="346"/>
      <c r="S564" s="346"/>
      <c r="T564" s="346"/>
      <c r="U564" s="346"/>
      <c r="V564" s="346"/>
      <c r="W564" s="346"/>
      <c r="X564" s="346"/>
      <c r="Y564" s="346"/>
      <c r="Z564" s="346"/>
      <c r="AA564" s="346"/>
      <c r="AB564" s="346"/>
      <c r="AC564" s="346"/>
      <c r="AD564" s="346"/>
      <c r="AE564" s="346"/>
      <c r="AF564" s="346"/>
      <c r="AG564" s="346"/>
      <c r="AH564" s="346"/>
      <c r="AI564" s="346"/>
      <c r="AJ564" s="346"/>
      <c r="AK564" s="346"/>
      <c r="AL564" s="346"/>
      <c r="AM564" s="346"/>
      <c r="AN564" s="346"/>
      <c r="AO564" s="346"/>
      <c r="AP564" s="346"/>
      <c r="AQ564" s="346"/>
      <c r="AR564" s="346"/>
      <c r="AS564" s="346"/>
      <c r="AT564" s="346"/>
      <c r="AU564" s="346"/>
      <c r="AV564">
        <f t="shared" si="74"/>
        <v>0</v>
      </c>
      <c r="AW564" s="351">
        <f t="shared" si="75"/>
        <v>0</v>
      </c>
    </row>
    <row r="565" spans="1:49" ht="15.75">
      <c r="A565" s="357"/>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c r="AK565"/>
      <c r="AL565"/>
      <c r="AM565"/>
      <c r="AN565"/>
      <c r="AO565"/>
      <c r="AP565"/>
      <c r="AQ565"/>
      <c r="AR565"/>
      <c r="AS565"/>
      <c r="AT565"/>
      <c r="AU565"/>
      <c r="AV565">
        <f t="shared" si="74"/>
        <v>0</v>
      </c>
      <c r="AW565" s="351">
        <f t="shared" si="75"/>
        <v>0</v>
      </c>
    </row>
    <row r="566" spans="1:49" ht="15.75">
      <c r="A566" s="357"/>
      <c r="B566" s="346"/>
      <c r="C566" s="346"/>
      <c r="D566" s="346"/>
      <c r="E566" s="346"/>
      <c r="F566" s="346"/>
      <c r="G566" s="346"/>
      <c r="H566" s="346"/>
      <c r="I566" s="346"/>
      <c r="J566" s="346"/>
      <c r="K566" s="346"/>
      <c r="L566" s="346"/>
      <c r="M566" s="346"/>
      <c r="N566" s="346"/>
      <c r="O566" s="346"/>
      <c r="P566" s="346"/>
      <c r="Q566" s="346"/>
      <c r="R566" s="346"/>
      <c r="S566" s="346"/>
      <c r="T566" s="346"/>
      <c r="U566" s="346"/>
      <c r="V566" s="346"/>
      <c r="W566" s="346"/>
      <c r="X566" s="346"/>
      <c r="Y566" s="346"/>
      <c r="Z566" s="346"/>
      <c r="AA566" s="346"/>
      <c r="AB566" s="346"/>
      <c r="AC566" s="346"/>
      <c r="AD566" s="346"/>
      <c r="AE566" s="346"/>
      <c r="AF566" s="346"/>
      <c r="AG566" s="346"/>
      <c r="AH566" s="346"/>
      <c r="AI566" s="346"/>
      <c r="AJ566" s="346"/>
      <c r="AK566" s="346"/>
      <c r="AL566" s="346"/>
      <c r="AM566" s="346"/>
      <c r="AN566" s="346"/>
      <c r="AO566" s="346"/>
      <c r="AP566" s="346"/>
      <c r="AQ566" s="346"/>
      <c r="AR566" s="346"/>
      <c r="AS566" s="346"/>
      <c r="AT566" s="346"/>
      <c r="AU566" s="346"/>
      <c r="AV566">
        <f t="shared" si="74"/>
        <v>0</v>
      </c>
      <c r="AW566" s="351">
        <f t="shared" si="75"/>
        <v>0</v>
      </c>
    </row>
    <row r="567" spans="1:49" ht="15.75">
      <c r="A567" s="35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c r="AK567"/>
      <c r="AL567"/>
      <c r="AM567"/>
      <c r="AN567"/>
      <c r="AO567"/>
      <c r="AP567"/>
      <c r="AQ567"/>
      <c r="AR567"/>
      <c r="AS567"/>
      <c r="AT567"/>
      <c r="AU567"/>
      <c r="AV567">
        <f t="shared" si="74"/>
        <v>0</v>
      </c>
      <c r="AW567" s="351">
        <f t="shared" si="75"/>
        <v>0</v>
      </c>
    </row>
    <row r="568" spans="1:49" ht="15.75">
      <c r="A568" s="357"/>
      <c r="B568" s="346"/>
      <c r="C568" s="346"/>
      <c r="D568" s="346"/>
      <c r="E568" s="346"/>
      <c r="F568" s="346"/>
      <c r="G568" s="346"/>
      <c r="H568" s="346"/>
      <c r="I568" s="346"/>
      <c r="J568" s="346"/>
      <c r="K568" s="346"/>
      <c r="L568" s="346"/>
      <c r="M568" s="346"/>
      <c r="N568" s="346"/>
      <c r="O568" s="346"/>
      <c r="P568" s="346"/>
      <c r="Q568" s="346"/>
      <c r="R568" s="346"/>
      <c r="S568" s="346"/>
      <c r="T568" s="346"/>
      <c r="U568" s="346"/>
      <c r="V568" s="346"/>
      <c r="W568" s="346"/>
      <c r="X568" s="346"/>
      <c r="Y568" s="346"/>
      <c r="Z568" s="346"/>
      <c r="AA568" s="346"/>
      <c r="AB568" s="346"/>
      <c r="AC568" s="346"/>
      <c r="AD568" s="346"/>
      <c r="AE568" s="346"/>
      <c r="AF568" s="346"/>
      <c r="AG568" s="346"/>
      <c r="AH568" s="346"/>
      <c r="AI568" s="346"/>
      <c r="AJ568" s="346"/>
      <c r="AK568" s="346"/>
      <c r="AL568" s="346"/>
      <c r="AM568" s="346"/>
      <c r="AN568" s="346"/>
      <c r="AO568" s="346"/>
      <c r="AP568" s="346"/>
      <c r="AQ568" s="346"/>
      <c r="AR568" s="346"/>
      <c r="AS568" s="346"/>
      <c r="AT568" s="346"/>
      <c r="AU568" s="346"/>
      <c r="AV568">
        <f t="shared" si="74"/>
        <v>0</v>
      </c>
      <c r="AW568" s="351">
        <f t="shared" si="75"/>
        <v>0</v>
      </c>
    </row>
    <row r="569" spans="1:49" ht="15.75">
      <c r="A569" s="357"/>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c r="AK569"/>
      <c r="AL569"/>
      <c r="AM569"/>
      <c r="AN569"/>
      <c r="AO569"/>
      <c r="AP569"/>
      <c r="AQ569"/>
      <c r="AR569"/>
      <c r="AS569"/>
      <c r="AT569"/>
      <c r="AU569"/>
      <c r="AV569">
        <f t="shared" si="74"/>
        <v>0</v>
      </c>
      <c r="AW569" s="351">
        <f t="shared" si="75"/>
        <v>0</v>
      </c>
    </row>
    <row r="570" spans="1:49" ht="15.75">
      <c r="A570" s="357"/>
      <c r="B570" s="346"/>
      <c r="C570" s="346"/>
      <c r="D570" s="346"/>
      <c r="E570" s="346"/>
      <c r="F570" s="346"/>
      <c r="G570" s="346"/>
      <c r="H570" s="346"/>
      <c r="I570" s="346"/>
      <c r="J570" s="346"/>
      <c r="K570" s="346"/>
      <c r="L570" s="346"/>
      <c r="M570" s="346"/>
      <c r="N570" s="346"/>
      <c r="O570" s="346"/>
      <c r="P570" s="346"/>
      <c r="Q570" s="346"/>
      <c r="R570" s="346"/>
      <c r="S570" s="346"/>
      <c r="T570" s="346"/>
      <c r="U570" s="346"/>
      <c r="V570" s="346"/>
      <c r="W570" s="346"/>
      <c r="X570" s="346"/>
      <c r="Y570" s="346"/>
      <c r="Z570" s="346"/>
      <c r="AA570" s="346"/>
      <c r="AB570" s="346"/>
      <c r="AC570" s="346"/>
      <c r="AD570" s="346"/>
      <c r="AE570" s="346"/>
      <c r="AF570" s="346"/>
      <c r="AG570" s="346"/>
      <c r="AH570" s="346"/>
      <c r="AI570" s="346"/>
      <c r="AJ570" s="346"/>
      <c r="AK570" s="346"/>
      <c r="AL570" s="346"/>
      <c r="AM570" s="346"/>
      <c r="AN570" s="346"/>
      <c r="AO570" s="346"/>
      <c r="AP570" s="346"/>
      <c r="AQ570" s="346"/>
      <c r="AR570" s="346"/>
      <c r="AS570" s="346"/>
      <c r="AT570" s="346"/>
      <c r="AU570" s="346"/>
      <c r="AV570">
        <f t="shared" si="74"/>
        <v>0</v>
      </c>
      <c r="AW570" s="351">
        <f t="shared" si="75"/>
        <v>0</v>
      </c>
    </row>
    <row r="571" spans="1:49" ht="15.75">
      <c r="A571" s="357"/>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c r="AK571"/>
      <c r="AL571"/>
      <c r="AM571"/>
      <c r="AN571"/>
      <c r="AO571"/>
      <c r="AP571"/>
      <c r="AQ571"/>
      <c r="AR571"/>
      <c r="AS571"/>
      <c r="AT571"/>
      <c r="AU571"/>
      <c r="AV571">
        <f t="shared" si="74"/>
        <v>0</v>
      </c>
      <c r="AW571" s="351">
        <f t="shared" si="75"/>
        <v>0</v>
      </c>
    </row>
    <row r="572" spans="1:49" ht="15.75">
      <c r="A572" s="357"/>
      <c r="B572" s="346"/>
      <c r="C572" s="346"/>
      <c r="D572" s="346"/>
      <c r="E572" s="346"/>
      <c r="F572" s="346"/>
      <c r="G572" s="346"/>
      <c r="H572" s="346"/>
      <c r="I572" s="346"/>
      <c r="J572" s="346"/>
      <c r="K572" s="346"/>
      <c r="L572" s="346"/>
      <c r="M572" s="346"/>
      <c r="N572" s="346"/>
      <c r="O572" s="346"/>
      <c r="P572" s="346"/>
      <c r="Q572" s="346"/>
      <c r="R572" s="346"/>
      <c r="S572" s="346"/>
      <c r="T572" s="346"/>
      <c r="U572" s="346"/>
      <c r="V572" s="346"/>
      <c r="W572" s="346"/>
      <c r="X572" s="346"/>
      <c r="Y572" s="346"/>
      <c r="Z572" s="346"/>
      <c r="AA572" s="346"/>
      <c r="AB572" s="501"/>
      <c r="AC572" s="346"/>
      <c r="AD572" s="346"/>
      <c r="AE572" s="346"/>
      <c r="AF572" s="346"/>
      <c r="AG572" s="346"/>
      <c r="AH572" s="346"/>
      <c r="AI572" s="346"/>
      <c r="AJ572" s="346"/>
      <c r="AK572" s="346"/>
      <c r="AL572" s="346"/>
      <c r="AM572" s="346"/>
      <c r="AN572" s="346"/>
      <c r="AO572" s="346"/>
      <c r="AP572" s="346"/>
      <c r="AQ572" s="346"/>
      <c r="AR572" s="346"/>
      <c r="AS572" s="346"/>
      <c r="AT572" s="346"/>
      <c r="AU572" s="346"/>
      <c r="AV572">
        <f t="shared" si="74"/>
        <v>0</v>
      </c>
      <c r="AW572" s="351">
        <f t="shared" si="75"/>
        <v>0</v>
      </c>
    </row>
    <row r="573" spans="1:49" ht="15.75">
      <c r="A573" s="357"/>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c r="AK573"/>
      <c r="AL573"/>
      <c r="AM573"/>
      <c r="AN573"/>
      <c r="AO573"/>
      <c r="AP573"/>
      <c r="AQ573"/>
      <c r="AR573"/>
      <c r="AS573"/>
      <c r="AT573"/>
      <c r="AU573"/>
      <c r="AV573">
        <f t="shared" si="74"/>
        <v>0</v>
      </c>
      <c r="AW573" s="351">
        <f t="shared" si="75"/>
        <v>0</v>
      </c>
    </row>
    <row r="574" spans="1:49" ht="15.75">
      <c r="A574" s="357"/>
      <c r="B574" s="346"/>
      <c r="C574" s="346"/>
      <c r="D574" s="346"/>
      <c r="E574" s="346"/>
      <c r="F574" s="346"/>
      <c r="G574" s="346"/>
      <c r="H574" s="346"/>
      <c r="I574" s="346"/>
      <c r="J574" s="346"/>
      <c r="K574" s="346"/>
      <c r="L574" s="346"/>
      <c r="M574" s="346"/>
      <c r="N574" s="346"/>
      <c r="O574" s="346"/>
      <c r="P574" s="346"/>
      <c r="Q574" s="346"/>
      <c r="R574" s="346"/>
      <c r="S574" s="346"/>
      <c r="T574" s="346"/>
      <c r="U574" s="346"/>
      <c r="V574" s="346"/>
      <c r="W574" s="346"/>
      <c r="X574" s="346"/>
      <c r="Y574" s="346"/>
      <c r="Z574" s="346"/>
      <c r="AA574" s="346"/>
      <c r="AB574" s="346"/>
      <c r="AC574" s="346"/>
      <c r="AD574" s="346"/>
      <c r="AE574" s="346"/>
      <c r="AF574" s="346"/>
      <c r="AG574" s="346"/>
      <c r="AH574" s="346"/>
      <c r="AI574" s="346"/>
      <c r="AJ574" s="346"/>
      <c r="AK574" s="346"/>
      <c r="AL574" s="346"/>
      <c r="AM574" s="346"/>
      <c r="AN574" s="346"/>
      <c r="AO574" s="346"/>
      <c r="AP574" s="346"/>
      <c r="AQ574" s="346"/>
      <c r="AR574" s="346"/>
      <c r="AS574" s="346"/>
      <c r="AT574" s="346"/>
      <c r="AU574" s="346"/>
      <c r="AV574">
        <f t="shared" si="74"/>
        <v>0</v>
      </c>
      <c r="AW574" s="351">
        <f t="shared" si="75"/>
        <v>0</v>
      </c>
    </row>
    <row r="575" spans="1:49" ht="15.75">
      <c r="A575" s="357"/>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c r="AK575"/>
      <c r="AL575"/>
      <c r="AM575"/>
      <c r="AN575"/>
      <c r="AO575"/>
      <c r="AP575"/>
      <c r="AQ575"/>
      <c r="AR575"/>
      <c r="AS575"/>
      <c r="AT575"/>
      <c r="AU575"/>
      <c r="AV575">
        <f t="shared" si="74"/>
        <v>0</v>
      </c>
      <c r="AW575" s="351">
        <f t="shared" si="75"/>
        <v>0</v>
      </c>
    </row>
    <row r="576" spans="1:49" ht="15.75">
      <c r="A576" s="357"/>
      <c r="B576" s="346"/>
      <c r="C576" s="346"/>
      <c r="D576" s="346"/>
      <c r="E576" s="346"/>
      <c r="F576" s="346"/>
      <c r="G576" s="346"/>
      <c r="H576" s="346"/>
      <c r="I576" s="346"/>
      <c r="J576" s="346"/>
      <c r="K576" s="346"/>
      <c r="L576" s="346"/>
      <c r="M576" s="346"/>
      <c r="N576" s="346"/>
      <c r="O576" s="346"/>
      <c r="P576" s="346"/>
      <c r="Q576" s="346"/>
      <c r="R576" s="346"/>
      <c r="S576" s="346"/>
      <c r="T576" s="346"/>
      <c r="U576" s="346"/>
      <c r="V576" s="346"/>
      <c r="W576" s="346"/>
      <c r="X576" s="346"/>
      <c r="Y576" s="346"/>
      <c r="Z576" s="346"/>
      <c r="AA576" s="346"/>
      <c r="AB576" s="346"/>
      <c r="AC576" s="346"/>
      <c r="AD576" s="346"/>
      <c r="AE576" s="346"/>
      <c r="AF576" s="346"/>
      <c r="AG576" s="346"/>
      <c r="AH576" s="346"/>
      <c r="AI576" s="346"/>
      <c r="AJ576" s="346"/>
      <c r="AK576" s="346"/>
      <c r="AL576" s="346"/>
      <c r="AM576" s="346"/>
      <c r="AN576" s="346"/>
      <c r="AO576" s="346"/>
      <c r="AP576" s="346"/>
      <c r="AQ576" s="346"/>
      <c r="AR576" s="346"/>
      <c r="AS576" s="346"/>
      <c r="AT576" s="346"/>
      <c r="AU576" s="346"/>
      <c r="AV576">
        <f t="shared" si="74"/>
        <v>0</v>
      </c>
      <c r="AW576" s="351">
        <f t="shared" si="75"/>
        <v>0</v>
      </c>
    </row>
    <row r="577" spans="1:49" ht="15.75">
      <c r="A577" s="35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c r="AK577"/>
      <c r="AL577"/>
      <c r="AM577"/>
      <c r="AN577"/>
      <c r="AO577"/>
      <c r="AP577"/>
      <c r="AQ577"/>
      <c r="AR577"/>
      <c r="AS577"/>
      <c r="AT577"/>
      <c r="AU577"/>
      <c r="AV577">
        <f t="shared" si="74"/>
        <v>0</v>
      </c>
      <c r="AW577" s="351">
        <f t="shared" si="75"/>
        <v>0</v>
      </c>
    </row>
    <row r="578" spans="1:49" ht="15.75">
      <c r="A578" s="357"/>
      <c r="B578" s="346"/>
      <c r="C578" s="346"/>
      <c r="D578" s="346"/>
      <c r="E578" s="346"/>
      <c r="F578" s="346"/>
      <c r="G578" s="346"/>
      <c r="H578" s="346"/>
      <c r="I578" s="346"/>
      <c r="J578" s="346"/>
      <c r="K578" s="346"/>
      <c r="L578" s="346"/>
      <c r="M578" s="346"/>
      <c r="N578" s="346"/>
      <c r="O578" s="346"/>
      <c r="P578" s="346"/>
      <c r="Q578" s="346"/>
      <c r="R578" s="346"/>
      <c r="S578" s="346"/>
      <c r="T578" s="346"/>
      <c r="U578" s="346"/>
      <c r="V578" s="346"/>
      <c r="W578" s="346"/>
      <c r="X578" s="346"/>
      <c r="Y578" s="346"/>
      <c r="Z578" s="346"/>
      <c r="AA578" s="346"/>
      <c r="AB578" s="346"/>
      <c r="AC578" s="346"/>
      <c r="AD578" s="346"/>
      <c r="AE578" s="346"/>
      <c r="AF578" s="346"/>
      <c r="AG578" s="346"/>
      <c r="AH578" s="346"/>
      <c r="AI578" s="346"/>
      <c r="AJ578" s="346"/>
      <c r="AK578" s="346"/>
      <c r="AL578" s="346"/>
      <c r="AM578" s="346"/>
      <c r="AN578" s="346"/>
      <c r="AO578" s="346"/>
      <c r="AP578" s="346"/>
      <c r="AQ578" s="346"/>
      <c r="AR578" s="346"/>
      <c r="AS578" s="346"/>
      <c r="AT578" s="346"/>
      <c r="AU578" s="346"/>
      <c r="AV578">
        <f t="shared" si="74"/>
        <v>0</v>
      </c>
      <c r="AW578" s="351">
        <f t="shared" si="75"/>
        <v>0</v>
      </c>
    </row>
    <row r="579" spans="1:49" ht="15.75">
      <c r="A579" s="357"/>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c r="AK579"/>
      <c r="AL579"/>
      <c r="AM579"/>
      <c r="AN579"/>
      <c r="AO579"/>
      <c r="AP579"/>
      <c r="AQ579"/>
      <c r="AR579"/>
      <c r="AS579"/>
      <c r="AT579"/>
      <c r="AU579"/>
      <c r="AV579">
        <f t="shared" si="74"/>
        <v>0</v>
      </c>
      <c r="AW579" s="351">
        <f t="shared" si="75"/>
        <v>0</v>
      </c>
    </row>
    <row r="580" spans="1:49" ht="15.75">
      <c r="A580" s="357"/>
      <c r="B580" s="346"/>
      <c r="C580" s="346"/>
      <c r="D580" s="346"/>
      <c r="E580" s="346"/>
      <c r="F580" s="346"/>
      <c r="G580" s="346"/>
      <c r="H580" s="346"/>
      <c r="I580" s="346"/>
      <c r="J580" s="346"/>
      <c r="K580" s="346"/>
      <c r="L580" s="346"/>
      <c r="M580" s="346"/>
      <c r="N580" s="346"/>
      <c r="O580" s="346"/>
      <c r="P580" s="346"/>
      <c r="Q580" s="346"/>
      <c r="R580" s="346"/>
      <c r="S580" s="346"/>
      <c r="T580" s="346"/>
      <c r="U580" s="346"/>
      <c r="V580" s="346"/>
      <c r="W580" s="346"/>
      <c r="X580" s="346"/>
      <c r="Y580" s="346"/>
      <c r="Z580" s="346"/>
      <c r="AA580" s="346"/>
      <c r="AB580" s="346"/>
      <c r="AC580" s="346"/>
      <c r="AD580" s="346"/>
      <c r="AE580" s="346"/>
      <c r="AF580" s="346"/>
      <c r="AG580" s="346"/>
      <c r="AH580" s="346"/>
      <c r="AI580" s="346"/>
      <c r="AJ580" s="346"/>
      <c r="AK580" s="346"/>
      <c r="AL580" s="346"/>
      <c r="AM580" s="346"/>
      <c r="AN580" s="346"/>
      <c r="AO580" s="346"/>
      <c r="AP580" s="346"/>
      <c r="AQ580" s="346"/>
      <c r="AR580" s="346"/>
      <c r="AS580" s="346"/>
      <c r="AT580" s="346"/>
      <c r="AU580" s="346"/>
      <c r="AV580">
        <f t="shared" si="74"/>
        <v>0</v>
      </c>
      <c r="AW580" s="351">
        <f t="shared" si="75"/>
        <v>0</v>
      </c>
    </row>
    <row r="581" spans="1:49" ht="15.75">
      <c r="A581" s="357"/>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c r="AK581"/>
      <c r="AL581"/>
      <c r="AM581"/>
      <c r="AN581"/>
      <c r="AO581"/>
      <c r="AP581"/>
      <c r="AQ581"/>
      <c r="AR581"/>
      <c r="AS581"/>
      <c r="AT581"/>
      <c r="AU581"/>
      <c r="AV581">
        <f t="shared" si="74"/>
        <v>0</v>
      </c>
      <c r="AW581" s="351">
        <f t="shared" si="75"/>
        <v>0</v>
      </c>
    </row>
    <row r="582" spans="1:49" ht="15.75">
      <c r="A582" s="357"/>
      <c r="B582" s="346"/>
      <c r="C582" s="346"/>
      <c r="D582" s="346"/>
      <c r="E582" s="346"/>
      <c r="F582" s="346"/>
      <c r="G582" s="346"/>
      <c r="H582" s="346"/>
      <c r="I582" s="346"/>
      <c r="J582" s="346"/>
      <c r="K582" s="346"/>
      <c r="L582" s="346"/>
      <c r="M582" s="346"/>
      <c r="N582" s="346"/>
      <c r="O582" s="346"/>
      <c r="P582" s="346"/>
      <c r="Q582" s="346"/>
      <c r="R582" s="346"/>
      <c r="S582" s="346"/>
      <c r="T582" s="346"/>
      <c r="U582" s="346"/>
      <c r="V582" s="346"/>
      <c r="W582" s="346"/>
      <c r="X582" s="346"/>
      <c r="Y582" s="346"/>
      <c r="Z582" s="346"/>
      <c r="AA582" s="346"/>
      <c r="AB582" s="346"/>
      <c r="AC582" s="346"/>
      <c r="AD582" s="346"/>
      <c r="AE582" s="346"/>
      <c r="AF582" s="346"/>
      <c r="AG582" s="346"/>
      <c r="AH582" s="346"/>
      <c r="AI582" s="346"/>
      <c r="AJ582" s="346"/>
      <c r="AK582" s="346"/>
      <c r="AL582" s="346"/>
      <c r="AM582" s="346"/>
      <c r="AN582" s="346"/>
      <c r="AO582" s="346"/>
      <c r="AP582" s="346"/>
      <c r="AQ582" s="346"/>
      <c r="AR582" s="346"/>
      <c r="AS582" s="346"/>
      <c r="AT582" s="346"/>
      <c r="AU582" s="346"/>
      <c r="AV582">
        <f t="shared" si="74"/>
        <v>0</v>
      </c>
      <c r="AW582" s="351">
        <f t="shared" si="75"/>
        <v>0</v>
      </c>
    </row>
    <row r="583" spans="1:49" ht="15.75">
      <c r="A583" s="357"/>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c r="AK583"/>
      <c r="AL583"/>
      <c r="AM583"/>
      <c r="AN583"/>
      <c r="AO583"/>
      <c r="AP583"/>
      <c r="AQ583"/>
      <c r="AR583"/>
      <c r="AS583"/>
      <c r="AT583"/>
      <c r="AU583"/>
      <c r="AV583">
        <f t="shared" si="74"/>
        <v>0</v>
      </c>
      <c r="AW583" s="351">
        <f t="shared" si="75"/>
        <v>0</v>
      </c>
    </row>
    <row r="584" spans="1:49" ht="15.75">
      <c r="A584" s="357"/>
      <c r="B584" s="346"/>
      <c r="C584" s="346"/>
      <c r="D584" s="346"/>
      <c r="E584" s="346"/>
      <c r="F584" s="346"/>
      <c r="G584" s="346"/>
      <c r="H584" s="346"/>
      <c r="I584" s="346"/>
      <c r="J584" s="346"/>
      <c r="K584" s="346"/>
      <c r="L584" s="346"/>
      <c r="M584" s="346"/>
      <c r="N584" s="346"/>
      <c r="O584" s="346"/>
      <c r="P584" s="346"/>
      <c r="Q584" s="346"/>
      <c r="R584" s="346"/>
      <c r="S584" s="346"/>
      <c r="T584" s="346"/>
      <c r="U584" s="346"/>
      <c r="V584" s="346"/>
      <c r="W584" s="346"/>
      <c r="X584" s="346"/>
      <c r="Y584" s="346"/>
      <c r="Z584" s="346"/>
      <c r="AA584" s="346"/>
      <c r="AB584" s="346"/>
      <c r="AC584" s="346"/>
      <c r="AD584" s="346"/>
      <c r="AE584" s="346"/>
      <c r="AF584" s="346"/>
      <c r="AG584" s="346"/>
      <c r="AH584" s="346"/>
      <c r="AI584" s="346"/>
      <c r="AJ584" s="346"/>
      <c r="AK584" s="346"/>
      <c r="AL584" s="346"/>
      <c r="AM584" s="346"/>
      <c r="AN584" s="346"/>
      <c r="AO584" s="346"/>
      <c r="AP584" s="346"/>
      <c r="AQ584" s="346"/>
      <c r="AR584" s="346"/>
      <c r="AS584" s="346"/>
      <c r="AT584" s="346"/>
      <c r="AU584" s="346"/>
      <c r="AV584">
        <f t="shared" si="74"/>
        <v>0</v>
      </c>
      <c r="AW584" s="351">
        <f t="shared" si="75"/>
        <v>0</v>
      </c>
    </row>
    <row r="585" spans="1:49" ht="15.75">
      <c r="A585" s="357"/>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c r="AV585">
        <f t="shared" si="74"/>
        <v>0</v>
      </c>
      <c r="AW585" s="351">
        <f t="shared" si="75"/>
        <v>0</v>
      </c>
    </row>
    <row r="586" spans="1:49" ht="15.75">
      <c r="A586" s="357"/>
      <c r="B586" s="346"/>
      <c r="C586" s="346"/>
      <c r="D586" s="346"/>
      <c r="E586" s="346"/>
      <c r="F586" s="346"/>
      <c r="G586" s="346"/>
      <c r="H586" s="346"/>
      <c r="I586" s="346"/>
      <c r="J586" s="346"/>
      <c r="K586" s="346"/>
      <c r="L586" s="346"/>
      <c r="M586" s="346"/>
      <c r="N586" s="346"/>
      <c r="O586" s="346"/>
      <c r="P586" s="346"/>
      <c r="Q586" s="346"/>
      <c r="R586" s="346"/>
      <c r="S586" s="346"/>
      <c r="T586" s="346"/>
      <c r="U586" s="346"/>
      <c r="V586" s="346"/>
      <c r="W586" s="346"/>
      <c r="X586" s="346"/>
      <c r="Y586" s="346"/>
      <c r="Z586" s="346"/>
      <c r="AA586" s="346"/>
      <c r="AB586" s="346"/>
      <c r="AC586" s="346"/>
      <c r="AD586" s="346"/>
      <c r="AE586" s="346"/>
      <c r="AF586" s="346"/>
      <c r="AG586" s="346"/>
      <c r="AH586" s="346"/>
      <c r="AI586" s="346"/>
      <c r="AJ586" s="346"/>
      <c r="AK586" s="346"/>
      <c r="AL586" s="346"/>
      <c r="AM586" s="346"/>
      <c r="AN586" s="346"/>
      <c r="AO586" s="346"/>
      <c r="AP586" s="346"/>
      <c r="AQ586" s="346"/>
      <c r="AR586" s="346"/>
      <c r="AS586" s="346"/>
      <c r="AT586" s="346"/>
      <c r="AU586" s="346"/>
      <c r="AV586">
        <f t="shared" si="74"/>
        <v>0</v>
      </c>
      <c r="AW586" s="351">
        <f t="shared" si="75"/>
        <v>0</v>
      </c>
    </row>
    <row r="587" spans="1:49" ht="15.75">
      <c r="A587" s="357"/>
      <c r="B587"/>
      <c r="C587"/>
      <c r="D587"/>
      <c r="E587" s="409"/>
      <c r="F587"/>
      <c r="G587"/>
      <c r="H587"/>
      <c r="I587"/>
      <c r="J587"/>
      <c r="K587"/>
      <c r="L587"/>
      <c r="M587"/>
      <c r="N587"/>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c r="AV587">
        <f t="shared" si="74"/>
        <v>0</v>
      </c>
      <c r="AW587" s="351">
        <f t="shared" si="75"/>
        <v>0</v>
      </c>
    </row>
    <row r="588" spans="1:49" ht="15.75">
      <c r="A588" s="357"/>
      <c r="B588" s="346"/>
      <c r="C588" s="346"/>
      <c r="D588" s="346"/>
      <c r="E588" s="346"/>
      <c r="F588" s="346"/>
      <c r="G588" s="346"/>
      <c r="H588" s="346"/>
      <c r="I588" s="346"/>
      <c r="J588" s="346"/>
      <c r="K588" s="346"/>
      <c r="L588" s="346"/>
      <c r="M588" s="346"/>
      <c r="N588" s="346"/>
      <c r="O588" s="346"/>
      <c r="P588" s="346"/>
      <c r="Q588" s="346"/>
      <c r="R588" s="346"/>
      <c r="S588" s="346"/>
      <c r="T588" s="346"/>
      <c r="U588" s="346"/>
      <c r="V588" s="346"/>
      <c r="W588" s="346"/>
      <c r="X588" s="346"/>
      <c r="Y588" s="77"/>
      <c r="Z588" s="346"/>
      <c r="AA588" s="346"/>
      <c r="AB588" s="346"/>
      <c r="AC588" s="346"/>
      <c r="AD588" s="346"/>
      <c r="AE588" s="346"/>
      <c r="AF588" s="346"/>
      <c r="AG588" s="346"/>
      <c r="AH588" s="346"/>
      <c r="AI588" s="346"/>
      <c r="AJ588" s="346"/>
      <c r="AK588" s="346"/>
      <c r="AL588" s="346"/>
      <c r="AM588" s="346"/>
      <c r="AN588" s="346"/>
      <c r="AO588" s="346"/>
      <c r="AP588" s="346"/>
      <c r="AQ588" s="346"/>
      <c r="AR588" s="346"/>
      <c r="AS588" s="346"/>
      <c r="AT588" s="346"/>
      <c r="AU588" s="346"/>
      <c r="AV588">
        <f t="shared" ref="AV588:AV611" si="76">SUM(B588:AU588)</f>
        <v>0</v>
      </c>
      <c r="AW588" s="351">
        <f t="shared" si="75"/>
        <v>0</v>
      </c>
    </row>
    <row r="589" spans="1:49" ht="15.75">
      <c r="A589" s="357"/>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c r="AV589">
        <f t="shared" si="76"/>
        <v>0</v>
      </c>
      <c r="AW589" s="351">
        <f t="shared" si="75"/>
        <v>0</v>
      </c>
    </row>
    <row r="590" spans="1:49" ht="15.75">
      <c r="A590" s="357"/>
      <c r="B590" s="346"/>
      <c r="C590" s="346"/>
      <c r="D590" s="346"/>
      <c r="E590" s="346"/>
      <c r="F590" s="346"/>
      <c r="G590" s="346"/>
      <c r="H590" s="346"/>
      <c r="I590" s="346"/>
      <c r="J590" s="346"/>
      <c r="K590" s="346"/>
      <c r="L590" s="346"/>
      <c r="M590" s="346"/>
      <c r="N590" s="346"/>
      <c r="O590" s="346"/>
      <c r="P590" s="346"/>
      <c r="Q590" s="346"/>
      <c r="R590" s="346"/>
      <c r="S590" s="346"/>
      <c r="T590" s="346"/>
      <c r="U590" s="346"/>
      <c r="V590" s="346"/>
      <c r="W590" s="346"/>
      <c r="X590" s="346"/>
      <c r="Y590" s="346"/>
      <c r="Z590" s="346"/>
      <c r="AA590" s="346"/>
      <c r="AB590" s="346"/>
      <c r="AC590" s="346"/>
      <c r="AD590" s="346"/>
      <c r="AE590" s="346"/>
      <c r="AF590" s="346"/>
      <c r="AG590" s="346"/>
      <c r="AH590" s="346"/>
      <c r="AI590" s="346"/>
      <c r="AJ590" s="346"/>
      <c r="AK590" s="346"/>
      <c r="AL590" s="346"/>
      <c r="AM590" s="346"/>
      <c r="AN590" s="346"/>
      <c r="AO590" s="346"/>
      <c r="AP590" s="346"/>
      <c r="AQ590" s="346"/>
      <c r="AR590" s="346"/>
      <c r="AS590" s="346"/>
      <c r="AT590" s="346"/>
      <c r="AU590" s="346"/>
      <c r="AV590">
        <f t="shared" si="76"/>
        <v>0</v>
      </c>
      <c r="AW590" s="351">
        <f t="shared" si="75"/>
        <v>0</v>
      </c>
    </row>
    <row r="591" spans="1:49" ht="15.75">
      <c r="A591" s="357"/>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c r="AK591"/>
      <c r="AL591"/>
      <c r="AM591"/>
      <c r="AN591"/>
      <c r="AO591"/>
      <c r="AP591"/>
      <c r="AQ591"/>
      <c r="AR591"/>
      <c r="AS591"/>
      <c r="AT591"/>
      <c r="AU591"/>
      <c r="AV591">
        <f t="shared" si="76"/>
        <v>0</v>
      </c>
      <c r="AW591" s="351">
        <f t="shared" si="75"/>
        <v>0</v>
      </c>
    </row>
    <row r="592" spans="1:49" ht="15.75">
      <c r="A592" s="357"/>
      <c r="B592" s="346"/>
      <c r="C592" s="346"/>
      <c r="D592" s="346"/>
      <c r="E592" s="346"/>
      <c r="F592" s="346"/>
      <c r="G592" s="346"/>
      <c r="H592" s="346"/>
      <c r="I592" s="346"/>
      <c r="J592" s="346"/>
      <c r="K592" s="346"/>
      <c r="L592" s="346"/>
      <c r="M592" s="346"/>
      <c r="N592" s="346"/>
      <c r="O592" s="346"/>
      <c r="P592" s="346"/>
      <c r="Q592" s="346"/>
      <c r="R592" s="346"/>
      <c r="S592" s="346"/>
      <c r="T592" s="346"/>
      <c r="U592" s="346"/>
      <c r="V592" s="346"/>
      <c r="W592" s="346"/>
      <c r="X592" s="346"/>
      <c r="Y592" s="346"/>
      <c r="Z592" s="346"/>
      <c r="AA592" s="346"/>
      <c r="AB592" s="346"/>
      <c r="AC592" s="346"/>
      <c r="AD592" s="346"/>
      <c r="AE592" s="346"/>
      <c r="AF592" s="346"/>
      <c r="AG592" s="346"/>
      <c r="AH592" s="346"/>
      <c r="AI592" s="346"/>
      <c r="AJ592" s="346"/>
      <c r="AK592" s="346"/>
      <c r="AL592" s="346"/>
      <c r="AM592" s="346"/>
      <c r="AN592" s="346"/>
      <c r="AO592" s="346"/>
      <c r="AP592" s="346"/>
      <c r="AQ592" s="346"/>
      <c r="AR592" s="346"/>
      <c r="AS592" s="346"/>
      <c r="AT592" s="346"/>
      <c r="AU592" s="346"/>
      <c r="AV592">
        <f t="shared" si="76"/>
        <v>0</v>
      </c>
      <c r="AW592" s="351">
        <f t="shared" si="75"/>
        <v>0</v>
      </c>
    </row>
    <row r="593" spans="1:49" ht="15.75">
      <c r="A593" s="357"/>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c r="AK593"/>
      <c r="AL593"/>
      <c r="AM593"/>
      <c r="AN593"/>
      <c r="AO593"/>
      <c r="AP593"/>
      <c r="AQ593"/>
      <c r="AR593"/>
      <c r="AS593"/>
      <c r="AT593"/>
      <c r="AU593"/>
      <c r="AV593">
        <f t="shared" si="76"/>
        <v>0</v>
      </c>
      <c r="AW593" s="351">
        <f t="shared" si="75"/>
        <v>0</v>
      </c>
    </row>
    <row r="594" spans="1:49" ht="15.75">
      <c r="A594" s="357"/>
      <c r="B594" s="346"/>
      <c r="C594" s="346"/>
      <c r="D594" s="346"/>
      <c r="E594" s="346"/>
      <c r="F594" s="346"/>
      <c r="G594" s="346"/>
      <c r="H594" s="346"/>
      <c r="I594" s="346"/>
      <c r="J594" s="346"/>
      <c r="K594" s="346"/>
      <c r="L594" s="346"/>
      <c r="M594" s="346"/>
      <c r="N594" s="346"/>
      <c r="O594" s="346"/>
      <c r="P594" s="346"/>
      <c r="Q594" s="346"/>
      <c r="R594" s="346"/>
      <c r="S594" s="346"/>
      <c r="T594" s="346"/>
      <c r="U594" s="346"/>
      <c r="V594" s="346"/>
      <c r="W594" s="346"/>
      <c r="X594" s="346"/>
      <c r="Y594" s="346"/>
      <c r="Z594" s="346"/>
      <c r="AA594" s="346"/>
      <c r="AB594" s="346"/>
      <c r="AC594" s="346"/>
      <c r="AD594" s="346"/>
      <c r="AE594" s="346"/>
      <c r="AF594" s="346"/>
      <c r="AG594" s="346"/>
      <c r="AH594" s="346"/>
      <c r="AI594" s="346"/>
      <c r="AJ594" s="346"/>
      <c r="AK594" s="346"/>
      <c r="AL594" s="346"/>
      <c r="AM594" s="346"/>
      <c r="AN594" s="346"/>
      <c r="AO594" s="346"/>
      <c r="AP594" s="346"/>
      <c r="AQ594" s="346"/>
      <c r="AR594" s="346"/>
      <c r="AS594" s="346"/>
      <c r="AT594" s="346"/>
      <c r="AU594" s="346"/>
      <c r="AV594">
        <f t="shared" si="76"/>
        <v>0</v>
      </c>
      <c r="AW594" s="351">
        <f t="shared" si="75"/>
        <v>0</v>
      </c>
    </row>
    <row r="595" spans="1:49" ht="15.75">
      <c r="A595" s="357"/>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c r="AK595"/>
      <c r="AL595"/>
      <c r="AM595"/>
      <c r="AN595"/>
      <c r="AO595"/>
      <c r="AP595"/>
      <c r="AQ595"/>
      <c r="AR595"/>
      <c r="AS595"/>
      <c r="AT595"/>
      <c r="AU595"/>
      <c r="AV595">
        <f t="shared" si="76"/>
        <v>0</v>
      </c>
      <c r="AW595" s="351">
        <f t="shared" si="75"/>
        <v>0</v>
      </c>
    </row>
    <row r="596" spans="1:49" ht="15.75">
      <c r="A596" s="357"/>
      <c r="B596" s="346"/>
      <c r="C596" s="346"/>
      <c r="D596" s="346"/>
      <c r="E596" s="346"/>
      <c r="F596" s="346"/>
      <c r="G596" s="346"/>
      <c r="H596" s="346"/>
      <c r="I596" s="346"/>
      <c r="J596" s="346"/>
      <c r="K596" s="346"/>
      <c r="L596" s="346"/>
      <c r="M596" s="346"/>
      <c r="N596" s="346"/>
      <c r="O596" s="346"/>
      <c r="P596" s="346"/>
      <c r="Q596" s="346"/>
      <c r="R596" s="346"/>
      <c r="S596" s="346"/>
      <c r="T596" s="346"/>
      <c r="U596" s="346"/>
      <c r="V596" s="346"/>
      <c r="W596" s="346"/>
      <c r="X596" s="346"/>
      <c r="Y596" s="346"/>
      <c r="Z596" s="346"/>
      <c r="AA596" s="346"/>
      <c r="AB596" s="346"/>
      <c r="AC596" s="346"/>
      <c r="AD596" s="346"/>
      <c r="AE596" s="346"/>
      <c r="AF596" s="346"/>
      <c r="AG596" s="346"/>
      <c r="AH596" s="346"/>
      <c r="AI596" s="346"/>
      <c r="AJ596" s="346"/>
      <c r="AK596" s="346"/>
      <c r="AL596" s="346"/>
      <c r="AM596" s="346"/>
      <c r="AN596" s="346"/>
      <c r="AO596" s="346"/>
      <c r="AP596" s="346"/>
      <c r="AQ596" s="346"/>
      <c r="AR596" s="346"/>
      <c r="AS596" s="346"/>
      <c r="AT596" s="346"/>
      <c r="AU596" s="346"/>
      <c r="AV596">
        <f t="shared" si="76"/>
        <v>0</v>
      </c>
      <c r="AW596" s="351">
        <f t="shared" si="75"/>
        <v>0</v>
      </c>
    </row>
    <row r="597" spans="1:49" ht="15.75">
      <c r="A597" s="35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c r="AK597"/>
      <c r="AL597"/>
      <c r="AM597"/>
      <c r="AN597"/>
      <c r="AO597"/>
      <c r="AP597"/>
      <c r="AQ597"/>
      <c r="AR597"/>
      <c r="AS597"/>
      <c r="AT597"/>
      <c r="AU597"/>
      <c r="AV597">
        <f t="shared" si="76"/>
        <v>0</v>
      </c>
      <c r="AW597" s="351">
        <f t="shared" si="75"/>
        <v>0</v>
      </c>
    </row>
    <row r="598" spans="1:49" ht="15.75">
      <c r="A598" s="357"/>
      <c r="B598" s="346"/>
      <c r="C598" s="346"/>
      <c r="D598" s="346"/>
      <c r="E598" s="346"/>
      <c r="F598" s="346"/>
      <c r="G598" s="346"/>
      <c r="H598" s="346"/>
      <c r="I598" s="346"/>
      <c r="J598" s="346"/>
      <c r="K598" s="346"/>
      <c r="L598" s="346"/>
      <c r="M598" s="346"/>
      <c r="N598" s="346"/>
      <c r="O598" s="346"/>
      <c r="P598" s="346"/>
      <c r="Q598" s="346"/>
      <c r="R598" s="346"/>
      <c r="S598" s="346"/>
      <c r="T598" s="346"/>
      <c r="U598" s="346"/>
      <c r="V598" s="346"/>
      <c r="W598" s="346"/>
      <c r="X598" s="346"/>
      <c r="Y598" s="346"/>
      <c r="Z598" s="346"/>
      <c r="AA598" s="346"/>
      <c r="AB598" s="346"/>
      <c r="AC598" s="346"/>
      <c r="AD598" s="346"/>
      <c r="AE598" s="346"/>
      <c r="AF598" s="346"/>
      <c r="AG598" s="346"/>
      <c r="AH598" s="346"/>
      <c r="AI598" s="346"/>
      <c r="AJ598" s="346"/>
      <c r="AK598" s="346"/>
      <c r="AL598" s="346"/>
      <c r="AM598" s="346"/>
      <c r="AN598" s="346"/>
      <c r="AO598" s="346"/>
      <c r="AP598" s="346"/>
      <c r="AQ598" s="346"/>
      <c r="AR598" s="346"/>
      <c r="AS598" s="346"/>
      <c r="AT598" s="346"/>
      <c r="AU598" s="346"/>
      <c r="AV598">
        <f t="shared" si="76"/>
        <v>0</v>
      </c>
      <c r="AW598" s="351">
        <f t="shared" si="75"/>
        <v>0</v>
      </c>
    </row>
    <row r="599" spans="1:49" ht="15.75">
      <c r="A599" s="357"/>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c r="AK599"/>
      <c r="AL599"/>
      <c r="AM599"/>
      <c r="AN599"/>
      <c r="AO599"/>
      <c r="AP599"/>
      <c r="AQ599"/>
      <c r="AR599"/>
      <c r="AS599"/>
      <c r="AT599"/>
      <c r="AU599"/>
      <c r="AV599">
        <f t="shared" si="76"/>
        <v>0</v>
      </c>
      <c r="AW599" s="351">
        <f t="shared" si="75"/>
        <v>0</v>
      </c>
    </row>
    <row r="600" spans="1:49" ht="15.75">
      <c r="A600" s="357"/>
      <c r="B600" s="346"/>
      <c r="C600" s="346"/>
      <c r="D600" s="346"/>
      <c r="E600" s="346"/>
      <c r="F600" s="346"/>
      <c r="G600" s="346"/>
      <c r="H600" s="346"/>
      <c r="I600" s="346"/>
      <c r="J600" s="346"/>
      <c r="K600" s="346"/>
      <c r="L600" s="346"/>
      <c r="M600" s="346"/>
      <c r="N600" s="346"/>
      <c r="O600" s="346"/>
      <c r="P600" s="346"/>
      <c r="Q600" s="346"/>
      <c r="R600" s="346"/>
      <c r="S600" s="346"/>
      <c r="T600" s="346"/>
      <c r="U600" s="346"/>
      <c r="V600" s="346"/>
      <c r="W600" s="346"/>
      <c r="X600" s="346"/>
      <c r="Y600" s="346"/>
      <c r="Z600" s="346"/>
      <c r="AA600" s="346"/>
      <c r="AB600" s="346"/>
      <c r="AC600" s="346"/>
      <c r="AD600" s="346"/>
      <c r="AE600" s="346"/>
      <c r="AF600" s="346"/>
      <c r="AG600" s="346"/>
      <c r="AH600" s="346"/>
      <c r="AI600" s="346"/>
      <c r="AJ600" s="346"/>
      <c r="AK600" s="346"/>
      <c r="AL600" s="346"/>
      <c r="AM600" s="346"/>
      <c r="AN600" s="346"/>
      <c r="AO600" s="346"/>
      <c r="AP600" s="346"/>
      <c r="AQ600" s="346"/>
      <c r="AR600" s="346"/>
      <c r="AS600" s="346"/>
      <c r="AT600" s="346"/>
      <c r="AU600" s="346"/>
      <c r="AV600">
        <f t="shared" si="76"/>
        <v>0</v>
      </c>
      <c r="AW600" s="351">
        <f t="shared" si="75"/>
        <v>0</v>
      </c>
    </row>
    <row r="601" spans="1:49" ht="15.75">
      <c r="A601" s="357"/>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c r="AK601"/>
      <c r="AL601"/>
      <c r="AM601"/>
      <c r="AN601"/>
      <c r="AO601"/>
      <c r="AP601"/>
      <c r="AQ601"/>
      <c r="AR601"/>
      <c r="AS601"/>
      <c r="AT601"/>
      <c r="AU601"/>
      <c r="AV601">
        <f t="shared" si="76"/>
        <v>0</v>
      </c>
      <c r="AW601" s="351">
        <f t="shared" si="75"/>
        <v>0</v>
      </c>
    </row>
    <row r="602" spans="1:49" ht="15.75">
      <c r="A602" s="357"/>
      <c r="B602" s="346"/>
      <c r="C602" s="346"/>
      <c r="D602" s="346"/>
      <c r="E602" s="346"/>
      <c r="F602" s="346"/>
      <c r="G602" s="346"/>
      <c r="H602" s="346"/>
      <c r="I602" s="346"/>
      <c r="J602" s="346"/>
      <c r="K602" s="346"/>
      <c r="L602" s="346"/>
      <c r="M602" s="346"/>
      <c r="N602" s="346"/>
      <c r="O602" s="346"/>
      <c r="P602" s="346"/>
      <c r="Q602" s="346"/>
      <c r="R602" s="346"/>
      <c r="S602" s="346"/>
      <c r="T602" s="346"/>
      <c r="U602" s="346"/>
      <c r="V602" s="346"/>
      <c r="W602" s="346"/>
      <c r="X602" s="346"/>
      <c r="Y602" s="346"/>
      <c r="Z602" s="346"/>
      <c r="AA602" s="346"/>
      <c r="AB602" s="346"/>
      <c r="AC602" s="346"/>
      <c r="AD602" s="346"/>
      <c r="AE602" s="346"/>
      <c r="AF602" s="346"/>
      <c r="AG602" s="346"/>
      <c r="AH602" s="346"/>
      <c r="AI602" s="346"/>
      <c r="AJ602" s="346"/>
      <c r="AK602" s="346"/>
      <c r="AL602" s="346"/>
      <c r="AM602" s="346"/>
      <c r="AN602" s="346"/>
      <c r="AO602" s="346"/>
      <c r="AP602" s="346"/>
      <c r="AQ602" s="346"/>
      <c r="AR602" s="346"/>
      <c r="AS602" s="346"/>
      <c r="AT602" s="346"/>
      <c r="AU602" s="346"/>
      <c r="AV602">
        <f t="shared" si="76"/>
        <v>0</v>
      </c>
      <c r="AW602" s="351">
        <f t="shared" si="75"/>
        <v>0</v>
      </c>
    </row>
    <row r="603" spans="1:49" ht="15.75">
      <c r="A603" s="357"/>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c r="AK603"/>
      <c r="AL603"/>
      <c r="AM603"/>
      <c r="AN603"/>
      <c r="AO603"/>
      <c r="AP603"/>
      <c r="AQ603"/>
      <c r="AR603"/>
      <c r="AS603"/>
      <c r="AT603"/>
      <c r="AU603"/>
      <c r="AV603">
        <f t="shared" si="76"/>
        <v>0</v>
      </c>
      <c r="AW603" s="351">
        <f t="shared" si="75"/>
        <v>0</v>
      </c>
    </row>
    <row r="604" spans="1:49" ht="15.75">
      <c r="A604" s="357"/>
      <c r="B604" s="346"/>
      <c r="C604" s="346"/>
      <c r="D604" s="346"/>
      <c r="E604" s="346"/>
      <c r="F604" s="346"/>
      <c r="G604" s="346"/>
      <c r="H604" s="346"/>
      <c r="I604" s="346"/>
      <c r="J604" s="346"/>
      <c r="K604" s="346"/>
      <c r="L604" s="346"/>
      <c r="M604" s="346"/>
      <c r="N604" s="346"/>
      <c r="O604" s="346"/>
      <c r="P604" s="346"/>
      <c r="Q604" s="346"/>
      <c r="R604" s="346"/>
      <c r="S604" s="346"/>
      <c r="T604" s="346"/>
      <c r="U604" s="346"/>
      <c r="V604" s="346"/>
      <c r="W604" s="346"/>
      <c r="X604" s="346"/>
      <c r="Y604" s="346"/>
      <c r="Z604" s="346"/>
      <c r="AA604" s="346"/>
      <c r="AB604" s="346"/>
      <c r="AC604" s="346"/>
      <c r="AD604" s="346"/>
      <c r="AE604" s="346"/>
      <c r="AF604" s="346"/>
      <c r="AG604" s="346"/>
      <c r="AH604" s="346"/>
      <c r="AI604" s="346"/>
      <c r="AJ604" s="346"/>
      <c r="AK604" s="346"/>
      <c r="AL604" s="346"/>
      <c r="AM604" s="346"/>
      <c r="AN604" s="346"/>
      <c r="AO604" s="346"/>
      <c r="AP604" s="346"/>
      <c r="AQ604" s="346"/>
      <c r="AR604" s="346"/>
      <c r="AS604" s="346"/>
      <c r="AT604" s="346"/>
      <c r="AU604" s="346"/>
      <c r="AV604">
        <f t="shared" si="76"/>
        <v>0</v>
      </c>
      <c r="AW604" s="351">
        <f t="shared" si="75"/>
        <v>0</v>
      </c>
    </row>
    <row r="605" spans="1:49" ht="15.75">
      <c r="A605" s="357"/>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c r="AK605"/>
      <c r="AL605"/>
      <c r="AM605"/>
      <c r="AN605"/>
      <c r="AO605"/>
      <c r="AP605"/>
      <c r="AQ605"/>
      <c r="AR605"/>
      <c r="AS605"/>
      <c r="AT605"/>
      <c r="AU605"/>
      <c r="AV605">
        <f t="shared" si="76"/>
        <v>0</v>
      </c>
      <c r="AW605" s="351">
        <f t="shared" si="75"/>
        <v>0</v>
      </c>
    </row>
    <row r="606" spans="1:49" ht="15.75">
      <c r="A606" s="357"/>
      <c r="B606" s="346"/>
      <c r="C606" s="346"/>
      <c r="D606" s="346"/>
      <c r="E606" s="346"/>
      <c r="F606" s="346"/>
      <c r="G606" s="346"/>
      <c r="H606" s="346"/>
      <c r="I606" s="346"/>
      <c r="J606" s="346"/>
      <c r="K606" s="346"/>
      <c r="L606" s="346"/>
      <c r="M606" s="346"/>
      <c r="N606" s="346"/>
      <c r="O606" s="346"/>
      <c r="P606" s="346"/>
      <c r="Q606" s="346"/>
      <c r="R606" s="346"/>
      <c r="S606" s="346"/>
      <c r="T606" s="346"/>
      <c r="U606" s="346"/>
      <c r="V606" s="346"/>
      <c r="W606" s="346"/>
      <c r="X606" s="346"/>
      <c r="Y606" s="346"/>
      <c r="Z606" s="346"/>
      <c r="AA606" s="346"/>
      <c r="AB606" s="346"/>
      <c r="AC606" s="346"/>
      <c r="AD606" s="346"/>
      <c r="AE606" s="346"/>
      <c r="AF606" s="346"/>
      <c r="AG606" s="346"/>
      <c r="AH606" s="346"/>
      <c r="AI606" s="346"/>
      <c r="AJ606" s="346"/>
      <c r="AK606" s="346"/>
      <c r="AL606" s="346"/>
      <c r="AM606" s="346"/>
      <c r="AN606" s="346"/>
      <c r="AO606" s="346"/>
      <c r="AP606" s="346"/>
      <c r="AQ606" s="346"/>
      <c r="AR606" s="346"/>
      <c r="AS606" s="346"/>
      <c r="AT606" s="346"/>
      <c r="AU606" s="346"/>
      <c r="AV606">
        <f t="shared" si="76"/>
        <v>0</v>
      </c>
      <c r="AW606" s="351">
        <f t="shared" si="75"/>
        <v>0</v>
      </c>
    </row>
    <row r="607" spans="1:49" ht="15.75">
      <c r="A607" s="35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c r="AK607"/>
      <c r="AL607"/>
      <c r="AM607"/>
      <c r="AN607"/>
      <c r="AO607"/>
      <c r="AP607"/>
      <c r="AQ607"/>
      <c r="AR607"/>
      <c r="AS607"/>
      <c r="AT607"/>
      <c r="AU607"/>
      <c r="AV607">
        <f t="shared" si="76"/>
        <v>0</v>
      </c>
      <c r="AW607" s="351">
        <f t="shared" si="75"/>
        <v>0</v>
      </c>
    </row>
    <row r="608" spans="1:49" ht="15.75">
      <c r="A608" s="357"/>
      <c r="B608" s="346"/>
      <c r="C608" s="346"/>
      <c r="D608" s="346"/>
      <c r="E608" s="346"/>
      <c r="F608" s="346"/>
      <c r="G608" s="346"/>
      <c r="H608" s="346"/>
      <c r="I608" s="346"/>
      <c r="J608" s="346"/>
      <c r="K608" s="346"/>
      <c r="L608" s="346"/>
      <c r="M608" s="346"/>
      <c r="N608" s="346"/>
      <c r="O608" s="346"/>
      <c r="P608" s="346"/>
      <c r="Q608" s="346"/>
      <c r="R608" s="346"/>
      <c r="S608" s="346"/>
      <c r="T608" s="346"/>
      <c r="U608" s="346"/>
      <c r="V608" s="346"/>
      <c r="W608" s="346"/>
      <c r="X608" s="346"/>
      <c r="Y608" s="346"/>
      <c r="Z608" s="346"/>
      <c r="AA608" s="346"/>
      <c r="AB608" s="346"/>
      <c r="AC608" s="346"/>
      <c r="AD608" s="346"/>
      <c r="AE608" s="346"/>
      <c r="AF608" s="346"/>
      <c r="AG608" s="346"/>
      <c r="AH608" s="346"/>
      <c r="AI608" s="346"/>
      <c r="AJ608" s="346"/>
      <c r="AK608" s="346"/>
      <c r="AL608" s="346"/>
      <c r="AM608" s="346"/>
      <c r="AN608" s="346"/>
      <c r="AO608" s="346"/>
      <c r="AP608" s="346"/>
      <c r="AQ608" s="346"/>
      <c r="AR608" s="346"/>
      <c r="AS608" s="346"/>
      <c r="AT608" s="346"/>
      <c r="AU608" s="346"/>
      <c r="AV608">
        <f t="shared" si="76"/>
        <v>0</v>
      </c>
      <c r="AW608" s="351">
        <f t="shared" si="75"/>
        <v>0</v>
      </c>
    </row>
    <row r="609" spans="1:49" ht="15.75">
      <c r="A609" s="357"/>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c r="AK609"/>
      <c r="AL609"/>
      <c r="AM609"/>
      <c r="AN609"/>
      <c r="AO609"/>
      <c r="AP609"/>
      <c r="AQ609"/>
      <c r="AR609"/>
      <c r="AS609"/>
      <c r="AT609"/>
      <c r="AU609"/>
      <c r="AV609">
        <f t="shared" si="76"/>
        <v>0</v>
      </c>
      <c r="AW609" s="351">
        <f t="shared" si="75"/>
        <v>0</v>
      </c>
    </row>
    <row r="610" spans="1:49" ht="15.75">
      <c r="A610" s="357"/>
      <c r="B610" s="346"/>
      <c r="C610" s="346"/>
      <c r="D610" s="346"/>
      <c r="E610" s="346"/>
      <c r="F610" s="346"/>
      <c r="G610" s="346"/>
      <c r="H610" s="346"/>
      <c r="I610" s="346"/>
      <c r="J610" s="346"/>
      <c r="K610" s="346"/>
      <c r="L610" s="346"/>
      <c r="M610" s="346"/>
      <c r="N610" s="346"/>
      <c r="O610" s="346"/>
      <c r="P610" s="346"/>
      <c r="Q610" s="346"/>
      <c r="R610" s="346"/>
      <c r="S610" s="346"/>
      <c r="T610" s="346"/>
      <c r="U610" s="346"/>
      <c r="V610" s="346"/>
      <c r="W610" s="346"/>
      <c r="X610" s="346"/>
      <c r="Y610" s="346"/>
      <c r="Z610" s="346"/>
      <c r="AA610" s="346"/>
      <c r="AB610" s="346"/>
      <c r="AC610" s="346"/>
      <c r="AD610" s="346"/>
      <c r="AE610" s="346"/>
      <c r="AF610" s="346"/>
      <c r="AG610" s="346"/>
      <c r="AH610" s="346"/>
      <c r="AI610" s="346"/>
      <c r="AJ610" s="346"/>
      <c r="AK610" s="346"/>
      <c r="AL610" s="346"/>
      <c r="AM610" s="346"/>
      <c r="AN610" s="346"/>
      <c r="AO610" s="346"/>
      <c r="AP610" s="346"/>
      <c r="AQ610" s="346"/>
      <c r="AR610" s="346"/>
      <c r="AS610" s="346"/>
      <c r="AT610" s="346"/>
      <c r="AU610" s="346"/>
      <c r="AV610">
        <f t="shared" si="76"/>
        <v>0</v>
      </c>
      <c r="AW610" s="351">
        <f t="shared" si="75"/>
        <v>0</v>
      </c>
    </row>
    <row r="611" spans="1:49" ht="15.75">
      <c r="A611" s="357"/>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c r="AK611"/>
      <c r="AL611"/>
      <c r="AM611"/>
      <c r="AN611"/>
      <c r="AO611"/>
      <c r="AP611"/>
      <c r="AQ611"/>
      <c r="AR611"/>
      <c r="AS611"/>
      <c r="AT611"/>
      <c r="AU611"/>
      <c r="AV611">
        <f t="shared" si="76"/>
        <v>0</v>
      </c>
      <c r="AW611" s="351">
        <f t="shared" si="75"/>
        <v>0</v>
      </c>
    </row>
    <row r="612" spans="1:49" ht="15">
      <c r="A612" s="347" t="s">
        <v>113</v>
      </c>
      <c r="B612" s="347">
        <f>SUM(B556:B611)</f>
        <v>0</v>
      </c>
      <c r="C612" s="347">
        <f>SUM(C556:C611)</f>
        <v>0</v>
      </c>
      <c r="D612" s="347">
        <f t="shared" ref="D612:AV612" si="77">SUM(D556:D611)</f>
        <v>0</v>
      </c>
      <c r="E612" s="347">
        <f t="shared" si="77"/>
        <v>0</v>
      </c>
      <c r="F612" s="347">
        <f t="shared" si="77"/>
        <v>0</v>
      </c>
      <c r="G612" s="347">
        <f t="shared" ref="G612:AC612" si="78">SUM(G556:G611)</f>
        <v>0</v>
      </c>
      <c r="H612" s="347">
        <f t="shared" si="78"/>
        <v>0</v>
      </c>
      <c r="I612" s="347">
        <f t="shared" si="78"/>
        <v>0</v>
      </c>
      <c r="J612" s="347">
        <f t="shared" si="78"/>
        <v>0</v>
      </c>
      <c r="K612" s="347">
        <f t="shared" si="78"/>
        <v>0</v>
      </c>
      <c r="L612" s="347">
        <f t="shared" si="78"/>
        <v>0</v>
      </c>
      <c r="M612" s="347">
        <f t="shared" si="78"/>
        <v>0</v>
      </c>
      <c r="N612" s="347">
        <f t="shared" si="78"/>
        <v>0</v>
      </c>
      <c r="O612" s="347">
        <f t="shared" si="78"/>
        <v>0</v>
      </c>
      <c r="P612" s="347">
        <f t="shared" si="78"/>
        <v>0</v>
      </c>
      <c r="Q612" s="347">
        <f t="shared" si="78"/>
        <v>0</v>
      </c>
      <c r="R612" s="347">
        <f t="shared" si="78"/>
        <v>0</v>
      </c>
      <c r="S612" s="347">
        <f t="shared" si="78"/>
        <v>2</v>
      </c>
      <c r="T612" s="347">
        <f t="shared" si="78"/>
        <v>0</v>
      </c>
      <c r="U612" s="347">
        <f t="shared" si="78"/>
        <v>0</v>
      </c>
      <c r="V612" s="347">
        <f t="shared" si="78"/>
        <v>0</v>
      </c>
      <c r="W612" s="347">
        <f t="shared" si="78"/>
        <v>0</v>
      </c>
      <c r="X612" s="347">
        <f t="shared" si="78"/>
        <v>0</v>
      </c>
      <c r="Y612" s="347">
        <f t="shared" si="78"/>
        <v>0</v>
      </c>
      <c r="Z612" s="347">
        <f t="shared" si="78"/>
        <v>0</v>
      </c>
      <c r="AA612" s="347">
        <f t="shared" si="78"/>
        <v>0</v>
      </c>
      <c r="AB612" s="347">
        <f t="shared" si="78"/>
        <v>0</v>
      </c>
      <c r="AC612" s="347">
        <f t="shared" si="78"/>
        <v>0</v>
      </c>
      <c r="AD612" s="347">
        <f t="shared" si="77"/>
        <v>2</v>
      </c>
      <c r="AE612" s="347">
        <f t="shared" si="77"/>
        <v>0</v>
      </c>
      <c r="AF612" s="347">
        <f t="shared" si="77"/>
        <v>0</v>
      </c>
      <c r="AG612" s="347">
        <f t="shared" si="77"/>
        <v>0</v>
      </c>
      <c r="AH612" s="347">
        <f t="shared" si="77"/>
        <v>0</v>
      </c>
      <c r="AI612" s="347">
        <f t="shared" si="77"/>
        <v>0</v>
      </c>
      <c r="AJ612" s="347">
        <f t="shared" si="77"/>
        <v>0</v>
      </c>
      <c r="AK612" s="347">
        <f t="shared" si="77"/>
        <v>0</v>
      </c>
      <c r="AL612" s="347">
        <f t="shared" si="77"/>
        <v>0</v>
      </c>
      <c r="AM612" s="347">
        <f t="shared" si="77"/>
        <v>0</v>
      </c>
      <c r="AN612" s="347">
        <f t="shared" si="77"/>
        <v>0</v>
      </c>
      <c r="AO612" s="347">
        <f t="shared" si="77"/>
        <v>0</v>
      </c>
      <c r="AP612" s="347">
        <f t="shared" si="77"/>
        <v>0</v>
      </c>
      <c r="AQ612" s="347">
        <f t="shared" si="77"/>
        <v>0</v>
      </c>
      <c r="AR612" s="347">
        <f t="shared" si="77"/>
        <v>0</v>
      </c>
      <c r="AS612" s="347">
        <f t="shared" si="77"/>
        <v>0</v>
      </c>
      <c r="AT612" s="347">
        <f t="shared" si="77"/>
        <v>0</v>
      </c>
      <c r="AU612" s="347">
        <f t="shared" si="77"/>
        <v>0</v>
      </c>
      <c r="AV612" s="347">
        <f t="shared" si="77"/>
        <v>4</v>
      </c>
      <c r="AW612" s="351"/>
    </row>
    <row r="613" spans="1:49" ht="15.75" thickBot="1">
      <c r="A613" s="348" t="s">
        <v>174</v>
      </c>
      <c r="B613" s="348">
        <f t="shared" ref="B613:AU613" si="79">B612/$AV612</f>
        <v>0</v>
      </c>
      <c r="C613" s="348">
        <f t="shared" si="79"/>
        <v>0</v>
      </c>
      <c r="D613" s="348">
        <f t="shared" si="79"/>
        <v>0</v>
      </c>
      <c r="E613" s="348">
        <f t="shared" si="79"/>
        <v>0</v>
      </c>
      <c r="F613" s="348">
        <f t="shared" si="79"/>
        <v>0</v>
      </c>
      <c r="G613" s="348">
        <f t="shared" si="79"/>
        <v>0</v>
      </c>
      <c r="H613" s="348">
        <f t="shared" si="79"/>
        <v>0</v>
      </c>
      <c r="I613" s="348">
        <f t="shared" si="79"/>
        <v>0</v>
      </c>
      <c r="J613" s="348">
        <f t="shared" si="79"/>
        <v>0</v>
      </c>
      <c r="K613" s="348">
        <f t="shared" si="79"/>
        <v>0</v>
      </c>
      <c r="L613" s="348">
        <f t="shared" si="79"/>
        <v>0</v>
      </c>
      <c r="M613" s="348">
        <f t="shared" si="79"/>
        <v>0</v>
      </c>
      <c r="N613" s="348">
        <f t="shared" si="79"/>
        <v>0</v>
      </c>
      <c r="O613" s="348">
        <f t="shared" si="79"/>
        <v>0</v>
      </c>
      <c r="P613" s="348">
        <f t="shared" si="79"/>
        <v>0</v>
      </c>
      <c r="Q613" s="348">
        <f t="shared" si="79"/>
        <v>0</v>
      </c>
      <c r="R613" s="348">
        <f t="shared" si="79"/>
        <v>0</v>
      </c>
      <c r="S613" s="348">
        <f t="shared" si="79"/>
        <v>0.5</v>
      </c>
      <c r="T613" s="348">
        <f t="shared" si="79"/>
        <v>0</v>
      </c>
      <c r="U613" s="348">
        <f t="shared" si="79"/>
        <v>0</v>
      </c>
      <c r="V613" s="348">
        <f t="shared" si="79"/>
        <v>0</v>
      </c>
      <c r="W613" s="348">
        <f t="shared" si="79"/>
        <v>0</v>
      </c>
      <c r="X613" s="348">
        <f t="shared" si="79"/>
        <v>0</v>
      </c>
      <c r="Y613" s="348">
        <f t="shared" si="79"/>
        <v>0</v>
      </c>
      <c r="Z613" s="348">
        <f t="shared" si="79"/>
        <v>0</v>
      </c>
      <c r="AA613" s="348">
        <f t="shared" si="79"/>
        <v>0</v>
      </c>
      <c r="AB613" s="348">
        <f t="shared" si="79"/>
        <v>0</v>
      </c>
      <c r="AC613" s="348">
        <f t="shared" si="79"/>
        <v>0</v>
      </c>
      <c r="AD613" s="348">
        <f t="shared" si="79"/>
        <v>0.5</v>
      </c>
      <c r="AE613" s="348">
        <f t="shared" si="79"/>
        <v>0</v>
      </c>
      <c r="AF613" s="348">
        <f t="shared" si="79"/>
        <v>0</v>
      </c>
      <c r="AG613" s="348">
        <f t="shared" si="79"/>
        <v>0</v>
      </c>
      <c r="AH613" s="348">
        <f t="shared" si="79"/>
        <v>0</v>
      </c>
      <c r="AI613" s="348">
        <f t="shared" si="79"/>
        <v>0</v>
      </c>
      <c r="AJ613" s="348">
        <f t="shared" si="79"/>
        <v>0</v>
      </c>
      <c r="AK613" s="348">
        <f t="shared" si="79"/>
        <v>0</v>
      </c>
      <c r="AL613" s="348">
        <f t="shared" si="79"/>
        <v>0</v>
      </c>
      <c r="AM613" s="348">
        <f t="shared" si="79"/>
        <v>0</v>
      </c>
      <c r="AN613" s="348">
        <f t="shared" si="79"/>
        <v>0</v>
      </c>
      <c r="AO613" s="348">
        <f t="shared" si="79"/>
        <v>0</v>
      </c>
      <c r="AP613" s="348">
        <f t="shared" si="79"/>
        <v>0</v>
      </c>
      <c r="AQ613" s="348">
        <f t="shared" si="79"/>
        <v>0</v>
      </c>
      <c r="AR613" s="348">
        <f t="shared" si="79"/>
        <v>0</v>
      </c>
      <c r="AS613" s="348">
        <f t="shared" si="79"/>
        <v>0</v>
      </c>
      <c r="AT613" s="348">
        <f t="shared" si="79"/>
        <v>0</v>
      </c>
      <c r="AU613" s="348">
        <f t="shared" si="79"/>
        <v>0</v>
      </c>
      <c r="AV613"/>
      <c r="AW613" s="351"/>
    </row>
    <row r="614" spans="1:49">
      <c r="A614" s="355"/>
    </row>
    <row r="615" spans="1:49">
      <c r="A615" s="355"/>
    </row>
    <row r="616" spans="1:49">
      <c r="A616" s="355"/>
    </row>
    <row r="617" spans="1:49" ht="15.75">
      <c r="A617" s="357"/>
      <c r="B617" s="346"/>
      <c r="C617" s="346"/>
      <c r="D617" s="346"/>
      <c r="E617" s="346"/>
      <c r="F617" s="346"/>
      <c r="G617" s="346"/>
      <c r="H617" s="346"/>
      <c r="I617" s="346"/>
      <c r="J617" s="346"/>
      <c r="K617" s="346"/>
      <c r="L617" s="346"/>
      <c r="M617" s="346"/>
      <c r="N617" s="346"/>
      <c r="O617" s="346"/>
      <c r="P617" s="346"/>
      <c r="Q617" s="346"/>
      <c r="R617" s="346"/>
      <c r="S617" s="346"/>
      <c r="T617" s="346"/>
      <c r="U617" s="346"/>
      <c r="V617" s="346"/>
      <c r="W617" s="346"/>
      <c r="X617" s="346"/>
      <c r="Y617" s="346"/>
      <c r="Z617" s="346"/>
      <c r="AA617" s="346"/>
      <c r="AB617" s="346"/>
      <c r="AC617" s="346"/>
      <c r="AD617" s="346"/>
      <c r="AE617" s="346"/>
      <c r="AF617" s="346"/>
      <c r="AG617" s="346"/>
      <c r="AH617" s="346"/>
      <c r="AI617" s="346"/>
      <c r="AJ617" s="346"/>
      <c r="AK617" s="346"/>
      <c r="AL617" s="346"/>
      <c r="AM617" s="346"/>
      <c r="AN617" s="346"/>
      <c r="AO617" s="346"/>
      <c r="AP617" s="346"/>
      <c r="AQ617" s="346"/>
      <c r="AR617" s="346"/>
      <c r="AS617" s="346"/>
      <c r="AT617" s="346"/>
      <c r="AU617" s="346"/>
      <c r="AV617">
        <f t="shared" ref="AV617:AV648" si="80">SUM(B617:AU617)</f>
        <v>0</v>
      </c>
      <c r="AW617" s="351">
        <f>AV617/$AV$368</f>
        <v>0</v>
      </c>
    </row>
    <row r="618" spans="1:49" ht="15.75">
      <c r="A618" s="357"/>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c r="AK618"/>
      <c r="AL618"/>
      <c r="AM618"/>
      <c r="AN618"/>
      <c r="AO618"/>
      <c r="AP618"/>
      <c r="AQ618"/>
      <c r="AR618"/>
      <c r="AS618"/>
      <c r="AT618"/>
      <c r="AU618"/>
      <c r="AV618">
        <f t="shared" si="80"/>
        <v>0</v>
      </c>
      <c r="AW618" s="351">
        <f t="shared" ref="AW618:AW672" si="81">AV618/$AV$368</f>
        <v>0</v>
      </c>
    </row>
    <row r="619" spans="1:49" ht="15.75">
      <c r="A619" s="357"/>
      <c r="B619" s="346"/>
      <c r="C619" s="346"/>
      <c r="D619" s="346"/>
      <c r="E619" s="346"/>
      <c r="F619" s="346"/>
      <c r="G619" s="346"/>
      <c r="H619" s="346"/>
      <c r="I619" s="346"/>
      <c r="J619" s="346"/>
      <c r="K619" s="346"/>
      <c r="L619" s="346"/>
      <c r="M619" s="346"/>
      <c r="N619" s="346"/>
      <c r="O619" s="346"/>
      <c r="P619" s="346"/>
      <c r="Q619" s="346"/>
      <c r="R619" s="346"/>
      <c r="S619" s="346"/>
      <c r="T619" s="346"/>
      <c r="U619" s="346"/>
      <c r="V619" s="346"/>
      <c r="W619" s="346"/>
      <c r="X619" s="346"/>
      <c r="Y619" s="346"/>
      <c r="Z619" s="346"/>
      <c r="AA619" s="346"/>
      <c r="AB619" s="346"/>
      <c r="AC619" s="346"/>
      <c r="AD619" s="346"/>
      <c r="AE619" s="346"/>
      <c r="AF619" s="346"/>
      <c r="AG619" s="346"/>
      <c r="AH619" s="346"/>
      <c r="AI619" s="346"/>
      <c r="AJ619" s="346"/>
      <c r="AK619" s="346"/>
      <c r="AL619" s="346"/>
      <c r="AM619" s="346"/>
      <c r="AN619" s="346"/>
      <c r="AO619" s="346"/>
      <c r="AP619" s="346"/>
      <c r="AQ619" s="346"/>
      <c r="AR619" s="346"/>
      <c r="AS619" s="346"/>
      <c r="AT619" s="346"/>
      <c r="AU619" s="346"/>
      <c r="AV619">
        <f t="shared" si="80"/>
        <v>0</v>
      </c>
      <c r="AW619" s="351">
        <f t="shared" si="81"/>
        <v>0</v>
      </c>
    </row>
    <row r="620" spans="1:49" ht="15.75">
      <c r="A620" s="357"/>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c r="AK620"/>
      <c r="AL620"/>
      <c r="AM620"/>
      <c r="AN620"/>
      <c r="AO620"/>
      <c r="AP620"/>
      <c r="AQ620"/>
      <c r="AR620"/>
      <c r="AS620"/>
      <c r="AT620"/>
      <c r="AU620"/>
      <c r="AV620">
        <f t="shared" si="80"/>
        <v>0</v>
      </c>
      <c r="AW620" s="351">
        <f t="shared" si="81"/>
        <v>0</v>
      </c>
    </row>
    <row r="621" spans="1:49" ht="15.75">
      <c r="A621" s="357"/>
      <c r="B621" s="346"/>
      <c r="C621" s="346"/>
      <c r="D621" s="346"/>
      <c r="E621" s="346"/>
      <c r="F621" s="346"/>
      <c r="G621" s="346"/>
      <c r="H621" s="346"/>
      <c r="I621" s="346"/>
      <c r="J621" s="346"/>
      <c r="K621" s="346"/>
      <c r="L621" s="346"/>
      <c r="M621" s="346"/>
      <c r="N621" s="346"/>
      <c r="O621" s="346"/>
      <c r="P621" s="346"/>
      <c r="Q621" s="346"/>
      <c r="R621" s="346"/>
      <c r="S621" s="346"/>
      <c r="T621" s="346"/>
      <c r="U621" s="346"/>
      <c r="V621" s="346"/>
      <c r="W621" s="346"/>
      <c r="X621" s="346"/>
      <c r="Y621" s="346"/>
      <c r="Z621" s="346"/>
      <c r="AA621" s="346"/>
      <c r="AB621" s="346"/>
      <c r="AC621" s="346"/>
      <c r="AD621" s="346"/>
      <c r="AE621" s="346"/>
      <c r="AF621" s="346"/>
      <c r="AG621" s="346"/>
      <c r="AH621" s="346"/>
      <c r="AI621" s="346"/>
      <c r="AJ621" s="346"/>
      <c r="AK621" s="346"/>
      <c r="AL621" s="346"/>
      <c r="AM621" s="346"/>
      <c r="AN621" s="346"/>
      <c r="AO621" s="346"/>
      <c r="AP621" s="346"/>
      <c r="AQ621" s="346"/>
      <c r="AR621" s="346"/>
      <c r="AS621" s="346"/>
      <c r="AT621" s="346"/>
      <c r="AU621" s="346"/>
      <c r="AV621">
        <f t="shared" si="80"/>
        <v>0</v>
      </c>
      <c r="AW621" s="351">
        <f t="shared" si="81"/>
        <v>0</v>
      </c>
    </row>
    <row r="622" spans="1:49" ht="15.75">
      <c r="A622" s="357"/>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c r="AK622"/>
      <c r="AL622"/>
      <c r="AM622"/>
      <c r="AN622"/>
      <c r="AO622"/>
      <c r="AP622"/>
      <c r="AQ622"/>
      <c r="AR622"/>
      <c r="AS622"/>
      <c r="AT622"/>
      <c r="AU622"/>
      <c r="AV622">
        <f t="shared" si="80"/>
        <v>0</v>
      </c>
      <c r="AW622" s="351">
        <f t="shared" si="81"/>
        <v>0</v>
      </c>
    </row>
    <row r="623" spans="1:49" ht="15.75">
      <c r="A623" s="357"/>
      <c r="B623" s="346"/>
      <c r="C623" s="346"/>
      <c r="D623" s="346"/>
      <c r="E623" s="346"/>
      <c r="F623" s="346"/>
      <c r="G623" s="346"/>
      <c r="H623" s="346"/>
      <c r="I623" s="346"/>
      <c r="J623" s="346"/>
      <c r="K623" s="346"/>
      <c r="L623" s="346"/>
      <c r="M623" s="346"/>
      <c r="N623" s="346"/>
      <c r="O623" s="346"/>
      <c r="P623" s="346"/>
      <c r="Q623" s="346"/>
      <c r="R623" s="346"/>
      <c r="S623" s="346"/>
      <c r="T623" s="346"/>
      <c r="U623" s="346"/>
      <c r="V623" s="346"/>
      <c r="W623" s="346"/>
      <c r="X623" s="346"/>
      <c r="Y623" s="346"/>
      <c r="Z623" s="346"/>
      <c r="AA623" s="346"/>
      <c r="AB623" s="346"/>
      <c r="AC623" s="346"/>
      <c r="AD623" s="346"/>
      <c r="AE623" s="346"/>
      <c r="AF623" s="346"/>
      <c r="AG623" s="346"/>
      <c r="AH623" s="346"/>
      <c r="AI623" s="346"/>
      <c r="AJ623" s="346"/>
      <c r="AK623" s="346"/>
      <c r="AL623" s="346"/>
      <c r="AM623" s="346"/>
      <c r="AN623" s="346"/>
      <c r="AO623" s="346"/>
      <c r="AP623" s="346"/>
      <c r="AQ623" s="346"/>
      <c r="AR623" s="346"/>
      <c r="AS623" s="346"/>
      <c r="AT623" s="346"/>
      <c r="AU623" s="346"/>
      <c r="AV623">
        <f t="shared" si="80"/>
        <v>0</v>
      </c>
      <c r="AW623" s="351">
        <f t="shared" si="81"/>
        <v>0</v>
      </c>
    </row>
    <row r="624" spans="1:49" ht="15.75">
      <c r="A624" s="357"/>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c r="AK624"/>
      <c r="AL624"/>
      <c r="AM624"/>
      <c r="AN624"/>
      <c r="AO624"/>
      <c r="AP624"/>
      <c r="AQ624"/>
      <c r="AR624"/>
      <c r="AS624"/>
      <c r="AT624"/>
      <c r="AU624"/>
      <c r="AV624">
        <f t="shared" si="80"/>
        <v>0</v>
      </c>
      <c r="AW624" s="351">
        <f t="shared" si="81"/>
        <v>0</v>
      </c>
    </row>
    <row r="625" spans="1:49" ht="15.75">
      <c r="A625" s="357"/>
      <c r="B625" s="346"/>
      <c r="C625" s="346"/>
      <c r="D625" s="346"/>
      <c r="E625" s="346"/>
      <c r="F625" s="346"/>
      <c r="G625" s="346"/>
      <c r="H625" s="346"/>
      <c r="I625" s="346"/>
      <c r="J625" s="346"/>
      <c r="K625" s="346"/>
      <c r="L625" s="346"/>
      <c r="M625" s="346"/>
      <c r="N625" s="346"/>
      <c r="O625" s="346"/>
      <c r="P625" s="346"/>
      <c r="Q625" s="346"/>
      <c r="R625" s="346"/>
      <c r="S625" s="346"/>
      <c r="T625" s="346"/>
      <c r="U625" s="346"/>
      <c r="V625" s="346"/>
      <c r="W625" s="346"/>
      <c r="X625" s="346"/>
      <c r="Y625" s="346"/>
      <c r="Z625" s="346"/>
      <c r="AA625" s="346"/>
      <c r="AB625" s="346"/>
      <c r="AC625" s="346"/>
      <c r="AD625" s="346"/>
      <c r="AE625" s="346"/>
      <c r="AF625" s="346"/>
      <c r="AG625" s="346"/>
      <c r="AH625" s="346"/>
      <c r="AI625" s="346"/>
      <c r="AJ625" s="346"/>
      <c r="AK625" s="346"/>
      <c r="AL625" s="346"/>
      <c r="AM625" s="346"/>
      <c r="AN625" s="346"/>
      <c r="AO625" s="346"/>
      <c r="AP625" s="346"/>
      <c r="AQ625" s="346"/>
      <c r="AR625" s="346"/>
      <c r="AS625" s="346"/>
      <c r="AT625" s="346"/>
      <c r="AU625" s="346"/>
      <c r="AV625">
        <f t="shared" si="80"/>
        <v>0</v>
      </c>
      <c r="AW625" s="351">
        <f t="shared" si="81"/>
        <v>0</v>
      </c>
    </row>
    <row r="626" spans="1:49" ht="15.75">
      <c r="A626" s="357"/>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c r="AK626"/>
      <c r="AL626"/>
      <c r="AM626"/>
      <c r="AN626"/>
      <c r="AO626"/>
      <c r="AP626"/>
      <c r="AQ626"/>
      <c r="AR626"/>
      <c r="AS626"/>
      <c r="AT626"/>
      <c r="AU626"/>
      <c r="AV626">
        <f t="shared" si="80"/>
        <v>0</v>
      </c>
      <c r="AW626" s="351">
        <f t="shared" si="81"/>
        <v>0</v>
      </c>
    </row>
    <row r="627" spans="1:49" ht="15.75">
      <c r="A627" s="357"/>
      <c r="B627" s="346"/>
      <c r="C627" s="346"/>
      <c r="D627" s="346"/>
      <c r="E627" s="346"/>
      <c r="F627" s="346"/>
      <c r="G627" s="346"/>
      <c r="H627" s="346"/>
      <c r="I627" s="346"/>
      <c r="J627" s="346"/>
      <c r="K627" s="346"/>
      <c r="L627" s="346"/>
      <c r="M627" s="346"/>
      <c r="N627" s="346"/>
      <c r="O627" s="346"/>
      <c r="P627" s="346"/>
      <c r="Q627" s="346"/>
      <c r="R627" s="346"/>
      <c r="S627" s="346"/>
      <c r="T627" s="346"/>
      <c r="U627" s="346"/>
      <c r="V627" s="346"/>
      <c r="W627" s="346"/>
      <c r="X627" s="346"/>
      <c r="Y627" s="346"/>
      <c r="Z627" s="346"/>
      <c r="AA627" s="346"/>
      <c r="AB627" s="346"/>
      <c r="AC627" s="346"/>
      <c r="AD627" s="346"/>
      <c r="AE627" s="346"/>
      <c r="AF627" s="346"/>
      <c r="AG627" s="346"/>
      <c r="AH627" s="346"/>
      <c r="AI627" s="346"/>
      <c r="AJ627" s="346"/>
      <c r="AK627" s="346"/>
      <c r="AL627" s="346"/>
      <c r="AM627" s="346"/>
      <c r="AN627" s="346"/>
      <c r="AO627" s="346"/>
      <c r="AP627" s="346"/>
      <c r="AQ627" s="346"/>
      <c r="AR627" s="346"/>
      <c r="AS627" s="346"/>
      <c r="AT627" s="346"/>
      <c r="AU627" s="346"/>
      <c r="AV627">
        <f t="shared" si="80"/>
        <v>0</v>
      </c>
      <c r="AW627" s="351">
        <f t="shared" si="81"/>
        <v>0</v>
      </c>
    </row>
    <row r="628" spans="1:49" ht="15.75">
      <c r="A628" s="357"/>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c r="AK628"/>
      <c r="AL628"/>
      <c r="AM628"/>
      <c r="AN628"/>
      <c r="AO628"/>
      <c r="AP628"/>
      <c r="AQ628"/>
      <c r="AR628"/>
      <c r="AS628"/>
      <c r="AT628"/>
      <c r="AU628"/>
      <c r="AV628">
        <f t="shared" si="80"/>
        <v>0</v>
      </c>
      <c r="AW628" s="351">
        <f t="shared" si="81"/>
        <v>0</v>
      </c>
    </row>
    <row r="629" spans="1:49" ht="15.75">
      <c r="A629" s="357"/>
      <c r="B629" s="346"/>
      <c r="C629" s="346"/>
      <c r="D629" s="346"/>
      <c r="E629" s="346"/>
      <c r="F629" s="346"/>
      <c r="G629" s="346"/>
      <c r="H629" s="346"/>
      <c r="I629" s="346"/>
      <c r="J629" s="346"/>
      <c r="K629" s="346"/>
      <c r="L629" s="346"/>
      <c r="M629" s="346"/>
      <c r="N629" s="346"/>
      <c r="O629" s="346"/>
      <c r="P629" s="346"/>
      <c r="Q629" s="346"/>
      <c r="R629" s="346"/>
      <c r="S629" s="346"/>
      <c r="T629" s="346"/>
      <c r="U629" s="346"/>
      <c r="V629" s="346"/>
      <c r="W629" s="346"/>
      <c r="X629" s="346"/>
      <c r="Y629" s="346"/>
      <c r="Z629" s="346"/>
      <c r="AA629" s="346"/>
      <c r="AB629" s="346"/>
      <c r="AC629" s="346"/>
      <c r="AD629" s="346"/>
      <c r="AE629" s="346"/>
      <c r="AF629" s="346"/>
      <c r="AG629" s="346"/>
      <c r="AH629" s="346"/>
      <c r="AI629" s="346"/>
      <c r="AJ629" s="346"/>
      <c r="AK629" s="346"/>
      <c r="AL629" s="346"/>
      <c r="AM629" s="346"/>
      <c r="AN629" s="346"/>
      <c r="AO629" s="346"/>
      <c r="AP629" s="346"/>
      <c r="AQ629" s="346"/>
      <c r="AR629" s="346"/>
      <c r="AS629" s="346"/>
      <c r="AT629" s="346"/>
      <c r="AU629" s="346"/>
      <c r="AV629">
        <f t="shared" si="80"/>
        <v>0</v>
      </c>
      <c r="AW629" s="351">
        <f t="shared" si="81"/>
        <v>0</v>
      </c>
    </row>
    <row r="630" spans="1:49" ht="15.75">
      <c r="A630" s="357"/>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c r="AK630"/>
      <c r="AL630"/>
      <c r="AM630"/>
      <c r="AN630"/>
      <c r="AO630"/>
      <c r="AP630"/>
      <c r="AQ630"/>
      <c r="AR630"/>
      <c r="AS630"/>
      <c r="AT630"/>
      <c r="AU630"/>
      <c r="AV630">
        <f t="shared" si="80"/>
        <v>0</v>
      </c>
      <c r="AW630" s="351">
        <f t="shared" si="81"/>
        <v>0</v>
      </c>
    </row>
    <row r="631" spans="1:49" ht="15.75">
      <c r="A631" s="357"/>
      <c r="B631" s="346"/>
      <c r="C631" s="346"/>
      <c r="D631" s="346"/>
      <c r="E631" s="346"/>
      <c r="F631" s="346"/>
      <c r="G631" s="346"/>
      <c r="H631" s="346"/>
      <c r="I631" s="346"/>
      <c r="J631" s="346"/>
      <c r="K631" s="346"/>
      <c r="L631" s="346"/>
      <c r="M631" s="346"/>
      <c r="N631" s="346"/>
      <c r="O631" s="346"/>
      <c r="P631" s="346"/>
      <c r="Q631" s="346"/>
      <c r="R631" s="346"/>
      <c r="S631" s="346"/>
      <c r="T631" s="346"/>
      <c r="U631" s="346"/>
      <c r="V631" s="346"/>
      <c r="W631" s="346"/>
      <c r="X631" s="346"/>
      <c r="Y631" s="346"/>
      <c r="Z631" s="346"/>
      <c r="AA631" s="346"/>
      <c r="AB631" s="346"/>
      <c r="AC631" s="346"/>
      <c r="AD631" s="346"/>
      <c r="AE631" s="346"/>
      <c r="AF631" s="346"/>
      <c r="AG631" s="346"/>
      <c r="AH631" s="346"/>
      <c r="AI631" s="346"/>
      <c r="AJ631" s="346"/>
      <c r="AK631" s="346"/>
      <c r="AL631" s="346"/>
      <c r="AM631" s="346"/>
      <c r="AN631" s="346"/>
      <c r="AO631" s="346"/>
      <c r="AP631" s="346"/>
      <c r="AQ631" s="346"/>
      <c r="AR631" s="346"/>
      <c r="AS631" s="346"/>
      <c r="AT631" s="346"/>
      <c r="AU631" s="346"/>
      <c r="AV631">
        <f t="shared" si="80"/>
        <v>0</v>
      </c>
      <c r="AW631" s="351">
        <f t="shared" si="81"/>
        <v>0</v>
      </c>
    </row>
    <row r="632" spans="1:49" ht="15.75">
      <c r="A632" s="357"/>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c r="AK632"/>
      <c r="AL632"/>
      <c r="AM632"/>
      <c r="AN632"/>
      <c r="AO632"/>
      <c r="AP632"/>
      <c r="AQ632"/>
      <c r="AR632"/>
      <c r="AS632"/>
      <c r="AT632"/>
      <c r="AU632"/>
      <c r="AV632">
        <f t="shared" si="80"/>
        <v>0</v>
      </c>
      <c r="AW632" s="351">
        <f t="shared" si="81"/>
        <v>0</v>
      </c>
    </row>
    <row r="633" spans="1:49" ht="15.75">
      <c r="A633" s="357"/>
      <c r="B633" s="346"/>
      <c r="C633" s="346"/>
      <c r="D633" s="346"/>
      <c r="E633" s="346"/>
      <c r="F633" s="346"/>
      <c r="G633" s="346"/>
      <c r="H633" s="346"/>
      <c r="I633" s="346"/>
      <c r="J633" s="346"/>
      <c r="K633" s="346"/>
      <c r="L633" s="346"/>
      <c r="M633" s="346"/>
      <c r="N633" s="346"/>
      <c r="O633" s="346"/>
      <c r="P633" s="346"/>
      <c r="Q633" s="346"/>
      <c r="R633" s="346"/>
      <c r="S633" s="346"/>
      <c r="T633" s="346"/>
      <c r="U633" s="346"/>
      <c r="V633" s="346"/>
      <c r="W633" s="346"/>
      <c r="X633" s="346"/>
      <c r="Y633" s="346"/>
      <c r="Z633" s="346"/>
      <c r="AA633" s="346"/>
      <c r="AB633" s="346"/>
      <c r="AC633" s="346"/>
      <c r="AD633" s="346"/>
      <c r="AE633" s="346"/>
      <c r="AF633" s="346"/>
      <c r="AG633" s="346"/>
      <c r="AH633" s="346"/>
      <c r="AI633" s="346"/>
      <c r="AJ633" s="346"/>
      <c r="AK633" s="346"/>
      <c r="AL633" s="346"/>
      <c r="AM633" s="346"/>
      <c r="AN633" s="346"/>
      <c r="AO633" s="346"/>
      <c r="AP633" s="346"/>
      <c r="AQ633" s="346"/>
      <c r="AR633" s="346"/>
      <c r="AS633" s="346"/>
      <c r="AT633" s="346"/>
      <c r="AU633" s="346"/>
      <c r="AV633">
        <f t="shared" si="80"/>
        <v>0</v>
      </c>
      <c r="AW633" s="351">
        <f t="shared" si="81"/>
        <v>0</v>
      </c>
    </row>
    <row r="634" spans="1:49" ht="15.75">
      <c r="A634" s="357"/>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c r="AK634"/>
      <c r="AL634"/>
      <c r="AM634"/>
      <c r="AN634"/>
      <c r="AO634"/>
      <c r="AP634"/>
      <c r="AQ634"/>
      <c r="AR634"/>
      <c r="AS634"/>
      <c r="AT634"/>
      <c r="AU634"/>
      <c r="AV634">
        <f t="shared" si="80"/>
        <v>0</v>
      </c>
      <c r="AW634" s="351">
        <f t="shared" si="81"/>
        <v>0</v>
      </c>
    </row>
    <row r="635" spans="1:49" ht="15.75">
      <c r="A635" s="357"/>
      <c r="B635" s="346"/>
      <c r="C635" s="346"/>
      <c r="D635" s="346"/>
      <c r="E635" s="346"/>
      <c r="F635" s="346"/>
      <c r="G635" s="346"/>
      <c r="H635" s="346"/>
      <c r="I635" s="346"/>
      <c r="J635" s="346"/>
      <c r="K635" s="346"/>
      <c r="L635" s="346"/>
      <c r="M635" s="346"/>
      <c r="N635" s="346"/>
      <c r="O635" s="346"/>
      <c r="P635" s="346"/>
      <c r="Q635" s="346"/>
      <c r="R635" s="346"/>
      <c r="S635" s="346"/>
      <c r="T635" s="346"/>
      <c r="U635" s="346"/>
      <c r="V635" s="346"/>
      <c r="W635" s="346"/>
      <c r="X635" s="346"/>
      <c r="Y635" s="346"/>
      <c r="Z635" s="346"/>
      <c r="AA635" s="346"/>
      <c r="AB635" s="346"/>
      <c r="AC635" s="346"/>
      <c r="AD635" s="346"/>
      <c r="AE635" s="346"/>
      <c r="AF635" s="346"/>
      <c r="AG635" s="346"/>
      <c r="AH635" s="346"/>
      <c r="AI635" s="346"/>
      <c r="AJ635" s="346"/>
      <c r="AK635" s="346"/>
      <c r="AL635" s="346"/>
      <c r="AM635" s="346"/>
      <c r="AN635" s="346"/>
      <c r="AO635" s="346"/>
      <c r="AQ635" s="346"/>
      <c r="AR635" s="346"/>
      <c r="AS635" s="346"/>
      <c r="AT635" s="346"/>
      <c r="AU635" s="346"/>
      <c r="AV635">
        <f t="shared" si="80"/>
        <v>0</v>
      </c>
      <c r="AW635" s="351">
        <f t="shared" si="81"/>
        <v>0</v>
      </c>
    </row>
    <row r="636" spans="1:49" ht="15.75">
      <c r="A636" s="357"/>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c r="AK636"/>
      <c r="AL636"/>
      <c r="AM636"/>
      <c r="AN636"/>
      <c r="AO636" s="346"/>
      <c r="AP636"/>
      <c r="AQ636"/>
      <c r="AR636"/>
      <c r="AS636"/>
      <c r="AT636"/>
      <c r="AU636"/>
      <c r="AV636">
        <f t="shared" si="80"/>
        <v>0</v>
      </c>
      <c r="AW636" s="351">
        <f t="shared" si="81"/>
        <v>0</v>
      </c>
    </row>
    <row r="637" spans="1:49" ht="15.75">
      <c r="A637" s="35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c r="AK637"/>
      <c r="AL637"/>
      <c r="AM637"/>
      <c r="AN637"/>
      <c r="AO637" s="346"/>
      <c r="AP637"/>
      <c r="AQ637"/>
      <c r="AR637"/>
      <c r="AS637"/>
      <c r="AT637"/>
      <c r="AU637"/>
      <c r="AV637">
        <f t="shared" si="80"/>
        <v>0</v>
      </c>
      <c r="AW637" s="351">
        <f t="shared" si="81"/>
        <v>0</v>
      </c>
    </row>
    <row r="638" spans="1:49" ht="15.75">
      <c r="A638" s="357"/>
      <c r="B638" s="346"/>
      <c r="C638" s="346"/>
      <c r="D638" s="346"/>
      <c r="E638" s="346"/>
      <c r="F638" s="346"/>
      <c r="G638" s="346"/>
      <c r="H638" s="346"/>
      <c r="I638" s="346"/>
      <c r="J638" s="346"/>
      <c r="K638" s="346"/>
      <c r="L638" s="346"/>
      <c r="M638" s="346"/>
      <c r="N638" s="346"/>
      <c r="O638" s="346"/>
      <c r="P638" s="346"/>
      <c r="Q638" s="346"/>
      <c r="R638" s="346"/>
      <c r="S638" s="346"/>
      <c r="T638" s="346"/>
      <c r="U638" s="346"/>
      <c r="V638" s="346"/>
      <c r="W638" s="346"/>
      <c r="X638" s="346"/>
      <c r="Y638" s="346"/>
      <c r="Z638" s="346"/>
      <c r="AA638" s="346"/>
      <c r="AB638" s="346"/>
      <c r="AC638" s="346"/>
      <c r="AD638" s="346"/>
      <c r="AE638" s="346"/>
      <c r="AF638" s="346"/>
      <c r="AG638" s="346"/>
      <c r="AH638" s="346"/>
      <c r="AI638" s="346"/>
      <c r="AJ638" s="346"/>
      <c r="AK638" s="346"/>
      <c r="AL638" s="346"/>
      <c r="AM638" s="346"/>
      <c r="AN638" s="346"/>
      <c r="AO638" s="346"/>
      <c r="AP638" s="346"/>
      <c r="AQ638" s="346"/>
      <c r="AR638" s="346"/>
      <c r="AS638" s="346"/>
      <c r="AT638" s="346"/>
      <c r="AU638" s="346"/>
      <c r="AV638">
        <f t="shared" si="80"/>
        <v>0</v>
      </c>
      <c r="AW638" s="351">
        <f t="shared" si="81"/>
        <v>0</v>
      </c>
    </row>
    <row r="639" spans="1:49" ht="15.75">
      <c r="A639" s="357"/>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c r="AK639"/>
      <c r="AL639"/>
      <c r="AM639"/>
      <c r="AN639"/>
      <c r="AO639"/>
      <c r="AP639"/>
      <c r="AQ639"/>
      <c r="AR639"/>
      <c r="AS639"/>
      <c r="AT639"/>
      <c r="AU639"/>
      <c r="AV639">
        <f t="shared" si="80"/>
        <v>0</v>
      </c>
      <c r="AW639" s="351">
        <f t="shared" si="81"/>
        <v>0</v>
      </c>
    </row>
    <row r="640" spans="1:49" ht="15.75">
      <c r="A640" s="357"/>
      <c r="B640" s="346"/>
      <c r="C640" s="346"/>
      <c r="D640" s="346"/>
      <c r="E640" s="77"/>
      <c r="F640" s="346"/>
      <c r="G640" s="346"/>
      <c r="H640" s="346"/>
      <c r="I640" s="346"/>
      <c r="J640" s="346"/>
      <c r="K640" s="346"/>
      <c r="L640" s="346"/>
      <c r="M640" s="346"/>
      <c r="N640" s="346"/>
      <c r="O640" s="346"/>
      <c r="P640" s="346"/>
      <c r="Q640" s="346"/>
      <c r="R640" s="346"/>
      <c r="S640" s="346"/>
      <c r="T640" s="346"/>
      <c r="U640" s="346"/>
      <c r="V640" s="346"/>
      <c r="W640" s="346"/>
      <c r="X640" s="346"/>
      <c r="Y640" s="346"/>
      <c r="Z640" s="346"/>
      <c r="AA640" s="346"/>
      <c r="AB640" s="346"/>
      <c r="AC640" s="346"/>
      <c r="AD640" s="346"/>
      <c r="AE640" s="346"/>
      <c r="AF640" s="346"/>
      <c r="AG640" s="346"/>
      <c r="AH640" s="346"/>
      <c r="AI640" s="346"/>
      <c r="AJ640" s="346"/>
      <c r="AK640" s="346"/>
      <c r="AL640" s="346"/>
      <c r="AM640" s="346"/>
      <c r="AN640" s="346"/>
      <c r="AO640" s="346"/>
      <c r="AP640" s="346"/>
      <c r="AQ640" s="346"/>
      <c r="AR640" s="346"/>
      <c r="AS640" s="346"/>
      <c r="AT640" s="346"/>
      <c r="AU640" s="346"/>
      <c r="AV640">
        <f t="shared" si="80"/>
        <v>0</v>
      </c>
      <c r="AW640" s="351">
        <f t="shared" si="81"/>
        <v>0</v>
      </c>
    </row>
    <row r="641" spans="1:49" ht="15.75">
      <c r="A641" s="357"/>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c r="AK641"/>
      <c r="AL641"/>
      <c r="AM641"/>
      <c r="AN641"/>
      <c r="AO641"/>
      <c r="AP641"/>
      <c r="AQ641"/>
      <c r="AR641"/>
      <c r="AS641"/>
      <c r="AT641"/>
      <c r="AU641"/>
      <c r="AV641">
        <f t="shared" si="80"/>
        <v>0</v>
      </c>
      <c r="AW641" s="351">
        <f t="shared" si="81"/>
        <v>0</v>
      </c>
    </row>
    <row r="642" spans="1:49" ht="15.75">
      <c r="A642" s="357"/>
      <c r="B642" s="346"/>
      <c r="C642" s="346"/>
      <c r="D642" s="346"/>
      <c r="E642" s="346"/>
      <c r="F642" s="346"/>
      <c r="G642" s="346"/>
      <c r="H642" s="346"/>
      <c r="I642" s="346"/>
      <c r="J642" s="346"/>
      <c r="K642" s="346"/>
      <c r="L642" s="346"/>
      <c r="M642" s="346"/>
      <c r="N642" s="346"/>
      <c r="O642" s="346"/>
      <c r="P642" s="346"/>
      <c r="Q642" s="346"/>
      <c r="R642" s="346"/>
      <c r="S642" s="346"/>
      <c r="T642" s="346"/>
      <c r="U642" s="346"/>
      <c r="V642" s="346"/>
      <c r="W642" s="346"/>
      <c r="X642" s="346"/>
      <c r="Y642" s="346"/>
      <c r="Z642" s="346"/>
      <c r="AA642" s="346"/>
      <c r="AB642" s="346"/>
      <c r="AC642" s="346"/>
      <c r="AD642" s="346"/>
      <c r="AE642" s="346"/>
      <c r="AF642"/>
      <c r="AG642" s="346"/>
      <c r="AH642" s="346"/>
      <c r="AI642" s="346"/>
      <c r="AJ642" s="346"/>
      <c r="AK642" s="346"/>
      <c r="AL642" s="346"/>
      <c r="AM642" s="346"/>
      <c r="AN642" s="346"/>
      <c r="AO642" s="346"/>
      <c r="AP642" s="346"/>
      <c r="AQ642" s="346"/>
      <c r="AR642" s="346"/>
      <c r="AS642" s="346"/>
      <c r="AT642" s="346"/>
      <c r="AU642" s="346"/>
      <c r="AV642">
        <f t="shared" si="80"/>
        <v>0</v>
      </c>
      <c r="AW642" s="351">
        <f t="shared" si="81"/>
        <v>0</v>
      </c>
    </row>
    <row r="643" spans="1:49" ht="15.75">
      <c r="A643" s="357"/>
      <c r="B643"/>
      <c r="C643"/>
      <c r="D643"/>
      <c r="E643"/>
      <c r="F643"/>
      <c r="G643"/>
      <c r="H643"/>
      <c r="I643"/>
      <c r="J643"/>
      <c r="K643"/>
      <c r="L643"/>
      <c r="M643"/>
      <c r="N643"/>
      <c r="O643"/>
      <c r="P643"/>
      <c r="Q643"/>
      <c r="R643" s="362"/>
      <c r="S643" s="362"/>
      <c r="T643"/>
      <c r="U643"/>
      <c r="V643"/>
      <c r="W643"/>
      <c r="X643"/>
      <c r="Y643"/>
      <c r="Z643"/>
      <c r="AA643"/>
      <c r="AB643"/>
      <c r="AC643"/>
      <c r="AD643"/>
      <c r="AE643"/>
      <c r="AF643"/>
      <c r="AG643"/>
      <c r="AH643"/>
      <c r="AI643"/>
      <c r="AJ643"/>
      <c r="AK643"/>
      <c r="AL643"/>
      <c r="AM643"/>
      <c r="AN643"/>
      <c r="AO643"/>
      <c r="AP643"/>
      <c r="AQ643"/>
      <c r="AR643"/>
      <c r="AS643"/>
      <c r="AT643"/>
      <c r="AU643"/>
      <c r="AV643">
        <f t="shared" si="80"/>
        <v>0</v>
      </c>
      <c r="AW643" s="351">
        <f t="shared" si="81"/>
        <v>0</v>
      </c>
    </row>
    <row r="644" spans="1:49" ht="15.75">
      <c r="A644" s="357"/>
      <c r="B644" s="346"/>
      <c r="C644" s="346"/>
      <c r="D644" s="346"/>
      <c r="E644" s="346"/>
      <c r="F644" s="346"/>
      <c r="G644" s="346"/>
      <c r="H644" s="346"/>
      <c r="I644" s="346"/>
      <c r="J644" s="346"/>
      <c r="K644" s="346"/>
      <c r="L644" s="346"/>
      <c r="M644" s="346"/>
      <c r="N644" s="346"/>
      <c r="O644" s="346"/>
      <c r="P644" s="346"/>
      <c r="Q644" s="346"/>
      <c r="R644" s="346"/>
      <c r="S644" s="346"/>
      <c r="T644" s="346"/>
      <c r="U644" s="346"/>
      <c r="V644" s="346"/>
      <c r="W644" s="346"/>
      <c r="X644" s="346"/>
      <c r="Y644" s="346"/>
      <c r="Z644" s="346"/>
      <c r="AA644" s="346"/>
      <c r="AB644" s="346"/>
      <c r="AC644" s="346"/>
      <c r="AD644" s="346"/>
      <c r="AE644" s="346"/>
      <c r="AF644" s="346"/>
      <c r="AG644" s="346"/>
      <c r="AH644" s="346"/>
      <c r="AI644" s="346"/>
      <c r="AJ644" s="346"/>
      <c r="AK644" s="346"/>
      <c r="AL644" s="346"/>
      <c r="AM644" s="346"/>
      <c r="AN644" s="346"/>
      <c r="AO644" s="346"/>
      <c r="AP644" s="346"/>
      <c r="AQ644" s="346"/>
      <c r="AR644" s="346"/>
      <c r="AS644" s="346"/>
      <c r="AT644" s="346"/>
      <c r="AU644" s="346"/>
      <c r="AV644">
        <f t="shared" si="80"/>
        <v>0</v>
      </c>
      <c r="AW644" s="351">
        <f t="shared" si="81"/>
        <v>0</v>
      </c>
    </row>
    <row r="645" spans="1:49" ht="15.75">
      <c r="A645" s="357"/>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c r="AV645">
        <f t="shared" si="80"/>
        <v>0</v>
      </c>
      <c r="AW645" s="351">
        <f t="shared" si="81"/>
        <v>0</v>
      </c>
    </row>
    <row r="646" spans="1:49" ht="15.75">
      <c r="A646" s="357"/>
      <c r="B646" s="346"/>
      <c r="C646" s="346"/>
      <c r="D646" s="346"/>
      <c r="E646" s="346"/>
      <c r="F646" s="346"/>
      <c r="G646" s="346"/>
      <c r="H646" s="346"/>
      <c r="I646" s="346"/>
      <c r="J646" s="346"/>
      <c r="K646" s="346"/>
      <c r="L646" s="346"/>
      <c r="M646" s="346"/>
      <c r="N646" s="346"/>
      <c r="O646" s="346"/>
      <c r="P646" s="346"/>
      <c r="Q646" s="346"/>
      <c r="R646" s="346"/>
      <c r="S646" s="346"/>
      <c r="T646" s="346"/>
      <c r="U646" s="346"/>
      <c r="V646" s="346"/>
      <c r="W646" s="346"/>
      <c r="X646" s="346"/>
      <c r="Y646" s="346"/>
      <c r="Z646" s="346"/>
      <c r="AA646" s="346"/>
      <c r="AB646" s="346"/>
      <c r="AC646" s="346"/>
      <c r="AD646" s="346"/>
      <c r="AE646" s="346"/>
      <c r="AF646" s="346"/>
      <c r="AG646" s="346"/>
      <c r="AH646" s="346"/>
      <c r="AI646" s="346"/>
      <c r="AJ646" s="346"/>
      <c r="AK646" s="346"/>
      <c r="AL646" s="346"/>
      <c r="AM646" s="346"/>
      <c r="AN646" s="346"/>
      <c r="AO646" s="346"/>
      <c r="AP646" s="346"/>
      <c r="AQ646" s="346"/>
      <c r="AR646" s="346"/>
      <c r="AS646" s="346"/>
      <c r="AT646" s="346"/>
      <c r="AU646" s="346"/>
      <c r="AV646">
        <f t="shared" si="80"/>
        <v>0</v>
      </c>
      <c r="AW646" s="351">
        <f t="shared" si="81"/>
        <v>0</v>
      </c>
    </row>
    <row r="647" spans="1:49" ht="15.75">
      <c r="A647" s="35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c r="AV647">
        <f t="shared" si="80"/>
        <v>0</v>
      </c>
      <c r="AW647" s="351">
        <f t="shared" si="81"/>
        <v>0</v>
      </c>
    </row>
    <row r="648" spans="1:49" ht="15.75">
      <c r="A648" s="357"/>
      <c r="B648" s="346"/>
      <c r="C648" s="346"/>
      <c r="D648" s="346"/>
      <c r="E648" s="346"/>
      <c r="F648" s="346"/>
      <c r="G648" s="346"/>
      <c r="H648" s="346"/>
      <c r="I648" s="346"/>
      <c r="J648" s="346"/>
      <c r="K648" s="346"/>
      <c r="L648" s="346"/>
      <c r="M648" s="346"/>
      <c r="N648" s="346"/>
      <c r="O648" s="346"/>
      <c r="P648" s="346"/>
      <c r="Q648" s="346"/>
      <c r="R648" s="346"/>
      <c r="S648" s="346"/>
      <c r="T648" s="346"/>
      <c r="U648" s="346"/>
      <c r="V648" s="346"/>
      <c r="W648" s="346"/>
      <c r="X648" s="346"/>
      <c r="Y648" s="346"/>
      <c r="Z648" s="346"/>
      <c r="AA648" s="346"/>
      <c r="AB648" s="346"/>
      <c r="AC648" s="346"/>
      <c r="AD648" s="346"/>
      <c r="AE648" s="346"/>
      <c r="AF648" s="346"/>
      <c r="AG648" s="346"/>
      <c r="AH648" s="346"/>
      <c r="AI648" s="346"/>
      <c r="AJ648" s="346"/>
      <c r="AK648" s="346"/>
      <c r="AL648" s="346"/>
      <c r="AM648" s="346"/>
      <c r="AN648" s="346"/>
      <c r="AO648" s="346"/>
      <c r="AP648" s="346"/>
      <c r="AQ648" s="346"/>
      <c r="AR648" s="346"/>
      <c r="AS648" s="346"/>
      <c r="AT648" s="346"/>
      <c r="AU648" s="346"/>
      <c r="AV648">
        <f t="shared" si="80"/>
        <v>0</v>
      </c>
      <c r="AW648" s="351">
        <f t="shared" si="81"/>
        <v>0</v>
      </c>
    </row>
    <row r="649" spans="1:49" ht="15.75">
      <c r="A649" s="357"/>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c r="AK649"/>
      <c r="AL649"/>
      <c r="AM649"/>
      <c r="AN649"/>
      <c r="AO649"/>
      <c r="AP649"/>
      <c r="AQ649"/>
      <c r="AR649"/>
      <c r="AS649"/>
      <c r="AT649"/>
      <c r="AU649"/>
      <c r="AV649">
        <f t="shared" ref="AV649:AV672" si="82">SUM(B649:AU649)</f>
        <v>0</v>
      </c>
      <c r="AW649" s="351">
        <f t="shared" si="81"/>
        <v>0</v>
      </c>
    </row>
    <row r="650" spans="1:49" ht="15.75">
      <c r="A650" s="357"/>
      <c r="B650" s="346"/>
      <c r="C650" s="346"/>
      <c r="D650" s="346"/>
      <c r="E650" s="346"/>
      <c r="F650" s="346"/>
      <c r="G650" s="346"/>
      <c r="H650" s="346"/>
      <c r="I650" s="346"/>
      <c r="J650" s="346"/>
      <c r="K650" s="346"/>
      <c r="L650" s="346"/>
      <c r="M650" s="346"/>
      <c r="N650" s="346"/>
      <c r="O650" s="346"/>
      <c r="P650" s="346"/>
      <c r="Q650" s="346"/>
      <c r="R650" s="346"/>
      <c r="S650" s="346"/>
      <c r="T650" s="346"/>
      <c r="U650" s="346"/>
      <c r="V650" s="346"/>
      <c r="W650" s="346"/>
      <c r="X650" s="346"/>
      <c r="Y650" s="346"/>
      <c r="Z650" s="346"/>
      <c r="AA650" s="346"/>
      <c r="AB650" s="346"/>
      <c r="AC650" s="346"/>
      <c r="AD650" s="346"/>
      <c r="AE650" s="346"/>
      <c r="AF650" s="346"/>
      <c r="AG650" s="346"/>
      <c r="AH650" s="346"/>
      <c r="AI650" s="346"/>
      <c r="AJ650" s="346"/>
      <c r="AK650" s="346"/>
      <c r="AL650" s="346"/>
      <c r="AM650" s="346"/>
      <c r="AN650" s="346"/>
      <c r="AO650" s="346"/>
      <c r="AP650" s="346"/>
      <c r="AQ650" s="346"/>
      <c r="AR650" s="346"/>
      <c r="AS650" s="346"/>
      <c r="AT650" s="346"/>
      <c r="AU650" s="346"/>
      <c r="AV650">
        <f t="shared" si="82"/>
        <v>0</v>
      </c>
      <c r="AW650" s="351">
        <f t="shared" si="81"/>
        <v>0</v>
      </c>
    </row>
    <row r="651" spans="1:49" ht="15.75">
      <c r="A651" s="357"/>
      <c r="B651"/>
      <c r="C651"/>
      <c r="D651"/>
      <c r="E651"/>
      <c r="F651"/>
      <c r="G651"/>
      <c r="H651"/>
      <c r="I651"/>
      <c r="J651"/>
      <c r="K651"/>
      <c r="L651"/>
      <c r="M651"/>
      <c r="O651"/>
      <c r="P651"/>
      <c r="Q651"/>
      <c r="R651"/>
      <c r="S651"/>
      <c r="T651"/>
      <c r="U651"/>
      <c r="V651"/>
      <c r="W651"/>
      <c r="X651"/>
      <c r="Y651"/>
      <c r="Z651"/>
      <c r="AA651"/>
      <c r="AB651"/>
      <c r="AC651"/>
      <c r="AD651"/>
      <c r="AE651"/>
      <c r="AF651"/>
      <c r="AG651"/>
      <c r="AH651"/>
      <c r="AI651"/>
      <c r="AJ651"/>
      <c r="AK651"/>
      <c r="AL651"/>
      <c r="AM651"/>
      <c r="AN651"/>
      <c r="AO651"/>
      <c r="AP651"/>
      <c r="AQ651"/>
      <c r="AR651"/>
      <c r="AS651"/>
      <c r="AT651"/>
      <c r="AU651"/>
      <c r="AV651">
        <f t="shared" si="82"/>
        <v>0</v>
      </c>
      <c r="AW651" s="351">
        <f t="shared" si="81"/>
        <v>0</v>
      </c>
    </row>
    <row r="652" spans="1:49" ht="15.75">
      <c r="A652" s="357"/>
      <c r="B652" s="346"/>
      <c r="C652" s="346"/>
      <c r="D652" s="346"/>
      <c r="E652" s="346"/>
      <c r="F652" s="346"/>
      <c r="G652" s="346"/>
      <c r="H652" s="346"/>
      <c r="I652" s="346"/>
      <c r="J652" s="346"/>
      <c r="K652" s="346"/>
      <c r="L652" s="346"/>
      <c r="M652" s="346"/>
      <c r="N652" s="346"/>
      <c r="O652" s="346"/>
      <c r="P652" s="346"/>
      <c r="Q652" s="346"/>
      <c r="R652" s="346"/>
      <c r="S652" s="346"/>
      <c r="T652" s="346"/>
      <c r="U652" s="346"/>
      <c r="V652" s="346"/>
      <c r="W652" s="346"/>
      <c r="X652" s="346"/>
      <c r="Y652" s="346"/>
      <c r="Z652" s="346"/>
      <c r="AA652" s="346"/>
      <c r="AB652" s="346"/>
      <c r="AC652" s="346"/>
      <c r="AD652" s="346"/>
      <c r="AE652" s="346"/>
      <c r="AF652" s="346"/>
      <c r="AG652" s="346"/>
      <c r="AH652" s="346"/>
      <c r="AI652" s="346"/>
      <c r="AJ652" s="346"/>
      <c r="AK652" s="346"/>
      <c r="AL652" s="346"/>
      <c r="AM652" s="346"/>
      <c r="AN652" s="346"/>
      <c r="AO652" s="346"/>
      <c r="AP652" s="346"/>
      <c r="AQ652" s="346"/>
      <c r="AR652" s="346"/>
      <c r="AS652" s="346"/>
      <c r="AT652" s="346"/>
      <c r="AU652" s="346"/>
      <c r="AV652">
        <f t="shared" si="82"/>
        <v>0</v>
      </c>
      <c r="AW652" s="351">
        <f t="shared" si="81"/>
        <v>0</v>
      </c>
    </row>
    <row r="653" spans="1:49" ht="15.75">
      <c r="A653" s="357"/>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c r="AK653"/>
      <c r="AL653"/>
      <c r="AM653"/>
      <c r="AN653"/>
      <c r="AO653"/>
      <c r="AP653"/>
      <c r="AQ653"/>
      <c r="AR653"/>
      <c r="AS653"/>
      <c r="AT653"/>
      <c r="AU653"/>
      <c r="AV653">
        <f t="shared" si="82"/>
        <v>0</v>
      </c>
      <c r="AW653" s="351">
        <f t="shared" si="81"/>
        <v>0</v>
      </c>
    </row>
    <row r="654" spans="1:49" ht="15.75">
      <c r="A654" s="357"/>
      <c r="B654" s="346"/>
      <c r="C654" s="346"/>
      <c r="D654" s="346"/>
      <c r="E654" s="346"/>
      <c r="F654" s="346"/>
      <c r="G654" s="346"/>
      <c r="H654" s="346"/>
      <c r="I654" s="346"/>
      <c r="J654" s="346"/>
      <c r="K654" s="346"/>
      <c r="L654" s="346"/>
      <c r="M654" s="346"/>
      <c r="N654" s="346"/>
      <c r="O654" s="346"/>
      <c r="P654" s="346"/>
      <c r="Q654" s="346"/>
      <c r="R654" s="346"/>
      <c r="S654" s="346"/>
      <c r="T654" s="346"/>
      <c r="U654" s="346"/>
      <c r="V654" s="346"/>
      <c r="W654" s="346"/>
      <c r="X654" s="346"/>
      <c r="Y654" s="346"/>
      <c r="Z654" s="346"/>
      <c r="AA654" s="346"/>
      <c r="AB654" s="346"/>
      <c r="AC654" s="346"/>
      <c r="AD654" s="346"/>
      <c r="AE654" s="346"/>
      <c r="AF654" s="346"/>
      <c r="AG654" s="346"/>
      <c r="AH654" s="346"/>
      <c r="AI654" s="346"/>
      <c r="AJ654" s="346"/>
      <c r="AK654" s="346"/>
      <c r="AL654" s="346"/>
      <c r="AM654" s="346"/>
      <c r="AN654" s="346"/>
      <c r="AO654" s="346"/>
      <c r="AP654" s="346"/>
      <c r="AQ654" s="346"/>
      <c r="AR654" s="346"/>
      <c r="AS654" s="346"/>
      <c r="AT654" s="346"/>
      <c r="AU654" s="346"/>
      <c r="AV654">
        <f t="shared" si="82"/>
        <v>0</v>
      </c>
      <c r="AW654" s="351">
        <f t="shared" si="81"/>
        <v>0</v>
      </c>
    </row>
    <row r="655" spans="1:49" ht="15.75">
      <c r="A655" s="357"/>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c r="AK655"/>
      <c r="AL655"/>
      <c r="AM655"/>
      <c r="AN655"/>
      <c r="AO655"/>
      <c r="AP655"/>
      <c r="AQ655"/>
      <c r="AR655"/>
      <c r="AS655"/>
      <c r="AT655"/>
      <c r="AU655"/>
      <c r="AV655">
        <f t="shared" si="82"/>
        <v>0</v>
      </c>
      <c r="AW655" s="351">
        <f t="shared" si="81"/>
        <v>0</v>
      </c>
    </row>
    <row r="656" spans="1:49" ht="15.75">
      <c r="A656" s="357"/>
      <c r="B656" s="346"/>
      <c r="C656" s="346"/>
      <c r="D656" s="346"/>
      <c r="E656" s="346"/>
      <c r="F656" s="346"/>
      <c r="G656" s="346"/>
      <c r="H656" s="346"/>
      <c r="I656" s="346"/>
      <c r="J656" s="346"/>
      <c r="K656" s="346"/>
      <c r="L656" s="346"/>
      <c r="M656" s="346"/>
      <c r="N656" s="346"/>
      <c r="O656" s="346"/>
      <c r="P656" s="346"/>
      <c r="Q656" s="346"/>
      <c r="R656" s="346"/>
      <c r="S656" s="346"/>
      <c r="T656" s="346"/>
      <c r="U656" s="346"/>
      <c r="V656" s="346"/>
      <c r="W656" s="346"/>
      <c r="X656" s="346"/>
      <c r="Y656" s="346"/>
      <c r="Z656" s="346"/>
      <c r="AA656" s="346"/>
      <c r="AB656" s="346"/>
      <c r="AC656" s="346"/>
      <c r="AD656" s="346"/>
      <c r="AE656" s="346"/>
      <c r="AF656" s="346"/>
      <c r="AG656" s="346"/>
      <c r="AH656" s="346"/>
      <c r="AI656" s="346"/>
      <c r="AJ656" s="346"/>
      <c r="AK656" s="346"/>
      <c r="AL656" s="346"/>
      <c r="AM656" s="346"/>
      <c r="AN656" s="346"/>
      <c r="AO656" s="346"/>
      <c r="AP656" s="346"/>
      <c r="AQ656" s="346"/>
      <c r="AR656" s="346"/>
      <c r="AS656" s="346"/>
      <c r="AT656" s="346"/>
      <c r="AU656" s="346"/>
      <c r="AV656">
        <f t="shared" si="82"/>
        <v>0</v>
      </c>
      <c r="AW656" s="351">
        <f t="shared" si="81"/>
        <v>0</v>
      </c>
    </row>
    <row r="657" spans="1:49" ht="15.75">
      <c r="A657" s="3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c r="AK657"/>
      <c r="AL657"/>
      <c r="AM657"/>
      <c r="AN657"/>
      <c r="AO657"/>
      <c r="AP657"/>
      <c r="AQ657"/>
      <c r="AR657"/>
      <c r="AS657"/>
      <c r="AT657"/>
      <c r="AU657"/>
      <c r="AV657">
        <f t="shared" si="82"/>
        <v>0</v>
      </c>
      <c r="AW657" s="351">
        <f t="shared" si="81"/>
        <v>0</v>
      </c>
    </row>
    <row r="658" spans="1:49" ht="15.75">
      <c r="A658" s="357"/>
      <c r="B658" s="346"/>
      <c r="C658" s="346"/>
      <c r="D658" s="346"/>
      <c r="E658" s="346"/>
      <c r="F658" s="346"/>
      <c r="G658" s="346"/>
      <c r="H658" s="346"/>
      <c r="I658" s="346"/>
      <c r="J658" s="346"/>
      <c r="K658" s="346"/>
      <c r="L658" s="346"/>
      <c r="M658" s="346"/>
      <c r="N658" s="346"/>
      <c r="O658" s="346"/>
      <c r="P658" s="346"/>
      <c r="Q658" s="346"/>
      <c r="R658" s="346"/>
      <c r="S658" s="346"/>
      <c r="T658" s="346"/>
      <c r="U658" s="346"/>
      <c r="V658" s="346"/>
      <c r="W658" s="346"/>
      <c r="X658" s="346"/>
      <c r="Y658" s="346"/>
      <c r="Z658" s="346"/>
      <c r="AA658" s="346"/>
      <c r="AB658" s="346"/>
      <c r="AC658" s="346"/>
      <c r="AD658" s="346"/>
      <c r="AE658" s="346"/>
      <c r="AF658" s="346"/>
      <c r="AG658" s="346"/>
      <c r="AH658" s="346"/>
      <c r="AI658" s="346"/>
      <c r="AJ658" s="346"/>
      <c r="AK658" s="346"/>
      <c r="AL658" s="346"/>
      <c r="AM658" s="346"/>
      <c r="AN658" s="346"/>
      <c r="AO658" s="346"/>
      <c r="AP658" s="346"/>
      <c r="AQ658" s="346"/>
      <c r="AR658" s="346"/>
      <c r="AS658" s="346"/>
      <c r="AT658" s="346"/>
      <c r="AU658" s="346"/>
      <c r="AV658">
        <f t="shared" si="82"/>
        <v>0</v>
      </c>
      <c r="AW658" s="351">
        <f t="shared" si="81"/>
        <v>0</v>
      </c>
    </row>
    <row r="659" spans="1:49" ht="15.75">
      <c r="A659" s="357"/>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c r="AK659"/>
      <c r="AL659"/>
      <c r="AM659"/>
      <c r="AN659"/>
      <c r="AO659"/>
      <c r="AP659"/>
      <c r="AQ659"/>
      <c r="AR659"/>
      <c r="AS659"/>
      <c r="AT659"/>
      <c r="AU659"/>
      <c r="AV659">
        <f t="shared" si="82"/>
        <v>0</v>
      </c>
      <c r="AW659" s="351">
        <f t="shared" si="81"/>
        <v>0</v>
      </c>
    </row>
    <row r="660" spans="1:49" ht="15.75">
      <c r="A660" s="357"/>
      <c r="B660" s="346"/>
      <c r="C660" s="346"/>
      <c r="D660" s="346"/>
      <c r="E660" s="346"/>
      <c r="F660" s="346"/>
      <c r="G660" s="346"/>
      <c r="H660" s="346"/>
      <c r="I660" s="346"/>
      <c r="J660" s="346"/>
      <c r="K660" s="346"/>
      <c r="L660" s="346"/>
      <c r="M660" s="346"/>
      <c r="N660" s="346"/>
      <c r="O660" s="346"/>
      <c r="P660" s="346"/>
      <c r="Q660" s="346"/>
      <c r="R660" s="346"/>
      <c r="S660" s="346"/>
      <c r="T660" s="346"/>
      <c r="U660" s="346"/>
      <c r="V660" s="346"/>
      <c r="W660" s="346"/>
      <c r="X660" s="346"/>
      <c r="Y660" s="346"/>
      <c r="Z660" s="346"/>
      <c r="AA660" s="346"/>
      <c r="AB660" s="346"/>
      <c r="AC660" s="346"/>
      <c r="AD660" s="346"/>
      <c r="AE660" s="346"/>
      <c r="AF660" s="346"/>
      <c r="AG660" s="346"/>
      <c r="AH660" s="346"/>
      <c r="AI660" s="346"/>
      <c r="AJ660" s="346"/>
      <c r="AK660" s="346"/>
      <c r="AL660" s="346"/>
      <c r="AM660" s="346"/>
      <c r="AN660" s="346"/>
      <c r="AO660" s="346"/>
      <c r="AP660" s="346"/>
      <c r="AQ660" s="346"/>
      <c r="AR660" s="346"/>
      <c r="AS660" s="346"/>
      <c r="AT660" s="346"/>
      <c r="AU660" s="346"/>
      <c r="AV660">
        <f t="shared" si="82"/>
        <v>0</v>
      </c>
      <c r="AW660" s="351">
        <f t="shared" si="81"/>
        <v>0</v>
      </c>
    </row>
    <row r="661" spans="1:49" ht="15.75">
      <c r="A661" s="357"/>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c r="AK661"/>
      <c r="AL661"/>
      <c r="AM661"/>
      <c r="AN661"/>
      <c r="AO661"/>
      <c r="AP661"/>
      <c r="AQ661"/>
      <c r="AR661"/>
      <c r="AS661"/>
      <c r="AT661"/>
      <c r="AU661"/>
      <c r="AV661">
        <f t="shared" si="82"/>
        <v>0</v>
      </c>
      <c r="AW661" s="351">
        <f t="shared" si="81"/>
        <v>0</v>
      </c>
    </row>
    <row r="662" spans="1:49" ht="15.75">
      <c r="A662" s="357"/>
      <c r="B662" s="346"/>
      <c r="C662" s="346"/>
      <c r="D662" s="346"/>
      <c r="E662" s="346"/>
      <c r="F662" s="346"/>
      <c r="G662" s="346"/>
      <c r="H662" s="346"/>
      <c r="I662" s="346"/>
      <c r="J662" s="346"/>
      <c r="K662" s="346"/>
      <c r="L662" s="346"/>
      <c r="M662" s="346"/>
      <c r="N662" s="346"/>
      <c r="O662" s="346"/>
      <c r="P662" s="346"/>
      <c r="Q662" s="346"/>
      <c r="R662" s="346"/>
      <c r="S662" s="346"/>
      <c r="T662" s="346"/>
      <c r="U662" s="346"/>
      <c r="V662" s="346"/>
      <c r="W662" s="346"/>
      <c r="X662" s="346"/>
      <c r="Y662" s="346"/>
      <c r="Z662" s="346"/>
      <c r="AA662" s="346"/>
      <c r="AB662" s="346"/>
      <c r="AC662" s="346"/>
      <c r="AD662" s="346"/>
      <c r="AE662" s="346"/>
      <c r="AF662" s="346"/>
      <c r="AG662" s="346"/>
      <c r="AH662" s="346"/>
      <c r="AI662" s="346"/>
      <c r="AJ662" s="346"/>
      <c r="AK662" s="346"/>
      <c r="AL662" s="346"/>
      <c r="AM662" s="346"/>
      <c r="AN662" s="346"/>
      <c r="AO662" s="346"/>
      <c r="AP662" s="346"/>
      <c r="AQ662" s="346"/>
      <c r="AR662" s="346"/>
      <c r="AS662" s="346"/>
      <c r="AT662" s="346"/>
      <c r="AU662" s="346"/>
      <c r="AV662">
        <f t="shared" si="82"/>
        <v>0</v>
      </c>
      <c r="AW662" s="351">
        <f t="shared" si="81"/>
        <v>0</v>
      </c>
    </row>
    <row r="663" spans="1:49" ht="15.75">
      <c r="A663" s="357"/>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c r="AK663"/>
      <c r="AL663"/>
      <c r="AM663"/>
      <c r="AN663"/>
      <c r="AO663"/>
      <c r="AP663"/>
      <c r="AQ663"/>
      <c r="AR663"/>
      <c r="AS663"/>
      <c r="AT663"/>
      <c r="AU663"/>
      <c r="AV663">
        <f t="shared" si="82"/>
        <v>0</v>
      </c>
      <c r="AW663" s="351">
        <f t="shared" si="81"/>
        <v>0</v>
      </c>
    </row>
    <row r="664" spans="1:49" ht="15.75">
      <c r="A664" s="357"/>
      <c r="B664" s="346"/>
      <c r="C664" s="346"/>
      <c r="D664" s="346"/>
      <c r="E664" s="346"/>
      <c r="F664" s="346"/>
      <c r="G664" s="346"/>
      <c r="H664" s="346"/>
      <c r="I664" s="346"/>
      <c r="J664" s="346"/>
      <c r="K664" s="346"/>
      <c r="L664" s="346"/>
      <c r="M664" s="346"/>
      <c r="N664" s="346"/>
      <c r="O664" s="346"/>
      <c r="P664" s="346"/>
      <c r="Q664" s="346"/>
      <c r="R664" s="346"/>
      <c r="S664" s="346"/>
      <c r="T664" s="346"/>
      <c r="U664" s="346"/>
      <c r="V664" s="346"/>
      <c r="W664" s="346"/>
      <c r="X664" s="346"/>
      <c r="Y664" s="346"/>
      <c r="Z664" s="346"/>
      <c r="AA664" s="346"/>
      <c r="AB664" s="346"/>
      <c r="AC664" s="346"/>
      <c r="AD664" s="346"/>
      <c r="AE664" s="346"/>
      <c r="AF664" s="346"/>
      <c r="AG664" s="346"/>
      <c r="AH664" s="346"/>
      <c r="AI664" s="346"/>
      <c r="AJ664" s="346"/>
      <c r="AK664" s="346"/>
      <c r="AL664" s="346"/>
      <c r="AM664" s="346"/>
      <c r="AN664" s="346"/>
      <c r="AO664" s="346"/>
      <c r="AP664" s="346"/>
      <c r="AQ664" s="346"/>
      <c r="AR664" s="346"/>
      <c r="AS664" s="346"/>
      <c r="AT664" s="346"/>
      <c r="AU664" s="346"/>
      <c r="AV664">
        <f t="shared" si="82"/>
        <v>0</v>
      </c>
      <c r="AW664" s="351">
        <f t="shared" si="81"/>
        <v>0</v>
      </c>
    </row>
    <row r="665" spans="1:49" ht="15.75">
      <c r="A665" s="357"/>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c r="AK665"/>
      <c r="AL665"/>
      <c r="AM665"/>
      <c r="AN665"/>
      <c r="AO665"/>
      <c r="AP665"/>
      <c r="AQ665"/>
      <c r="AR665"/>
      <c r="AS665"/>
      <c r="AT665"/>
      <c r="AU665"/>
      <c r="AV665">
        <f t="shared" si="82"/>
        <v>0</v>
      </c>
      <c r="AW665" s="351">
        <f t="shared" si="81"/>
        <v>0</v>
      </c>
    </row>
    <row r="666" spans="1:49" ht="15.75">
      <c r="A666" s="357"/>
      <c r="B666" s="346"/>
      <c r="C666" s="346"/>
      <c r="D666" s="346"/>
      <c r="E666" s="346"/>
      <c r="F666" s="346"/>
      <c r="G666" s="346"/>
      <c r="H666" s="346"/>
      <c r="I666" s="346"/>
      <c r="J666" s="346"/>
      <c r="K666" s="346"/>
      <c r="L666" s="346"/>
      <c r="M666" s="346"/>
      <c r="N666" s="346"/>
      <c r="O666" s="346"/>
      <c r="P666" s="346"/>
      <c r="Q666" s="346"/>
      <c r="R666" s="346"/>
      <c r="S666" s="346"/>
      <c r="T666" s="346"/>
      <c r="U666" s="346"/>
      <c r="V666" s="346"/>
      <c r="W666" s="346"/>
      <c r="X666" s="346"/>
      <c r="Y666" s="346"/>
      <c r="Z666" s="346"/>
      <c r="AA666" s="346"/>
      <c r="AB666" s="346"/>
      <c r="AC666" s="346"/>
      <c r="AD666" s="346"/>
      <c r="AE666" s="346"/>
      <c r="AF666" s="346"/>
      <c r="AG666" s="346"/>
      <c r="AH666" s="346"/>
      <c r="AI666" s="346"/>
      <c r="AJ666" s="346"/>
      <c r="AK666" s="346"/>
      <c r="AL666" s="346"/>
      <c r="AM666" s="346"/>
      <c r="AN666" s="346"/>
      <c r="AO666" s="346"/>
      <c r="AP666" s="346"/>
      <c r="AQ666" s="346"/>
      <c r="AR666" s="346"/>
      <c r="AS666" s="346"/>
      <c r="AT666" s="346"/>
      <c r="AU666" s="346"/>
      <c r="AV666">
        <f t="shared" si="82"/>
        <v>0</v>
      </c>
      <c r="AW666" s="351">
        <f t="shared" si="81"/>
        <v>0</v>
      </c>
    </row>
    <row r="667" spans="1:49" ht="15.75">
      <c r="A667" s="35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c r="AK667"/>
      <c r="AL667"/>
      <c r="AM667"/>
      <c r="AN667"/>
      <c r="AO667"/>
      <c r="AP667"/>
      <c r="AQ667"/>
      <c r="AR667"/>
      <c r="AS667"/>
      <c r="AT667"/>
      <c r="AU667"/>
      <c r="AV667">
        <f t="shared" si="82"/>
        <v>0</v>
      </c>
      <c r="AW667" s="351">
        <f t="shared" si="81"/>
        <v>0</v>
      </c>
    </row>
    <row r="668" spans="1:49" ht="15.75">
      <c r="A668" s="357"/>
      <c r="B668" s="346"/>
      <c r="C668" s="346"/>
      <c r="D668" s="346"/>
      <c r="E668" s="346"/>
      <c r="F668" s="346"/>
      <c r="G668" s="346"/>
      <c r="H668" s="346"/>
      <c r="I668" s="346"/>
      <c r="J668" s="346"/>
      <c r="K668" s="346"/>
      <c r="L668" s="346"/>
      <c r="M668" s="346"/>
      <c r="N668" s="346"/>
      <c r="O668" s="346"/>
      <c r="P668" s="346"/>
      <c r="Q668" s="346"/>
      <c r="R668" s="346"/>
      <c r="S668" s="346"/>
      <c r="T668" s="346"/>
      <c r="U668" s="346"/>
      <c r="V668" s="346"/>
      <c r="W668" s="346"/>
      <c r="X668" s="346"/>
      <c r="Y668" s="346"/>
      <c r="Z668" s="346"/>
      <c r="AA668" s="346"/>
      <c r="AB668" s="346"/>
      <c r="AC668" s="346"/>
      <c r="AD668" s="346"/>
      <c r="AE668" s="346"/>
      <c r="AF668" s="346"/>
      <c r="AG668" s="346"/>
      <c r="AH668" s="346"/>
      <c r="AI668" s="346"/>
      <c r="AJ668" s="346"/>
      <c r="AK668" s="346"/>
      <c r="AL668" s="346"/>
      <c r="AM668" s="346"/>
      <c r="AN668" s="346"/>
      <c r="AO668" s="346"/>
      <c r="AP668" s="346"/>
      <c r="AQ668" s="346"/>
      <c r="AR668" s="346"/>
      <c r="AS668" s="346"/>
      <c r="AT668" s="346"/>
      <c r="AU668" s="346"/>
      <c r="AV668">
        <f t="shared" si="82"/>
        <v>0</v>
      </c>
      <c r="AW668" s="351">
        <f t="shared" si="81"/>
        <v>0</v>
      </c>
    </row>
    <row r="669" spans="1:49" ht="15.75">
      <c r="A669" s="357"/>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c r="AK669"/>
      <c r="AL669"/>
      <c r="AM669"/>
      <c r="AN669"/>
      <c r="AO669"/>
      <c r="AP669"/>
      <c r="AQ669"/>
      <c r="AR669"/>
      <c r="AS669"/>
      <c r="AT669"/>
      <c r="AU669"/>
      <c r="AV669">
        <f t="shared" si="82"/>
        <v>0</v>
      </c>
      <c r="AW669" s="351">
        <f t="shared" si="81"/>
        <v>0</v>
      </c>
    </row>
    <row r="670" spans="1:49" ht="15.75">
      <c r="A670" s="357"/>
      <c r="B670" s="346"/>
      <c r="C670" s="346"/>
      <c r="D670" s="346"/>
      <c r="E670" s="346"/>
      <c r="F670" s="346"/>
      <c r="G670" s="346"/>
      <c r="H670" s="346"/>
      <c r="I670" s="346"/>
      <c r="J670" s="346"/>
      <c r="K670" s="346"/>
      <c r="L670" s="346"/>
      <c r="M670" s="346"/>
      <c r="N670" s="346"/>
      <c r="O670" s="346"/>
      <c r="P670" s="346"/>
      <c r="Q670" s="346"/>
      <c r="R670" s="346"/>
      <c r="S670" s="346"/>
      <c r="T670" s="346"/>
      <c r="U670" s="346"/>
      <c r="V670" s="346"/>
      <c r="W670" s="346"/>
      <c r="X670" s="346"/>
      <c r="Y670" s="346"/>
      <c r="Z670" s="346"/>
      <c r="AA670" s="346"/>
      <c r="AB670" s="346"/>
      <c r="AC670" s="346"/>
      <c r="AD670" s="346"/>
      <c r="AE670" s="346"/>
      <c r="AF670" s="346"/>
      <c r="AG670" s="346"/>
      <c r="AH670" s="346"/>
      <c r="AI670" s="346"/>
      <c r="AJ670" s="346"/>
      <c r="AK670" s="346"/>
      <c r="AL670" s="346"/>
      <c r="AM670" s="346"/>
      <c r="AN670" s="346"/>
      <c r="AO670" s="346"/>
      <c r="AP670" s="346"/>
      <c r="AQ670" s="346"/>
      <c r="AR670" s="346"/>
      <c r="AS670" s="346"/>
      <c r="AT670" s="346"/>
      <c r="AU670" s="346"/>
      <c r="AV670">
        <f t="shared" si="82"/>
        <v>0</v>
      </c>
      <c r="AW670" s="351">
        <f t="shared" si="81"/>
        <v>0</v>
      </c>
    </row>
    <row r="671" spans="1:49" ht="15.75">
      <c r="A671" s="357"/>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c r="AK671"/>
      <c r="AL671"/>
      <c r="AM671"/>
      <c r="AN671"/>
      <c r="AO671"/>
      <c r="AP671"/>
      <c r="AQ671"/>
      <c r="AR671"/>
      <c r="AS671"/>
      <c r="AT671"/>
      <c r="AU671"/>
      <c r="AV671">
        <f t="shared" si="82"/>
        <v>0</v>
      </c>
      <c r="AW671" s="351">
        <f t="shared" si="81"/>
        <v>0</v>
      </c>
    </row>
    <row r="672" spans="1:49" ht="15.75">
      <c r="A672" s="357"/>
      <c r="B672" s="346"/>
      <c r="C672" s="346"/>
      <c r="D672" s="346"/>
      <c r="E672" s="346"/>
      <c r="F672" s="346"/>
      <c r="G672" s="346"/>
      <c r="H672" s="346"/>
      <c r="I672" s="346"/>
      <c r="J672" s="346"/>
      <c r="K672" s="346"/>
      <c r="L672" s="346"/>
      <c r="M672" s="346"/>
      <c r="N672" s="346"/>
      <c r="O672" s="346"/>
      <c r="P672" s="346"/>
      <c r="Q672" s="346"/>
      <c r="R672" s="346"/>
      <c r="S672" s="346"/>
      <c r="T672" s="346"/>
      <c r="U672" s="346"/>
      <c r="V672" s="346"/>
      <c r="W672" s="346"/>
      <c r="X672" s="346"/>
      <c r="Y672" s="346"/>
      <c r="Z672" s="346"/>
      <c r="AA672" s="346"/>
      <c r="AB672" s="346"/>
      <c r="AC672" s="346"/>
      <c r="AD672" s="346"/>
      <c r="AE672" s="346"/>
      <c r="AF672" s="346"/>
      <c r="AG672" s="346"/>
      <c r="AH672" s="346"/>
      <c r="AI672" s="346"/>
      <c r="AJ672" s="346"/>
      <c r="AK672" s="346"/>
      <c r="AL672" s="346"/>
      <c r="AM672" s="346"/>
      <c r="AN672" s="346"/>
      <c r="AO672" s="346"/>
      <c r="AP672" s="346"/>
      <c r="AQ672" s="346"/>
      <c r="AR672" s="346"/>
      <c r="AS672" s="346"/>
      <c r="AT672" s="346"/>
      <c r="AU672" s="346"/>
      <c r="AV672">
        <f t="shared" si="82"/>
        <v>0</v>
      </c>
      <c r="AW672" s="351">
        <f t="shared" si="81"/>
        <v>0</v>
      </c>
    </row>
    <row r="673" spans="1:49" ht="15">
      <c r="A673" s="347" t="s">
        <v>113</v>
      </c>
      <c r="B673" s="347">
        <f>SUM(B617:B672)</f>
        <v>0</v>
      </c>
      <c r="C673" s="347">
        <f>SUM(C617:C672)</f>
        <v>0</v>
      </c>
      <c r="D673" s="347">
        <f t="shared" ref="D673:AV673" si="83">SUM(D617:D672)</f>
        <v>0</v>
      </c>
      <c r="E673" s="347">
        <f t="shared" si="83"/>
        <v>0</v>
      </c>
      <c r="F673" s="347">
        <f t="shared" si="83"/>
        <v>0</v>
      </c>
      <c r="G673" s="347">
        <f t="shared" ref="G673:AC673" si="84">SUM(G617:G672)</f>
        <v>0</v>
      </c>
      <c r="H673" s="347">
        <f t="shared" si="84"/>
        <v>0</v>
      </c>
      <c r="I673" s="347">
        <f t="shared" si="84"/>
        <v>0</v>
      </c>
      <c r="J673" s="347">
        <f t="shared" si="84"/>
        <v>0</v>
      </c>
      <c r="K673" s="347">
        <f t="shared" si="84"/>
        <v>0</v>
      </c>
      <c r="L673" s="347">
        <f t="shared" si="84"/>
        <v>0</v>
      </c>
      <c r="M673" s="347">
        <f t="shared" si="84"/>
        <v>0</v>
      </c>
      <c r="N673" s="347">
        <f t="shared" si="84"/>
        <v>0</v>
      </c>
      <c r="O673" s="347">
        <f t="shared" si="84"/>
        <v>0</v>
      </c>
      <c r="P673" s="347">
        <f t="shared" si="84"/>
        <v>0</v>
      </c>
      <c r="Q673" s="347">
        <f t="shared" si="84"/>
        <v>0</v>
      </c>
      <c r="R673" s="347">
        <f t="shared" si="84"/>
        <v>0</v>
      </c>
      <c r="S673" s="347">
        <f t="shared" si="84"/>
        <v>0</v>
      </c>
      <c r="T673" s="347">
        <f t="shared" si="84"/>
        <v>0</v>
      </c>
      <c r="U673" s="347">
        <f t="shared" si="84"/>
        <v>0</v>
      </c>
      <c r="V673" s="347">
        <f t="shared" si="84"/>
        <v>0</v>
      </c>
      <c r="W673" s="347">
        <f t="shared" si="84"/>
        <v>0</v>
      </c>
      <c r="X673" s="347">
        <f t="shared" si="84"/>
        <v>0</v>
      </c>
      <c r="Y673" s="347">
        <f t="shared" si="84"/>
        <v>0</v>
      </c>
      <c r="Z673" s="347">
        <f t="shared" si="84"/>
        <v>0</v>
      </c>
      <c r="AA673" s="347">
        <f t="shared" si="84"/>
        <v>0</v>
      </c>
      <c r="AB673" s="347">
        <f t="shared" si="84"/>
        <v>0</v>
      </c>
      <c r="AC673" s="347">
        <f t="shared" si="84"/>
        <v>0</v>
      </c>
      <c r="AD673" s="347">
        <f t="shared" si="83"/>
        <v>0</v>
      </c>
      <c r="AE673" s="347">
        <f t="shared" si="83"/>
        <v>0</v>
      </c>
      <c r="AF673" s="347">
        <f t="shared" si="83"/>
        <v>0</v>
      </c>
      <c r="AG673" s="347">
        <f t="shared" si="83"/>
        <v>0</v>
      </c>
      <c r="AH673" s="347">
        <f t="shared" si="83"/>
        <v>0</v>
      </c>
      <c r="AI673" s="347">
        <f t="shared" si="83"/>
        <v>0</v>
      </c>
      <c r="AJ673" s="347">
        <f t="shared" si="83"/>
        <v>0</v>
      </c>
      <c r="AK673" s="347">
        <f t="shared" si="83"/>
        <v>0</v>
      </c>
      <c r="AL673" s="347">
        <f t="shared" si="83"/>
        <v>0</v>
      </c>
      <c r="AM673" s="347">
        <f t="shared" si="83"/>
        <v>0</v>
      </c>
      <c r="AN673" s="347">
        <f t="shared" si="83"/>
        <v>0</v>
      </c>
      <c r="AO673" s="347">
        <f t="shared" si="83"/>
        <v>0</v>
      </c>
      <c r="AP673" s="347">
        <f t="shared" si="83"/>
        <v>0</v>
      </c>
      <c r="AQ673" s="347">
        <f t="shared" si="83"/>
        <v>0</v>
      </c>
      <c r="AR673" s="347">
        <f t="shared" si="83"/>
        <v>0</v>
      </c>
      <c r="AS673" s="347">
        <f t="shared" si="83"/>
        <v>0</v>
      </c>
      <c r="AT673" s="347">
        <f t="shared" si="83"/>
        <v>0</v>
      </c>
      <c r="AU673" s="347">
        <f t="shared" si="83"/>
        <v>0</v>
      </c>
      <c r="AV673" s="347">
        <f t="shared" si="83"/>
        <v>0</v>
      </c>
      <c r="AW673" s="351"/>
    </row>
    <row r="674" spans="1:49" ht="15.75" thickBot="1">
      <c r="A674" s="348" t="s">
        <v>174</v>
      </c>
      <c r="B674" s="348" t="e">
        <f t="shared" ref="B674:AU674" si="85">B673/$AV673</f>
        <v>#DIV/0!</v>
      </c>
      <c r="C674" s="348" t="e">
        <f t="shared" si="85"/>
        <v>#DIV/0!</v>
      </c>
      <c r="D674" s="348" t="e">
        <f t="shared" si="85"/>
        <v>#DIV/0!</v>
      </c>
      <c r="E674" s="348" t="e">
        <f t="shared" si="85"/>
        <v>#DIV/0!</v>
      </c>
      <c r="F674" s="348" t="e">
        <f t="shared" si="85"/>
        <v>#DIV/0!</v>
      </c>
      <c r="G674" s="348" t="e">
        <f t="shared" si="85"/>
        <v>#DIV/0!</v>
      </c>
      <c r="H674" s="348" t="e">
        <f t="shared" si="85"/>
        <v>#DIV/0!</v>
      </c>
      <c r="I674" s="348" t="e">
        <f t="shared" si="85"/>
        <v>#DIV/0!</v>
      </c>
      <c r="J674" s="348" t="e">
        <f t="shared" si="85"/>
        <v>#DIV/0!</v>
      </c>
      <c r="K674" s="348" t="e">
        <f t="shared" si="85"/>
        <v>#DIV/0!</v>
      </c>
      <c r="L674" s="348" t="e">
        <f t="shared" si="85"/>
        <v>#DIV/0!</v>
      </c>
      <c r="M674" s="348" t="e">
        <f t="shared" si="85"/>
        <v>#DIV/0!</v>
      </c>
      <c r="N674" s="348" t="e">
        <f t="shared" si="85"/>
        <v>#DIV/0!</v>
      </c>
      <c r="O674" s="348" t="e">
        <f t="shared" si="85"/>
        <v>#DIV/0!</v>
      </c>
      <c r="P674" s="348" t="e">
        <f t="shared" si="85"/>
        <v>#DIV/0!</v>
      </c>
      <c r="Q674" s="348" t="e">
        <f t="shared" si="85"/>
        <v>#DIV/0!</v>
      </c>
      <c r="R674" s="348" t="e">
        <f t="shared" si="85"/>
        <v>#DIV/0!</v>
      </c>
      <c r="S674" s="348" t="e">
        <f t="shared" si="85"/>
        <v>#DIV/0!</v>
      </c>
      <c r="T674" s="348" t="e">
        <f t="shared" si="85"/>
        <v>#DIV/0!</v>
      </c>
      <c r="U674" s="348" t="e">
        <f t="shared" si="85"/>
        <v>#DIV/0!</v>
      </c>
      <c r="V674" s="348" t="e">
        <f t="shared" si="85"/>
        <v>#DIV/0!</v>
      </c>
      <c r="W674" s="348" t="e">
        <f t="shared" si="85"/>
        <v>#DIV/0!</v>
      </c>
      <c r="X674" s="348" t="e">
        <f t="shared" si="85"/>
        <v>#DIV/0!</v>
      </c>
      <c r="Y674" s="348" t="e">
        <f t="shared" si="85"/>
        <v>#DIV/0!</v>
      </c>
      <c r="Z674" s="348" t="e">
        <f t="shared" si="85"/>
        <v>#DIV/0!</v>
      </c>
      <c r="AA674" s="348" t="e">
        <f t="shared" si="85"/>
        <v>#DIV/0!</v>
      </c>
      <c r="AB674" s="348" t="e">
        <f t="shared" si="85"/>
        <v>#DIV/0!</v>
      </c>
      <c r="AC674" s="348" t="e">
        <f t="shared" si="85"/>
        <v>#DIV/0!</v>
      </c>
      <c r="AD674" s="348" t="e">
        <f t="shared" si="85"/>
        <v>#DIV/0!</v>
      </c>
      <c r="AE674" s="348" t="e">
        <f t="shared" si="85"/>
        <v>#DIV/0!</v>
      </c>
      <c r="AF674" s="348" t="e">
        <f t="shared" si="85"/>
        <v>#DIV/0!</v>
      </c>
      <c r="AG674" s="348" t="e">
        <f t="shared" si="85"/>
        <v>#DIV/0!</v>
      </c>
      <c r="AH674" s="348" t="e">
        <f t="shared" si="85"/>
        <v>#DIV/0!</v>
      </c>
      <c r="AI674" s="348" t="e">
        <f t="shared" si="85"/>
        <v>#DIV/0!</v>
      </c>
      <c r="AJ674" s="348" t="e">
        <f t="shared" si="85"/>
        <v>#DIV/0!</v>
      </c>
      <c r="AK674" s="348" t="e">
        <f t="shared" si="85"/>
        <v>#DIV/0!</v>
      </c>
      <c r="AL674" s="348" t="e">
        <f t="shared" si="85"/>
        <v>#DIV/0!</v>
      </c>
      <c r="AM674" s="348" t="e">
        <f t="shared" si="85"/>
        <v>#DIV/0!</v>
      </c>
      <c r="AN674" s="348" t="e">
        <f t="shared" si="85"/>
        <v>#DIV/0!</v>
      </c>
      <c r="AO674" s="348" t="e">
        <f t="shared" si="85"/>
        <v>#DIV/0!</v>
      </c>
      <c r="AP674" s="348" t="e">
        <f t="shared" si="85"/>
        <v>#DIV/0!</v>
      </c>
      <c r="AQ674" s="348" t="e">
        <f t="shared" si="85"/>
        <v>#DIV/0!</v>
      </c>
      <c r="AR674" s="348" t="e">
        <f t="shared" si="85"/>
        <v>#DIV/0!</v>
      </c>
      <c r="AS674" s="348" t="e">
        <f t="shared" si="85"/>
        <v>#DIV/0!</v>
      </c>
      <c r="AT674" s="348" t="e">
        <f t="shared" si="85"/>
        <v>#DIV/0!</v>
      </c>
      <c r="AU674" s="348" t="e">
        <f t="shared" si="85"/>
        <v>#DIV/0!</v>
      </c>
      <c r="AV674"/>
      <c r="AW674" s="351"/>
    </row>
    <row r="675" spans="1:49">
      <c r="A675" s="355"/>
    </row>
    <row r="676" spans="1:49">
      <c r="A676" s="355"/>
    </row>
    <row r="677" spans="1:49">
      <c r="A677" s="355"/>
    </row>
    <row r="678" spans="1:49" ht="15.75">
      <c r="A678" s="357"/>
      <c r="B678" s="346"/>
      <c r="C678" s="346"/>
      <c r="D678" s="346"/>
      <c r="E678" s="346"/>
      <c r="F678" s="346"/>
      <c r="G678" s="346"/>
      <c r="H678" s="346"/>
      <c r="I678" s="346"/>
      <c r="J678" s="346"/>
      <c r="K678" s="346"/>
      <c r="L678" s="346"/>
      <c r="M678" s="346"/>
      <c r="N678" s="346"/>
      <c r="O678" s="346"/>
      <c r="P678" s="346"/>
      <c r="Q678" s="346"/>
      <c r="R678" s="346"/>
      <c r="S678" s="346"/>
      <c r="T678" s="346"/>
      <c r="U678" s="346"/>
      <c r="V678" s="346"/>
      <c r="W678" s="346"/>
      <c r="X678" s="346"/>
      <c r="Y678" s="346"/>
      <c r="Z678" s="346"/>
      <c r="AA678" s="346"/>
      <c r="AB678" s="346"/>
      <c r="AC678" s="346"/>
      <c r="AD678" s="346"/>
      <c r="AE678" s="346"/>
      <c r="AF678" s="346"/>
      <c r="AG678" s="346"/>
      <c r="AH678" s="346"/>
      <c r="AI678" s="346"/>
      <c r="AJ678" s="346"/>
      <c r="AK678" s="346"/>
      <c r="AL678" s="346"/>
      <c r="AM678" s="346"/>
      <c r="AN678" s="346"/>
      <c r="AO678" s="346"/>
      <c r="AP678" s="346"/>
      <c r="AQ678" s="346"/>
      <c r="AR678" s="346"/>
      <c r="AS678" s="346"/>
      <c r="AT678" s="346"/>
      <c r="AU678" s="346"/>
      <c r="AV678">
        <f t="shared" ref="AV678:AV709" si="86">SUM(B678:AU678)</f>
        <v>0</v>
      </c>
      <c r="AW678" s="351">
        <f>AV678/$AV$368</f>
        <v>0</v>
      </c>
    </row>
    <row r="679" spans="1:49" ht="15.75">
      <c r="A679" s="357"/>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c r="AK679"/>
      <c r="AL679"/>
      <c r="AM679"/>
      <c r="AN679"/>
      <c r="AO679"/>
      <c r="AP679"/>
      <c r="AQ679"/>
      <c r="AR679"/>
      <c r="AS679"/>
      <c r="AT679"/>
      <c r="AU679"/>
      <c r="AV679">
        <f t="shared" si="86"/>
        <v>0</v>
      </c>
      <c r="AW679" s="351">
        <f t="shared" ref="AW679:AW732" si="87">AV679/$AV$368</f>
        <v>0</v>
      </c>
    </row>
    <row r="680" spans="1:49" ht="15.75">
      <c r="A680" s="357"/>
      <c r="B680" s="346"/>
      <c r="C680" s="346"/>
      <c r="D680" s="346"/>
      <c r="E680" s="346"/>
      <c r="F680" s="346"/>
      <c r="G680" s="346"/>
      <c r="H680" s="346"/>
      <c r="I680" s="346"/>
      <c r="J680" s="346"/>
      <c r="K680" s="346"/>
      <c r="L680" s="346"/>
      <c r="M680" s="346"/>
      <c r="N680" s="346"/>
      <c r="O680" s="346"/>
      <c r="P680" s="346"/>
      <c r="Q680" s="346"/>
      <c r="R680" s="346"/>
      <c r="S680" s="346"/>
      <c r="T680" s="346"/>
      <c r="U680" s="346"/>
      <c r="V680" s="346"/>
      <c r="W680" s="346"/>
      <c r="X680" s="346"/>
      <c r="Y680" s="346"/>
      <c r="Z680" s="346"/>
      <c r="AA680" s="346"/>
      <c r="AB680" s="346"/>
      <c r="AC680" s="346"/>
      <c r="AD680" s="346"/>
      <c r="AE680" s="346"/>
      <c r="AF680" s="346"/>
      <c r="AG680" s="346"/>
      <c r="AH680" s="346"/>
      <c r="AI680" s="346"/>
      <c r="AJ680" s="346"/>
      <c r="AK680" s="346"/>
      <c r="AL680" s="346"/>
      <c r="AM680" s="346"/>
      <c r="AN680" s="346"/>
      <c r="AO680" s="346"/>
      <c r="AP680" s="346"/>
      <c r="AQ680" s="346"/>
      <c r="AR680" s="346"/>
      <c r="AS680" s="346"/>
      <c r="AT680" s="346"/>
      <c r="AU680" s="346"/>
      <c r="AV680">
        <f t="shared" si="86"/>
        <v>0</v>
      </c>
      <c r="AW680" s="351">
        <f t="shared" si="87"/>
        <v>0</v>
      </c>
    </row>
    <row r="681" spans="1:49" ht="15.75">
      <c r="A681" s="357"/>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c r="AK681"/>
      <c r="AL681"/>
      <c r="AM681"/>
      <c r="AN681"/>
      <c r="AO681"/>
      <c r="AP681"/>
      <c r="AQ681"/>
      <c r="AR681"/>
      <c r="AS681"/>
      <c r="AT681"/>
      <c r="AU681"/>
      <c r="AV681">
        <f t="shared" si="86"/>
        <v>0</v>
      </c>
      <c r="AW681" s="351">
        <f t="shared" si="87"/>
        <v>0</v>
      </c>
    </row>
    <row r="682" spans="1:49" ht="15.75">
      <c r="A682" s="357"/>
      <c r="B682" s="346"/>
      <c r="C682" s="346"/>
      <c r="D682" s="346"/>
      <c r="E682" s="346"/>
      <c r="F682" s="346"/>
      <c r="G682" s="346"/>
      <c r="H682" s="346"/>
      <c r="I682" s="346"/>
      <c r="J682" s="346"/>
      <c r="K682" s="346"/>
      <c r="L682" s="346"/>
      <c r="M682" s="346"/>
      <c r="N682" s="346"/>
      <c r="O682" s="346"/>
      <c r="P682" s="346"/>
      <c r="Q682" s="346"/>
      <c r="R682" s="346"/>
      <c r="S682" s="346"/>
      <c r="T682" s="346"/>
      <c r="U682" s="346"/>
      <c r="V682" s="346"/>
      <c r="W682" s="346"/>
      <c r="X682" s="346"/>
      <c r="Y682" s="346"/>
      <c r="Z682" s="346"/>
      <c r="AA682" s="346"/>
      <c r="AB682" s="346"/>
      <c r="AC682" s="346"/>
      <c r="AD682" s="346"/>
      <c r="AE682" s="346"/>
      <c r="AF682" s="346"/>
      <c r="AG682" s="346"/>
      <c r="AH682" s="346"/>
      <c r="AI682" s="346"/>
      <c r="AJ682" s="346"/>
      <c r="AK682" s="346"/>
      <c r="AL682" s="346"/>
      <c r="AM682" s="346"/>
      <c r="AN682" s="346"/>
      <c r="AO682" s="346"/>
      <c r="AP682" s="346"/>
      <c r="AQ682" s="346"/>
      <c r="AR682" s="346"/>
      <c r="AS682" s="346"/>
      <c r="AT682" s="346"/>
      <c r="AU682" s="346"/>
      <c r="AV682">
        <f t="shared" si="86"/>
        <v>0</v>
      </c>
      <c r="AW682" s="351">
        <f t="shared" si="87"/>
        <v>0</v>
      </c>
    </row>
    <row r="683" spans="1:49" ht="15.75">
      <c r="A683" s="357"/>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c r="AK683"/>
      <c r="AL683"/>
      <c r="AM683"/>
      <c r="AN683"/>
      <c r="AO683"/>
      <c r="AP683"/>
      <c r="AQ683"/>
      <c r="AR683"/>
      <c r="AS683"/>
      <c r="AT683"/>
      <c r="AU683"/>
      <c r="AV683">
        <f t="shared" si="86"/>
        <v>0</v>
      </c>
      <c r="AW683" s="351">
        <f t="shared" si="87"/>
        <v>0</v>
      </c>
    </row>
    <row r="684" spans="1:49" ht="15.75">
      <c r="A684" s="357"/>
      <c r="B684" s="346"/>
      <c r="C684" s="346"/>
      <c r="D684" s="346"/>
      <c r="E684" s="346"/>
      <c r="F684" s="346"/>
      <c r="G684" s="346"/>
      <c r="H684" s="346"/>
      <c r="I684" s="346"/>
      <c r="J684" s="346"/>
      <c r="K684" s="346"/>
      <c r="L684" s="346"/>
      <c r="M684" s="346"/>
      <c r="N684" s="346"/>
      <c r="O684" s="346"/>
      <c r="P684" s="346"/>
      <c r="Q684" s="346"/>
      <c r="R684" s="346"/>
      <c r="S684" s="346"/>
      <c r="T684" s="346"/>
      <c r="U684" s="346"/>
      <c r="V684" s="346"/>
      <c r="W684" s="346"/>
      <c r="X684" s="346"/>
      <c r="Y684" s="346"/>
      <c r="Z684" s="346"/>
      <c r="AA684" s="346"/>
      <c r="AB684" s="346"/>
      <c r="AC684" s="346"/>
      <c r="AD684" s="346"/>
      <c r="AE684" s="346"/>
      <c r="AF684" s="346"/>
      <c r="AG684" s="346"/>
      <c r="AH684" s="346"/>
      <c r="AI684" s="346"/>
      <c r="AJ684" s="346"/>
      <c r="AK684" s="346"/>
      <c r="AL684" s="346"/>
      <c r="AM684" s="346"/>
      <c r="AN684" s="346"/>
      <c r="AO684" s="346"/>
      <c r="AP684" s="346"/>
      <c r="AQ684" s="346"/>
      <c r="AR684" s="346"/>
      <c r="AS684" s="346"/>
      <c r="AT684" s="346"/>
      <c r="AU684" s="346"/>
      <c r="AV684">
        <f t="shared" si="86"/>
        <v>0</v>
      </c>
      <c r="AW684" s="351">
        <f t="shared" si="87"/>
        <v>0</v>
      </c>
    </row>
    <row r="685" spans="1:49" ht="15.75">
      <c r="A685" s="357"/>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c r="AK685"/>
      <c r="AL685"/>
      <c r="AM685"/>
      <c r="AN685"/>
      <c r="AO685"/>
      <c r="AP685"/>
      <c r="AQ685"/>
      <c r="AR685"/>
      <c r="AS685"/>
      <c r="AT685"/>
      <c r="AU685"/>
      <c r="AV685">
        <f t="shared" ref="AV685:AV703" si="88">SUM(B685:AU685)</f>
        <v>0</v>
      </c>
      <c r="AW685" s="351">
        <f t="shared" ref="AW685:AW703" si="89">AV685/$AV$368</f>
        <v>0</v>
      </c>
    </row>
    <row r="686" spans="1:49" ht="15.75">
      <c r="A686" s="357"/>
      <c r="B686" s="346"/>
      <c r="C686" s="346"/>
      <c r="D686" s="346"/>
      <c r="E686" s="346"/>
      <c r="F686" s="346"/>
      <c r="G686" s="346"/>
      <c r="H686" s="346"/>
      <c r="I686" s="346"/>
      <c r="J686" s="346"/>
      <c r="K686" s="346"/>
      <c r="L686" s="346"/>
      <c r="M686" s="346"/>
      <c r="N686" s="346"/>
      <c r="O686" s="346"/>
      <c r="P686" s="346"/>
      <c r="Q686" s="346"/>
      <c r="R686" s="346"/>
      <c r="S686" s="346"/>
      <c r="T686" s="346"/>
      <c r="U686" s="346"/>
      <c r="V686" s="346"/>
      <c r="W686" s="346"/>
      <c r="X686" s="346"/>
      <c r="Y686" s="346"/>
      <c r="Z686" s="346"/>
      <c r="AA686" s="346"/>
      <c r="AB686" s="346"/>
      <c r="AC686" s="346"/>
      <c r="AD686" s="346"/>
      <c r="AE686" s="346"/>
      <c r="AF686" s="346"/>
      <c r="AG686" s="346"/>
      <c r="AH686" s="346"/>
      <c r="AI686" s="346"/>
      <c r="AJ686" s="346"/>
      <c r="AK686" s="346"/>
      <c r="AL686" s="346"/>
      <c r="AM686" s="346"/>
      <c r="AN686" s="346"/>
      <c r="AO686" s="346"/>
      <c r="AP686" s="346"/>
      <c r="AQ686" s="346"/>
      <c r="AR686" s="346"/>
      <c r="AS686" s="346"/>
      <c r="AT686" s="346"/>
      <c r="AU686" s="346"/>
      <c r="AV686">
        <f t="shared" si="88"/>
        <v>0</v>
      </c>
      <c r="AW686" s="351">
        <f t="shared" si="89"/>
        <v>0</v>
      </c>
    </row>
    <row r="687" spans="1:49" ht="15.75">
      <c r="A687" s="35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c r="AK687"/>
      <c r="AL687"/>
      <c r="AM687"/>
      <c r="AN687"/>
      <c r="AO687"/>
      <c r="AP687"/>
      <c r="AQ687"/>
      <c r="AR687"/>
      <c r="AS687"/>
      <c r="AT687"/>
      <c r="AU687"/>
      <c r="AV687">
        <f t="shared" si="88"/>
        <v>0</v>
      </c>
      <c r="AW687" s="351">
        <f t="shared" si="89"/>
        <v>0</v>
      </c>
    </row>
    <row r="688" spans="1:49" ht="15.75">
      <c r="A688" s="357"/>
      <c r="B688" s="346"/>
      <c r="C688" s="346"/>
      <c r="D688" s="346"/>
      <c r="E688" s="346"/>
      <c r="F688" s="346"/>
      <c r="G688" s="346"/>
      <c r="H688" s="346"/>
      <c r="I688" s="346"/>
      <c r="J688" s="346"/>
      <c r="K688" s="346"/>
      <c r="L688" s="346"/>
      <c r="M688" s="346"/>
      <c r="N688" s="346"/>
      <c r="O688" s="346"/>
      <c r="P688" s="346"/>
      <c r="Q688" s="346"/>
      <c r="R688" s="346"/>
      <c r="S688" s="346"/>
      <c r="T688" s="346"/>
      <c r="U688" s="346"/>
      <c r="V688" s="346"/>
      <c r="W688" s="346"/>
      <c r="X688" s="346"/>
      <c r="Y688" s="346"/>
      <c r="Z688" s="346"/>
      <c r="AA688" s="346"/>
      <c r="AB688" s="346"/>
      <c r="AC688" s="346"/>
      <c r="AD688" s="346"/>
      <c r="AE688" s="346"/>
      <c r="AF688" s="346"/>
      <c r="AG688" s="346"/>
      <c r="AH688" s="346"/>
      <c r="AI688" s="346"/>
      <c r="AJ688" s="346"/>
      <c r="AK688" s="346"/>
      <c r="AL688" s="346"/>
      <c r="AM688" s="346"/>
      <c r="AN688" s="346"/>
      <c r="AO688" s="346"/>
      <c r="AP688" s="346"/>
      <c r="AQ688" s="346"/>
      <c r="AR688" s="346"/>
      <c r="AS688" s="346"/>
      <c r="AT688" s="346"/>
      <c r="AU688" s="346"/>
      <c r="AV688">
        <f t="shared" si="88"/>
        <v>0</v>
      </c>
      <c r="AW688" s="351">
        <f t="shared" si="89"/>
        <v>0</v>
      </c>
    </row>
    <row r="689" spans="1:49" ht="15.75">
      <c r="A689" s="357"/>
      <c r="B689"/>
      <c r="C689"/>
      <c r="D689"/>
      <c r="E689"/>
      <c r="F689"/>
      <c r="G689"/>
      <c r="H689"/>
      <c r="I689"/>
      <c r="J689"/>
      <c r="K689"/>
      <c r="L689"/>
      <c r="M689"/>
      <c r="N689"/>
      <c r="O689"/>
      <c r="P689"/>
      <c r="Q689"/>
      <c r="R689"/>
      <c r="S689"/>
      <c r="T689"/>
      <c r="U689"/>
      <c r="V689"/>
      <c r="W689"/>
      <c r="X689"/>
      <c r="Y689"/>
      <c r="Z689"/>
      <c r="AA689"/>
      <c r="AB689"/>
      <c r="AC689"/>
      <c r="AD689"/>
      <c r="AE689"/>
      <c r="AF689"/>
      <c r="AG689"/>
      <c r="AH689"/>
      <c r="AI689"/>
      <c r="AJ689"/>
      <c r="AK689"/>
      <c r="AL689"/>
      <c r="AM689"/>
      <c r="AN689"/>
      <c r="AO689"/>
      <c r="AP689"/>
      <c r="AQ689"/>
      <c r="AR689"/>
      <c r="AS689"/>
      <c r="AT689"/>
      <c r="AU689"/>
      <c r="AV689">
        <f t="shared" si="88"/>
        <v>0</v>
      </c>
      <c r="AW689" s="351">
        <f t="shared" si="89"/>
        <v>0</v>
      </c>
    </row>
    <row r="690" spans="1:49" ht="15.75">
      <c r="A690" s="357"/>
      <c r="B690" s="346"/>
      <c r="C690" s="346"/>
      <c r="D690" s="346"/>
      <c r="E690" s="346"/>
      <c r="F690" s="346"/>
      <c r="G690" s="346"/>
      <c r="H690" s="346"/>
      <c r="I690" s="346"/>
      <c r="J690" s="346"/>
      <c r="K690" s="346"/>
      <c r="L690" s="346"/>
      <c r="M690" s="346"/>
      <c r="N690" s="346"/>
      <c r="O690" s="346"/>
      <c r="P690" s="346"/>
      <c r="Q690" s="346"/>
      <c r="R690" s="346"/>
      <c r="S690" s="346"/>
      <c r="T690" s="346"/>
      <c r="U690" s="346"/>
      <c r="V690" s="346"/>
      <c r="W690" s="346"/>
      <c r="X690" s="346"/>
      <c r="Y690" s="346"/>
      <c r="Z690" s="346"/>
      <c r="AA690" s="346"/>
      <c r="AB690" s="346"/>
      <c r="AC690" s="346"/>
      <c r="AD690" s="346"/>
      <c r="AE690" s="346"/>
      <c r="AF690" s="346"/>
      <c r="AG690" s="346"/>
      <c r="AH690" s="346"/>
      <c r="AI690" s="346"/>
      <c r="AJ690" s="346"/>
      <c r="AK690" s="346"/>
      <c r="AL690" s="346"/>
      <c r="AM690" s="346"/>
      <c r="AN690" s="346"/>
      <c r="AO690" s="346"/>
      <c r="AP690" s="346"/>
      <c r="AQ690" s="346"/>
      <c r="AR690" s="346"/>
      <c r="AS690" s="346"/>
      <c r="AT690" s="346"/>
      <c r="AU690" s="346"/>
      <c r="AV690">
        <f t="shared" si="88"/>
        <v>0</v>
      </c>
      <c r="AW690" s="351">
        <f t="shared" si="89"/>
        <v>0</v>
      </c>
    </row>
    <row r="691" spans="1:49" ht="15.75">
      <c r="A691" s="357"/>
      <c r="B691"/>
      <c r="C691"/>
      <c r="D691"/>
      <c r="E691"/>
      <c r="F691"/>
      <c r="G691"/>
      <c r="H691"/>
      <c r="I691"/>
      <c r="J691"/>
      <c r="K691"/>
      <c r="L691"/>
      <c r="M691"/>
      <c r="N691"/>
      <c r="O691"/>
      <c r="P691"/>
      <c r="Q691"/>
      <c r="R691"/>
      <c r="S691"/>
      <c r="T691"/>
      <c r="U691"/>
      <c r="V691"/>
      <c r="W691"/>
      <c r="X691"/>
      <c r="Y691"/>
      <c r="Z691"/>
      <c r="AA691"/>
      <c r="AB691"/>
      <c r="AC691"/>
      <c r="AD691"/>
      <c r="AE691"/>
      <c r="AF691"/>
      <c r="AG691"/>
      <c r="AH691"/>
      <c r="AI691"/>
      <c r="AJ691"/>
      <c r="AK691"/>
      <c r="AL691"/>
      <c r="AM691"/>
      <c r="AN691"/>
      <c r="AO691"/>
      <c r="AP691"/>
      <c r="AQ691"/>
      <c r="AR691"/>
      <c r="AS691"/>
      <c r="AT691"/>
      <c r="AU691"/>
      <c r="AV691">
        <f t="shared" si="88"/>
        <v>0</v>
      </c>
      <c r="AW691" s="351">
        <f t="shared" si="89"/>
        <v>0</v>
      </c>
    </row>
    <row r="692" spans="1:49" ht="15.75">
      <c r="A692" s="357"/>
      <c r="B692" s="346"/>
      <c r="C692" s="346"/>
      <c r="D692" s="346"/>
      <c r="E692" s="346"/>
      <c r="F692" s="346"/>
      <c r="G692" s="346"/>
      <c r="H692" s="346"/>
      <c r="I692" s="346"/>
      <c r="J692" s="346"/>
      <c r="K692" s="346"/>
      <c r="L692" s="346"/>
      <c r="M692" s="346"/>
      <c r="N692" s="346"/>
      <c r="O692" s="346"/>
      <c r="P692" s="346"/>
      <c r="Q692" s="346"/>
      <c r="R692" s="346"/>
      <c r="S692" s="346"/>
      <c r="T692" s="346"/>
      <c r="U692" s="346"/>
      <c r="V692" s="346"/>
      <c r="W692" s="346"/>
      <c r="X692" s="346"/>
      <c r="Y692" s="346"/>
      <c r="Z692" s="346"/>
      <c r="AA692" s="346"/>
      <c r="AB692" s="346"/>
      <c r="AC692" s="346"/>
      <c r="AD692" s="346"/>
      <c r="AE692" s="346"/>
      <c r="AF692" s="346"/>
      <c r="AG692" s="346"/>
      <c r="AH692" s="346"/>
      <c r="AI692" s="346"/>
      <c r="AJ692" s="346"/>
      <c r="AK692" s="346"/>
      <c r="AL692" s="346"/>
      <c r="AM692" s="346"/>
      <c r="AN692" s="346"/>
      <c r="AO692" s="346"/>
      <c r="AP692" s="346"/>
      <c r="AQ692" s="346"/>
      <c r="AR692" s="346"/>
      <c r="AS692" s="346"/>
      <c r="AT692" s="346"/>
      <c r="AU692" s="346"/>
      <c r="AV692">
        <f t="shared" si="88"/>
        <v>0</v>
      </c>
      <c r="AW692" s="351">
        <f t="shared" si="89"/>
        <v>0</v>
      </c>
    </row>
    <row r="693" spans="1:49" ht="15.75">
      <c r="A693" s="357"/>
      <c r="B693"/>
      <c r="C693"/>
      <c r="D693"/>
      <c r="E693"/>
      <c r="F693"/>
      <c r="G693"/>
      <c r="H693"/>
      <c r="I693"/>
      <c r="J693"/>
      <c r="K693"/>
      <c r="L693"/>
      <c r="M693"/>
      <c r="N693"/>
      <c r="O693"/>
      <c r="P693"/>
      <c r="Q693"/>
      <c r="R693"/>
      <c r="S693"/>
      <c r="T693"/>
      <c r="U693"/>
      <c r="V693"/>
      <c r="W693"/>
      <c r="X693"/>
      <c r="Y693"/>
      <c r="Z693"/>
      <c r="AA693"/>
      <c r="AB693"/>
      <c r="AC693"/>
      <c r="AD693"/>
      <c r="AE693"/>
      <c r="AF693"/>
      <c r="AG693"/>
      <c r="AH693"/>
      <c r="AI693"/>
      <c r="AJ693"/>
      <c r="AK693"/>
      <c r="AL693"/>
      <c r="AM693"/>
      <c r="AN693"/>
      <c r="AO693"/>
      <c r="AP693"/>
      <c r="AQ693"/>
      <c r="AR693"/>
      <c r="AS693"/>
      <c r="AT693"/>
      <c r="AU693"/>
      <c r="AV693">
        <f t="shared" si="88"/>
        <v>0</v>
      </c>
      <c r="AW693" s="351">
        <f t="shared" si="89"/>
        <v>0</v>
      </c>
    </row>
    <row r="694" spans="1:49" ht="15.75">
      <c r="A694" s="357"/>
      <c r="B694" s="346"/>
      <c r="C694" s="346"/>
      <c r="D694" s="346"/>
      <c r="E694" s="346"/>
      <c r="F694" s="346"/>
      <c r="G694" s="346"/>
      <c r="H694" s="346"/>
      <c r="I694" s="346"/>
      <c r="J694" s="346"/>
      <c r="K694" s="346"/>
      <c r="L694" s="346"/>
      <c r="M694" s="346"/>
      <c r="N694" s="346"/>
      <c r="O694" s="346"/>
      <c r="P694" s="346"/>
      <c r="Q694" s="346"/>
      <c r="R694" s="346"/>
      <c r="S694" s="346"/>
      <c r="T694" s="346"/>
      <c r="U694" s="346"/>
      <c r="V694" s="346"/>
      <c r="W694" s="346"/>
      <c r="X694" s="346"/>
      <c r="Y694" s="346"/>
      <c r="Z694" s="346"/>
      <c r="AA694" s="346"/>
      <c r="AB694" s="346"/>
      <c r="AC694" s="346"/>
      <c r="AD694" s="346"/>
      <c r="AE694" s="346"/>
      <c r="AF694" s="346"/>
      <c r="AG694" s="346"/>
      <c r="AH694" s="346"/>
      <c r="AI694" s="346"/>
      <c r="AJ694" s="346"/>
      <c r="AK694" s="346"/>
      <c r="AL694" s="346"/>
      <c r="AM694" s="346"/>
      <c r="AN694" s="346"/>
      <c r="AO694" s="346"/>
      <c r="AP694" s="346"/>
      <c r="AQ694" s="346"/>
      <c r="AR694" s="346"/>
      <c r="AS694" s="346"/>
      <c r="AT694" s="346"/>
      <c r="AU694" s="346"/>
      <c r="AV694">
        <f t="shared" si="88"/>
        <v>0</v>
      </c>
      <c r="AW694" s="351">
        <f t="shared" si="89"/>
        <v>0</v>
      </c>
    </row>
    <row r="695" spans="1:49" ht="15.75">
      <c r="A695" s="357"/>
      <c r="B695"/>
      <c r="C695"/>
      <c r="D695"/>
      <c r="E695"/>
      <c r="F695"/>
      <c r="G695"/>
      <c r="H695"/>
      <c r="I695"/>
      <c r="J695"/>
      <c r="K695"/>
      <c r="L695"/>
      <c r="M695"/>
      <c r="N695"/>
      <c r="O695"/>
      <c r="P695"/>
      <c r="Q695"/>
      <c r="R695" s="363"/>
      <c r="S695"/>
      <c r="T695"/>
      <c r="U695"/>
      <c r="V695"/>
      <c r="W695"/>
      <c r="X695"/>
      <c r="Y695"/>
      <c r="Z695"/>
      <c r="AA695"/>
      <c r="AB695"/>
      <c r="AC695"/>
      <c r="AD695"/>
      <c r="AE695"/>
      <c r="AF695"/>
      <c r="AG695"/>
      <c r="AH695"/>
      <c r="AI695"/>
      <c r="AJ695"/>
      <c r="AK695"/>
      <c r="AL695"/>
      <c r="AM695"/>
      <c r="AN695"/>
      <c r="AO695"/>
      <c r="AP695"/>
      <c r="AQ695"/>
      <c r="AR695"/>
      <c r="AS695"/>
      <c r="AT695"/>
      <c r="AU695"/>
      <c r="AV695">
        <f t="shared" si="88"/>
        <v>0</v>
      </c>
      <c r="AW695" s="351">
        <f t="shared" si="89"/>
        <v>0</v>
      </c>
    </row>
    <row r="696" spans="1:49" ht="15.75">
      <c r="A696" s="357"/>
      <c r="B696" s="346"/>
      <c r="C696" s="346"/>
      <c r="D696" s="346"/>
      <c r="E696" s="346"/>
      <c r="F696" s="346"/>
      <c r="G696" s="346"/>
      <c r="H696" s="346"/>
      <c r="I696" s="346"/>
      <c r="J696" s="346"/>
      <c r="K696" s="346"/>
      <c r="L696" s="346"/>
      <c r="M696" s="346"/>
      <c r="N696" s="346"/>
      <c r="O696" s="346"/>
      <c r="P696" s="346"/>
      <c r="Q696" s="346"/>
      <c r="R696" s="346"/>
      <c r="S696" s="346"/>
      <c r="T696" s="346"/>
      <c r="U696" s="346"/>
      <c r="V696" s="346"/>
      <c r="W696" s="346"/>
      <c r="X696" s="346"/>
      <c r="Y696" s="346"/>
      <c r="Z696" s="346"/>
      <c r="AA696" s="346"/>
      <c r="AB696" s="346"/>
      <c r="AC696" s="346"/>
      <c r="AD696" s="346"/>
      <c r="AE696" s="346"/>
      <c r="AF696" s="346"/>
      <c r="AG696" s="346"/>
      <c r="AH696" s="346"/>
      <c r="AI696" s="346"/>
      <c r="AJ696" s="346"/>
      <c r="AK696" s="346"/>
      <c r="AL696" s="346"/>
      <c r="AM696" s="346"/>
      <c r="AN696" s="346"/>
      <c r="AO696" s="346"/>
      <c r="AP696" s="346"/>
      <c r="AQ696" s="346"/>
      <c r="AR696" s="346"/>
      <c r="AS696" s="346"/>
      <c r="AT696" s="346"/>
      <c r="AU696" s="346"/>
      <c r="AV696">
        <f t="shared" si="88"/>
        <v>0</v>
      </c>
      <c r="AW696" s="351">
        <f t="shared" si="89"/>
        <v>0</v>
      </c>
    </row>
    <row r="697" spans="1:49" ht="15.75">
      <c r="A697" s="357"/>
      <c r="B697"/>
      <c r="C697"/>
      <c r="D697"/>
      <c r="E697"/>
      <c r="F697"/>
      <c r="G697"/>
      <c r="H697"/>
      <c r="I697"/>
      <c r="J697"/>
      <c r="K697"/>
      <c r="L697"/>
      <c r="M697"/>
      <c r="N697"/>
      <c r="O697"/>
      <c r="P697"/>
      <c r="Q697"/>
      <c r="R697"/>
      <c r="S697"/>
      <c r="T697"/>
      <c r="U697"/>
      <c r="V697"/>
      <c r="W697"/>
      <c r="X697"/>
      <c r="Y697"/>
      <c r="Z697"/>
      <c r="AA697"/>
      <c r="AB697"/>
      <c r="AC697"/>
      <c r="AD697"/>
      <c r="AE697"/>
      <c r="AF697"/>
      <c r="AG697"/>
      <c r="AH697"/>
      <c r="AI697"/>
      <c r="AJ697"/>
      <c r="AK697"/>
      <c r="AL697"/>
      <c r="AM697"/>
      <c r="AN697"/>
      <c r="AO697"/>
      <c r="AP697"/>
      <c r="AQ697"/>
      <c r="AR697"/>
      <c r="AS697"/>
      <c r="AT697"/>
      <c r="AU697"/>
      <c r="AV697">
        <f t="shared" si="88"/>
        <v>0</v>
      </c>
      <c r="AW697" s="351">
        <f t="shared" si="89"/>
        <v>0</v>
      </c>
    </row>
    <row r="698" spans="1:49" ht="15.75">
      <c r="A698" s="357"/>
      <c r="B698" s="346"/>
      <c r="C698" s="346"/>
      <c r="D698" s="346"/>
      <c r="E698" s="346"/>
      <c r="F698" s="346"/>
      <c r="G698" s="346"/>
      <c r="H698" s="346"/>
      <c r="I698" s="346"/>
      <c r="J698" s="346"/>
      <c r="K698" s="346"/>
      <c r="L698" s="346"/>
      <c r="M698" s="346"/>
      <c r="N698" s="346"/>
      <c r="O698" s="346"/>
      <c r="P698" s="346"/>
      <c r="Q698" s="346"/>
      <c r="R698" s="346"/>
      <c r="S698" s="346"/>
      <c r="T698" s="346"/>
      <c r="U698" s="346"/>
      <c r="V698" s="346"/>
      <c r="W698" s="346"/>
      <c r="X698" s="346"/>
      <c r="Y698" s="346"/>
      <c r="Z698" s="346"/>
      <c r="AA698" s="346"/>
      <c r="AB698" s="346"/>
      <c r="AC698" s="346"/>
      <c r="AD698" s="346"/>
      <c r="AE698" s="346"/>
      <c r="AF698" s="346"/>
      <c r="AG698" s="346"/>
      <c r="AH698" s="353"/>
      <c r="AI698" s="346"/>
      <c r="AJ698" s="346"/>
      <c r="AK698" s="346"/>
      <c r="AL698" s="346"/>
      <c r="AM698" s="346"/>
      <c r="AN698" s="346"/>
      <c r="AO698" s="346"/>
      <c r="AP698" s="346"/>
      <c r="AQ698" s="346"/>
      <c r="AR698" s="346"/>
      <c r="AS698" s="346"/>
      <c r="AT698" s="346"/>
      <c r="AU698" s="346"/>
      <c r="AV698">
        <f t="shared" si="88"/>
        <v>0</v>
      </c>
      <c r="AW698" s="351">
        <f t="shared" si="89"/>
        <v>0</v>
      </c>
    </row>
    <row r="699" spans="1:49" ht="15.75">
      <c r="A699" s="357"/>
      <c r="B699"/>
      <c r="C699"/>
      <c r="D699"/>
      <c r="E699"/>
      <c r="F699"/>
      <c r="G699"/>
      <c r="H699"/>
      <c r="I699"/>
      <c r="J699"/>
      <c r="K699"/>
      <c r="L699"/>
      <c r="M699"/>
      <c r="N699"/>
      <c r="O699"/>
      <c r="P699"/>
      <c r="Q699"/>
      <c r="R699"/>
      <c r="S699"/>
      <c r="T699"/>
      <c r="U699"/>
      <c r="V699"/>
      <c r="W699"/>
      <c r="X699"/>
      <c r="Y699"/>
      <c r="Z699"/>
      <c r="AA699"/>
      <c r="AB699"/>
      <c r="AC699"/>
      <c r="AD699"/>
      <c r="AE699"/>
      <c r="AF699"/>
      <c r="AG699"/>
      <c r="AH699" s="363"/>
      <c r="AI699"/>
      <c r="AJ699"/>
      <c r="AK699"/>
      <c r="AL699"/>
      <c r="AM699"/>
      <c r="AN699"/>
      <c r="AO699"/>
      <c r="AP699"/>
      <c r="AQ699"/>
      <c r="AR699"/>
      <c r="AS699"/>
      <c r="AT699"/>
      <c r="AU699"/>
      <c r="AV699">
        <f t="shared" si="88"/>
        <v>0</v>
      </c>
      <c r="AW699" s="351">
        <f t="shared" si="89"/>
        <v>0</v>
      </c>
    </row>
    <row r="700" spans="1:49" ht="15.75">
      <c r="A700" s="357"/>
      <c r="B700" s="346"/>
      <c r="C700" s="346"/>
      <c r="D700" s="346"/>
      <c r="E700" s="346"/>
      <c r="F700" s="346"/>
      <c r="G700" s="346"/>
      <c r="H700" s="346"/>
      <c r="I700" s="346"/>
      <c r="J700" s="346"/>
      <c r="K700" s="346"/>
      <c r="L700" s="346"/>
      <c r="M700" s="346"/>
      <c r="N700" s="346"/>
      <c r="O700" s="346"/>
      <c r="P700" s="346"/>
      <c r="Q700" s="346"/>
      <c r="R700" s="346"/>
      <c r="S700" s="346"/>
      <c r="T700" s="346"/>
      <c r="U700" s="346"/>
      <c r="V700" s="346"/>
      <c r="W700" s="346"/>
      <c r="X700" s="346"/>
      <c r="Y700" s="346"/>
      <c r="Z700" s="346"/>
      <c r="AA700" s="346"/>
      <c r="AB700" s="346"/>
      <c r="AC700" s="346"/>
      <c r="AD700" s="346"/>
      <c r="AE700" s="346"/>
      <c r="AF700" s="346"/>
      <c r="AG700" s="346"/>
      <c r="AH700" s="346"/>
      <c r="AI700" s="346"/>
      <c r="AJ700" s="346"/>
      <c r="AK700" s="346"/>
      <c r="AL700" s="346"/>
      <c r="AM700" s="346"/>
      <c r="AN700" s="346"/>
      <c r="AO700" s="346"/>
      <c r="AP700" s="346"/>
      <c r="AQ700" s="346"/>
      <c r="AR700" s="346"/>
      <c r="AS700" s="346"/>
      <c r="AT700" s="346"/>
      <c r="AU700" s="346"/>
      <c r="AV700">
        <f t="shared" si="88"/>
        <v>0</v>
      </c>
      <c r="AW700" s="351">
        <f t="shared" si="89"/>
        <v>0</v>
      </c>
    </row>
    <row r="701" spans="1:49" ht="15.75">
      <c r="A701" s="357"/>
      <c r="B701"/>
      <c r="C701"/>
      <c r="D701"/>
      <c r="E701"/>
      <c r="F701"/>
      <c r="G701"/>
      <c r="H701"/>
      <c r="I701"/>
      <c r="J701"/>
      <c r="K701"/>
      <c r="L701"/>
      <c r="M701"/>
      <c r="N701"/>
      <c r="O701"/>
      <c r="P701"/>
      <c r="Q701"/>
      <c r="R701"/>
      <c r="T701"/>
      <c r="U701"/>
      <c r="V701"/>
      <c r="W701"/>
      <c r="X701"/>
      <c r="Y701"/>
      <c r="Z701"/>
      <c r="AA701"/>
      <c r="AB701"/>
      <c r="AC701"/>
      <c r="AD701"/>
      <c r="AE701"/>
      <c r="AF701"/>
      <c r="AG701"/>
      <c r="AH701"/>
      <c r="AI701"/>
      <c r="AJ701"/>
      <c r="AK701"/>
      <c r="AL701"/>
      <c r="AM701"/>
      <c r="AN701"/>
      <c r="AO701"/>
      <c r="AP701"/>
      <c r="AQ701"/>
      <c r="AR701"/>
      <c r="AS701"/>
      <c r="AT701"/>
      <c r="AU701"/>
      <c r="AV701">
        <f t="shared" si="88"/>
        <v>0</v>
      </c>
      <c r="AW701" s="351">
        <f t="shared" si="89"/>
        <v>0</v>
      </c>
    </row>
    <row r="702" spans="1:49" ht="15.75">
      <c r="A702" s="357"/>
      <c r="B702" s="346"/>
      <c r="C702" s="346"/>
      <c r="D702" s="346"/>
      <c r="E702" s="346"/>
      <c r="F702" s="346"/>
      <c r="G702" s="346"/>
      <c r="H702" s="346"/>
      <c r="I702" s="346"/>
      <c r="J702" s="346"/>
      <c r="K702" s="346"/>
      <c r="L702" s="346"/>
      <c r="M702" s="346"/>
      <c r="N702" s="346"/>
      <c r="O702" s="346"/>
      <c r="P702" s="346"/>
      <c r="Q702" s="346"/>
      <c r="R702" s="346"/>
      <c r="S702" s="346"/>
      <c r="T702" s="346"/>
      <c r="U702" s="346"/>
      <c r="V702" s="346"/>
      <c r="W702" s="346"/>
      <c r="X702" s="346"/>
      <c r="Y702" s="346"/>
      <c r="Z702" s="346"/>
      <c r="AA702" s="346"/>
      <c r="AB702" s="346"/>
      <c r="AC702" s="346"/>
      <c r="AD702" s="346"/>
      <c r="AE702" s="346"/>
      <c r="AF702" s="346"/>
      <c r="AG702" s="346"/>
      <c r="AH702" s="346"/>
      <c r="AI702" s="346"/>
      <c r="AJ702" s="346"/>
      <c r="AK702" s="346"/>
      <c r="AL702" s="346"/>
      <c r="AM702" s="346"/>
      <c r="AN702" s="346"/>
      <c r="AO702" s="346"/>
      <c r="AP702" s="346"/>
      <c r="AQ702" s="346"/>
      <c r="AR702" s="346"/>
      <c r="AS702" s="346"/>
      <c r="AT702" s="346"/>
      <c r="AU702" s="346"/>
      <c r="AV702">
        <f t="shared" si="88"/>
        <v>0</v>
      </c>
      <c r="AW702" s="351">
        <f t="shared" si="89"/>
        <v>0</v>
      </c>
    </row>
    <row r="703" spans="1:49" ht="15.75">
      <c r="A703" s="357"/>
      <c r="B703"/>
      <c r="C703"/>
      <c r="D703"/>
      <c r="E703"/>
      <c r="F703"/>
      <c r="G703"/>
      <c r="H703"/>
      <c r="I703"/>
      <c r="J703"/>
      <c r="K703"/>
      <c r="L703"/>
      <c r="M703"/>
      <c r="N703"/>
      <c r="O703"/>
      <c r="P703"/>
      <c r="Q703"/>
      <c r="R703" s="362"/>
      <c r="T703"/>
      <c r="U703"/>
      <c r="V703"/>
      <c r="W703"/>
      <c r="X703"/>
      <c r="Y703"/>
      <c r="Z703"/>
      <c r="AA703"/>
      <c r="AB703"/>
      <c r="AC703"/>
      <c r="AD703"/>
      <c r="AE703"/>
      <c r="AF703"/>
      <c r="AG703"/>
      <c r="AH703"/>
      <c r="AI703"/>
      <c r="AJ703"/>
      <c r="AK703"/>
      <c r="AL703"/>
      <c r="AM703"/>
      <c r="AN703"/>
      <c r="AO703"/>
      <c r="AP703"/>
      <c r="AQ703"/>
      <c r="AR703"/>
      <c r="AS703"/>
      <c r="AT703"/>
      <c r="AU703"/>
      <c r="AV703">
        <f t="shared" si="88"/>
        <v>0</v>
      </c>
      <c r="AW703" s="351">
        <f t="shared" si="89"/>
        <v>0</v>
      </c>
    </row>
    <row r="704" spans="1:49" ht="15.75">
      <c r="A704" s="357"/>
      <c r="B704" s="346"/>
      <c r="C704" s="346"/>
      <c r="D704" s="346"/>
      <c r="E704" s="346"/>
      <c r="F704" s="346"/>
      <c r="G704" s="346"/>
      <c r="H704" s="346"/>
      <c r="I704" s="346"/>
      <c r="J704" s="346"/>
      <c r="K704" s="346"/>
      <c r="L704" s="346"/>
      <c r="M704" s="346"/>
      <c r="N704" s="346"/>
      <c r="O704" s="346"/>
      <c r="P704" s="346"/>
      <c r="Q704" s="346"/>
      <c r="R704" s="346"/>
      <c r="S704" s="346"/>
      <c r="T704" s="346"/>
      <c r="U704" s="346"/>
      <c r="V704" s="346"/>
      <c r="W704" s="346"/>
      <c r="X704" s="346"/>
      <c r="Y704" s="346"/>
      <c r="Z704" s="346"/>
      <c r="AA704" s="346"/>
      <c r="AB704" s="346"/>
      <c r="AC704" s="346"/>
      <c r="AD704" s="346"/>
      <c r="AE704" s="346"/>
      <c r="AF704" s="346"/>
      <c r="AG704" s="346"/>
      <c r="AH704" s="346"/>
      <c r="AI704" s="346"/>
      <c r="AJ704" s="346"/>
      <c r="AK704" s="346"/>
      <c r="AL704" s="346"/>
      <c r="AM704" s="346"/>
      <c r="AN704" s="346"/>
      <c r="AO704" s="346"/>
      <c r="AP704" s="346"/>
      <c r="AQ704" s="346"/>
      <c r="AR704" s="346"/>
      <c r="AS704" s="346"/>
      <c r="AT704" s="346"/>
      <c r="AU704" s="346"/>
      <c r="AV704">
        <f t="shared" si="86"/>
        <v>0</v>
      </c>
      <c r="AW704" s="351">
        <f t="shared" si="87"/>
        <v>0</v>
      </c>
    </row>
    <row r="705" spans="1:49" ht="15.75">
      <c r="A705" s="357"/>
      <c r="B705"/>
      <c r="C705"/>
      <c r="D705"/>
      <c r="E705"/>
      <c r="F705"/>
      <c r="G705"/>
      <c r="H705"/>
      <c r="I705"/>
      <c r="J705"/>
      <c r="K705"/>
      <c r="L705"/>
      <c r="M705"/>
      <c r="N705"/>
      <c r="O705"/>
      <c r="P705"/>
      <c r="Q705"/>
      <c r="R705"/>
      <c r="T705"/>
      <c r="U705"/>
      <c r="V705"/>
      <c r="W705"/>
      <c r="X705"/>
      <c r="Y705"/>
      <c r="Z705"/>
      <c r="AA705"/>
      <c r="AB705"/>
      <c r="AC705"/>
      <c r="AD705"/>
      <c r="AE705"/>
      <c r="AF705"/>
      <c r="AG705"/>
      <c r="AH705"/>
      <c r="AI705"/>
      <c r="AJ705"/>
      <c r="AK705"/>
      <c r="AL705"/>
      <c r="AM705"/>
      <c r="AN705"/>
      <c r="AO705"/>
      <c r="AP705"/>
      <c r="AQ705"/>
      <c r="AR705"/>
      <c r="AS705"/>
      <c r="AT705"/>
      <c r="AU705"/>
      <c r="AV705">
        <f t="shared" si="86"/>
        <v>0</v>
      </c>
      <c r="AW705" s="351">
        <f t="shared" si="87"/>
        <v>0</v>
      </c>
    </row>
    <row r="706" spans="1:49" ht="15.75">
      <c r="A706" s="357"/>
      <c r="B706" s="346"/>
      <c r="C706" s="346"/>
      <c r="D706" s="346"/>
      <c r="E706" s="346"/>
      <c r="F706" s="346"/>
      <c r="G706" s="346"/>
      <c r="H706" s="346"/>
      <c r="I706" s="346"/>
      <c r="J706" s="346"/>
      <c r="K706" s="346"/>
      <c r="L706" s="346"/>
      <c r="M706" s="346"/>
      <c r="N706" s="346"/>
      <c r="O706" s="346"/>
      <c r="P706" s="346"/>
      <c r="Q706" s="346"/>
      <c r="R706" s="346"/>
      <c r="S706" s="346"/>
      <c r="T706" s="346"/>
      <c r="U706" s="346"/>
      <c r="V706" s="346"/>
      <c r="W706" s="346"/>
      <c r="X706" s="346"/>
      <c r="Y706" s="346"/>
      <c r="Z706" s="346"/>
      <c r="AA706" s="346"/>
      <c r="AB706" s="346"/>
      <c r="AC706" s="346"/>
      <c r="AD706" s="346"/>
      <c r="AE706" s="346"/>
      <c r="AF706" s="346"/>
      <c r="AG706" s="346"/>
      <c r="AH706" s="346"/>
      <c r="AI706" s="346"/>
      <c r="AJ706" s="346"/>
      <c r="AK706" s="346"/>
      <c r="AL706" s="346"/>
      <c r="AM706" s="346"/>
      <c r="AN706" s="346"/>
      <c r="AO706" s="346"/>
      <c r="AP706" s="346"/>
      <c r="AQ706" s="346"/>
      <c r="AR706" s="346"/>
      <c r="AS706" s="346"/>
      <c r="AT706" s="346"/>
      <c r="AU706" s="346"/>
      <c r="AV706">
        <f t="shared" si="86"/>
        <v>0</v>
      </c>
      <c r="AW706" s="351">
        <f t="shared" si="87"/>
        <v>0</v>
      </c>
    </row>
    <row r="707" spans="1:49" ht="15.75">
      <c r="A707" s="357"/>
      <c r="B707"/>
      <c r="C707"/>
      <c r="D707"/>
      <c r="E707"/>
      <c r="F707"/>
      <c r="G707"/>
      <c r="H707"/>
      <c r="I707"/>
      <c r="J707"/>
      <c r="K707"/>
      <c r="L707"/>
      <c r="M707"/>
      <c r="N707"/>
      <c r="O707"/>
      <c r="P707"/>
      <c r="Q707"/>
      <c r="R707"/>
      <c r="T707"/>
      <c r="U707"/>
      <c r="V707"/>
      <c r="W707"/>
      <c r="X707"/>
      <c r="Y707"/>
      <c r="Z707"/>
      <c r="AA707"/>
      <c r="AB707"/>
      <c r="AC707"/>
      <c r="AD707"/>
      <c r="AE707"/>
      <c r="AF707"/>
      <c r="AG707"/>
      <c r="AH707"/>
      <c r="AI707"/>
      <c r="AJ707"/>
      <c r="AK707"/>
      <c r="AL707"/>
      <c r="AM707"/>
      <c r="AN707"/>
      <c r="AO707"/>
      <c r="AP707"/>
      <c r="AQ707"/>
      <c r="AR707"/>
      <c r="AS707"/>
      <c r="AT707"/>
      <c r="AU707"/>
      <c r="AV707">
        <f t="shared" si="86"/>
        <v>0</v>
      </c>
      <c r="AW707" s="351">
        <f t="shared" si="87"/>
        <v>0</v>
      </c>
    </row>
    <row r="708" spans="1:49" ht="15.75">
      <c r="A708" s="357"/>
      <c r="B708" s="346"/>
      <c r="C708" s="346"/>
      <c r="D708" s="346"/>
      <c r="E708" s="346"/>
      <c r="F708" s="346"/>
      <c r="G708" s="346"/>
      <c r="H708" s="346"/>
      <c r="I708" s="346"/>
      <c r="J708" s="346"/>
      <c r="K708" s="346"/>
      <c r="L708" s="346"/>
      <c r="M708" s="346"/>
      <c r="N708" s="346"/>
      <c r="O708" s="346"/>
      <c r="P708" s="346"/>
      <c r="Q708" s="346"/>
      <c r="R708" s="346"/>
      <c r="S708" s="346"/>
      <c r="T708" s="346"/>
      <c r="U708" s="346"/>
      <c r="V708" s="346"/>
      <c r="W708" s="346"/>
      <c r="X708" s="346"/>
      <c r="Y708" s="346"/>
      <c r="Z708" s="346"/>
      <c r="AA708" s="346"/>
      <c r="AB708" s="346"/>
      <c r="AC708" s="346"/>
      <c r="AD708" s="346"/>
      <c r="AE708" s="346"/>
      <c r="AF708" s="346"/>
      <c r="AG708" s="346"/>
      <c r="AH708" s="346"/>
      <c r="AI708" s="346"/>
      <c r="AJ708" s="346"/>
      <c r="AK708" s="346"/>
      <c r="AL708" s="346"/>
      <c r="AM708" s="346"/>
      <c r="AN708" s="346"/>
      <c r="AO708" s="346"/>
      <c r="AP708" s="346"/>
      <c r="AQ708" s="346"/>
      <c r="AR708" s="346"/>
      <c r="AS708" s="346"/>
      <c r="AT708" s="346"/>
      <c r="AU708" s="346"/>
      <c r="AV708">
        <f t="shared" si="86"/>
        <v>0</v>
      </c>
      <c r="AW708" s="351">
        <f t="shared" si="87"/>
        <v>0</v>
      </c>
    </row>
    <row r="709" spans="1:49" ht="15.75">
      <c r="A709" s="357"/>
      <c r="B709"/>
      <c r="C709"/>
      <c r="D709"/>
      <c r="E709"/>
      <c r="F709"/>
      <c r="G709"/>
      <c r="H709"/>
      <c r="I709"/>
      <c r="J709"/>
      <c r="K709"/>
      <c r="L709"/>
      <c r="M709"/>
      <c r="N709"/>
      <c r="O709"/>
      <c r="P709"/>
      <c r="Q709"/>
      <c r="R709"/>
      <c r="T709"/>
      <c r="U709"/>
      <c r="V709"/>
      <c r="W709"/>
      <c r="X709"/>
      <c r="Y709"/>
      <c r="Z709"/>
      <c r="AA709"/>
      <c r="AB709"/>
      <c r="AC709"/>
      <c r="AD709" s="363"/>
      <c r="AE709"/>
      <c r="AF709"/>
      <c r="AG709"/>
      <c r="AH709"/>
      <c r="AI709"/>
      <c r="AJ709"/>
      <c r="AK709"/>
      <c r="AL709"/>
      <c r="AM709"/>
      <c r="AN709"/>
      <c r="AO709"/>
      <c r="AP709"/>
      <c r="AQ709"/>
      <c r="AR709"/>
      <c r="AS709"/>
      <c r="AT709"/>
      <c r="AU709"/>
      <c r="AV709">
        <f t="shared" si="86"/>
        <v>0</v>
      </c>
      <c r="AW709" s="351">
        <f t="shared" si="87"/>
        <v>0</v>
      </c>
    </row>
    <row r="710" spans="1:49" ht="15.75">
      <c r="A710" s="357"/>
      <c r="B710" s="346"/>
      <c r="C710" s="346"/>
      <c r="D710" s="346"/>
      <c r="E710" s="346"/>
      <c r="F710" s="346"/>
      <c r="G710" s="346" t="s">
        <v>209</v>
      </c>
      <c r="H710" s="346"/>
      <c r="I710" s="346"/>
      <c r="J710" s="346"/>
      <c r="K710" s="346"/>
      <c r="L710" s="346"/>
      <c r="M710" s="346"/>
      <c r="N710" s="346"/>
      <c r="O710" s="346"/>
      <c r="P710" s="346"/>
      <c r="Q710" s="346"/>
      <c r="R710" s="346"/>
      <c r="S710" s="346"/>
      <c r="T710" s="346"/>
      <c r="U710" s="346"/>
      <c r="V710" s="346"/>
      <c r="W710" s="346"/>
      <c r="X710" s="346"/>
      <c r="Y710" s="346"/>
      <c r="Z710" s="346"/>
      <c r="AA710" s="346"/>
      <c r="AB710" s="346"/>
      <c r="AC710" s="346"/>
      <c r="AD710" s="353"/>
      <c r="AE710" s="346"/>
      <c r="AF710" s="346"/>
      <c r="AG710" s="346"/>
      <c r="AH710" s="346"/>
      <c r="AI710" s="346"/>
      <c r="AJ710" s="346"/>
      <c r="AK710" s="346"/>
      <c r="AL710" s="346"/>
      <c r="AM710" s="346"/>
      <c r="AN710" s="346"/>
      <c r="AO710" s="346"/>
      <c r="AP710" s="346"/>
      <c r="AQ710" s="346"/>
      <c r="AR710" s="346"/>
      <c r="AS710" s="346"/>
      <c r="AT710" s="346"/>
      <c r="AU710" s="346"/>
      <c r="AV710">
        <f t="shared" ref="AV710:AV732" si="90">SUM(B710:AU710)</f>
        <v>0</v>
      </c>
      <c r="AW710" s="351">
        <f t="shared" si="87"/>
        <v>0</v>
      </c>
    </row>
    <row r="711" spans="1:49" ht="15.75">
      <c r="A711" s="357"/>
      <c r="B711"/>
      <c r="C711"/>
      <c r="D711"/>
      <c r="E711"/>
      <c r="F711"/>
      <c r="G711"/>
      <c r="H711"/>
      <c r="I711"/>
      <c r="J711"/>
      <c r="K711"/>
      <c r="L711"/>
      <c r="M711"/>
      <c r="O711"/>
      <c r="P711"/>
      <c r="Q711"/>
      <c r="R711"/>
      <c r="T711"/>
      <c r="U711"/>
      <c r="V711"/>
      <c r="W711"/>
      <c r="X711"/>
      <c r="Y711"/>
      <c r="Z711"/>
      <c r="AA711"/>
      <c r="AB711"/>
      <c r="AC711"/>
      <c r="AD711"/>
      <c r="AE711"/>
      <c r="AF711"/>
      <c r="AG711"/>
      <c r="AH711"/>
      <c r="AI711"/>
      <c r="AJ711"/>
      <c r="AK711"/>
      <c r="AL711"/>
      <c r="AM711"/>
      <c r="AN711"/>
      <c r="AO711"/>
      <c r="AP711"/>
      <c r="AQ711"/>
      <c r="AR711"/>
      <c r="AS711"/>
      <c r="AT711"/>
      <c r="AU711"/>
      <c r="AV711">
        <f t="shared" si="90"/>
        <v>0</v>
      </c>
      <c r="AW711" s="351">
        <f t="shared" si="87"/>
        <v>0</v>
      </c>
    </row>
    <row r="712" spans="1:49" ht="15.75">
      <c r="A712" s="357"/>
      <c r="B712" s="346"/>
      <c r="C712" s="346"/>
      <c r="D712" s="346"/>
      <c r="E712" s="346"/>
      <c r="F712" s="346"/>
      <c r="G712" s="346"/>
      <c r="H712" s="346"/>
      <c r="I712" s="346"/>
      <c r="J712" s="346"/>
      <c r="K712" s="346"/>
      <c r="L712" s="346"/>
      <c r="M712" s="346"/>
      <c r="N712" s="346"/>
      <c r="O712" s="346"/>
      <c r="P712" s="346"/>
      <c r="Q712" s="346"/>
      <c r="R712" s="346"/>
      <c r="S712" s="346"/>
      <c r="T712" s="346"/>
      <c r="U712" s="346"/>
      <c r="V712" s="346"/>
      <c r="W712" s="346"/>
      <c r="X712" s="346"/>
      <c r="Y712" s="346"/>
      <c r="Z712" s="346"/>
      <c r="AA712" s="346"/>
      <c r="AB712" s="346"/>
      <c r="AC712" s="346"/>
      <c r="AD712" s="346"/>
      <c r="AE712" s="346"/>
      <c r="AF712" s="346"/>
      <c r="AG712" s="346"/>
      <c r="AH712" s="346"/>
      <c r="AI712" s="346"/>
      <c r="AJ712" s="346"/>
      <c r="AK712" s="346"/>
      <c r="AL712" s="346"/>
      <c r="AM712" s="346"/>
      <c r="AN712" s="346"/>
      <c r="AO712" s="346"/>
      <c r="AP712" s="346"/>
      <c r="AQ712" s="346"/>
      <c r="AR712" s="346"/>
      <c r="AS712" s="346"/>
      <c r="AT712" s="346"/>
      <c r="AU712" s="346"/>
      <c r="AV712">
        <f t="shared" si="90"/>
        <v>0</v>
      </c>
      <c r="AW712" s="351">
        <f t="shared" si="87"/>
        <v>0</v>
      </c>
    </row>
    <row r="713" spans="1:49" ht="15.75">
      <c r="A713" s="357"/>
      <c r="B713"/>
      <c r="C713"/>
      <c r="D713"/>
      <c r="E713"/>
      <c r="F713"/>
      <c r="G713"/>
      <c r="H713"/>
      <c r="I713"/>
      <c r="J713"/>
      <c r="K713"/>
      <c r="L713"/>
      <c r="M713"/>
      <c r="N713"/>
      <c r="O713"/>
      <c r="P713"/>
      <c r="Q713"/>
      <c r="R713"/>
      <c r="T713"/>
      <c r="U713"/>
      <c r="V713"/>
      <c r="W713"/>
      <c r="X713"/>
      <c r="Y713"/>
      <c r="Z713"/>
      <c r="AA713"/>
      <c r="AB713"/>
      <c r="AC713"/>
      <c r="AD713"/>
      <c r="AE713"/>
      <c r="AF713"/>
      <c r="AG713"/>
      <c r="AH713"/>
      <c r="AI713"/>
      <c r="AJ713"/>
      <c r="AK713"/>
      <c r="AL713"/>
      <c r="AM713"/>
      <c r="AN713"/>
      <c r="AO713"/>
      <c r="AP713"/>
      <c r="AQ713"/>
      <c r="AR713"/>
      <c r="AS713"/>
      <c r="AT713"/>
      <c r="AU713"/>
      <c r="AV713">
        <f t="shared" si="90"/>
        <v>0</v>
      </c>
      <c r="AW713" s="351">
        <f t="shared" si="87"/>
        <v>0</v>
      </c>
    </row>
    <row r="714" spans="1:49" ht="15.75">
      <c r="A714" s="357"/>
      <c r="B714" s="346"/>
      <c r="C714" s="346"/>
      <c r="D714" s="346"/>
      <c r="E714" s="346"/>
      <c r="F714" s="346"/>
      <c r="G714" s="346"/>
      <c r="H714" s="346"/>
      <c r="I714" s="346"/>
      <c r="J714" s="346"/>
      <c r="K714" s="346"/>
      <c r="L714" s="346"/>
      <c r="M714" s="346"/>
      <c r="N714" s="346"/>
      <c r="O714" s="346"/>
      <c r="P714" s="346"/>
      <c r="Q714" s="346"/>
      <c r="R714" s="346"/>
      <c r="S714" s="346"/>
      <c r="T714" s="346"/>
      <c r="U714" s="346"/>
      <c r="V714" s="346"/>
      <c r="W714" s="346"/>
      <c r="X714" s="346"/>
      <c r="Y714" s="346"/>
      <c r="Z714" s="346"/>
      <c r="AA714" s="346"/>
      <c r="AB714" s="346"/>
      <c r="AC714" s="346"/>
      <c r="AD714" s="346"/>
      <c r="AE714" s="346"/>
      <c r="AF714" s="346"/>
      <c r="AG714" s="346"/>
      <c r="AH714" s="346"/>
      <c r="AI714" s="346"/>
      <c r="AJ714" s="346"/>
      <c r="AK714" s="346"/>
      <c r="AL714" s="346"/>
      <c r="AM714" s="346"/>
      <c r="AN714" s="346"/>
      <c r="AO714" s="346"/>
      <c r="AP714" s="346"/>
      <c r="AQ714" s="346"/>
      <c r="AR714" s="346"/>
      <c r="AS714" s="346"/>
      <c r="AT714" s="346"/>
      <c r="AU714" s="346"/>
      <c r="AV714">
        <f t="shared" si="90"/>
        <v>0</v>
      </c>
      <c r="AW714" s="351">
        <f t="shared" si="87"/>
        <v>0</v>
      </c>
    </row>
    <row r="715" spans="1:49" ht="15.75">
      <c r="A715" s="357"/>
      <c r="B715"/>
      <c r="C715"/>
      <c r="D715"/>
      <c r="E715"/>
      <c r="F715"/>
      <c r="G715"/>
      <c r="H715"/>
      <c r="I715"/>
      <c r="J715"/>
      <c r="K715"/>
      <c r="L715"/>
      <c r="M715"/>
      <c r="N715"/>
      <c r="O715"/>
      <c r="P715"/>
      <c r="Q715"/>
      <c r="R715"/>
      <c r="S715"/>
      <c r="T715"/>
      <c r="U715"/>
      <c r="V715"/>
      <c r="W715"/>
      <c r="X715"/>
      <c r="Y715"/>
      <c r="Z715"/>
      <c r="AA715"/>
      <c r="AB715"/>
      <c r="AC715"/>
      <c r="AD715"/>
      <c r="AE715"/>
      <c r="AF715"/>
      <c r="AG715"/>
      <c r="AH715"/>
      <c r="AI715"/>
      <c r="AJ715"/>
      <c r="AK715"/>
      <c r="AL715"/>
      <c r="AM715"/>
      <c r="AN715"/>
      <c r="AO715"/>
      <c r="AP715"/>
      <c r="AQ715"/>
      <c r="AR715"/>
      <c r="AS715"/>
      <c r="AT715"/>
      <c r="AU715"/>
      <c r="AV715">
        <f t="shared" si="90"/>
        <v>0</v>
      </c>
      <c r="AW715" s="351">
        <f t="shared" si="87"/>
        <v>0</v>
      </c>
    </row>
    <row r="716" spans="1:49" ht="15.75">
      <c r="A716" s="357"/>
      <c r="B716" s="346"/>
      <c r="C716" s="346"/>
      <c r="D716" s="346"/>
      <c r="E716" s="346"/>
      <c r="F716" s="346"/>
      <c r="G716" s="346"/>
      <c r="H716" s="346"/>
      <c r="I716" s="346"/>
      <c r="J716" s="346"/>
      <c r="K716" s="346"/>
      <c r="L716" s="346"/>
      <c r="M716" s="346"/>
      <c r="N716" s="346"/>
      <c r="O716" s="346"/>
      <c r="P716" s="346"/>
      <c r="Q716" s="346"/>
      <c r="R716" s="346"/>
      <c r="S716" s="346"/>
      <c r="T716" s="346"/>
      <c r="U716" s="346"/>
      <c r="V716" s="346"/>
      <c r="W716" s="346"/>
      <c r="X716" s="346"/>
      <c r="Y716" s="346"/>
      <c r="Z716" s="346"/>
      <c r="AA716" s="346"/>
      <c r="AB716" s="346"/>
      <c r="AC716" s="346"/>
      <c r="AD716" s="346"/>
      <c r="AE716" s="346"/>
      <c r="AF716" s="346"/>
      <c r="AG716" s="346"/>
      <c r="AH716" s="346"/>
      <c r="AI716" s="346"/>
      <c r="AJ716" s="346"/>
      <c r="AK716" s="346"/>
      <c r="AL716" s="346"/>
      <c r="AM716" s="346"/>
      <c r="AN716" s="346"/>
      <c r="AO716" s="346"/>
      <c r="AP716" s="346"/>
      <c r="AQ716" s="346"/>
      <c r="AR716" s="346"/>
      <c r="AS716" s="346"/>
      <c r="AT716" s="346"/>
      <c r="AU716" s="346"/>
      <c r="AV716">
        <f t="shared" si="90"/>
        <v>0</v>
      </c>
      <c r="AW716" s="351">
        <f t="shared" si="87"/>
        <v>0</v>
      </c>
    </row>
    <row r="717" spans="1:49" ht="15.75">
      <c r="A717" s="357"/>
      <c r="B717"/>
      <c r="C717"/>
      <c r="D717"/>
      <c r="E717"/>
      <c r="F717"/>
      <c r="G717"/>
      <c r="H717"/>
      <c r="I717"/>
      <c r="J717"/>
      <c r="K717"/>
      <c r="L717"/>
      <c r="M717"/>
      <c r="N717"/>
      <c r="O717"/>
      <c r="P717"/>
      <c r="Q717"/>
      <c r="R717"/>
      <c r="S717"/>
      <c r="T717"/>
      <c r="U717"/>
      <c r="V717"/>
      <c r="W717"/>
      <c r="X717"/>
      <c r="Y717"/>
      <c r="Z717"/>
      <c r="AA717"/>
      <c r="AB717"/>
      <c r="AC717"/>
      <c r="AD717"/>
      <c r="AE717"/>
      <c r="AF717"/>
      <c r="AG717"/>
      <c r="AH717"/>
      <c r="AI717"/>
      <c r="AJ717"/>
      <c r="AK717"/>
      <c r="AL717"/>
      <c r="AM717"/>
      <c r="AN717"/>
      <c r="AO717"/>
      <c r="AP717"/>
      <c r="AQ717"/>
      <c r="AR717"/>
      <c r="AS717"/>
      <c r="AT717"/>
      <c r="AU717"/>
      <c r="AV717">
        <f t="shared" si="90"/>
        <v>0</v>
      </c>
      <c r="AW717" s="351">
        <f t="shared" si="87"/>
        <v>0</v>
      </c>
    </row>
    <row r="718" spans="1:49" ht="15.75">
      <c r="A718" s="357"/>
      <c r="B718" s="346"/>
      <c r="C718" s="346"/>
      <c r="D718" s="346"/>
      <c r="E718" s="346"/>
      <c r="F718" s="346"/>
      <c r="G718" s="346"/>
      <c r="H718" s="346"/>
      <c r="I718" s="346"/>
      <c r="J718" s="346"/>
      <c r="K718" s="346"/>
      <c r="L718" s="346"/>
      <c r="M718" s="346"/>
      <c r="N718" s="346"/>
      <c r="O718" s="346"/>
      <c r="P718" s="346"/>
      <c r="Q718" s="346"/>
      <c r="R718" s="346"/>
      <c r="S718" s="346"/>
      <c r="T718" s="346"/>
      <c r="U718" s="346"/>
      <c r="V718" s="346"/>
      <c r="W718" s="346"/>
      <c r="X718" s="346"/>
      <c r="Y718" s="346"/>
      <c r="Z718" s="346"/>
      <c r="AA718" s="346"/>
      <c r="AB718" s="346"/>
      <c r="AC718" s="346"/>
      <c r="AD718" s="346"/>
      <c r="AE718" s="346"/>
      <c r="AF718" s="346"/>
      <c r="AG718" s="346"/>
      <c r="AH718" s="346"/>
      <c r="AI718" s="346"/>
      <c r="AJ718" s="346"/>
      <c r="AK718" s="346"/>
      <c r="AL718" s="346"/>
      <c r="AM718" s="346"/>
      <c r="AN718" s="346"/>
      <c r="AO718" s="346"/>
      <c r="AP718" s="346"/>
      <c r="AQ718" s="346"/>
      <c r="AR718" s="346"/>
      <c r="AS718" s="346"/>
      <c r="AT718" s="346"/>
      <c r="AU718" s="346"/>
      <c r="AV718">
        <f t="shared" si="90"/>
        <v>0</v>
      </c>
      <c r="AW718" s="351">
        <f t="shared" si="87"/>
        <v>0</v>
      </c>
    </row>
    <row r="719" spans="1:49" ht="15.75">
      <c r="A719" s="357"/>
      <c r="B719"/>
      <c r="C719"/>
      <c r="D719"/>
      <c r="E719"/>
      <c r="F719"/>
      <c r="G719"/>
      <c r="H719"/>
      <c r="I719"/>
      <c r="J719"/>
      <c r="K719"/>
      <c r="L719"/>
      <c r="M719"/>
      <c r="N719"/>
      <c r="O719"/>
      <c r="P719"/>
      <c r="Q719"/>
      <c r="R719"/>
      <c r="S719"/>
      <c r="T719"/>
      <c r="U719"/>
      <c r="V719"/>
      <c r="W719"/>
      <c r="X719"/>
      <c r="Y719"/>
      <c r="Z719"/>
      <c r="AA719"/>
      <c r="AB719"/>
      <c r="AC719"/>
      <c r="AD719"/>
      <c r="AE719"/>
      <c r="AF719"/>
      <c r="AG719"/>
      <c r="AH719"/>
      <c r="AI719"/>
      <c r="AJ719"/>
      <c r="AK719"/>
      <c r="AL719"/>
      <c r="AM719"/>
      <c r="AN719"/>
      <c r="AO719"/>
      <c r="AP719"/>
      <c r="AQ719"/>
      <c r="AR719"/>
      <c r="AS719"/>
      <c r="AT719"/>
      <c r="AU719"/>
      <c r="AV719">
        <f t="shared" si="90"/>
        <v>0</v>
      </c>
      <c r="AW719" s="351">
        <f t="shared" si="87"/>
        <v>0</v>
      </c>
    </row>
    <row r="720" spans="1:49" ht="15.75">
      <c r="A720" s="357"/>
      <c r="B720" s="346"/>
      <c r="C720" s="346"/>
      <c r="D720" s="346"/>
      <c r="E720" s="346"/>
      <c r="F720" s="346"/>
      <c r="G720" s="346"/>
      <c r="H720" s="346"/>
      <c r="I720" s="346"/>
      <c r="J720" s="346"/>
      <c r="K720" s="346"/>
      <c r="L720" s="346"/>
      <c r="M720" s="346"/>
      <c r="N720" s="346"/>
      <c r="O720" s="346"/>
      <c r="P720" s="346"/>
      <c r="Q720" s="346"/>
      <c r="R720" s="346"/>
      <c r="S720" s="346"/>
      <c r="T720" s="346"/>
      <c r="U720" s="346"/>
      <c r="V720" s="346"/>
      <c r="W720" s="346"/>
      <c r="X720" s="346"/>
      <c r="Y720" s="346"/>
      <c r="Z720" s="346"/>
      <c r="AA720" s="346"/>
      <c r="AB720" s="346"/>
      <c r="AC720" s="346"/>
      <c r="AD720" s="346"/>
      <c r="AE720" s="346"/>
      <c r="AF720" s="346"/>
      <c r="AG720" s="346"/>
      <c r="AH720" s="346"/>
      <c r="AI720" s="346"/>
      <c r="AJ720" s="346"/>
      <c r="AK720" s="346"/>
      <c r="AL720" s="346"/>
      <c r="AM720" s="346"/>
      <c r="AN720" s="346"/>
      <c r="AO720" s="346"/>
      <c r="AP720" s="346"/>
      <c r="AQ720" s="346"/>
      <c r="AR720" s="346"/>
      <c r="AS720" s="346"/>
      <c r="AT720" s="346"/>
      <c r="AU720" s="346"/>
      <c r="AV720">
        <f t="shared" si="90"/>
        <v>0</v>
      </c>
      <c r="AW720" s="351">
        <f t="shared" si="87"/>
        <v>0</v>
      </c>
    </row>
    <row r="721" spans="1:49" ht="15.75">
      <c r="A721" s="357"/>
      <c r="B721"/>
      <c r="C721"/>
      <c r="D721"/>
      <c r="E721"/>
      <c r="F721"/>
      <c r="G721"/>
      <c r="H721"/>
      <c r="I721"/>
      <c r="J721"/>
      <c r="K721"/>
      <c r="L721"/>
      <c r="M721"/>
      <c r="N721"/>
      <c r="O721"/>
      <c r="P721"/>
      <c r="Q721"/>
      <c r="R721"/>
      <c r="S721"/>
      <c r="T721"/>
      <c r="U721"/>
      <c r="V721"/>
      <c r="W721"/>
      <c r="X721"/>
      <c r="Y721"/>
      <c r="Z721"/>
      <c r="AA721"/>
      <c r="AB721"/>
      <c r="AC721"/>
      <c r="AD721"/>
      <c r="AE721"/>
      <c r="AF721"/>
      <c r="AG721"/>
      <c r="AH721"/>
      <c r="AI721"/>
      <c r="AJ721"/>
      <c r="AK721"/>
      <c r="AL721"/>
      <c r="AM721"/>
      <c r="AN721"/>
      <c r="AO721"/>
      <c r="AP721"/>
      <c r="AQ721"/>
      <c r="AR721"/>
      <c r="AS721"/>
      <c r="AT721"/>
      <c r="AU721"/>
      <c r="AV721">
        <f t="shared" si="90"/>
        <v>0</v>
      </c>
      <c r="AW721" s="351">
        <f t="shared" si="87"/>
        <v>0</v>
      </c>
    </row>
    <row r="722" spans="1:49" ht="15.75">
      <c r="A722" s="357"/>
      <c r="B722" s="346"/>
      <c r="C722" s="346"/>
      <c r="D722" s="346"/>
      <c r="E722" s="346"/>
      <c r="F722" s="346"/>
      <c r="G722" s="346"/>
      <c r="H722" s="346"/>
      <c r="I722" s="346"/>
      <c r="J722" s="346"/>
      <c r="K722" s="346"/>
      <c r="L722" s="346"/>
      <c r="M722" s="346"/>
      <c r="N722" s="346"/>
      <c r="O722" s="346"/>
      <c r="P722" s="346"/>
      <c r="Q722" s="346"/>
      <c r="R722" s="346"/>
      <c r="S722" s="346"/>
      <c r="T722" s="346"/>
      <c r="U722" s="346"/>
      <c r="V722" s="346"/>
      <c r="W722" s="346"/>
      <c r="X722" s="346"/>
      <c r="Y722" s="346"/>
      <c r="Z722" s="346"/>
      <c r="AA722" s="346"/>
      <c r="AB722" s="346"/>
      <c r="AC722" s="346"/>
      <c r="AD722" s="346"/>
      <c r="AE722" s="346"/>
      <c r="AF722" s="346"/>
      <c r="AG722" s="346"/>
      <c r="AH722" s="346"/>
      <c r="AI722" s="346"/>
      <c r="AJ722" s="346"/>
      <c r="AK722" s="346"/>
      <c r="AL722" s="346"/>
      <c r="AM722" s="346"/>
      <c r="AN722" s="346"/>
      <c r="AO722" s="346"/>
      <c r="AP722" s="346"/>
      <c r="AQ722" s="346"/>
      <c r="AR722" s="346"/>
      <c r="AS722" s="346"/>
      <c r="AT722" s="346"/>
      <c r="AU722" s="346"/>
      <c r="AV722">
        <f t="shared" si="90"/>
        <v>0</v>
      </c>
      <c r="AW722" s="351">
        <f t="shared" si="87"/>
        <v>0</v>
      </c>
    </row>
    <row r="723" spans="1:49" ht="15.75">
      <c r="A723" s="357"/>
      <c r="B723"/>
      <c r="C723"/>
      <c r="D723"/>
      <c r="E723"/>
      <c r="F723"/>
      <c r="G723"/>
      <c r="H723"/>
      <c r="I723"/>
      <c r="J723"/>
      <c r="K723"/>
      <c r="L723"/>
      <c r="M723"/>
      <c r="N723"/>
      <c r="O723"/>
      <c r="P723"/>
      <c r="Q723"/>
      <c r="R723"/>
      <c r="S723"/>
      <c r="T723"/>
      <c r="U723"/>
      <c r="V723"/>
      <c r="W723"/>
      <c r="X723"/>
      <c r="Y723"/>
      <c r="Z723"/>
      <c r="AA723"/>
      <c r="AB723"/>
      <c r="AC723"/>
      <c r="AD723"/>
      <c r="AE723"/>
      <c r="AF723"/>
      <c r="AG723"/>
      <c r="AH723"/>
      <c r="AI723"/>
      <c r="AJ723"/>
      <c r="AK723"/>
      <c r="AL723"/>
      <c r="AM723"/>
      <c r="AN723"/>
      <c r="AO723"/>
      <c r="AP723"/>
      <c r="AQ723"/>
      <c r="AR723"/>
      <c r="AS723"/>
      <c r="AT723"/>
      <c r="AU723"/>
      <c r="AV723">
        <f t="shared" si="90"/>
        <v>0</v>
      </c>
      <c r="AW723" s="351">
        <f t="shared" si="87"/>
        <v>0</v>
      </c>
    </row>
    <row r="724" spans="1:49" ht="15.75">
      <c r="A724" s="357"/>
      <c r="B724" s="346"/>
      <c r="C724" s="346"/>
      <c r="D724" s="346"/>
      <c r="E724" s="346"/>
      <c r="F724" s="346"/>
      <c r="G724" s="346"/>
      <c r="H724" s="346"/>
      <c r="I724" s="346"/>
      <c r="J724" s="346"/>
      <c r="K724" s="346"/>
      <c r="L724" s="346"/>
      <c r="M724" s="346"/>
      <c r="N724" s="346"/>
      <c r="O724" s="346"/>
      <c r="P724" s="346"/>
      <c r="Q724" s="346"/>
      <c r="R724" s="346"/>
      <c r="S724" s="346"/>
      <c r="T724" s="346"/>
      <c r="U724" s="346"/>
      <c r="V724" s="346"/>
      <c r="W724" s="346"/>
      <c r="X724" s="346"/>
      <c r="Y724" s="346"/>
      <c r="Z724" s="346"/>
      <c r="AA724" s="346"/>
      <c r="AB724" s="346"/>
      <c r="AC724" s="346"/>
      <c r="AD724" s="346"/>
      <c r="AE724" s="346"/>
      <c r="AF724" s="346"/>
      <c r="AG724" s="346"/>
      <c r="AH724" s="346"/>
      <c r="AI724" s="346"/>
      <c r="AJ724" s="346"/>
      <c r="AK724" s="346"/>
      <c r="AL724" s="346"/>
      <c r="AM724" s="346"/>
      <c r="AN724" s="346"/>
      <c r="AO724" s="346"/>
      <c r="AP724" s="346"/>
      <c r="AQ724" s="346"/>
      <c r="AR724" s="346"/>
      <c r="AS724" s="346"/>
      <c r="AT724" s="346"/>
      <c r="AU724" s="346"/>
      <c r="AV724">
        <f t="shared" si="90"/>
        <v>0</v>
      </c>
      <c r="AW724" s="351">
        <f t="shared" si="87"/>
        <v>0</v>
      </c>
    </row>
    <row r="725" spans="1:49" ht="15.75">
      <c r="A725" s="357"/>
      <c r="B725"/>
      <c r="C725"/>
      <c r="D725"/>
      <c r="E725"/>
      <c r="F725"/>
      <c r="G725"/>
      <c r="H725"/>
      <c r="I725"/>
      <c r="J725"/>
      <c r="K725"/>
      <c r="L725"/>
      <c r="M725"/>
      <c r="N725"/>
      <c r="O725"/>
      <c r="P725"/>
      <c r="Q725"/>
      <c r="R725"/>
      <c r="S725"/>
      <c r="T725"/>
      <c r="U725"/>
      <c r="V725"/>
      <c r="W725"/>
      <c r="X725"/>
      <c r="Y725"/>
      <c r="Z725"/>
      <c r="AA725"/>
      <c r="AB725"/>
      <c r="AC725"/>
      <c r="AD725"/>
      <c r="AE725"/>
      <c r="AF725"/>
      <c r="AG725"/>
      <c r="AH725"/>
      <c r="AI725"/>
      <c r="AJ725"/>
      <c r="AK725"/>
      <c r="AL725"/>
      <c r="AM725"/>
      <c r="AN725"/>
      <c r="AO725"/>
      <c r="AP725"/>
      <c r="AQ725"/>
      <c r="AR725"/>
      <c r="AS725"/>
      <c r="AT725"/>
      <c r="AU725"/>
      <c r="AV725">
        <f t="shared" si="90"/>
        <v>0</v>
      </c>
      <c r="AW725" s="351">
        <f t="shared" si="87"/>
        <v>0</v>
      </c>
    </row>
    <row r="726" spans="1:49" ht="18.75" customHeight="1">
      <c r="A726" s="357"/>
      <c r="B726" s="346"/>
      <c r="C726" s="346"/>
      <c r="D726" s="346"/>
      <c r="E726" s="346"/>
      <c r="F726" s="346"/>
      <c r="G726" s="346"/>
      <c r="H726" s="346"/>
      <c r="I726" s="346"/>
      <c r="J726" s="346"/>
      <c r="K726" s="346"/>
      <c r="L726" s="346"/>
      <c r="M726" s="346"/>
      <c r="N726" s="346"/>
      <c r="O726" s="346"/>
      <c r="P726" s="346"/>
      <c r="Q726" s="346"/>
      <c r="R726" s="346"/>
      <c r="S726" s="346"/>
      <c r="T726" s="346"/>
      <c r="U726" s="346"/>
      <c r="V726" s="346"/>
      <c r="W726" s="346"/>
      <c r="X726" s="346"/>
      <c r="Y726" s="346"/>
      <c r="Z726" s="346"/>
      <c r="AA726" s="346"/>
      <c r="AB726" s="346"/>
      <c r="AC726" s="346"/>
      <c r="AD726" s="346"/>
      <c r="AE726" s="346"/>
      <c r="AF726" s="346"/>
      <c r="AG726" s="346"/>
      <c r="AH726" s="346"/>
      <c r="AI726" s="346"/>
      <c r="AJ726" s="346"/>
      <c r="AK726" s="346"/>
      <c r="AL726" s="346"/>
      <c r="AM726" s="346"/>
      <c r="AN726" s="346"/>
      <c r="AO726" s="346"/>
      <c r="AP726" s="346"/>
      <c r="AQ726" s="346"/>
      <c r="AR726" s="346"/>
      <c r="AS726" s="346"/>
      <c r="AT726" s="346"/>
      <c r="AU726" s="346"/>
      <c r="AV726">
        <f t="shared" si="90"/>
        <v>0</v>
      </c>
      <c r="AW726" s="351">
        <f t="shared" si="87"/>
        <v>0</v>
      </c>
    </row>
    <row r="727" spans="1:49" ht="18.75" customHeight="1">
      <c r="A727" s="357"/>
      <c r="B727"/>
      <c r="C727"/>
      <c r="D727"/>
      <c r="E727"/>
      <c r="F727"/>
      <c r="G727"/>
      <c r="H727"/>
      <c r="I727"/>
      <c r="J727"/>
      <c r="K727"/>
      <c r="L727"/>
      <c r="M727"/>
      <c r="N727"/>
      <c r="O727"/>
      <c r="P727"/>
      <c r="Q727"/>
      <c r="R727"/>
      <c r="S727"/>
      <c r="T727"/>
      <c r="U727"/>
      <c r="V727"/>
      <c r="W727"/>
      <c r="X727"/>
      <c r="Y727"/>
      <c r="Z727"/>
      <c r="AA727"/>
      <c r="AB727"/>
      <c r="AC727"/>
      <c r="AD727"/>
      <c r="AE727"/>
      <c r="AF727"/>
      <c r="AG727"/>
      <c r="AH727"/>
      <c r="AI727"/>
      <c r="AJ727"/>
      <c r="AK727"/>
      <c r="AL727"/>
      <c r="AM727"/>
      <c r="AN727"/>
      <c r="AO727"/>
      <c r="AP727"/>
      <c r="AQ727"/>
      <c r="AR727"/>
      <c r="AS727"/>
      <c r="AT727"/>
      <c r="AU727"/>
      <c r="AV727">
        <f t="shared" si="90"/>
        <v>0</v>
      </c>
      <c r="AW727" s="351">
        <f t="shared" si="87"/>
        <v>0</v>
      </c>
    </row>
    <row r="728" spans="1:49" ht="15.75">
      <c r="A728" s="357"/>
      <c r="B728" s="346"/>
      <c r="C728" s="346"/>
      <c r="D728" s="346"/>
      <c r="E728" s="346"/>
      <c r="F728" s="346"/>
      <c r="G728" s="346"/>
      <c r="H728" s="346"/>
      <c r="I728" s="346"/>
      <c r="J728" s="346"/>
      <c r="K728" s="346"/>
      <c r="L728" s="346"/>
      <c r="M728" s="346"/>
      <c r="N728" s="346"/>
      <c r="O728" s="346"/>
      <c r="P728" s="346"/>
      <c r="Q728" s="346"/>
      <c r="R728" s="346"/>
      <c r="S728" s="346"/>
      <c r="T728" s="346"/>
      <c r="U728" s="346"/>
      <c r="V728" s="346"/>
      <c r="W728" s="346"/>
      <c r="X728" s="346"/>
      <c r="Y728" s="346"/>
      <c r="Z728" s="346"/>
      <c r="AA728" s="346"/>
      <c r="AB728" s="346"/>
      <c r="AC728" s="346"/>
      <c r="AD728" s="346"/>
      <c r="AE728" s="346"/>
      <c r="AF728" s="346"/>
      <c r="AG728" s="346"/>
      <c r="AH728" s="346"/>
      <c r="AI728" s="346"/>
      <c r="AJ728" s="346"/>
      <c r="AK728" s="346"/>
      <c r="AL728" s="346"/>
      <c r="AM728" s="346"/>
      <c r="AN728" s="346"/>
      <c r="AO728" s="346"/>
      <c r="AP728" s="346"/>
      <c r="AQ728" s="346"/>
      <c r="AR728" s="346"/>
      <c r="AS728" s="346"/>
      <c r="AT728" s="346"/>
      <c r="AU728" s="346"/>
      <c r="AV728">
        <f t="shared" si="90"/>
        <v>0</v>
      </c>
      <c r="AW728" s="351">
        <f t="shared" si="87"/>
        <v>0</v>
      </c>
    </row>
    <row r="729" spans="1:49" ht="15.75">
      <c r="A729" s="357"/>
      <c r="B729"/>
      <c r="C729"/>
      <c r="D729"/>
      <c r="E729"/>
      <c r="F729"/>
      <c r="G729"/>
      <c r="H729"/>
      <c r="I729"/>
      <c r="J729"/>
      <c r="K729"/>
      <c r="L729"/>
      <c r="M729"/>
      <c r="N729"/>
      <c r="O729"/>
      <c r="P729"/>
      <c r="Q729"/>
      <c r="R729"/>
      <c r="S729"/>
      <c r="T729"/>
      <c r="U729"/>
      <c r="V729"/>
      <c r="W729"/>
      <c r="X729"/>
      <c r="Y729"/>
      <c r="Z729"/>
      <c r="AA729"/>
      <c r="AB729"/>
      <c r="AC729"/>
      <c r="AD729"/>
      <c r="AE729"/>
      <c r="AF729"/>
      <c r="AG729"/>
      <c r="AH729"/>
      <c r="AI729"/>
      <c r="AJ729"/>
      <c r="AK729"/>
      <c r="AL729"/>
      <c r="AM729"/>
      <c r="AN729"/>
      <c r="AO729"/>
      <c r="AP729"/>
      <c r="AQ729"/>
      <c r="AR729"/>
      <c r="AS729"/>
      <c r="AT729"/>
      <c r="AU729"/>
      <c r="AV729">
        <f t="shared" si="90"/>
        <v>0</v>
      </c>
      <c r="AW729" s="351">
        <f t="shared" si="87"/>
        <v>0</v>
      </c>
    </row>
    <row r="730" spans="1:49" ht="15.75">
      <c r="A730" s="357"/>
      <c r="B730" s="346"/>
      <c r="C730" s="346"/>
      <c r="D730" s="346"/>
      <c r="E730" s="346"/>
      <c r="F730" s="346"/>
      <c r="G730" s="346"/>
      <c r="H730" s="346"/>
      <c r="I730" s="346"/>
      <c r="J730" s="346"/>
      <c r="K730" s="346"/>
      <c r="L730" s="346"/>
      <c r="M730" s="346"/>
      <c r="N730" s="346"/>
      <c r="O730" s="346"/>
      <c r="P730" s="346"/>
      <c r="Q730" s="346"/>
      <c r="R730" s="346"/>
      <c r="S730" s="346"/>
      <c r="T730" s="346"/>
      <c r="U730" s="346"/>
      <c r="V730" s="346"/>
      <c r="W730" s="346"/>
      <c r="X730" s="346"/>
      <c r="Y730" s="346"/>
      <c r="Z730" s="346"/>
      <c r="AA730" s="346"/>
      <c r="AB730" s="346"/>
      <c r="AC730" s="346"/>
      <c r="AD730" s="346"/>
      <c r="AE730" s="346"/>
      <c r="AF730" s="346"/>
      <c r="AG730" s="346"/>
      <c r="AH730" s="346"/>
      <c r="AI730" s="346"/>
      <c r="AJ730" s="346"/>
      <c r="AK730" s="346"/>
      <c r="AL730" s="346"/>
      <c r="AM730" s="346"/>
      <c r="AN730" s="346"/>
      <c r="AO730" s="346"/>
      <c r="AP730" s="346"/>
      <c r="AQ730" s="346"/>
      <c r="AR730" s="346"/>
      <c r="AS730" s="346"/>
      <c r="AT730" s="346"/>
      <c r="AU730" s="346"/>
      <c r="AV730">
        <f t="shared" si="90"/>
        <v>0</v>
      </c>
      <c r="AW730" s="351">
        <f t="shared" si="87"/>
        <v>0</v>
      </c>
    </row>
    <row r="731" spans="1:49" ht="15.75">
      <c r="A731" s="357"/>
      <c r="B731"/>
      <c r="C731"/>
      <c r="D731"/>
      <c r="E731"/>
      <c r="F731"/>
      <c r="G731"/>
      <c r="H731"/>
      <c r="I731"/>
      <c r="J731"/>
      <c r="K731"/>
      <c r="L731"/>
      <c r="M731"/>
      <c r="N731"/>
      <c r="O731"/>
      <c r="P731"/>
      <c r="Q731"/>
      <c r="R731"/>
      <c r="S731"/>
      <c r="T731"/>
      <c r="U731"/>
      <c r="V731"/>
      <c r="W731"/>
      <c r="X731"/>
      <c r="Y731"/>
      <c r="Z731"/>
      <c r="AA731"/>
      <c r="AB731"/>
      <c r="AC731"/>
      <c r="AD731"/>
      <c r="AE731"/>
      <c r="AF731"/>
      <c r="AG731"/>
      <c r="AH731"/>
      <c r="AI731"/>
      <c r="AJ731"/>
      <c r="AK731"/>
      <c r="AL731"/>
      <c r="AM731"/>
      <c r="AN731"/>
      <c r="AO731"/>
      <c r="AP731"/>
      <c r="AQ731"/>
      <c r="AR731"/>
      <c r="AS731"/>
      <c r="AT731"/>
      <c r="AU731"/>
      <c r="AV731">
        <f t="shared" si="90"/>
        <v>0</v>
      </c>
      <c r="AW731" s="351">
        <f t="shared" si="87"/>
        <v>0</v>
      </c>
    </row>
    <row r="732" spans="1:49" ht="15.75">
      <c r="A732" s="357"/>
      <c r="B732" s="346"/>
      <c r="C732" s="346"/>
      <c r="D732" s="346"/>
      <c r="E732" s="346"/>
      <c r="F732" s="346"/>
      <c r="G732" s="346"/>
      <c r="H732" s="346"/>
      <c r="I732" s="346"/>
      <c r="J732" s="346"/>
      <c r="K732" s="346"/>
      <c r="L732" s="346"/>
      <c r="M732" s="346"/>
      <c r="N732" s="346"/>
      <c r="O732" s="346"/>
      <c r="P732" s="346"/>
      <c r="Q732" s="346"/>
      <c r="R732" s="346"/>
      <c r="S732" s="346"/>
      <c r="T732" s="346"/>
      <c r="U732" s="346"/>
      <c r="V732" s="346"/>
      <c r="W732" s="346"/>
      <c r="X732" s="346"/>
      <c r="Y732" s="346"/>
      <c r="Z732" s="346"/>
      <c r="AA732" s="346"/>
      <c r="AB732" s="346"/>
      <c r="AC732" s="346"/>
      <c r="AD732" s="346"/>
      <c r="AE732" s="346"/>
      <c r="AF732" s="346"/>
      <c r="AG732" s="346"/>
      <c r="AH732" s="346"/>
      <c r="AI732" s="346"/>
      <c r="AJ732" s="346"/>
      <c r="AK732" s="346"/>
      <c r="AL732" s="346"/>
      <c r="AM732" s="346"/>
      <c r="AN732" s="346"/>
      <c r="AO732" s="346"/>
      <c r="AP732" s="346"/>
      <c r="AQ732" s="346"/>
      <c r="AR732" s="346"/>
      <c r="AS732" s="346"/>
      <c r="AT732" s="346"/>
      <c r="AU732" s="346"/>
      <c r="AV732">
        <f t="shared" si="90"/>
        <v>0</v>
      </c>
      <c r="AW732" s="351">
        <f t="shared" si="87"/>
        <v>0</v>
      </c>
    </row>
    <row r="733" spans="1:49" ht="15">
      <c r="A733" s="347" t="s">
        <v>113</v>
      </c>
      <c r="B733" s="347">
        <f>SUM(B678:B732)</f>
        <v>0</v>
      </c>
      <c r="C733" s="347">
        <f>SUM(C678:C732)</f>
        <v>0</v>
      </c>
      <c r="D733" s="347">
        <f t="shared" ref="D733:AV733" si="91">SUM(D678:D732)</f>
        <v>0</v>
      </c>
      <c r="E733" s="347">
        <f t="shared" si="91"/>
        <v>0</v>
      </c>
      <c r="F733" s="347">
        <f t="shared" si="91"/>
        <v>0</v>
      </c>
      <c r="G733" s="347">
        <f t="shared" ref="G733:AC733" si="92">SUM(G678:G732)</f>
        <v>0</v>
      </c>
      <c r="H733" s="347">
        <f t="shared" si="92"/>
        <v>0</v>
      </c>
      <c r="I733" s="347">
        <f t="shared" si="92"/>
        <v>0</v>
      </c>
      <c r="J733" s="347">
        <f t="shared" si="92"/>
        <v>0</v>
      </c>
      <c r="K733" s="347">
        <f t="shared" si="92"/>
        <v>0</v>
      </c>
      <c r="L733" s="347">
        <f t="shared" si="92"/>
        <v>0</v>
      </c>
      <c r="M733" s="347">
        <f t="shared" si="92"/>
        <v>0</v>
      </c>
      <c r="N733" s="347">
        <f t="shared" si="92"/>
        <v>0</v>
      </c>
      <c r="O733" s="347">
        <f t="shared" si="92"/>
        <v>0</v>
      </c>
      <c r="P733" s="347">
        <f t="shared" si="92"/>
        <v>0</v>
      </c>
      <c r="Q733" s="347">
        <f t="shared" si="92"/>
        <v>0</v>
      </c>
      <c r="R733" s="347">
        <f t="shared" si="92"/>
        <v>0</v>
      </c>
      <c r="S733" s="347">
        <f t="shared" si="92"/>
        <v>0</v>
      </c>
      <c r="T733" s="347">
        <f t="shared" si="92"/>
        <v>0</v>
      </c>
      <c r="U733" s="347">
        <f t="shared" si="92"/>
        <v>0</v>
      </c>
      <c r="V733" s="347">
        <f t="shared" si="92"/>
        <v>0</v>
      </c>
      <c r="W733" s="347">
        <f t="shared" si="92"/>
        <v>0</v>
      </c>
      <c r="X733" s="347">
        <f t="shared" si="92"/>
        <v>0</v>
      </c>
      <c r="Y733" s="347">
        <f t="shared" si="92"/>
        <v>0</v>
      </c>
      <c r="Z733" s="347">
        <f t="shared" si="92"/>
        <v>0</v>
      </c>
      <c r="AA733" s="347">
        <f t="shared" si="92"/>
        <v>0</v>
      </c>
      <c r="AB733" s="347">
        <f t="shared" si="92"/>
        <v>0</v>
      </c>
      <c r="AC733" s="347">
        <f t="shared" si="92"/>
        <v>0</v>
      </c>
      <c r="AD733" s="347">
        <f t="shared" si="91"/>
        <v>0</v>
      </c>
      <c r="AE733" s="347">
        <f t="shared" si="91"/>
        <v>0</v>
      </c>
      <c r="AF733" s="347">
        <f t="shared" si="91"/>
        <v>0</v>
      </c>
      <c r="AG733" s="347">
        <f t="shared" si="91"/>
        <v>0</v>
      </c>
      <c r="AH733" s="347">
        <f t="shared" si="91"/>
        <v>0</v>
      </c>
      <c r="AI733" s="347">
        <f t="shared" si="91"/>
        <v>0</v>
      </c>
      <c r="AJ733" s="347">
        <f t="shared" si="91"/>
        <v>0</v>
      </c>
      <c r="AK733" s="347">
        <f t="shared" si="91"/>
        <v>0</v>
      </c>
      <c r="AL733" s="347">
        <f t="shared" si="91"/>
        <v>0</v>
      </c>
      <c r="AM733" s="347">
        <f t="shared" si="91"/>
        <v>0</v>
      </c>
      <c r="AN733" s="347">
        <f t="shared" si="91"/>
        <v>0</v>
      </c>
      <c r="AO733" s="347">
        <f t="shared" si="91"/>
        <v>0</v>
      </c>
      <c r="AP733" s="347">
        <f t="shared" si="91"/>
        <v>0</v>
      </c>
      <c r="AQ733" s="347">
        <f t="shared" si="91"/>
        <v>0</v>
      </c>
      <c r="AR733" s="347">
        <f t="shared" si="91"/>
        <v>0</v>
      </c>
      <c r="AS733" s="347">
        <f t="shared" si="91"/>
        <v>0</v>
      </c>
      <c r="AT733" s="347">
        <f t="shared" si="91"/>
        <v>0</v>
      </c>
      <c r="AU733" s="347">
        <f t="shared" si="91"/>
        <v>0</v>
      </c>
      <c r="AV733" s="347">
        <f t="shared" si="91"/>
        <v>0</v>
      </c>
      <c r="AW733" s="351"/>
    </row>
    <row r="734" spans="1:49" ht="15.75" thickBot="1">
      <c r="A734" s="348" t="s">
        <v>174</v>
      </c>
      <c r="B734" s="348" t="e">
        <f t="shared" ref="B734:AU734" si="93">B733/$AV733</f>
        <v>#DIV/0!</v>
      </c>
      <c r="C734" s="348" t="e">
        <f t="shared" si="93"/>
        <v>#DIV/0!</v>
      </c>
      <c r="D734" s="348" t="e">
        <f t="shared" si="93"/>
        <v>#DIV/0!</v>
      </c>
      <c r="E734" s="348" t="e">
        <f t="shared" si="93"/>
        <v>#DIV/0!</v>
      </c>
      <c r="F734" s="348" t="e">
        <f t="shared" si="93"/>
        <v>#DIV/0!</v>
      </c>
      <c r="G734" s="348" t="e">
        <f t="shared" si="93"/>
        <v>#DIV/0!</v>
      </c>
      <c r="H734" s="348" t="e">
        <f t="shared" si="93"/>
        <v>#DIV/0!</v>
      </c>
      <c r="I734" s="348" t="e">
        <f t="shared" si="93"/>
        <v>#DIV/0!</v>
      </c>
      <c r="J734" s="348" t="e">
        <f t="shared" si="93"/>
        <v>#DIV/0!</v>
      </c>
      <c r="K734" s="348" t="e">
        <f t="shared" si="93"/>
        <v>#DIV/0!</v>
      </c>
      <c r="L734" s="348" t="e">
        <f t="shared" si="93"/>
        <v>#DIV/0!</v>
      </c>
      <c r="M734" s="348" t="e">
        <f t="shared" si="93"/>
        <v>#DIV/0!</v>
      </c>
      <c r="N734" s="348" t="e">
        <f t="shared" si="93"/>
        <v>#DIV/0!</v>
      </c>
      <c r="O734" s="348" t="e">
        <f t="shared" si="93"/>
        <v>#DIV/0!</v>
      </c>
      <c r="P734" s="348" t="e">
        <f t="shared" si="93"/>
        <v>#DIV/0!</v>
      </c>
      <c r="Q734" s="348" t="e">
        <f t="shared" si="93"/>
        <v>#DIV/0!</v>
      </c>
      <c r="R734" s="348" t="e">
        <f t="shared" si="93"/>
        <v>#DIV/0!</v>
      </c>
      <c r="S734" s="348" t="e">
        <f t="shared" si="93"/>
        <v>#DIV/0!</v>
      </c>
      <c r="T734" s="348" t="e">
        <f t="shared" si="93"/>
        <v>#DIV/0!</v>
      </c>
      <c r="U734" s="348" t="e">
        <f t="shared" si="93"/>
        <v>#DIV/0!</v>
      </c>
      <c r="V734" s="348" t="e">
        <f t="shared" si="93"/>
        <v>#DIV/0!</v>
      </c>
      <c r="W734" s="348" t="e">
        <f t="shared" si="93"/>
        <v>#DIV/0!</v>
      </c>
      <c r="X734" s="348" t="e">
        <f t="shared" si="93"/>
        <v>#DIV/0!</v>
      </c>
      <c r="Y734" s="348" t="e">
        <f t="shared" si="93"/>
        <v>#DIV/0!</v>
      </c>
      <c r="Z734" s="348" t="e">
        <f t="shared" si="93"/>
        <v>#DIV/0!</v>
      </c>
      <c r="AA734" s="348" t="e">
        <f t="shared" si="93"/>
        <v>#DIV/0!</v>
      </c>
      <c r="AB734" s="348" t="e">
        <f t="shared" si="93"/>
        <v>#DIV/0!</v>
      </c>
      <c r="AC734" s="348" t="e">
        <f t="shared" si="93"/>
        <v>#DIV/0!</v>
      </c>
      <c r="AD734" s="348" t="e">
        <f t="shared" si="93"/>
        <v>#DIV/0!</v>
      </c>
      <c r="AE734" s="348" t="e">
        <f t="shared" si="93"/>
        <v>#DIV/0!</v>
      </c>
      <c r="AF734" s="348" t="e">
        <f t="shared" si="93"/>
        <v>#DIV/0!</v>
      </c>
      <c r="AG734" s="348" t="e">
        <f t="shared" si="93"/>
        <v>#DIV/0!</v>
      </c>
      <c r="AH734" s="348" t="e">
        <f t="shared" si="93"/>
        <v>#DIV/0!</v>
      </c>
      <c r="AI734" s="348" t="e">
        <f t="shared" si="93"/>
        <v>#DIV/0!</v>
      </c>
      <c r="AJ734" s="348" t="e">
        <f t="shared" si="93"/>
        <v>#DIV/0!</v>
      </c>
      <c r="AK734" s="348" t="e">
        <f t="shared" si="93"/>
        <v>#DIV/0!</v>
      </c>
      <c r="AL734" s="348" t="e">
        <f t="shared" si="93"/>
        <v>#DIV/0!</v>
      </c>
      <c r="AM734" s="348" t="e">
        <f t="shared" si="93"/>
        <v>#DIV/0!</v>
      </c>
      <c r="AN734" s="348" t="e">
        <f t="shared" si="93"/>
        <v>#DIV/0!</v>
      </c>
      <c r="AO734" s="348" t="e">
        <f t="shared" si="93"/>
        <v>#DIV/0!</v>
      </c>
      <c r="AP734" s="348" t="e">
        <f t="shared" si="93"/>
        <v>#DIV/0!</v>
      </c>
      <c r="AQ734" s="348" t="e">
        <f t="shared" si="93"/>
        <v>#DIV/0!</v>
      </c>
      <c r="AR734" s="348" t="e">
        <f t="shared" si="93"/>
        <v>#DIV/0!</v>
      </c>
      <c r="AS734" s="348" t="e">
        <f t="shared" si="93"/>
        <v>#DIV/0!</v>
      </c>
      <c r="AT734" s="348" t="e">
        <f t="shared" si="93"/>
        <v>#DIV/0!</v>
      </c>
      <c r="AU734" s="348" t="e">
        <f t="shared" si="93"/>
        <v>#DIV/0!</v>
      </c>
      <c r="AV734"/>
      <c r="AW734" s="351"/>
    </row>
    <row r="736" spans="1:49" s="524" customFormat="1" ht="15">
      <c r="A736" s="519" t="s">
        <v>465</v>
      </c>
      <c r="B736" s="519">
        <f t="shared" ref="B736:AV736" si="94">SUM(B733,B673,B612,B552,B489,B429,B368,B303,B243,B181,B118,B63)</f>
        <v>63</v>
      </c>
      <c r="C736" s="519">
        <f t="shared" si="94"/>
        <v>0</v>
      </c>
      <c r="D736" s="519">
        <f t="shared" si="94"/>
        <v>20</v>
      </c>
      <c r="E736" s="519">
        <f t="shared" si="94"/>
        <v>32</v>
      </c>
      <c r="F736" s="519">
        <f t="shared" si="94"/>
        <v>33</v>
      </c>
      <c r="G736" s="519">
        <f t="shared" si="94"/>
        <v>36</v>
      </c>
      <c r="H736" s="519">
        <f t="shared" si="94"/>
        <v>116</v>
      </c>
      <c r="I736" s="519">
        <f t="shared" si="94"/>
        <v>44</v>
      </c>
      <c r="J736" s="519">
        <f t="shared" si="94"/>
        <v>29</v>
      </c>
      <c r="K736" s="519">
        <f t="shared" si="94"/>
        <v>0</v>
      </c>
      <c r="L736" s="519">
        <f t="shared" si="94"/>
        <v>0</v>
      </c>
      <c r="M736" s="519">
        <f t="shared" si="94"/>
        <v>70</v>
      </c>
      <c r="N736" s="519">
        <f t="shared" si="94"/>
        <v>13</v>
      </c>
      <c r="O736" s="519">
        <f t="shared" si="94"/>
        <v>117</v>
      </c>
      <c r="P736" s="519">
        <f t="shared" si="94"/>
        <v>61</v>
      </c>
      <c r="Q736" s="519">
        <f t="shared" si="94"/>
        <v>15</v>
      </c>
      <c r="R736" s="519">
        <f t="shared" si="94"/>
        <v>711</v>
      </c>
      <c r="S736" s="519">
        <f t="shared" si="94"/>
        <v>1925</v>
      </c>
      <c r="T736" s="519">
        <f t="shared" si="94"/>
        <v>133</v>
      </c>
      <c r="U736" s="519">
        <f t="shared" si="94"/>
        <v>28</v>
      </c>
      <c r="V736" s="519">
        <f t="shared" si="94"/>
        <v>5747</v>
      </c>
      <c r="W736" s="519">
        <f t="shared" si="94"/>
        <v>128</v>
      </c>
      <c r="X736" s="519">
        <f t="shared" si="94"/>
        <v>320</v>
      </c>
      <c r="Y736" s="519">
        <f t="shared" si="94"/>
        <v>318</v>
      </c>
      <c r="Z736" s="519">
        <f t="shared" si="94"/>
        <v>32</v>
      </c>
      <c r="AA736" s="519">
        <f t="shared" si="94"/>
        <v>18</v>
      </c>
      <c r="AB736" s="519">
        <f t="shared" si="94"/>
        <v>0</v>
      </c>
      <c r="AC736" s="519">
        <f t="shared" si="94"/>
        <v>1221</v>
      </c>
      <c r="AD736" s="519">
        <f t="shared" si="94"/>
        <v>593</v>
      </c>
      <c r="AE736" s="519">
        <f t="shared" si="94"/>
        <v>93</v>
      </c>
      <c r="AF736" s="519">
        <f t="shared" si="94"/>
        <v>229</v>
      </c>
      <c r="AG736" s="519">
        <f t="shared" si="94"/>
        <v>250</v>
      </c>
      <c r="AH736" s="519">
        <f t="shared" si="94"/>
        <v>435</v>
      </c>
      <c r="AI736" s="519">
        <f t="shared" si="94"/>
        <v>15</v>
      </c>
      <c r="AJ736" s="519">
        <f t="shared" si="94"/>
        <v>16</v>
      </c>
      <c r="AK736" s="519">
        <f t="shared" si="94"/>
        <v>0</v>
      </c>
      <c r="AL736" s="519">
        <f t="shared" si="94"/>
        <v>0</v>
      </c>
      <c r="AM736" s="519">
        <f t="shared" si="94"/>
        <v>0</v>
      </c>
      <c r="AN736" s="519">
        <f t="shared" si="94"/>
        <v>25</v>
      </c>
      <c r="AO736" s="519">
        <f t="shared" si="94"/>
        <v>61</v>
      </c>
      <c r="AP736" s="519">
        <f t="shared" si="94"/>
        <v>8</v>
      </c>
      <c r="AQ736" s="519">
        <f t="shared" si="94"/>
        <v>12</v>
      </c>
      <c r="AR736" s="519">
        <f t="shared" si="94"/>
        <v>4</v>
      </c>
      <c r="AS736" s="519">
        <f t="shared" si="94"/>
        <v>6</v>
      </c>
      <c r="AT736" s="519">
        <f t="shared" si="94"/>
        <v>105</v>
      </c>
      <c r="AU736" s="519">
        <f t="shared" si="94"/>
        <v>28</v>
      </c>
      <c r="AV736" s="519">
        <f t="shared" si="94"/>
        <v>13110</v>
      </c>
      <c r="AW736" s="519"/>
    </row>
    <row r="737" spans="1:49" s="524" customFormat="1" ht="15.75" thickBot="1">
      <c r="A737" s="521" t="s">
        <v>43</v>
      </c>
      <c r="B737" s="521">
        <f t="shared" ref="B737:AU737" si="95">B736/$AV736</f>
        <v>4.8054919908466819E-3</v>
      </c>
      <c r="C737" s="521">
        <f t="shared" si="95"/>
        <v>0</v>
      </c>
      <c r="D737" s="521">
        <f t="shared" si="95"/>
        <v>1.5255530129672007E-3</v>
      </c>
      <c r="E737" s="521">
        <f t="shared" si="95"/>
        <v>2.4408848207475211E-3</v>
      </c>
      <c r="F737" s="521">
        <f t="shared" si="95"/>
        <v>2.517162471395881E-3</v>
      </c>
      <c r="G737" s="521">
        <f t="shared" si="95"/>
        <v>2.745995423340961E-3</v>
      </c>
      <c r="H737" s="521">
        <f t="shared" si="95"/>
        <v>8.8482074752097642E-3</v>
      </c>
      <c r="I737" s="521">
        <f t="shared" si="95"/>
        <v>3.3562166285278413E-3</v>
      </c>
      <c r="J737" s="521">
        <f t="shared" si="95"/>
        <v>2.212051868802441E-3</v>
      </c>
      <c r="K737" s="521">
        <f t="shared" si="95"/>
        <v>0</v>
      </c>
      <c r="L737" s="521">
        <f t="shared" si="95"/>
        <v>0</v>
      </c>
      <c r="M737" s="521">
        <f t="shared" si="95"/>
        <v>5.3394355453852023E-3</v>
      </c>
      <c r="N737" s="521">
        <f t="shared" si="95"/>
        <v>9.916094584286805E-4</v>
      </c>
      <c r="O737" s="521">
        <f t="shared" si="95"/>
        <v>8.9244851258581236E-3</v>
      </c>
      <c r="P737" s="521">
        <f t="shared" si="95"/>
        <v>4.6529366895499621E-3</v>
      </c>
      <c r="Q737" s="521">
        <f t="shared" si="95"/>
        <v>1.1441647597254005E-3</v>
      </c>
      <c r="R737" s="521">
        <f t="shared" si="95"/>
        <v>5.4233409610983982E-2</v>
      </c>
      <c r="S737" s="521">
        <f t="shared" si="95"/>
        <v>0.14683447749809306</v>
      </c>
      <c r="T737" s="521">
        <f t="shared" si="95"/>
        <v>1.0144927536231883E-2</v>
      </c>
      <c r="U737" s="521">
        <f t="shared" si="95"/>
        <v>2.1357742181540807E-3</v>
      </c>
      <c r="V737" s="521">
        <f t="shared" si="95"/>
        <v>0.43836765827612512</v>
      </c>
      <c r="W737" s="521">
        <f t="shared" si="95"/>
        <v>9.7635392829900844E-3</v>
      </c>
      <c r="X737" s="521">
        <f t="shared" si="95"/>
        <v>2.4408848207475211E-2</v>
      </c>
      <c r="Y737" s="521">
        <f t="shared" si="95"/>
        <v>2.4256292906178489E-2</v>
      </c>
      <c r="Z737" s="521">
        <f t="shared" si="95"/>
        <v>2.4408848207475211E-3</v>
      </c>
      <c r="AA737" s="521">
        <f t="shared" si="95"/>
        <v>1.3729977116704805E-3</v>
      </c>
      <c r="AB737" s="521">
        <f t="shared" si="95"/>
        <v>0</v>
      </c>
      <c r="AC737" s="521">
        <f t="shared" si="95"/>
        <v>9.3135011441647597E-2</v>
      </c>
      <c r="AD737" s="521">
        <f t="shared" si="95"/>
        <v>4.5232646834477495E-2</v>
      </c>
      <c r="AE737" s="521">
        <f t="shared" si="95"/>
        <v>7.0938215102974832E-3</v>
      </c>
      <c r="AF737" s="521">
        <f t="shared" si="95"/>
        <v>1.7467581998474448E-2</v>
      </c>
      <c r="AG737" s="521">
        <f t="shared" si="95"/>
        <v>1.9069412662090009E-2</v>
      </c>
      <c r="AH737" s="521">
        <f t="shared" si="95"/>
        <v>3.3180778032036611E-2</v>
      </c>
      <c r="AI737" s="521">
        <f t="shared" si="95"/>
        <v>1.1441647597254005E-3</v>
      </c>
      <c r="AJ737" s="521">
        <f t="shared" si="95"/>
        <v>1.2204424103737605E-3</v>
      </c>
      <c r="AK737" s="521">
        <f t="shared" si="95"/>
        <v>0</v>
      </c>
      <c r="AL737" s="521">
        <f t="shared" si="95"/>
        <v>0</v>
      </c>
      <c r="AM737" s="521">
        <f t="shared" si="95"/>
        <v>0</v>
      </c>
      <c r="AN737" s="521">
        <f t="shared" si="95"/>
        <v>1.9069412662090007E-3</v>
      </c>
      <c r="AO737" s="521">
        <f t="shared" si="95"/>
        <v>4.6529366895499621E-3</v>
      </c>
      <c r="AP737" s="521">
        <f t="shared" si="95"/>
        <v>6.1022120518688027E-4</v>
      </c>
      <c r="AQ737" s="521">
        <f t="shared" si="95"/>
        <v>9.1533180778032041E-4</v>
      </c>
      <c r="AR737" s="521">
        <f t="shared" si="95"/>
        <v>3.0511060259344014E-4</v>
      </c>
      <c r="AS737" s="521">
        <f t="shared" si="95"/>
        <v>4.5766590389016021E-4</v>
      </c>
      <c r="AT737" s="521">
        <f t="shared" si="95"/>
        <v>8.0091533180778034E-3</v>
      </c>
      <c r="AU737" s="521">
        <f t="shared" si="95"/>
        <v>2.1357742181540807E-3</v>
      </c>
      <c r="AV737" s="184"/>
      <c r="AW737" s="520"/>
    </row>
    <row r="740" spans="1:49">
      <c r="A740" s="354">
        <v>46083</v>
      </c>
    </row>
    <row r="741" spans="1:49">
      <c r="A741" s="355"/>
    </row>
    <row r="742" spans="1:49">
      <c r="A742" s="355"/>
    </row>
    <row r="743" spans="1:49">
      <c r="A743" s="355"/>
    </row>
    <row r="744" spans="1:49">
      <c r="A744" s="355"/>
    </row>
    <row r="745" spans="1:49">
      <c r="A745" s="355"/>
    </row>
    <row r="746" spans="1:49">
      <c r="A746" s="355"/>
    </row>
    <row r="747" spans="1:49">
      <c r="A747" s="355"/>
    </row>
    <row r="748" spans="1:49" ht="18.75" customHeight="1">
      <c r="A748" s="355"/>
    </row>
    <row r="749" spans="1:49" ht="18.75" customHeight="1">
      <c r="A749" s="355"/>
    </row>
    <row r="750" spans="1:49" ht="18.75" customHeight="1">
      <c r="A750" s="355"/>
    </row>
    <row r="751" spans="1:49" ht="18.75" customHeight="1">
      <c r="A751" s="355"/>
    </row>
    <row r="752" spans="1:49" ht="18.75" customHeight="1">
      <c r="A752" s="355"/>
    </row>
    <row r="753" spans="1:1" ht="18.75" customHeight="1">
      <c r="A753" s="355"/>
    </row>
    <row r="754" spans="1:1">
      <c r="A754" s="355"/>
    </row>
    <row r="755" spans="1:1">
      <c r="A755" s="355"/>
    </row>
    <row r="756" spans="1:1">
      <c r="A756" s="355"/>
    </row>
    <row r="757" spans="1:1">
      <c r="A757" s="355"/>
    </row>
    <row r="758" spans="1:1">
      <c r="A758" s="355"/>
    </row>
    <row r="759" spans="1:1">
      <c r="A759" s="355"/>
    </row>
    <row r="760" spans="1:1">
      <c r="A760" s="355"/>
    </row>
    <row r="761" spans="1:1">
      <c r="A761" s="355"/>
    </row>
    <row r="762" spans="1:1">
      <c r="A762" s="355"/>
    </row>
    <row r="763" spans="1:1">
      <c r="A763" s="355"/>
    </row>
    <row r="764" spans="1:1">
      <c r="A764" s="355"/>
    </row>
    <row r="765" spans="1:1">
      <c r="A765" s="355"/>
    </row>
    <row r="766" spans="1:1">
      <c r="A766" s="355"/>
    </row>
    <row r="767" spans="1:1">
      <c r="A767" s="355"/>
    </row>
    <row r="768" spans="1:1">
      <c r="A768" s="355"/>
    </row>
  </sheetData>
  <mergeCells count="1">
    <mergeCell ref="A4:XFD5"/>
  </mergeCells>
  <pageMargins left="0.7" right="0.7" top="0.75" bottom="0.75" header="0.3" footer="0.3"/>
  <pageSetup orientation="portrait"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C00000"/>
  </sheetPr>
  <dimension ref="B1:V17"/>
  <sheetViews>
    <sheetView showGridLines="0" topLeftCell="A2" workbookViewId="0">
      <selection activeCell="V14" sqref="V14"/>
    </sheetView>
  </sheetViews>
  <sheetFormatPr defaultColWidth="9.140625" defaultRowHeight="12.75"/>
  <cols>
    <col min="1" max="1" width="3.42578125" style="316" customWidth="1"/>
    <col min="2" max="2" width="33.42578125" style="316" customWidth="1"/>
    <col min="3" max="16384" width="9.140625" style="316"/>
  </cols>
  <sheetData>
    <row r="1" spans="2:22" ht="8.85" hidden="1" customHeight="1">
      <c r="D1" s="317">
        <f>Feb!$I$60</f>
        <v>1096</v>
      </c>
      <c r="E1" s="317">
        <f>Mar!$I$62</f>
        <v>1252</v>
      </c>
      <c r="F1" s="317">
        <f>Apr!$I$54</f>
        <v>1313</v>
      </c>
      <c r="G1" s="317">
        <f>May!$I$63</f>
        <v>1330</v>
      </c>
      <c r="H1" s="317">
        <f>Jun!$I$57</f>
        <v>585</v>
      </c>
      <c r="I1" s="317">
        <f>Jul!$I$61</f>
        <v>1529</v>
      </c>
      <c r="J1" s="317">
        <f>Aug!$I$68</f>
        <v>1331</v>
      </c>
      <c r="K1" s="317">
        <f>Sept!$I$55</f>
        <v>1001</v>
      </c>
      <c r="L1" s="317">
        <f>Oct!$I$71</f>
        <v>0</v>
      </c>
      <c r="M1" s="317">
        <f>Nov!$I$56</f>
        <v>0</v>
      </c>
      <c r="N1" s="317">
        <f>Dec!$I$58</f>
        <v>0</v>
      </c>
    </row>
    <row r="2" spans="2:22" ht="8.85" customHeight="1">
      <c r="B2" s="318"/>
    </row>
    <row r="3" spans="2:22" ht="15.75">
      <c r="B3" s="319" t="s">
        <v>395</v>
      </c>
      <c r="C3" s="320">
        <v>46023</v>
      </c>
      <c r="D3" s="320">
        <v>46054</v>
      </c>
      <c r="E3" s="320">
        <v>46082</v>
      </c>
      <c r="F3" s="320">
        <v>46113</v>
      </c>
      <c r="G3" s="320">
        <v>46143</v>
      </c>
      <c r="H3" s="320">
        <v>46174</v>
      </c>
      <c r="I3" s="320">
        <v>46204</v>
      </c>
      <c r="J3" s="320">
        <v>46235</v>
      </c>
      <c r="K3" s="320">
        <v>46266</v>
      </c>
      <c r="L3" s="320">
        <v>46296</v>
      </c>
      <c r="M3" s="320">
        <v>46327</v>
      </c>
      <c r="N3" s="320">
        <v>46357</v>
      </c>
      <c r="O3" s="335" t="s">
        <v>43</v>
      </c>
    </row>
    <row r="4" spans="2:22" ht="15">
      <c r="B4" s="321" t="s">
        <v>396</v>
      </c>
      <c r="C4" s="317">
        <f>Jan!I61</f>
        <v>1295</v>
      </c>
      <c r="D4" s="317">
        <f>Feb!I60</f>
        <v>1096</v>
      </c>
      <c r="E4" s="317">
        <f>Mar!I62</f>
        <v>1252</v>
      </c>
      <c r="F4" s="317">
        <f>Apr!I54</f>
        <v>1313</v>
      </c>
      <c r="G4" s="317">
        <f>May!I63</f>
        <v>1330</v>
      </c>
      <c r="H4" s="322">
        <f>Jun!I57</f>
        <v>585</v>
      </c>
      <c r="I4" s="322">
        <f>Jul!I61</f>
        <v>1529</v>
      </c>
      <c r="J4" s="322">
        <f>Aug!I68</f>
        <v>1331</v>
      </c>
      <c r="K4" s="322">
        <f>Sept!I55</f>
        <v>1001</v>
      </c>
      <c r="L4" s="322"/>
      <c r="M4" s="322"/>
      <c r="N4" s="322"/>
      <c r="O4" s="336">
        <f>SUM(C4:N4)</f>
        <v>10732</v>
      </c>
      <c r="P4" s="656" t="s">
        <v>397</v>
      </c>
      <c r="Q4" s="657"/>
      <c r="R4" s="658"/>
      <c r="U4" s="316">
        <f>G4/60</f>
        <v>22.166666666666668</v>
      </c>
      <c r="V4" s="316">
        <f>H4/60</f>
        <v>9.75</v>
      </c>
    </row>
    <row r="5" spans="2:22" ht="15">
      <c r="B5" s="321" t="s">
        <v>398</v>
      </c>
      <c r="C5" s="317">
        <f>Jan!H61+Jan!J61+Jan!K61+Jan!L61+Jan!M61+Jan!N61+Jan!Z61+Jan!AA61+Jan!AB61+Jan!AC61-C6</f>
        <v>3736</v>
      </c>
      <c r="D5" s="317">
        <f>Feb!H60+Feb!J60+Feb!K60+Feb!L60+Feb!M60+Feb!N60+Feb!Z60+Feb!AA60+Feb!AB60+Feb!AC60-D6</f>
        <v>2318</v>
      </c>
      <c r="E5" s="317">
        <f>Mar!H62+Mar!J62+Mar!K62+Mar!L62+Mar!M62+Mar!N62+Mar!Z62+Mar!AA62+Mar!AB62+Mar!AC62-'Org &amp; Tech Downtime'!E6</f>
        <v>2822</v>
      </c>
      <c r="F5" s="317">
        <f>Apr!H54+Apr!J54+Apr!K54+Apr!L54+Apr!M54+Apr!N54+Apr!Z54+Apr!AA54+Apr!AB54+Apr!AC54-F6</f>
        <v>2055</v>
      </c>
      <c r="G5" s="317">
        <f>May!H63+May!J63+May!K63+May!L63+May!M63+May!N63+May!Z63+May!AA63+May!AB63+May!AC63-G6</f>
        <v>2217</v>
      </c>
      <c r="H5" s="322">
        <f>Jun!H57+Jun!J57+Jun!K57+Jun!L57+Jun!M57+Jun!N57+Jun!Z57+Jun!AA57+Jun!AB57+Jun!AC57-H6</f>
        <v>986</v>
      </c>
      <c r="I5" s="322">
        <f>Jul!H61+Jul!J61+Jul!K61+Jul!L61+Jul!M61+Jul!N61+Jul!Z61+Jul!AA61+Jul!AB61+Jul!AC61-I6</f>
        <v>5509</v>
      </c>
      <c r="J5" s="322">
        <f>Aug!H68+Aug!J68+Aug!K68+Aug!L68+Aug!M68+Aug!N68+Aug!Z68+Aug!AA68+Aug!AB68+Aug!AC68</f>
        <v>2611</v>
      </c>
      <c r="K5" s="322">
        <f>Sept!H55+Sept!J55+Sept!K55+Sept!L55+Sept!M55+Sept!N55+Sept!Z55+Sept!AA55+Sept!AB55+Sept!AC55</f>
        <v>2820</v>
      </c>
      <c r="L5" s="322"/>
      <c r="M5" s="322"/>
      <c r="N5" s="322"/>
      <c r="O5" s="336">
        <f>SUM(C5:N5)</f>
        <v>25074</v>
      </c>
      <c r="P5" s="659"/>
      <c r="Q5" s="660"/>
      <c r="R5" s="661"/>
      <c r="U5" s="316">
        <f>G5/60</f>
        <v>36.950000000000003</v>
      </c>
      <c r="V5" s="316">
        <f>H5/60</f>
        <v>16.433333333333334</v>
      </c>
    </row>
    <row r="6" spans="2:22" ht="15.75" thickBot="1">
      <c r="B6" s="323" t="s">
        <v>399</v>
      </c>
      <c r="C6" s="324">
        <f>8+36+15+30</f>
        <v>89</v>
      </c>
      <c r="D6" s="324">
        <f>675+120</f>
        <v>795</v>
      </c>
      <c r="E6" s="324">
        <f>10+27+60+60+60+30+29</f>
        <v>276</v>
      </c>
      <c r="F6" s="324">
        <f>15+15</f>
        <v>30</v>
      </c>
      <c r="G6" s="324">
        <f>180+15+6+12</f>
        <v>213</v>
      </c>
      <c r="H6" s="324">
        <f>9+10+60+24</f>
        <v>103</v>
      </c>
      <c r="I6" s="324">
        <f>'[4]July 2026 (w Utilization)'!$K$38</f>
        <v>1342</v>
      </c>
      <c r="J6" s="324">
        <f>30</f>
        <v>30</v>
      </c>
      <c r="K6" s="324">
        <v>20</v>
      </c>
      <c r="L6" s="324"/>
      <c r="M6" s="324"/>
      <c r="N6" s="324"/>
      <c r="O6" s="337">
        <f>SUM(C6:N6)</f>
        <v>2898</v>
      </c>
      <c r="P6" s="662"/>
      <c r="Q6" s="663"/>
      <c r="R6" s="664"/>
      <c r="U6" s="316">
        <f t="shared" ref="U6:V6" si="0">G6/60</f>
        <v>3.55</v>
      </c>
      <c r="V6" s="316">
        <f t="shared" si="0"/>
        <v>1.7166666666666666</v>
      </c>
    </row>
    <row r="7" spans="2:22" ht="15">
      <c r="B7" s="325" t="s">
        <v>400</v>
      </c>
      <c r="C7" s="326">
        <f>6+6+10+5+32+5+7+5+6+6+60+60+30+6+5+26+7+11+10+5+6+57+37+11+10+5+7+18+6+5+5+6+9+6+5+6+10+8+5+7+6+6+5+5+8+6+7+5+29+6+11+5+6+5+5+6+6+57+50+10+7+5+15+7+7+33+7+30+18+5+11+9+24+15+5+5+16+5+11+10+5+5+6+5+6+7+9+5+5+11+8+5+6+6+6+29+5+9+5+5+6+5+7+15+5+5+14+6+5+6+9+8+6+10+26+6+12+5+5+6+6+5+11+5+5+5+7+5+5+5+16+5+5+6+5+8+5+18+5+50+9+14+6+6+5+5+6+5+5+5+7+25+60+60+30+8+8+5+15+25+33+9+25+8+6+5+7+6+12+60+25+51+60+60+480+60+60+21+15+18+60+55+7+6+5+14+6+5+5+5+5+14+5+7+5+5+8+10+7+36+21+7+7+9+15+5+6+5+5+6+11+6+5+5+5+10+10+5+5+10+5+5+8+5+6+15+8+6+10+6+35+6+10+5+5+6+11+10+9</f>
        <v>3452</v>
      </c>
      <c r="D7" s="326">
        <f>6+5+5+18+8+13+5+5+5+5+12+5+6+6+5+36+8+11+6+5+10+14+6+5+8+6+13+8+6+22+25+10+20+5+9+9+10+7+6+38+60+6+8+5+8+14+6+13+7+45+10+9+5+37+12+20+6+7+16+22+5+16+10+6+5+8+6+12+8+11+20+5+7+10+60+27+15+11+10+9+6+5+9+19+17+5+10+8+7+13+11+5+18+7+11+7+6+22+9+5+7+5+37+12+6+29+40+5+5+6+5+7+5+14+10+2+6+5+5+5+18+60+10+5+7+5+7+9+24+6+5+7+14+10+10+6+9+5+5+7+7+7+7+13+5+7+5+17+21+20+6+12+5+8+21+10+5+5+8+19+38+18+6+20+7+5+9+5+6+11+9+6+12+8+15+6+5+11+6+7+7+13+9+7+6+10+9+5+5+10+5+7+8+28+7+5+5+6+5+6+6+15+8+10+60+40+7+6+5+16+24+5+11+13+9+7+6+60+9+5+6+54+6+9+5+9+7+29+22+5+6+5+10+5+30+30+37+7+11+6+17+14+10+20+9+7+6+5+30+16+12+6+5+22+6+6+8+5+5+5+7+5+8+10+5+10+10+6+57+60+60+60+43+5+26+16+42+30+7+6+5+6+13+5+38+10+8+60+25+16+12+9+8+5+6+9+8+10+5+6+7+8+60+60+60+60+47+7+6+5+10+11+6+7+5+25+10+10+19+44+60+60+60+60+60+47+5+60+60+60+60+60+5+6+6+16+12+11+5+7+5+7+6+40+10+10+6+5+29+6+20+6+5+5+6+5+5+5+5+7+7+8+7+6+30+12+7+8+8+6+8+7+5+6+15+6+6+7+5+5+6</f>
        <v>5342</v>
      </c>
      <c r="E7" s="327">
        <f>7+14+8+6+7+15+7+37+11+21+13+10+26+9+14+5+5+8+8+6+15+12+6+5+5+10+5+11+5+14+12+15+23+60+18+11+7+14+7+8+6+18+20+23+5+5+5+6+5+15+7+8+10+14+45+5+9+9+60+6+6+6+10+5+40+47+60+60+27+30+52+5+5+6+10+8+17+6+6+9+6+5+5+5+6+5+8+26+5+6+5+43+45+60+37+5+6+5+6+5+12+6+15+20+5+5+12+38+9+5+6+13+6+10+6+6+23+5+5+6+20+8+8+5+5+5+10+6+5+6+5+5+24+30+5+12+40+5+6+5+6+7+5+7+5+6+12+5+31+9+5+5+22+8+42+17+5+5+6+30+45+10+5+10+50+25+8+13+8+10+10+5+5+8+6+6+5+5+5+7+9+5+13+60+5+5+7+5+11+8+12+6+5+7+6+5+20+9+5+5+23+60+30+5+32+8+5+6+5+7+5+5+23+8+8+5+7+5+6+9+8+6+7+8+5+6+6+5+9+7+9+8+15+11+7+5+5+6+12+7+5+6+5+12+5+8+6+6+30+30+15+60+60+22+6+30+60+60+22+16+7+6+10+5+7+7+5+7+6+6+60+20+5+13+60+8+22+60+8+23+23+20+50+52+38+11+5+6+6+8+11+9+22+5+10+24+18+60+54+10+5+5+5+5+30+8+5+5+6+26+7+5+5+9+11+15+17+5+9+5+6+8+6+9+11+5+5+5+5+6+36+24+50+10+60+23+5+8</f>
        <v>4745</v>
      </c>
      <c r="F7" s="327">
        <f>5+6+5+9+654+60+40+10+60+30+5+14+20+22+15+7+26+13+26+37+46+60+60+60+60+20+20+5+6+46+50+17+10+6+9+16+7+34+5+35+5+6+5+8+5+4+18+6+8+8+5+9+6+10+16+6+5+18+5+6+5+10+5+7+5+7+5+50+60+30+6+5+15+10+11+13+44+32+5+6+10+7+8+40+28+6+20+7+14+9+8+5+6+6+5+5+9+8+7+17+38+22+36+30+7+5+25+15+60+26+13+8+9+5+10+5+10+15+6+7+5+47+60+11+6+7+5+5+7+6+6+36+38+6+8+5+6+7+5+9+6+6+5+6+10+5+5+5+6+6+8+7+36+6+6+15+19+9+9+5+17+5+7+5+12+60+60+60+60+50+25+10+18+5+6+6+36+10+35+55+6+6+12+5+5+10+13+9+5+8+8+14+9+19+7+27+29+7+20+60+5+30+11+7+5+7+5+22+6+28+5+5+14+32+9+9+16+10+12+40+60+60+60+60+5+13+8+5+5+7+14+60+60+60+60+12+5+15+60+60+34+6+6+9+44+7+28+10+5+15+14+15+15+5+9+25+12+5+6+17+7+7+44+60+60+60+12+5+32+8+4+5+5+47+60+60+18+21+15+21+21+10+6+5+7+6+6+5+18+26+6+9+20+5+7+6+6+16+10+6+5+5+8+21+7+6+5+5+13+8+8+6+5+9</f>
        <v>6106</v>
      </c>
      <c r="G7" s="328">
        <f>5+15+10+32+39+5+20+20+10+5+6+6+5+10+19+9+8+11+5+7+5+42+45+15+60+12+7+24+60+60+60+60+49+6+18+11+30+18+7+5+11+8+5+49+18+5+5+5+15+7+14+10+5+10+5+6+6+6+6+17+5+6+10+6+5+7+22+9+8+8+15+21+9+10+5+9+9+5+11+10+20+15+7+15+6+5+60+7+6+22+56+5+5+5+5+5+7+5+6+48+34+6+28+8+5+77+28+7+5+8+5+5+69+5+6+17+5+9+11+5+5+5+5+5+6+9+6+6+5+9+26+12+6+6+5+10+5+5+5+6+6+11+6+20+5+11+6+6+5+21+6+5+5+13+7+13+5+6+9+10+33+5+5</f>
        <v>2263</v>
      </c>
      <c r="H7" s="322">
        <f>10+24+40+60+15+15+14+7+20+16+15+10+12+8+16+5+28+9+15+6+7+8+7+6+5+34+60+5+6+48+5+16+13+17+60+25+17+8+7+5+35+19+22+42+5+11+5+26+14+60+60+60+60+60+60+45+10+5+8+6+7+9+5+6+30+38+5+8+15+5+10+9+15+5+5+15+5+13+14+25+12+5+40+5+5+12+6+25+5+6+10+5+9+11+5+7+6+6+17+7+5+21+5+5+6+20+11+5+12+11+11+11+30+5+6+5+6</f>
        <v>1940</v>
      </c>
      <c r="I7" s="322">
        <f>'[4]July 2026 (w Utilization)'!$H$38</f>
        <v>4861</v>
      </c>
      <c r="J7" s="322">
        <f>6+5+7+5+5+5+9+26+60+17+12+20+8+20+28+7+11+8+7+5+21+6+11+6+10+6+8+15+5+8+5+5+7+5+11+6+13+7+10+25+6+12+5+9+6+15+29+5+8+15+60+60+60+60+60+5+5+5+6+6+10+6+40+6+13+11+16+5+7+6+5+5+6+7+5+9+11+17+7+6+6+9+6+9+6+8+5+22+5+15+5+10+14+10+5+5+10+5+21+42+10+5+5+5+5+10+5+9+16+6+5+6+6+5+5+5+8+5+8+5+5+5+22+16+5+5+6+12+7+15+5+22+26+51+8+18+11+6+13+11+7+34+14+12+10+10+60+15+24+5+5+8+10+10+6+5+5+5+7+7+7+9+7+8+30+60+28+7+5+6+7+5+6+9+13+5+5+20+6+20+12+10+8+5+7+10+17+19+5+37+5+32+13+10+9+7+15+22+13+24+8+6+7+5+6+5+5+13+18+6+37+7+6+5+5+10+13+5+13+5+5+5+5+5+5+29+5+10+8+11+28+18+20+5+5+15+7+5+17+26+19+14+35+7+7+6+5+10+33+6+11+15+6+60+50+60+16+43+7+6</f>
        <v>3354</v>
      </c>
      <c r="K7" s="322">
        <f>5+8+26+35+6+19+5+25+10+5+20+18+10+5+10+10+10+6+9+12+6+24+10+5+8+6+7+6+22+12+6+6+9+13+13+6+7+5+7+30+10+60+27+5+5+50+6+5+7+60+23+8+8+6+10+5+8+6+5+5+7+5+11+40+13+5+8+6+17+7+6+5+5+7+7+6+14+12+10+8+6+16+8+14+9+31+5+6+15+14+50+10+6+10+60+23+60+60+25+10+12+8+8+5+6+8+9+5+10+7+5+15+7+5+7+13+8+10+7+36+6+9+35+8+11+45+33+9+10+8+25+5+5+7+6+20+5+5+6+60+15+15+13+10+5+5+23+6+5+5+5+14+5+6+8+18+6+5+7</f>
        <v>2103</v>
      </c>
      <c r="L7" s="322"/>
      <c r="M7" s="322"/>
      <c r="N7" s="322"/>
      <c r="O7" s="338">
        <f>SUM(C7:N7)</f>
        <v>34166</v>
      </c>
      <c r="P7" s="659" t="s">
        <v>401</v>
      </c>
      <c r="Q7" s="660"/>
      <c r="R7" s="661"/>
      <c r="U7" s="316">
        <f>G7/60</f>
        <v>37.716666666666669</v>
      </c>
      <c r="V7" s="316">
        <f>H7/60</f>
        <v>32.333333333333336</v>
      </c>
    </row>
    <row r="8" spans="2:22" ht="15">
      <c r="B8" s="321" t="s">
        <v>402</v>
      </c>
      <c r="C8" s="317">
        <f>Jan!Y61+Jan!X61+Jan!W61+Jan!V61+Jan!U61+Jan!T61+Jan!S61+Jan!R61+Jan!Q61+Jan!P61+Jan!O61-C7</f>
        <v>6450</v>
      </c>
      <c r="D8" s="317">
        <f>Feb!N60+Feb!O60+Feb!P60+Feb!Q60+Feb!R60+Feb!S60+Feb!T60+Feb!U60+Feb!V60+Feb!W60+Feb!X60+Feb!Y60-D7</f>
        <v>4895</v>
      </c>
      <c r="E8" s="317">
        <f>Mar!Y62+Mar!X62+Mar!W62+Mar!V62+Mar!U62+Mar!T62+Mar!S62+Mar!R62+Mar!Q62+Mar!P62+Mar!O62-'Org &amp; Tech Downtime'!E7</f>
        <v>4537</v>
      </c>
      <c r="F8" s="327">
        <f>Apr!O54+Apr!P54+Apr!Q54+Apr!R54+Apr!S54+Apr!T54+Apr!U54+Apr!V54+Apr!W54+Apr!X54+Apr!Y54-F7</f>
        <v>2987</v>
      </c>
      <c r="G8" s="317">
        <f>May!O63+May!P63+May!Q63+May!R63+May!S63+May!T63+May!U63+May!V63+May!W63+May!X63+May!Y63-G7</f>
        <v>2451</v>
      </c>
      <c r="H8" s="327">
        <f>Jun!O57+Jun!P57+Jun!Q57+Jun!R57+Jun!S57+Jun!T57+Jun!U57+Jun!V57+Jun!W57+Jun!X57+Jun!Y57-H7</f>
        <v>2135</v>
      </c>
      <c r="I8" s="327">
        <f>Jul!O61+Jul!P61+Jul!Q61+Jul!R61+Jul!S61+Jul!T61+Jul!U61+Jul!V61+Jul!W61+Jul!X61+Jul!Y61-I7</f>
        <v>2630</v>
      </c>
      <c r="J8" s="322">
        <f>Aug!O68+Aug!P68+Aug!Q68+Aug!R68+Aug!S68+Aug!T68+Aug!U68+Aug!V68+Aug!W68+Aug!X68+Aug!Y68-J7</f>
        <v>2069</v>
      </c>
      <c r="K8" s="322">
        <f>Sept!O55+Sept!P55+Sept!Q55+Sept!R55+Sept!S55+Sept!T55+Sept!U55+Sept!V55+Sept!W55+Sept!X55+Sept!Y55-K7</f>
        <v>1854</v>
      </c>
      <c r="L8" s="322"/>
      <c r="M8" s="322"/>
      <c r="N8" s="322"/>
      <c r="O8" s="336">
        <f>SUM(C8:N8)</f>
        <v>30008</v>
      </c>
      <c r="P8" s="665"/>
      <c r="Q8" s="666"/>
      <c r="R8" s="667"/>
      <c r="U8" s="316">
        <f>G8/60</f>
        <v>40.85</v>
      </c>
      <c r="V8" s="316">
        <f>H8/60</f>
        <v>35.583333333333336</v>
      </c>
    </row>
    <row r="9" spans="2:22">
      <c r="B9" s="329" t="s">
        <v>403</v>
      </c>
      <c r="C9" s="330">
        <f>SUM(C4:C8)</f>
        <v>15022</v>
      </c>
      <c r="D9" s="330">
        <f t="shared" ref="D9:K9" si="1">SUM(D4:D8)</f>
        <v>14446</v>
      </c>
      <c r="E9" s="330">
        <f t="shared" si="1"/>
        <v>13632</v>
      </c>
      <c r="F9" s="330">
        <f t="shared" si="1"/>
        <v>12491</v>
      </c>
      <c r="G9" s="330">
        <f>SUM(G4:G8)</f>
        <v>8474</v>
      </c>
      <c r="H9" s="330">
        <f t="shared" si="1"/>
        <v>5749</v>
      </c>
      <c r="I9" s="330">
        <f>SUM(I4:I8)</f>
        <v>15871</v>
      </c>
      <c r="J9" s="330">
        <f>SUM(J4:J8)</f>
        <v>9395</v>
      </c>
      <c r="K9" s="330">
        <f t="shared" si="1"/>
        <v>7798</v>
      </c>
      <c r="L9" s="330">
        <f>SUM(L4:L6,L7:L8)</f>
        <v>0</v>
      </c>
      <c r="M9" s="330">
        <f>SUM(M4:M6,M7:M8)</f>
        <v>0</v>
      </c>
      <c r="N9" s="330">
        <f>SUM(N4:N6,N7:N8)</f>
        <v>0</v>
      </c>
      <c r="O9" s="330">
        <f>SUM(O4:O6,O7:O8)</f>
        <v>102878</v>
      </c>
    </row>
    <row r="10" spans="2:22">
      <c r="C10" s="331"/>
      <c r="E10" s="331"/>
    </row>
    <row r="11" spans="2:22" ht="13.35" customHeight="1">
      <c r="B11" s="318"/>
    </row>
    <row r="12" spans="2:22" ht="15.75">
      <c r="B12" s="319" t="s">
        <v>404</v>
      </c>
      <c r="C12" s="320">
        <f t="shared" ref="C12:N12" si="2">C3</f>
        <v>46023</v>
      </c>
      <c r="D12" s="320">
        <f t="shared" si="2"/>
        <v>46054</v>
      </c>
      <c r="E12" s="320">
        <f t="shared" si="2"/>
        <v>46082</v>
      </c>
      <c r="F12" s="320">
        <f t="shared" si="2"/>
        <v>46113</v>
      </c>
      <c r="G12" s="320">
        <f t="shared" si="2"/>
        <v>46143</v>
      </c>
      <c r="H12" s="320">
        <f t="shared" si="2"/>
        <v>46174</v>
      </c>
      <c r="I12" s="320">
        <f t="shared" si="2"/>
        <v>46204</v>
      </c>
      <c r="J12" s="320">
        <f t="shared" si="2"/>
        <v>46235</v>
      </c>
      <c r="K12" s="320">
        <f t="shared" si="2"/>
        <v>46266</v>
      </c>
      <c r="L12" s="320">
        <f t="shared" si="2"/>
        <v>46296</v>
      </c>
      <c r="M12" s="320">
        <f t="shared" si="2"/>
        <v>46327</v>
      </c>
      <c r="N12" s="320">
        <f t="shared" si="2"/>
        <v>46357</v>
      </c>
      <c r="O12" s="339" t="s">
        <v>43</v>
      </c>
    </row>
    <row r="13" spans="2:22" ht="15">
      <c r="B13" s="321" t="s">
        <v>405</v>
      </c>
      <c r="C13" s="332">
        <f t="shared" ref="C13:D17" si="3">C4/C$9</f>
        <v>8.6206896551724144E-2</v>
      </c>
      <c r="D13" s="332">
        <f t="shared" si="3"/>
        <v>7.5868752595874292E-2</v>
      </c>
      <c r="E13" s="332">
        <f t="shared" ref="E13:G17" si="4">E4/E$9</f>
        <v>9.1842723004694829E-2</v>
      </c>
      <c r="F13" s="332">
        <f t="shared" si="4"/>
        <v>0.10511568329197021</v>
      </c>
      <c r="G13" s="332">
        <f t="shared" si="4"/>
        <v>0.15695067264573992</v>
      </c>
      <c r="H13" s="332">
        <f t="shared" ref="H13:J17" si="5">H4/H$9</f>
        <v>0.10175682727430857</v>
      </c>
      <c r="I13" s="332">
        <f t="shared" si="5"/>
        <v>9.6339235082855523E-2</v>
      </c>
      <c r="J13" s="332">
        <f t="shared" si="5"/>
        <v>0.14167110164981372</v>
      </c>
      <c r="K13" s="332">
        <f t="shared" ref="K13" si="6">K4/K$9</f>
        <v>0.12836624775583483</v>
      </c>
      <c r="L13" s="332"/>
      <c r="M13" s="332"/>
      <c r="N13" s="332"/>
      <c r="O13" s="340">
        <f>O4/O$9</f>
        <v>0.10431773557028713</v>
      </c>
      <c r="P13" s="656" t="s">
        <v>397</v>
      </c>
      <c r="Q13" s="657"/>
      <c r="R13" s="658"/>
    </row>
    <row r="14" spans="2:22" ht="15">
      <c r="B14" s="321" t="s">
        <v>406</v>
      </c>
      <c r="C14" s="332">
        <f t="shared" si="3"/>
        <v>0.24870190387431768</v>
      </c>
      <c r="D14" s="332">
        <f t="shared" si="3"/>
        <v>0.16045964280769764</v>
      </c>
      <c r="E14" s="332">
        <f t="shared" si="4"/>
        <v>0.20701291079812206</v>
      </c>
      <c r="F14" s="332">
        <f t="shared" si="4"/>
        <v>0.16451845328636619</v>
      </c>
      <c r="G14" s="332">
        <f t="shared" si="4"/>
        <v>0.26162379041774841</v>
      </c>
      <c r="H14" s="332">
        <f t="shared" si="5"/>
        <v>0.17150808836319359</v>
      </c>
      <c r="I14" s="332">
        <f t="shared" si="5"/>
        <v>0.34711108310755467</v>
      </c>
      <c r="J14" s="332">
        <f t="shared" si="5"/>
        <v>0.27791378392762106</v>
      </c>
      <c r="K14" s="332">
        <f t="shared" ref="K14" si="7">K5/K$9</f>
        <v>0.36163118748397027</v>
      </c>
      <c r="L14" s="332"/>
      <c r="M14" s="332"/>
      <c r="N14" s="332"/>
      <c r="O14" s="340">
        <f>O5/O$9</f>
        <v>0.24372557786893212</v>
      </c>
      <c r="P14" s="659"/>
      <c r="Q14" s="660"/>
      <c r="R14" s="661"/>
    </row>
    <row r="15" spans="2:22" ht="15">
      <c r="B15" s="323" t="s">
        <v>407</v>
      </c>
      <c r="C15" s="333">
        <f t="shared" si="3"/>
        <v>5.9246438556783384E-3</v>
      </c>
      <c r="D15" s="333">
        <f t="shared" si="3"/>
        <v>5.5032534957773778E-2</v>
      </c>
      <c r="E15" s="333">
        <f t="shared" si="4"/>
        <v>2.0246478873239437E-2</v>
      </c>
      <c r="F15" s="333">
        <f t="shared" si="4"/>
        <v>2.4017292450564404E-3</v>
      </c>
      <c r="G15" s="333">
        <f t="shared" si="4"/>
        <v>2.5135709228227519E-2</v>
      </c>
      <c r="H15" s="333">
        <f t="shared" si="5"/>
        <v>1.791615933205775E-2</v>
      </c>
      <c r="I15" s="333">
        <f t="shared" si="5"/>
        <v>8.4556738705815634E-2</v>
      </c>
      <c r="J15" s="333">
        <f t="shared" si="5"/>
        <v>3.1931878658861094E-3</v>
      </c>
      <c r="K15" s="333">
        <f t="shared" ref="K15" si="8">K6/K$9</f>
        <v>2.5647601949217746E-3</v>
      </c>
      <c r="L15" s="333"/>
      <c r="M15" s="333"/>
      <c r="N15" s="333"/>
      <c r="O15" s="341">
        <f>O6/O$9</f>
        <v>2.8169287894399191E-2</v>
      </c>
      <c r="P15" s="662"/>
      <c r="Q15" s="663"/>
      <c r="R15" s="664"/>
    </row>
    <row r="16" spans="2:22" ht="15">
      <c r="B16" s="325" t="s">
        <v>408</v>
      </c>
      <c r="C16" s="334">
        <f t="shared" si="3"/>
        <v>0.22979629876181601</v>
      </c>
      <c r="D16" s="334">
        <f t="shared" si="3"/>
        <v>0.36979094559047487</v>
      </c>
      <c r="E16" s="334">
        <f t="shared" si="4"/>
        <v>0.3480780516431925</v>
      </c>
      <c r="F16" s="334">
        <f t="shared" si="4"/>
        <v>0.48883195901048754</v>
      </c>
      <c r="G16" s="334">
        <f t="shared" si="4"/>
        <v>0.26705215954684919</v>
      </c>
      <c r="H16" s="334">
        <f t="shared" si="5"/>
        <v>0.33744999130283526</v>
      </c>
      <c r="I16" s="334">
        <f t="shared" si="5"/>
        <v>0.30628189780102072</v>
      </c>
      <c r="J16" s="334">
        <f t="shared" si="5"/>
        <v>0.35699840340606703</v>
      </c>
      <c r="K16" s="334">
        <f t="shared" ref="K16" si="9">K7/K$9</f>
        <v>0.26968453449602464</v>
      </c>
      <c r="L16" s="334"/>
      <c r="M16" s="334"/>
      <c r="N16" s="334"/>
      <c r="O16" s="342">
        <f>O7/O$9</f>
        <v>0.33210210151830322</v>
      </c>
      <c r="P16" s="659" t="s">
        <v>401</v>
      </c>
      <c r="Q16" s="660"/>
      <c r="R16" s="661"/>
    </row>
    <row r="17" spans="2:18" ht="15">
      <c r="B17" s="321" t="s">
        <v>409</v>
      </c>
      <c r="C17" s="332">
        <f t="shared" si="3"/>
        <v>0.42937025695646386</v>
      </c>
      <c r="D17" s="332">
        <f t="shared" si="3"/>
        <v>0.33884812404817943</v>
      </c>
      <c r="E17" s="332">
        <f t="shared" si="4"/>
        <v>0.33281983568075119</v>
      </c>
      <c r="F17" s="332">
        <f t="shared" si="4"/>
        <v>0.23913217516611959</v>
      </c>
      <c r="G17" s="332">
        <f t="shared" si="4"/>
        <v>0.28923766816143498</v>
      </c>
      <c r="H17" s="332">
        <f t="shared" si="5"/>
        <v>0.37136893372760482</v>
      </c>
      <c r="I17" s="332">
        <f t="shared" si="5"/>
        <v>0.16571104530275346</v>
      </c>
      <c r="J17" s="332">
        <f t="shared" si="5"/>
        <v>0.22022352315061203</v>
      </c>
      <c r="K17" s="332">
        <f t="shared" ref="K17" si="10">K8/K$9</f>
        <v>0.23775327006924851</v>
      </c>
      <c r="L17" s="332"/>
      <c r="M17" s="332"/>
      <c r="N17" s="332"/>
      <c r="O17" s="340">
        <f>O8/O$9</f>
        <v>0.29168529714807828</v>
      </c>
      <c r="P17" s="665"/>
      <c r="Q17" s="666"/>
      <c r="R17" s="667"/>
    </row>
  </sheetData>
  <mergeCells count="4">
    <mergeCell ref="P4:R6"/>
    <mergeCell ref="P7:R8"/>
    <mergeCell ref="P13:R15"/>
    <mergeCell ref="P16:R17"/>
  </mergeCells>
  <pageMargins left="0.7" right="0.7" top="0.75" bottom="0.75" header="0.3" footer="0.3"/>
  <pageSetup orientation="portrait" r:id="rId1"/>
  <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6">
    <tabColor rgb="FF00B050"/>
    <pageSetUpPr fitToPage="1"/>
  </sheetPr>
  <dimension ref="A1:BF123"/>
  <sheetViews>
    <sheetView showZeros="0" workbookViewId="0">
      <pane xSplit="7" ySplit="7" topLeftCell="H34" activePane="bottomRight" state="frozen"/>
      <selection pane="topRight"/>
      <selection pane="bottomLeft"/>
      <selection pane="bottomRight" activeCell="AC46" sqref="H46:AC46"/>
    </sheetView>
  </sheetViews>
  <sheetFormatPr defaultColWidth="9" defaultRowHeight="12.75"/>
  <cols>
    <col min="1" max="1" width="8.5703125" style="3" customWidth="1"/>
    <col min="2" max="2" width="7.42578125" style="3" customWidth="1"/>
    <col min="3" max="3" width="33.140625" customWidth="1"/>
    <col min="4" max="4" width="9.5703125" customWidth="1"/>
    <col min="5" max="5" width="8" customWidth="1"/>
    <col min="6" max="6" width="7" customWidth="1"/>
    <col min="7" max="7" width="17.140625" customWidth="1"/>
    <col min="8" max="8" width="10.5703125" customWidth="1"/>
    <col min="9" max="9" width="11.5703125" customWidth="1"/>
    <col min="10" max="10" width="8.5703125" customWidth="1"/>
    <col min="11" max="11" width="9.5703125" customWidth="1"/>
    <col min="12" max="12" width="10.5703125" customWidth="1"/>
    <col min="13" max="14" width="9.5703125" customWidth="1"/>
    <col min="15" max="16" width="8.42578125" customWidth="1"/>
    <col min="17" max="17" width="12.42578125" customWidth="1"/>
    <col min="18" max="18" width="7.5703125" customWidth="1"/>
    <col min="19" max="19" width="8.42578125" customWidth="1"/>
    <col min="20" max="20" width="9.42578125" customWidth="1"/>
    <col min="21" max="21" width="9.5703125" customWidth="1"/>
    <col min="22" max="22" width="11.5703125" customWidth="1"/>
    <col min="23" max="23" width="7.5703125" customWidth="1"/>
    <col min="24" max="24" width="13.42578125" customWidth="1"/>
    <col min="25" max="25" width="7.5703125" customWidth="1"/>
    <col min="26" max="26" width="11.42578125" customWidth="1"/>
    <col min="27" max="27" width="14.140625" customWidth="1"/>
    <col min="28" max="29" width="12.5703125" customWidth="1"/>
    <col min="30" max="30" width="14.5703125" customWidth="1"/>
    <col min="31" max="31" width="11.7109375" customWidth="1"/>
    <col min="32" max="32" width="14.42578125" customWidth="1"/>
  </cols>
  <sheetData>
    <row r="1" spans="1:58">
      <c r="I1" s="3"/>
    </row>
    <row r="2" spans="1:58" ht="27.75">
      <c r="B2" s="670" t="s">
        <v>492</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8">
      <c r="D3" s="5">
        <v>0.29166666666666702</v>
      </c>
      <c r="E3" s="5">
        <v>0.32638888888888901</v>
      </c>
      <c r="H3" s="6"/>
      <c r="I3" s="3"/>
      <c r="S3" s="3"/>
      <c r="AM3" s="6"/>
    </row>
    <row r="4" spans="1:58"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672"/>
      <c r="AC4" s="672"/>
      <c r="AD4" s="672"/>
      <c r="AE4" s="673"/>
      <c r="AF4" s="40"/>
      <c r="AK4" s="51"/>
      <c r="AL4" s="678"/>
      <c r="AM4" s="678"/>
      <c r="AN4" s="678"/>
      <c r="AO4" s="678"/>
      <c r="AP4" s="678"/>
      <c r="AQ4" s="678"/>
      <c r="AR4" s="678"/>
      <c r="AS4" s="678"/>
      <c r="AT4" s="678"/>
      <c r="AU4" s="678"/>
      <c r="AV4" s="678"/>
    </row>
    <row r="5" spans="1:58" ht="12.75" customHeight="1">
      <c r="A5" s="683"/>
      <c r="B5" s="686"/>
      <c r="C5" s="686"/>
      <c r="D5" s="689"/>
      <c r="E5" s="689"/>
      <c r="F5" s="689"/>
      <c r="G5" s="693"/>
      <c r="H5" s="676" t="s">
        <v>6</v>
      </c>
      <c r="I5" s="676" t="s">
        <v>7</v>
      </c>
      <c r="J5" s="676" t="s">
        <v>8</v>
      </c>
      <c r="K5" s="676" t="s">
        <v>9</v>
      </c>
      <c r="L5" s="676" t="s">
        <v>457</v>
      </c>
      <c r="M5" s="676" t="s">
        <v>11</v>
      </c>
      <c r="N5" s="676" t="s">
        <v>12</v>
      </c>
      <c r="O5" s="674" t="s">
        <v>13</v>
      </c>
      <c r="P5" s="674" t="s">
        <v>14</v>
      </c>
      <c r="Q5" s="674" t="s">
        <v>15</v>
      </c>
      <c r="R5" s="674" t="s">
        <v>16</v>
      </c>
      <c r="S5" s="674" t="s">
        <v>419</v>
      </c>
      <c r="T5" s="674" t="s">
        <v>18</v>
      </c>
      <c r="U5" s="674" t="s">
        <v>420</v>
      </c>
      <c r="V5" s="674" t="s">
        <v>20</v>
      </c>
      <c r="W5" s="674" t="s">
        <v>21</v>
      </c>
      <c r="X5" s="674" t="s">
        <v>458</v>
      </c>
      <c r="Y5" s="674" t="s">
        <v>421</v>
      </c>
      <c r="Z5" s="676" t="s">
        <v>24</v>
      </c>
      <c r="AA5" s="676" t="s">
        <v>25</v>
      </c>
      <c r="AB5" s="676" t="s">
        <v>56</v>
      </c>
      <c r="AC5" s="676" t="s">
        <v>27</v>
      </c>
      <c r="AD5" s="695" t="s">
        <v>422</v>
      </c>
      <c r="AE5" s="697" t="s">
        <v>423</v>
      </c>
      <c r="AF5" s="41" t="s">
        <v>424</v>
      </c>
      <c r="AH5" s="3"/>
      <c r="AI5" s="3"/>
      <c r="AJ5" s="3"/>
      <c r="AK5" s="3"/>
      <c r="AL5" s="3"/>
      <c r="AM5" s="52"/>
      <c r="AN5" s="3"/>
      <c r="AO5" s="3"/>
      <c r="AP5" s="3"/>
      <c r="AQ5" s="3"/>
      <c r="AR5" s="3"/>
      <c r="AS5" s="3"/>
      <c r="AT5" s="3"/>
      <c r="AU5" s="3"/>
      <c r="AV5" s="3"/>
      <c r="AW5" s="3"/>
      <c r="AX5" s="3"/>
    </row>
    <row r="6" spans="1:58" ht="12.75" customHeight="1">
      <c r="A6" s="683"/>
      <c r="B6" s="686"/>
      <c r="C6" s="686"/>
      <c r="D6" s="689"/>
      <c r="E6" s="689"/>
      <c r="F6" s="689"/>
      <c r="G6" s="693"/>
      <c r="H6" s="676"/>
      <c r="I6" s="676"/>
      <c r="J6" s="676"/>
      <c r="K6" s="676"/>
      <c r="L6" s="676"/>
      <c r="M6" s="676"/>
      <c r="N6" s="676"/>
      <c r="O6" s="674"/>
      <c r="P6" s="674"/>
      <c r="Q6" s="674"/>
      <c r="R6" s="674"/>
      <c r="S6" s="674"/>
      <c r="T6" s="674"/>
      <c r="U6" s="674"/>
      <c r="V6" s="674"/>
      <c r="W6" s="674"/>
      <c r="X6" s="674"/>
      <c r="Y6" s="674"/>
      <c r="Z6" s="676"/>
      <c r="AA6" s="676"/>
      <c r="AB6" s="676"/>
      <c r="AC6" s="676"/>
      <c r="AD6" s="695"/>
      <c r="AE6" s="698"/>
      <c r="AF6" s="41" t="s">
        <v>425</v>
      </c>
      <c r="AH6" s="3"/>
      <c r="AI6" s="3"/>
      <c r="AJ6" s="3"/>
      <c r="AK6" s="3"/>
      <c r="AL6" s="3"/>
      <c r="AM6" s="3"/>
      <c r="AN6" s="51"/>
      <c r="AO6" s="51"/>
      <c r="AP6" s="51"/>
      <c r="AQ6" s="51"/>
      <c r="AR6" s="51"/>
      <c r="AS6" s="51"/>
      <c r="AT6" s="51"/>
      <c r="AU6" s="3"/>
      <c r="AV6" s="51"/>
      <c r="AW6" s="3"/>
      <c r="AX6" s="3"/>
    </row>
    <row r="7" spans="1:58" ht="13.5" customHeight="1" thickBot="1">
      <c r="A7" s="684"/>
      <c r="B7" s="687"/>
      <c r="C7" s="687"/>
      <c r="D7" s="690"/>
      <c r="E7" s="690"/>
      <c r="F7" s="690"/>
      <c r="G7" s="694"/>
      <c r="H7" s="677"/>
      <c r="I7" s="677"/>
      <c r="J7" s="677"/>
      <c r="K7" s="677"/>
      <c r="L7" s="677"/>
      <c r="M7" s="677"/>
      <c r="N7" s="677"/>
      <c r="O7" s="675"/>
      <c r="P7" s="675"/>
      <c r="Q7" s="675"/>
      <c r="R7" s="675"/>
      <c r="S7" s="675"/>
      <c r="T7" s="675"/>
      <c r="U7" s="675"/>
      <c r="V7" s="675"/>
      <c r="W7" s="675"/>
      <c r="X7" s="675"/>
      <c r="Y7" s="675"/>
      <c r="Z7" s="677"/>
      <c r="AA7" s="677"/>
      <c r="AB7" s="677"/>
      <c r="AC7" s="677"/>
      <c r="AD7" s="696"/>
      <c r="AE7" s="698"/>
      <c r="AF7" s="42" t="s">
        <v>426</v>
      </c>
      <c r="AH7" s="3"/>
      <c r="AI7" s="3"/>
      <c r="AJ7" s="3"/>
      <c r="AK7" s="3"/>
      <c r="AL7" s="3"/>
      <c r="AM7" s="3"/>
      <c r="AN7" s="3"/>
      <c r="AO7" s="3"/>
      <c r="AP7" s="3"/>
      <c r="AQ7" s="3"/>
      <c r="AR7" s="3"/>
      <c r="AS7" s="3"/>
      <c r="AT7" s="3"/>
      <c r="AU7" s="3"/>
      <c r="AV7" s="3"/>
      <c r="AW7" s="3"/>
      <c r="AX7" s="3"/>
    </row>
    <row r="8" spans="1:58" s="136" customFormat="1" ht="13.5" thickTop="1">
      <c r="A8" s="7">
        <f>[5]September_206!$C8</f>
        <v>1</v>
      </c>
      <c r="B8" s="139">
        <f>[5]September_206!$B8</f>
        <v>46266</v>
      </c>
      <c r="C8" s="78" t="str">
        <f>[5]September_206!$D8</f>
        <v>STAG</v>
      </c>
      <c r="D8" s="691">
        <v>1</v>
      </c>
      <c r="E8" s="80">
        <v>1.0555555555555556</v>
      </c>
      <c r="F8" s="80">
        <v>1.6666666666666667</v>
      </c>
      <c r="G8" s="11">
        <v>0.72361111111111109</v>
      </c>
      <c r="H8" s="14">
        <v>2</v>
      </c>
      <c r="I8" s="34">
        <f>46+60</f>
        <v>106</v>
      </c>
      <c r="J8" s="35"/>
      <c r="K8" s="34"/>
      <c r="L8" s="34"/>
      <c r="M8" s="34"/>
      <c r="N8" s="34"/>
      <c r="O8" s="34">
        <f>'Uncaser Downtime Detail '!AG493</f>
        <v>38</v>
      </c>
      <c r="P8" s="34">
        <f>'Washer Downtime Detail'!BH499</f>
        <v>32</v>
      </c>
      <c r="Q8" s="34">
        <f>'EBI Downtime Detail'!AI495</f>
        <v>6</v>
      </c>
      <c r="R8" s="34">
        <f>'Filler Downtime Detail'!AK493</f>
        <v>40</v>
      </c>
      <c r="S8" s="34">
        <f>'Pasteurizer Downtime Detail'!Z480</f>
        <v>29</v>
      </c>
      <c r="T8" s="34">
        <f>'Labeler Downtime Detail'!AN479</f>
        <v>5</v>
      </c>
      <c r="U8" s="34">
        <f>'Videojet Downtime Detail '!O488</f>
        <v>4</v>
      </c>
      <c r="V8" s="34">
        <f>'Conveyor Downtime (new)'!AV494</f>
        <v>17</v>
      </c>
      <c r="W8" s="34">
        <f>'Packer Downtime Detail  '!AD484</f>
        <v>0</v>
      </c>
      <c r="X8" s="34">
        <f>'Carton Errector-sealer Detail'!P479</f>
        <v>0</v>
      </c>
      <c r="Y8" s="35"/>
      <c r="Z8" s="34">
        <f>12+40</f>
        <v>52</v>
      </c>
      <c r="AA8" s="90"/>
      <c r="AB8" s="90">
        <f>3+4+4</f>
        <v>11</v>
      </c>
      <c r="AC8" s="89"/>
      <c r="AD8" s="44">
        <f>SUM(H8:J8,K8:AC8)</f>
        <v>342</v>
      </c>
      <c r="AE8" s="669">
        <f>G9-D8</f>
        <v>1.1111111111111112</v>
      </c>
      <c r="AF8" s="499"/>
      <c r="AG8"/>
      <c r="AH8" s="3"/>
      <c r="AI8" s="23"/>
      <c r="AJ8" s="23"/>
      <c r="AK8" s="54"/>
      <c r="AL8" s="3"/>
      <c r="AM8" s="3"/>
      <c r="AN8" s="3"/>
      <c r="AO8" s="3"/>
      <c r="AP8" s="3"/>
      <c r="AQ8" s="3"/>
      <c r="AR8" s="3"/>
      <c r="AS8" s="3"/>
      <c r="AT8" s="3"/>
      <c r="AU8" s="3"/>
      <c r="AV8" s="3"/>
      <c r="AW8" s="3"/>
      <c r="AX8" s="3"/>
      <c r="AY8"/>
      <c r="AZ8"/>
      <c r="BA8"/>
      <c r="BB8"/>
      <c r="BC8"/>
      <c r="BD8"/>
      <c r="BE8"/>
      <c r="BF8"/>
    </row>
    <row r="9" spans="1:58" s="136" customFormat="1">
      <c r="A9" s="7">
        <f>[5]September_206!$C9</f>
        <v>1</v>
      </c>
      <c r="B9" s="139">
        <f>[5]September_206!$B9</f>
        <v>46266</v>
      </c>
      <c r="C9" s="78" t="str">
        <f>[5]September_206!$D9</f>
        <v>CARIB EXPORT</v>
      </c>
      <c r="D9" s="681"/>
      <c r="E9" s="80">
        <v>1.6944444444444444</v>
      </c>
      <c r="F9" s="80">
        <v>2</v>
      </c>
      <c r="G9" s="11">
        <v>2.1111111111111112</v>
      </c>
      <c r="H9" s="82"/>
      <c r="I9" s="32">
        <f>20+35+10</f>
        <v>65</v>
      </c>
      <c r="J9" s="86">
        <f>5</f>
        <v>5</v>
      </c>
      <c r="K9" s="71"/>
      <c r="L9" s="71">
        <f>10</f>
        <v>10</v>
      </c>
      <c r="M9" s="71"/>
      <c r="N9" s="71"/>
      <c r="O9" s="71">
        <f>'Uncaser Downtime Detail '!AG494</f>
        <v>0</v>
      </c>
      <c r="P9" s="71">
        <f>'Washer Downtime Detail'!BH500</f>
        <v>0</v>
      </c>
      <c r="Q9" s="71">
        <f>'EBI Downtime Detail'!AI496</f>
        <v>0</v>
      </c>
      <c r="R9" s="71">
        <f>'Filler Downtime Detail'!AK494</f>
        <v>5</v>
      </c>
      <c r="S9" s="71">
        <f>'Pasteurizer Downtime Detail'!Z481</f>
        <v>5</v>
      </c>
      <c r="T9" s="71">
        <f>'Labeler Downtime Detail'!AN480</f>
        <v>4</v>
      </c>
      <c r="U9" s="71">
        <f>'Videojet Downtime Detail '!O489</f>
        <v>0</v>
      </c>
      <c r="V9" s="71">
        <f>'Conveyor Downtime (new)'!AV495</f>
        <v>15</v>
      </c>
      <c r="W9" s="71">
        <f>'Packer Downtime Detail  '!AD485</f>
        <v>29</v>
      </c>
      <c r="X9" s="71">
        <f>'Carton Errector-sealer Detail'!P480</f>
        <v>63</v>
      </c>
      <c r="Y9" s="71"/>
      <c r="Z9" s="43">
        <f>16+30+4+3</f>
        <v>53</v>
      </c>
      <c r="AA9" s="88"/>
      <c r="AB9" s="88">
        <f>5</f>
        <v>5</v>
      </c>
      <c r="AC9" s="71"/>
      <c r="AD9" s="44">
        <f t="shared" ref="AD9:AD40" si="0">SUM(H9:J9,K9:AC9)</f>
        <v>259</v>
      </c>
      <c r="AE9" s="669"/>
      <c r="AF9"/>
      <c r="AG9"/>
      <c r="AH9" s="3"/>
      <c r="AI9" s="23"/>
      <c r="AJ9" s="23"/>
      <c r="AK9" s="54"/>
      <c r="AL9" s="3"/>
      <c r="AM9" s="3"/>
      <c r="AN9" s="3"/>
      <c r="AO9" s="3"/>
      <c r="AP9" s="3"/>
      <c r="AQ9" s="3"/>
      <c r="AR9" s="3"/>
      <c r="AS9" s="3"/>
      <c r="AT9" s="3"/>
      <c r="AU9" s="3"/>
      <c r="AV9" s="3"/>
      <c r="AW9" s="3"/>
      <c r="AX9" s="3"/>
      <c r="AY9"/>
      <c r="AZ9"/>
      <c r="BA9"/>
      <c r="BB9"/>
      <c r="BC9"/>
      <c r="BD9"/>
      <c r="BE9"/>
      <c r="BF9"/>
    </row>
    <row r="10" spans="1:58" s="136" customFormat="1" ht="12.75" customHeight="1">
      <c r="A10" s="7">
        <f>[5]September_206!$C10</f>
        <v>2</v>
      </c>
      <c r="B10" s="139">
        <f>[5]September_206!$B10</f>
        <v>46267</v>
      </c>
      <c r="C10" s="78" t="str">
        <f>[5]September_206!$D10</f>
        <v>CARIB EXPORT</v>
      </c>
      <c r="D10" s="681">
        <v>1</v>
      </c>
      <c r="E10" s="80">
        <v>1.0083333333333333</v>
      </c>
      <c r="F10" s="80">
        <v>1.4152777777777779</v>
      </c>
      <c r="G10" s="11"/>
      <c r="H10" s="14">
        <f>1+3</f>
        <v>4</v>
      </c>
      <c r="I10" s="34"/>
      <c r="J10" s="35">
        <f>2+3</f>
        <v>5</v>
      </c>
      <c r="K10" s="34"/>
      <c r="L10" s="34"/>
      <c r="M10" s="34"/>
      <c r="N10" s="34"/>
      <c r="O10" s="34">
        <f>'Uncaser Downtime Detail '!AG495</f>
        <v>7</v>
      </c>
      <c r="P10" s="34">
        <f>'Washer Downtime Detail'!BH501</f>
        <v>0</v>
      </c>
      <c r="Q10" s="34">
        <f>'EBI Downtime Detail'!AI497</f>
        <v>6</v>
      </c>
      <c r="R10" s="34">
        <f>'Filler Downtime Detail'!AK495</f>
        <v>7</v>
      </c>
      <c r="S10" s="34">
        <f>'Pasteurizer Downtime Detail'!Z482</f>
        <v>24</v>
      </c>
      <c r="T10" s="34">
        <f>'Labeler Downtime Detail'!AN481</f>
        <v>0</v>
      </c>
      <c r="U10" s="34">
        <f>'Videojet Downtime Detail '!O490</f>
        <v>0</v>
      </c>
      <c r="V10" s="34">
        <f>'Conveyor Downtime (new)'!AV496</f>
        <v>17</v>
      </c>
      <c r="W10" s="34">
        <f>'Packer Downtime Detail  '!AD486</f>
        <v>12</v>
      </c>
      <c r="X10" s="34">
        <f>'Carton Errector-sealer Detail'!P481</f>
        <v>56</v>
      </c>
      <c r="Y10" s="35"/>
      <c r="Z10" s="34">
        <f>12+10+30+13</f>
        <v>65</v>
      </c>
      <c r="AA10" s="90">
        <v>4</v>
      </c>
      <c r="AB10" s="169"/>
      <c r="AC10" s="89"/>
      <c r="AD10" s="44">
        <f t="shared" si="0"/>
        <v>207</v>
      </c>
      <c r="AE10" s="669">
        <f>G12-D10</f>
        <v>1.0479166666666666</v>
      </c>
      <c r="AF10"/>
      <c r="AG10"/>
      <c r="AH10" s="3"/>
      <c r="AI10" s="23"/>
      <c r="AJ10" s="23"/>
      <c r="AK10" s="54"/>
      <c r="AL10" s="3"/>
      <c r="AM10" s="3"/>
      <c r="AN10" s="3"/>
      <c r="AO10" s="3"/>
      <c r="AP10" s="3"/>
      <c r="AQ10" s="3"/>
      <c r="AR10" s="3"/>
      <c r="AS10" s="3"/>
      <c r="AT10" s="3"/>
      <c r="AU10" s="3"/>
      <c r="AV10" s="3"/>
      <c r="AW10" s="3"/>
      <c r="AX10" s="3"/>
      <c r="AY10"/>
      <c r="AZ10"/>
      <c r="BA10"/>
      <c r="BB10"/>
      <c r="BC10"/>
      <c r="BD10"/>
      <c r="BE10"/>
      <c r="BF10"/>
    </row>
    <row r="11" spans="1:58" s="136" customFormat="1" ht="12.75" customHeight="1">
      <c r="A11" s="7">
        <f>[5]September_206!$C11</f>
        <v>2</v>
      </c>
      <c r="B11" s="139">
        <f>[5]September_206!$B11</f>
        <v>46267</v>
      </c>
      <c r="C11" s="78" t="str">
        <f>[5]September_206!$D11</f>
        <v>CARIB FLINT LOCAL</v>
      </c>
      <c r="D11" s="681"/>
      <c r="E11" s="80">
        <v>1.4340277777777777</v>
      </c>
      <c r="F11" s="80">
        <v>1.7104166666666667</v>
      </c>
      <c r="G11" s="11">
        <v>0.77500000000000002</v>
      </c>
      <c r="H11" s="82">
        <v>2</v>
      </c>
      <c r="I11" s="32">
        <f>2+25</f>
        <v>27</v>
      </c>
      <c r="J11" s="86"/>
      <c r="K11" s="71"/>
      <c r="L11" s="71"/>
      <c r="M11" s="71"/>
      <c r="N11" s="71"/>
      <c r="O11" s="71">
        <f>'Uncaser Downtime Detail '!AG496</f>
        <v>0</v>
      </c>
      <c r="P11" s="71">
        <f>'Washer Downtime Detail'!BH502</f>
        <v>0</v>
      </c>
      <c r="Q11" s="71">
        <f>'EBI Downtime Detail'!AI498</f>
        <v>6</v>
      </c>
      <c r="R11" s="71">
        <f>'Filler Downtime Detail'!AK496</f>
        <v>33</v>
      </c>
      <c r="S11" s="71">
        <f>'Pasteurizer Downtime Detail'!Z483</f>
        <v>0</v>
      </c>
      <c r="T11" s="71">
        <f>'Labeler Downtime Detail'!AN482</f>
        <v>0</v>
      </c>
      <c r="U11" s="71">
        <f>'Videojet Downtime Detail '!O491</f>
        <v>0</v>
      </c>
      <c r="V11" s="71">
        <f>'Conveyor Downtime (new)'!AV497</f>
        <v>9</v>
      </c>
      <c r="W11" s="71">
        <f>'Packer Downtime Detail  '!AD487</f>
        <v>0</v>
      </c>
      <c r="X11" s="71">
        <f>'Carton Errector-sealer Detail'!P482</f>
        <v>0</v>
      </c>
      <c r="Y11" s="71"/>
      <c r="Z11" s="43">
        <f>30+15</f>
        <v>45</v>
      </c>
      <c r="AA11" s="88"/>
      <c r="AB11" s="88">
        <f>6+2+3+3+3</f>
        <v>17</v>
      </c>
      <c r="AC11" s="71"/>
      <c r="AD11" s="44">
        <f t="shared" si="0"/>
        <v>139</v>
      </c>
      <c r="AE11" s="669"/>
      <c r="AF11"/>
      <c r="AG11"/>
      <c r="AH11" s="3"/>
      <c r="AI11" s="23"/>
      <c r="AJ11" s="23"/>
      <c r="AK11" s="54"/>
      <c r="AL11" s="3"/>
      <c r="AM11" s="3"/>
      <c r="AN11" s="3"/>
      <c r="AO11" s="3"/>
      <c r="AP11" s="3"/>
      <c r="AQ11" s="3"/>
      <c r="AR11" s="3"/>
      <c r="AS11" s="3"/>
      <c r="AT11" s="3"/>
      <c r="AU11" s="3"/>
      <c r="AV11" s="3"/>
      <c r="AW11" s="3"/>
      <c r="AX11" s="3"/>
      <c r="AY11"/>
      <c r="AZ11"/>
      <c r="BA11"/>
      <c r="BB11"/>
      <c r="BC11"/>
      <c r="BD11"/>
      <c r="BE11"/>
      <c r="BF11"/>
    </row>
    <row r="12" spans="1:58" s="136" customFormat="1" ht="13.5" customHeight="1">
      <c r="A12" s="7">
        <f>[5]September_206!$C12</f>
        <v>2</v>
      </c>
      <c r="B12" s="139">
        <f>[5]September_206!$B12</f>
        <v>46267</v>
      </c>
      <c r="C12" s="78" t="str">
        <f>[5]September_206!$D12</f>
        <v>CARIB AMBER</v>
      </c>
      <c r="D12" s="681"/>
      <c r="E12" s="80">
        <v>1.7152777777777777</v>
      </c>
      <c r="F12" s="80">
        <v>2</v>
      </c>
      <c r="G12" s="11">
        <v>2.0479166666666666</v>
      </c>
      <c r="H12" s="14">
        <v>3</v>
      </c>
      <c r="I12" s="34">
        <f>7+9</f>
        <v>16</v>
      </c>
      <c r="J12" s="315">
        <v>2</v>
      </c>
      <c r="K12" s="34"/>
      <c r="L12" s="34"/>
      <c r="M12" s="34"/>
      <c r="N12" s="34"/>
      <c r="O12" s="34">
        <f>'Uncaser Downtime Detail '!AG497</f>
        <v>0</v>
      </c>
      <c r="P12" s="34">
        <f>'Washer Downtime Detail'!BH503</f>
        <v>15</v>
      </c>
      <c r="Q12" s="34">
        <f>'EBI Downtime Detail'!AI499</f>
        <v>9</v>
      </c>
      <c r="R12" s="34">
        <f>'Filler Downtime Detail'!AK497</f>
        <v>4</v>
      </c>
      <c r="S12" s="34">
        <f>'Pasteurizer Downtime Detail'!Z484</f>
        <v>0</v>
      </c>
      <c r="T12" s="34">
        <f>'Labeler Downtime Detail'!AN483</f>
        <v>34</v>
      </c>
      <c r="U12" s="34">
        <f>'Videojet Downtime Detail '!O492</f>
        <v>0</v>
      </c>
      <c r="V12" s="34">
        <f>'Conveyor Downtime (new)'!AV498</f>
        <v>5</v>
      </c>
      <c r="W12" s="34">
        <f>'Packer Downtime Detail  '!AD488</f>
        <v>0</v>
      </c>
      <c r="X12" s="34">
        <f>'Carton Errector-sealer Detail'!P483</f>
        <v>0</v>
      </c>
      <c r="Y12" s="35"/>
      <c r="Z12" s="34">
        <f>12</f>
        <v>12</v>
      </c>
      <c r="AA12" s="90"/>
      <c r="AB12" s="90"/>
      <c r="AC12" s="89"/>
      <c r="AD12" s="44">
        <f t="shared" si="0"/>
        <v>100</v>
      </c>
      <c r="AE12" s="669"/>
      <c r="AF12"/>
      <c r="AG12"/>
      <c r="AH12" s="3"/>
      <c r="AI12" s="23"/>
      <c r="AJ12" s="23"/>
      <c r="AK12" s="54"/>
      <c r="AL12" s="3"/>
      <c r="AM12" s="3"/>
      <c r="AN12" s="3"/>
      <c r="AO12" s="3"/>
      <c r="AP12" s="3"/>
      <c r="AQ12" s="3"/>
      <c r="AR12" s="3"/>
      <c r="AS12" s="3"/>
      <c r="AT12" s="3"/>
      <c r="AU12" s="3"/>
      <c r="AV12" s="3"/>
      <c r="AW12" s="3"/>
      <c r="AX12" s="3"/>
      <c r="AY12"/>
      <c r="AZ12"/>
      <c r="BA12"/>
      <c r="BB12"/>
      <c r="BC12"/>
      <c r="BD12"/>
      <c r="BE12"/>
      <c r="BF12"/>
    </row>
    <row r="13" spans="1:58" s="136" customFormat="1" ht="13.5" customHeight="1">
      <c r="A13" s="7">
        <f>[5]September_206!$C13</f>
        <v>3</v>
      </c>
      <c r="B13" s="139">
        <f>[5]September_206!$B13</f>
        <v>46268</v>
      </c>
      <c r="C13" s="78" t="str">
        <f>[5]September_206!$D13</f>
        <v>CARIB AMBER</v>
      </c>
      <c r="D13" s="681">
        <v>1</v>
      </c>
      <c r="E13" s="80">
        <v>1</v>
      </c>
      <c r="F13" s="80">
        <v>1.1388888888888888</v>
      </c>
      <c r="G13" s="11"/>
      <c r="H13" s="82">
        <v>2</v>
      </c>
      <c r="I13" s="32"/>
      <c r="J13" s="86"/>
      <c r="K13" s="71"/>
      <c r="L13" s="71"/>
      <c r="M13" s="71"/>
      <c r="N13" s="71"/>
      <c r="O13" s="71">
        <f>'Uncaser Downtime Detail '!AG498</f>
        <v>0</v>
      </c>
      <c r="P13" s="71">
        <f>'Washer Downtime Detail'!BH504</f>
        <v>0</v>
      </c>
      <c r="Q13" s="71">
        <f>'EBI Downtime Detail'!AI500</f>
        <v>11</v>
      </c>
      <c r="R13" s="71">
        <f>'Filler Downtime Detail'!AK498</f>
        <v>1</v>
      </c>
      <c r="S13" s="71">
        <f>'Pasteurizer Downtime Detail'!Z485</f>
        <v>0</v>
      </c>
      <c r="T13" s="71">
        <f>'Labeler Downtime Detail'!AN484</f>
        <v>0</v>
      </c>
      <c r="U13" s="71">
        <f>'Videojet Downtime Detail '!O493</f>
        <v>0</v>
      </c>
      <c r="V13" s="71">
        <f>'Conveyor Downtime (new)'!AV499</f>
        <v>9</v>
      </c>
      <c r="W13" s="71">
        <f>'Packer Downtime Detail  '!AD489</f>
        <v>0</v>
      </c>
      <c r="X13" s="71">
        <f>'Carton Errector-sealer Detail'!P484</f>
        <v>0</v>
      </c>
      <c r="Y13" s="71"/>
      <c r="Z13" s="43"/>
      <c r="AA13" s="88"/>
      <c r="AB13" s="88"/>
      <c r="AC13" s="71"/>
      <c r="AD13" s="44">
        <f t="shared" si="0"/>
        <v>23</v>
      </c>
      <c r="AE13" s="669">
        <f>G15-D13</f>
        <v>1.03125</v>
      </c>
      <c r="AF13"/>
      <c r="AG13"/>
      <c r="AH13" s="3"/>
      <c r="AI13" s="23"/>
      <c r="AJ13" s="23"/>
      <c r="AK13" s="54"/>
      <c r="AL13" s="3"/>
      <c r="AM13" s="3"/>
      <c r="AN13" s="3"/>
      <c r="AO13" s="3"/>
      <c r="AP13" s="3"/>
      <c r="AQ13" s="3"/>
      <c r="AR13" s="3"/>
      <c r="AS13" s="3"/>
      <c r="AT13" s="3"/>
      <c r="AU13" s="3"/>
      <c r="AV13" s="3"/>
      <c r="AW13" s="3"/>
      <c r="AX13" s="3"/>
      <c r="AY13"/>
      <c r="AZ13"/>
      <c r="BA13"/>
      <c r="BB13"/>
      <c r="BC13"/>
      <c r="BD13"/>
      <c r="BE13"/>
      <c r="BF13"/>
    </row>
    <row r="14" spans="1:58" ht="12.75" customHeight="1">
      <c r="A14" s="7">
        <f>[5]September_206!$C14</f>
        <v>3</v>
      </c>
      <c r="B14" s="139">
        <f>[5]September_206!$B14</f>
        <v>46268</v>
      </c>
      <c r="C14" s="78" t="str">
        <f>[5]September_206!$D14</f>
        <v>STAG</v>
      </c>
      <c r="D14" s="681"/>
      <c r="E14" s="80">
        <v>1.1784722222222221</v>
      </c>
      <c r="F14" s="80">
        <v>1.7479166666666666</v>
      </c>
      <c r="G14" s="11">
        <v>1.8222222222222222</v>
      </c>
      <c r="H14" s="14"/>
      <c r="I14" s="34">
        <v>12</v>
      </c>
      <c r="J14" s="35">
        <f>3</f>
        <v>3</v>
      </c>
      <c r="K14" s="34"/>
      <c r="L14" s="34"/>
      <c r="M14" s="34"/>
      <c r="N14" s="34"/>
      <c r="O14" s="34">
        <f>'Uncaser Downtime Detail '!AG499</f>
        <v>0</v>
      </c>
      <c r="P14" s="34">
        <f>'Washer Downtime Detail'!BH505</f>
        <v>17</v>
      </c>
      <c r="Q14" s="34">
        <f>'EBI Downtime Detail'!AI501</f>
        <v>7</v>
      </c>
      <c r="R14" s="34">
        <f>'Filler Downtime Detail'!AK499</f>
        <v>4</v>
      </c>
      <c r="S14" s="34">
        <f>'Pasteurizer Downtime Detail'!Z486</f>
        <v>5</v>
      </c>
      <c r="T14" s="34">
        <f>'Labeler Downtime Detail'!AN485</f>
        <v>3</v>
      </c>
      <c r="U14" s="34">
        <f>'Videojet Downtime Detail '!O494</f>
        <v>44</v>
      </c>
      <c r="V14" s="34">
        <f>'Conveyor Downtime (new)'!AV500</f>
        <v>20</v>
      </c>
      <c r="W14" s="34">
        <f>'Packer Downtime Detail  '!AD490</f>
        <v>11</v>
      </c>
      <c r="X14" s="34">
        <f>'Carton Errector-sealer Detail'!P485</f>
        <v>0</v>
      </c>
      <c r="Y14" s="35"/>
      <c r="Z14" s="34">
        <f>40+17+48</f>
        <v>105</v>
      </c>
      <c r="AA14" s="90">
        <v>2</v>
      </c>
      <c r="AB14" s="90">
        <f>6+4</f>
        <v>10</v>
      </c>
      <c r="AC14" s="89"/>
      <c r="AD14" s="44">
        <f t="shared" si="0"/>
        <v>243</v>
      </c>
      <c r="AE14" s="669"/>
      <c r="AH14" s="3"/>
      <c r="AI14" s="23"/>
      <c r="AJ14" s="23"/>
      <c r="AK14" s="54"/>
      <c r="AL14" s="3"/>
      <c r="AM14" s="3"/>
      <c r="AN14" s="3"/>
      <c r="AO14" s="3"/>
      <c r="AP14" s="3"/>
      <c r="AQ14" s="3"/>
      <c r="AR14" s="3"/>
      <c r="AS14" s="3"/>
      <c r="AT14" s="3"/>
      <c r="AU14" s="3"/>
      <c r="AV14" s="3"/>
      <c r="AW14" s="3"/>
      <c r="AX14" s="3"/>
    </row>
    <row r="15" spans="1:58">
      <c r="A15" s="7">
        <f>[5]September_206!$C15</f>
        <v>3</v>
      </c>
      <c r="B15" s="139">
        <f>[5]September_206!$B15</f>
        <v>46268</v>
      </c>
      <c r="C15" s="78" t="str">
        <f>[5]September_206!$D15</f>
        <v>GINSENG UP ORIGINAL</v>
      </c>
      <c r="D15" s="681"/>
      <c r="E15" s="80">
        <v>1.9402777777777778</v>
      </c>
      <c r="F15" s="80">
        <v>2</v>
      </c>
      <c r="G15" s="11">
        <v>2.03125</v>
      </c>
      <c r="H15" s="82"/>
      <c r="I15" s="32">
        <f>60+15</f>
        <v>75</v>
      </c>
      <c r="J15" s="86">
        <f>45+60+60+30</f>
        <v>195</v>
      </c>
      <c r="K15" s="71"/>
      <c r="L15" s="71"/>
      <c r="M15" s="71"/>
      <c r="N15" s="71">
        <f>13</f>
        <v>13</v>
      </c>
      <c r="O15" s="71"/>
      <c r="P15" s="71">
        <f>'Washer Downtime Detail'!BH506</f>
        <v>0</v>
      </c>
      <c r="Q15" s="71">
        <f>'EBI Downtime Detail'!AI502</f>
        <v>9</v>
      </c>
      <c r="R15" s="71">
        <f>'Filler Downtime Detail'!AK500</f>
        <v>0</v>
      </c>
      <c r="S15" s="71">
        <f>'Pasteurizer Downtime Detail'!Z487</f>
        <v>0</v>
      </c>
      <c r="T15" s="71">
        <f>'Labeler Downtime Detail'!AN486</f>
        <v>0</v>
      </c>
      <c r="U15" s="71">
        <f>'Videojet Downtime Detail '!O495</f>
        <v>0</v>
      </c>
      <c r="V15" s="71">
        <f>'Conveyor Downtime (new)'!AV501</f>
        <v>0</v>
      </c>
      <c r="W15" s="71">
        <f>'Packer Downtime Detail  '!AD491</f>
        <v>0</v>
      </c>
      <c r="X15" s="71">
        <f>'Carton Errector-sealer Detail'!P486</f>
        <v>0</v>
      </c>
      <c r="Y15" s="71"/>
      <c r="Z15" s="43"/>
      <c r="AA15" s="88"/>
      <c r="AB15" s="88">
        <f>1+2+2</f>
        <v>5</v>
      </c>
      <c r="AC15" s="71"/>
      <c r="AD15" s="44">
        <f t="shared" si="0"/>
        <v>297</v>
      </c>
      <c r="AE15" s="669"/>
      <c r="AH15" s="3"/>
      <c r="AI15" s="23"/>
      <c r="AJ15" s="23"/>
      <c r="AK15" s="54"/>
      <c r="AL15" s="3"/>
      <c r="AM15" s="3"/>
      <c r="AN15" s="3"/>
      <c r="AO15" s="3"/>
      <c r="AP15" s="3"/>
      <c r="AQ15" s="3"/>
      <c r="AR15" s="3"/>
      <c r="AS15" s="3"/>
      <c r="AT15" s="3"/>
      <c r="AU15" s="3"/>
      <c r="AV15" s="3"/>
      <c r="AW15" s="3"/>
      <c r="AX15" s="3"/>
    </row>
    <row r="16" spans="1:58" ht="16.5">
      <c r="A16" s="7">
        <f>[5]September_206!$C16</f>
        <v>4</v>
      </c>
      <c r="B16" s="139">
        <f>[5]September_206!$B16</f>
        <v>46269</v>
      </c>
      <c r="C16" s="78" t="str">
        <f>[5]September_206!$D16</f>
        <v>GINSENG UP ORIGINAL</v>
      </c>
      <c r="D16" s="93">
        <v>1</v>
      </c>
      <c r="E16" s="80">
        <v>1</v>
      </c>
      <c r="F16" s="80">
        <v>1.1715277777777777</v>
      </c>
      <c r="G16" s="11">
        <v>1.2722222222222221</v>
      </c>
      <c r="H16" s="14"/>
      <c r="I16" s="34"/>
      <c r="J16" s="35"/>
      <c r="K16" s="34"/>
      <c r="L16" s="34"/>
      <c r="M16" s="34"/>
      <c r="N16" s="34">
        <v>45</v>
      </c>
      <c r="O16" s="34">
        <f>'Uncaser Downtime Detail '!AG501</f>
        <v>0</v>
      </c>
      <c r="P16" s="34">
        <f>'Washer Downtime Detail'!BH507</f>
        <v>0</v>
      </c>
      <c r="Q16" s="34">
        <f>'EBI Downtime Detail'!AI503</f>
        <v>0</v>
      </c>
      <c r="R16" s="34">
        <f>'Filler Downtime Detail'!AK501</f>
        <v>0</v>
      </c>
      <c r="S16" s="34">
        <f>'Pasteurizer Downtime Detail'!Z488</f>
        <v>4</v>
      </c>
      <c r="T16" s="34">
        <f>'Labeler Downtime Detail'!AN487</f>
        <v>0</v>
      </c>
      <c r="U16" s="34">
        <f>'Videojet Downtime Detail '!O496</f>
        <v>0</v>
      </c>
      <c r="V16" s="34">
        <f>'Conveyor Downtime (new)'!AV502</f>
        <v>0</v>
      </c>
      <c r="W16" s="34">
        <f>'Packer Downtime Detail  '!AD492</f>
        <v>0</v>
      </c>
      <c r="X16" s="34">
        <f>'Carton Errector-sealer Detail'!P487</f>
        <v>0</v>
      </c>
      <c r="Y16" s="35"/>
      <c r="Z16" s="34"/>
      <c r="AA16" s="90"/>
      <c r="AB16" s="90">
        <f>2+2+1+1+2+1+3+2+2+2+1+1+2</f>
        <v>22</v>
      </c>
      <c r="AC16" s="89"/>
      <c r="AD16" s="44">
        <f t="shared" si="0"/>
        <v>71</v>
      </c>
      <c r="AE16" s="236">
        <f>G16-D16</f>
        <v>0.27222222222222214</v>
      </c>
      <c r="AH16" s="3"/>
      <c r="AI16" s="23"/>
      <c r="AJ16" s="23"/>
      <c r="AK16" s="54"/>
      <c r="AL16" s="3"/>
      <c r="AM16" s="3"/>
      <c r="AN16" s="3"/>
      <c r="AO16" s="3"/>
      <c r="AP16" s="3"/>
      <c r="AQ16" s="3"/>
      <c r="AR16" s="3"/>
      <c r="AS16" s="3"/>
      <c r="AT16" s="3"/>
      <c r="AU16" s="3"/>
      <c r="AV16" s="3"/>
      <c r="AW16" s="3"/>
      <c r="AX16" s="3"/>
    </row>
    <row r="17" spans="1:58" ht="16.5">
      <c r="A17" s="7">
        <f>[5]September_206!$C17</f>
        <v>5</v>
      </c>
      <c r="B17" s="139">
        <f>[5]September_206!$B17</f>
        <v>46273</v>
      </c>
      <c r="C17" s="78" t="str">
        <f>[5]September_206!$D17</f>
        <v>CARIB AMBER</v>
      </c>
      <c r="D17" s="93">
        <v>0.29166666666666669</v>
      </c>
      <c r="E17" s="80">
        <v>0.3888888888888889</v>
      </c>
      <c r="F17" s="80">
        <v>0.91666666666666663</v>
      </c>
      <c r="G17" s="11">
        <v>0.96388888888888891</v>
      </c>
      <c r="H17" s="82"/>
      <c r="I17" s="32"/>
      <c r="J17" s="86">
        <f>3</f>
        <v>3</v>
      </c>
      <c r="K17" s="71"/>
      <c r="L17" s="71"/>
      <c r="M17" s="71"/>
      <c r="N17" s="71"/>
      <c r="O17" s="71">
        <f>'Uncaser Downtime Detail '!AG502</f>
        <v>20</v>
      </c>
      <c r="P17" s="71">
        <f>'Washer Downtime Detail'!BH508</f>
        <v>2</v>
      </c>
      <c r="Q17" s="71">
        <f>'EBI Downtime Detail'!AI504</f>
        <v>3</v>
      </c>
      <c r="R17" s="71">
        <f>'Filler Downtime Detail'!AK502</f>
        <v>4</v>
      </c>
      <c r="S17" s="71">
        <f>'Pasteurizer Downtime Detail'!Z489</f>
        <v>181</v>
      </c>
      <c r="T17" s="71">
        <f>'Labeler Downtime Detail'!AN488</f>
        <v>5</v>
      </c>
      <c r="U17" s="71">
        <f>'Videojet Downtime Detail '!O497</f>
        <v>0</v>
      </c>
      <c r="V17" s="71">
        <f>'Conveyor Downtime (new)'!AV503</f>
        <v>90</v>
      </c>
      <c r="W17" s="71">
        <f>'Packer Downtime Detail  '!AD493</f>
        <v>50</v>
      </c>
      <c r="X17" s="71">
        <f>'Carton Errector-sealer Detail'!P488</f>
        <v>0</v>
      </c>
      <c r="Y17" s="71"/>
      <c r="Z17" s="43">
        <f>60+8</f>
        <v>68</v>
      </c>
      <c r="AA17" s="88"/>
      <c r="AB17" s="88"/>
      <c r="AC17" s="71"/>
      <c r="AD17" s="44">
        <f t="shared" si="0"/>
        <v>426</v>
      </c>
      <c r="AE17" s="236">
        <f>G17-D17</f>
        <v>0.67222222222222228</v>
      </c>
      <c r="AH17" s="3"/>
      <c r="AI17" s="23"/>
      <c r="AJ17" s="23"/>
      <c r="AK17" s="54"/>
      <c r="AL17" s="3"/>
      <c r="AM17" s="3"/>
      <c r="AN17" s="3"/>
      <c r="AO17" s="3"/>
      <c r="AP17" s="3"/>
      <c r="AQ17" s="3"/>
      <c r="AR17" s="3"/>
      <c r="AS17" s="3"/>
      <c r="AT17" s="3"/>
      <c r="AU17" s="3"/>
      <c r="AV17" s="3"/>
      <c r="AW17" s="3"/>
      <c r="AX17" s="3"/>
    </row>
    <row r="18" spans="1:58" s="137" customFormat="1" ht="16.5">
      <c r="A18" s="7">
        <f>[5]September_206!$C18</f>
        <v>6</v>
      </c>
      <c r="B18" s="139">
        <f>[5]September_206!$B18</f>
        <v>46274</v>
      </c>
      <c r="C18" s="78" t="str">
        <f>[5]September_206!$D18</f>
        <v>CARIB AMBER</v>
      </c>
      <c r="D18" s="93">
        <v>0.29236111111111113</v>
      </c>
      <c r="E18" s="80">
        <v>0.34375</v>
      </c>
      <c r="F18" s="80">
        <v>0.90277777777777779</v>
      </c>
      <c r="G18" s="11">
        <v>0.95763888888888893</v>
      </c>
      <c r="H18" s="14">
        <f>1</f>
        <v>1</v>
      </c>
      <c r="I18" s="34"/>
      <c r="J18" s="35">
        <f>2+3</f>
        <v>5</v>
      </c>
      <c r="K18" s="34"/>
      <c r="L18" s="34"/>
      <c r="M18" s="34"/>
      <c r="N18" s="34">
        <f>30</f>
        <v>30</v>
      </c>
      <c r="O18" s="34">
        <f>'Uncaser Downtime Detail '!AG503</f>
        <v>10</v>
      </c>
      <c r="P18" s="34">
        <f>'Washer Downtime Detail'!BH509</f>
        <v>7</v>
      </c>
      <c r="Q18" s="34">
        <f>'EBI Downtime Detail'!AI505</f>
        <v>12</v>
      </c>
      <c r="R18" s="34">
        <f>'Filler Downtime Detail'!AK503</f>
        <v>9</v>
      </c>
      <c r="S18" s="34">
        <f>'Pasteurizer Downtime Detail'!Z490</f>
        <v>2</v>
      </c>
      <c r="T18" s="34">
        <f>'Labeler Downtime Detail'!AN489</f>
        <v>0</v>
      </c>
      <c r="U18" s="34">
        <f>'Videojet Downtime Detail '!O498</f>
        <v>0</v>
      </c>
      <c r="V18" s="34">
        <f>'Conveyor Downtime (new)'!AV504</f>
        <v>23</v>
      </c>
      <c r="W18" s="34">
        <f>'Packer Downtime Detail  '!AD494</f>
        <v>4</v>
      </c>
      <c r="X18" s="34">
        <f>'Carton Errector-sealer Detail'!P489</f>
        <v>0</v>
      </c>
      <c r="Y18" s="35"/>
      <c r="Z18" s="34">
        <f>60+3+12</f>
        <v>75</v>
      </c>
      <c r="AA18" s="90"/>
      <c r="AB18" s="90"/>
      <c r="AC18" s="89"/>
      <c r="AD18" s="44">
        <f t="shared" si="0"/>
        <v>178</v>
      </c>
      <c r="AE18" s="236">
        <f>G18-D18</f>
        <v>0.66527777777777786</v>
      </c>
      <c r="AF18"/>
      <c r="AG18"/>
      <c r="AH18" s="3"/>
      <c r="AI18" s="23"/>
      <c r="AJ18" s="23"/>
      <c r="AK18" s="54"/>
      <c r="AL18" s="3"/>
      <c r="AM18" s="3"/>
      <c r="AN18" s="3"/>
      <c r="AO18" s="3"/>
      <c r="AP18" s="3"/>
      <c r="AQ18" s="3"/>
      <c r="AR18" s="3"/>
      <c r="AS18" s="3"/>
      <c r="AT18" s="3"/>
      <c r="AU18" s="3"/>
      <c r="AV18" s="3"/>
      <c r="AW18" s="3"/>
      <c r="AX18" s="3"/>
      <c r="AY18"/>
      <c r="AZ18"/>
      <c r="BA18"/>
      <c r="BB18"/>
      <c r="BC18"/>
      <c r="BD18"/>
      <c r="BE18"/>
      <c r="BF18"/>
    </row>
    <row r="19" spans="1:58" ht="16.5" customHeight="1">
      <c r="A19" s="7">
        <f>[5]September_206!$C19</f>
        <v>7</v>
      </c>
      <c r="B19" s="139">
        <f>[5]September_206!$B19</f>
        <v>46275</v>
      </c>
      <c r="C19" s="78" t="str">
        <f>[5]September_206!$D19</f>
        <v>CARIB AMBER</v>
      </c>
      <c r="D19" s="93">
        <v>1.2930555555555556</v>
      </c>
      <c r="E19" s="80">
        <v>1.3472222222222223</v>
      </c>
      <c r="F19" s="80">
        <v>1.9027777777777777</v>
      </c>
      <c r="G19" s="11">
        <v>1.9520833333333334</v>
      </c>
      <c r="H19" s="82"/>
      <c r="I19" s="32"/>
      <c r="J19" s="86">
        <f>2</f>
        <v>2</v>
      </c>
      <c r="K19" s="71"/>
      <c r="L19" s="71"/>
      <c r="M19" s="71"/>
      <c r="N19" s="71"/>
      <c r="O19" s="71">
        <f>'Uncaser Downtime Detail '!AG504</f>
        <v>11</v>
      </c>
      <c r="P19" s="71">
        <f>'Washer Downtime Detail'!BH510</f>
        <v>5</v>
      </c>
      <c r="Q19" s="71">
        <f>'EBI Downtime Detail'!AI506</f>
        <v>37</v>
      </c>
      <c r="R19" s="71">
        <f>'Filler Downtime Detail'!AK504</f>
        <v>3</v>
      </c>
      <c r="S19" s="71">
        <f>'Pasteurizer Downtime Detail'!Z491</f>
        <v>20</v>
      </c>
      <c r="T19" s="71">
        <f>'Labeler Downtime Detail'!AN490</f>
        <v>0</v>
      </c>
      <c r="U19" s="71">
        <f>'Videojet Downtime Detail '!O499</f>
        <v>0</v>
      </c>
      <c r="V19" s="71">
        <f>'Conveyor Downtime (new)'!AV505</f>
        <v>15</v>
      </c>
      <c r="W19" s="71">
        <f>'Packer Downtime Detail  '!AD495</f>
        <v>0</v>
      </c>
      <c r="X19" s="71">
        <f>'Carton Errector-sealer Detail'!P490</f>
        <v>0</v>
      </c>
      <c r="Y19" s="71"/>
      <c r="Z19" s="43">
        <f>11+5+5+3</f>
        <v>24</v>
      </c>
      <c r="AA19" s="88"/>
      <c r="AB19" s="88"/>
      <c r="AC19" s="71"/>
      <c r="AD19" s="44">
        <f t="shared" si="0"/>
        <v>117</v>
      </c>
      <c r="AE19" s="236">
        <f>G19-D19</f>
        <v>0.65902777777777777</v>
      </c>
      <c r="AH19" s="3"/>
      <c r="AI19" s="23"/>
      <c r="AJ19" s="23"/>
      <c r="AK19" s="54"/>
      <c r="AL19" s="3"/>
      <c r="AM19" s="3"/>
      <c r="AN19" s="3"/>
      <c r="AO19" s="3"/>
      <c r="AP19" s="3"/>
      <c r="AQ19" s="3"/>
      <c r="AR19" s="3"/>
      <c r="AS19" s="3"/>
      <c r="AT19" s="3"/>
      <c r="AU19" s="3"/>
      <c r="AV19" s="3"/>
      <c r="AW19" s="3"/>
      <c r="AX19" s="3"/>
    </row>
    <row r="20" spans="1:58" ht="14.25" customHeight="1">
      <c r="A20" s="7">
        <f>[5]September_206!$C20</f>
        <v>8</v>
      </c>
      <c r="B20" s="139">
        <f>[5]September_206!$B20</f>
        <v>46276</v>
      </c>
      <c r="C20" s="78" t="str">
        <f>[5]September_206!$D20</f>
        <v>CARIB AMBER</v>
      </c>
      <c r="D20" s="681">
        <v>0.2902777777777778</v>
      </c>
      <c r="E20" s="80">
        <v>0.34583333333333333</v>
      </c>
      <c r="F20" s="80">
        <v>0.4236111111111111</v>
      </c>
      <c r="G20" s="11">
        <v>1.4715277777777778</v>
      </c>
      <c r="H20" s="14"/>
      <c r="I20" s="34"/>
      <c r="J20" s="35"/>
      <c r="K20" s="34"/>
      <c r="L20" s="34"/>
      <c r="M20" s="34"/>
      <c r="N20" s="34"/>
      <c r="O20" s="34">
        <f>'Uncaser Downtime Detail '!AG505</f>
        <v>0</v>
      </c>
      <c r="P20" s="34">
        <f>'Washer Downtime Detail'!BH511</f>
        <v>0</v>
      </c>
      <c r="Q20" s="34">
        <f>'EBI Downtime Detail'!AI507</f>
        <v>0</v>
      </c>
      <c r="R20" s="34">
        <f>'Filler Downtime Detail'!AK505</f>
        <v>1</v>
      </c>
      <c r="S20" s="34">
        <f>'Pasteurizer Downtime Detail'!Z492</f>
        <v>0</v>
      </c>
      <c r="T20" s="34">
        <f>'Labeler Downtime Detail'!AN491</f>
        <v>0</v>
      </c>
      <c r="U20" s="34">
        <f>'Videojet Downtime Detail '!O500</f>
        <v>0</v>
      </c>
      <c r="V20" s="34">
        <f>'Conveyor Downtime (new)'!AV506</f>
        <v>0</v>
      </c>
      <c r="W20" s="34">
        <f>'Packer Downtime Detail  '!AD496</f>
        <v>0</v>
      </c>
      <c r="X20" s="34">
        <f>'Carton Errector-sealer Detail'!P491</f>
        <v>0</v>
      </c>
      <c r="Y20" s="35"/>
      <c r="Z20" s="34">
        <f>18+3</f>
        <v>21</v>
      </c>
      <c r="AA20" s="90"/>
      <c r="AB20" s="90"/>
      <c r="AC20" s="89"/>
      <c r="AD20" s="44">
        <f t="shared" si="0"/>
        <v>22</v>
      </c>
      <c r="AE20" s="669">
        <f>G21-D20</f>
        <v>0.59375</v>
      </c>
      <c r="AH20" s="3"/>
      <c r="AI20" s="23"/>
      <c r="AJ20" s="23"/>
      <c r="AK20" s="54"/>
      <c r="AL20" s="3"/>
      <c r="AM20" s="3"/>
      <c r="AN20" s="3"/>
      <c r="AO20" s="3"/>
      <c r="AP20" s="3"/>
      <c r="AQ20" s="3"/>
      <c r="AR20" s="3"/>
      <c r="AS20" s="3"/>
      <c r="AT20" s="3"/>
      <c r="AU20" s="3"/>
      <c r="AV20" s="3"/>
      <c r="AW20" s="3"/>
      <c r="AX20" s="3"/>
    </row>
    <row r="21" spans="1:58" s="138" customFormat="1">
      <c r="A21" s="7">
        <f>[5]September_206!$C21</f>
        <v>8</v>
      </c>
      <c r="B21" s="139">
        <f>[5]September_206!$B21</f>
        <v>46276</v>
      </c>
      <c r="C21" s="78" t="str">
        <f>[5]September_206!$D21</f>
        <v>MACKESON</v>
      </c>
      <c r="D21" s="681"/>
      <c r="E21" s="80">
        <v>0.51666666666666672</v>
      </c>
      <c r="F21" s="80">
        <v>0.83472222222222225</v>
      </c>
      <c r="G21" s="11">
        <v>0.88402777777777775</v>
      </c>
      <c r="H21" s="82"/>
      <c r="I21" s="32">
        <f>15</f>
        <v>15</v>
      </c>
      <c r="J21" s="86">
        <f>4+4</f>
        <v>8</v>
      </c>
      <c r="K21" s="71"/>
      <c r="L21" s="71"/>
      <c r="M21" s="71"/>
      <c r="N21" s="71"/>
      <c r="O21" s="71">
        <f>'Uncaser Downtime Detail '!AG506</f>
        <v>0</v>
      </c>
      <c r="P21" s="71">
        <f>'Washer Downtime Detail'!BH512</f>
        <v>4</v>
      </c>
      <c r="Q21" s="71">
        <f>'EBI Downtime Detail'!AI508</f>
        <v>22</v>
      </c>
      <c r="R21" s="71">
        <f>'Filler Downtime Detail'!AK506</f>
        <v>1</v>
      </c>
      <c r="S21" s="71">
        <f>'Pasteurizer Downtime Detail'!Z493</f>
        <v>83</v>
      </c>
      <c r="T21" s="71">
        <f>'Labeler Downtime Detail'!AN492</f>
        <v>3</v>
      </c>
      <c r="U21" s="71">
        <f>'Videojet Downtime Detail '!O501</f>
        <v>0</v>
      </c>
      <c r="V21" s="71">
        <f>'Conveyor Downtime (new)'!AV507</f>
        <v>4</v>
      </c>
      <c r="W21" s="71">
        <f>'Packer Downtime Detail  '!AD497</f>
        <v>0</v>
      </c>
      <c r="X21" s="71">
        <f>'Carton Errector-sealer Detail'!P492</f>
        <v>0</v>
      </c>
      <c r="Y21" s="71"/>
      <c r="Z21" s="43">
        <f>9+35</f>
        <v>44</v>
      </c>
      <c r="AA21" s="88"/>
      <c r="AB21" s="88">
        <f>2+2+3+4+3</f>
        <v>14</v>
      </c>
      <c r="AC21" s="71"/>
      <c r="AD21" s="44">
        <f t="shared" si="0"/>
        <v>198</v>
      </c>
      <c r="AE21" s="669"/>
      <c r="AF21"/>
      <c r="AG21"/>
      <c r="AH21" s="3"/>
      <c r="AI21" s="23"/>
      <c r="AJ21" s="23"/>
      <c r="AK21" s="54"/>
      <c r="AL21" s="3"/>
      <c r="AM21" s="3"/>
      <c r="AN21" s="3"/>
      <c r="AO21" s="3"/>
      <c r="AP21" s="3"/>
      <c r="AQ21" s="3"/>
      <c r="AR21" s="3"/>
      <c r="AS21" s="3"/>
      <c r="AT21" s="3"/>
      <c r="AU21" s="3"/>
      <c r="AV21" s="3"/>
      <c r="AW21" s="3"/>
      <c r="AX21" s="3"/>
      <c r="AY21"/>
      <c r="AZ21"/>
      <c r="BA21"/>
      <c r="BB21"/>
      <c r="BC21"/>
      <c r="BD21"/>
      <c r="BE21"/>
      <c r="BF21"/>
    </row>
    <row r="22" spans="1:58" s="138" customFormat="1" ht="12" customHeight="1">
      <c r="A22" s="7">
        <f>[5]September_206!$C22</f>
        <v>9</v>
      </c>
      <c r="B22" s="139">
        <f>[5]September_206!$B22</f>
        <v>46279</v>
      </c>
      <c r="C22" s="78" t="str">
        <f>[5]September_206!$D22</f>
        <v>MACKESON</v>
      </c>
      <c r="D22" s="681">
        <v>1</v>
      </c>
      <c r="E22" s="80">
        <v>1.0833333333333333</v>
      </c>
      <c r="F22" s="80">
        <v>1.4097222222222223</v>
      </c>
      <c r="G22" s="11">
        <v>0.46319444444444446</v>
      </c>
      <c r="H22" s="14"/>
      <c r="I22" s="34"/>
      <c r="J22" s="35">
        <f>3</f>
        <v>3</v>
      </c>
      <c r="K22" s="34"/>
      <c r="L22" s="34"/>
      <c r="M22" s="34"/>
      <c r="N22" s="34"/>
      <c r="O22" s="34">
        <f>'Uncaser Downtime Detail '!AG507</f>
        <v>0</v>
      </c>
      <c r="P22" s="34">
        <f>'Washer Downtime Detail'!BH513</f>
        <v>4</v>
      </c>
      <c r="Q22" s="34">
        <f>'EBI Downtime Detail'!AI509</f>
        <v>4</v>
      </c>
      <c r="R22" s="34">
        <f>'Filler Downtime Detail'!AK507</f>
        <v>86</v>
      </c>
      <c r="S22" s="34">
        <f>'Pasteurizer Downtime Detail'!Z494</f>
        <v>5</v>
      </c>
      <c r="T22" s="34">
        <f>'Labeler Downtime Detail'!AN493</f>
        <v>0</v>
      </c>
      <c r="U22" s="34">
        <f>'Videojet Downtime Detail '!O502</f>
        <v>0</v>
      </c>
      <c r="V22" s="34">
        <f>'Conveyor Downtime (new)'!AV508</f>
        <v>16</v>
      </c>
      <c r="W22" s="34">
        <f>'Packer Downtime Detail  '!AD498</f>
        <v>0</v>
      </c>
      <c r="X22" s="34">
        <f>'Carton Errector-sealer Detail'!P493</f>
        <v>0</v>
      </c>
      <c r="Y22" s="35"/>
      <c r="Z22" s="34">
        <f>40+4+30+7+7+20</f>
        <v>108</v>
      </c>
      <c r="AA22" s="90"/>
      <c r="AB22" s="90"/>
      <c r="AC22" s="89"/>
      <c r="AD22" s="44">
        <f>SUM(H22:J22,K22:AC22)</f>
        <v>226</v>
      </c>
      <c r="AE22" s="669">
        <f>G23-D22</f>
        <v>1.0486111111111112</v>
      </c>
      <c r="AF22"/>
      <c r="AG22"/>
      <c r="AH22" s="3"/>
      <c r="AI22" s="23"/>
      <c r="AJ22" s="23"/>
      <c r="AK22" s="54"/>
      <c r="AL22" s="3"/>
      <c r="AM22" s="3"/>
      <c r="AN22" s="3"/>
      <c r="AO22" s="3"/>
      <c r="AP22" s="3"/>
      <c r="AQ22" s="3"/>
      <c r="AR22" s="3"/>
      <c r="AS22" s="3"/>
      <c r="AT22" s="3"/>
      <c r="AU22" s="3"/>
      <c r="AV22" s="3"/>
      <c r="AW22" s="3"/>
      <c r="AX22" s="3"/>
      <c r="AY22"/>
      <c r="AZ22"/>
      <c r="BA22"/>
      <c r="BB22"/>
      <c r="BC22"/>
      <c r="BD22"/>
      <c r="BE22"/>
      <c r="BF22"/>
    </row>
    <row r="23" spans="1:58" s="138" customFormat="1">
      <c r="A23" s="7">
        <f>[5]September_206!$C23</f>
        <v>9</v>
      </c>
      <c r="B23" s="139">
        <f>[5]September_206!$B23</f>
        <v>46279</v>
      </c>
      <c r="C23" s="78" t="str">
        <f>[5]September_206!$D23</f>
        <v>STAG</v>
      </c>
      <c r="D23" s="681"/>
      <c r="E23" s="80">
        <v>1.5</v>
      </c>
      <c r="F23" s="80">
        <v>2</v>
      </c>
      <c r="G23" s="11">
        <v>2.0486111111111112</v>
      </c>
      <c r="H23" s="82"/>
      <c r="I23" s="32">
        <f>10+40</f>
        <v>50</v>
      </c>
      <c r="J23" s="86"/>
      <c r="K23" s="71"/>
      <c r="L23" s="71"/>
      <c r="M23" s="71"/>
      <c r="N23" s="71"/>
      <c r="O23" s="71">
        <f>'Uncaser Downtime Detail '!AG508</f>
        <v>11</v>
      </c>
      <c r="P23" s="71">
        <f>'Washer Downtime Detail'!BH514</f>
        <v>16</v>
      </c>
      <c r="Q23" s="71">
        <f>'EBI Downtime Detail'!AI510</f>
        <v>13</v>
      </c>
      <c r="R23" s="71">
        <f>'Filler Downtime Detail'!AK508</f>
        <v>47</v>
      </c>
      <c r="S23" s="34">
        <f>'Pasteurizer Downtime Detail'!Z495</f>
        <v>64</v>
      </c>
      <c r="T23" s="71">
        <f>'Labeler Downtime Detail'!AN494</f>
        <v>0</v>
      </c>
      <c r="U23" s="71">
        <f>'Videojet Downtime Detail '!O503</f>
        <v>0</v>
      </c>
      <c r="V23" s="71">
        <f>'Conveyor Downtime (new)'!AV509</f>
        <v>12</v>
      </c>
      <c r="W23" s="71">
        <f>'Packer Downtime Detail  '!AD499</f>
        <v>0</v>
      </c>
      <c r="X23" s="71">
        <f>'Carton Errector-sealer Detail'!P494</f>
        <v>0</v>
      </c>
      <c r="Y23" s="71"/>
      <c r="Z23" s="43">
        <f>20+9</f>
        <v>29</v>
      </c>
      <c r="AA23" s="88"/>
      <c r="AB23" s="88"/>
      <c r="AC23" s="71"/>
      <c r="AD23" s="44">
        <f t="shared" si="0"/>
        <v>242</v>
      </c>
      <c r="AE23" s="669"/>
      <c r="AF23"/>
      <c r="AG23"/>
      <c r="AH23" s="3"/>
      <c r="AI23" s="23"/>
      <c r="AJ23" s="23"/>
      <c r="AK23" s="54"/>
      <c r="AL23" s="3"/>
      <c r="AM23" s="3"/>
      <c r="AN23" s="3"/>
      <c r="AO23" s="3"/>
      <c r="AP23" s="3"/>
      <c r="AQ23" s="3"/>
      <c r="AR23" s="3"/>
      <c r="AS23" s="3"/>
      <c r="AT23" s="3"/>
      <c r="AU23" s="3"/>
      <c r="AV23" s="3"/>
      <c r="AW23" s="3"/>
      <c r="AX23" s="3"/>
      <c r="AY23"/>
      <c r="AZ23"/>
      <c r="BA23"/>
      <c r="BB23"/>
      <c r="BC23"/>
      <c r="BD23"/>
      <c r="BE23"/>
      <c r="BF23"/>
    </row>
    <row r="24" spans="1:58" s="138" customFormat="1">
      <c r="A24" s="7">
        <f>[5]September_206!$C24</f>
        <v>10</v>
      </c>
      <c r="B24" s="139">
        <f>[5]September_206!$B24</f>
        <v>46280</v>
      </c>
      <c r="C24" s="78" t="str">
        <f>[5]September_206!$D24</f>
        <v>STAG</v>
      </c>
      <c r="D24" s="681">
        <v>1</v>
      </c>
      <c r="E24" s="80">
        <v>1.0069444444444444</v>
      </c>
      <c r="F24" s="80">
        <v>1.1979166666666667</v>
      </c>
      <c r="G24" s="11">
        <v>1.2430555555555556</v>
      </c>
      <c r="H24" s="14"/>
      <c r="I24" s="34"/>
      <c r="J24" s="35">
        <f>2+2</f>
        <v>4</v>
      </c>
      <c r="K24" s="34"/>
      <c r="L24" s="34"/>
      <c r="M24" s="34"/>
      <c r="N24" s="34"/>
      <c r="O24" s="34">
        <f>'Uncaser Downtime Detail '!AG509</f>
        <v>4</v>
      </c>
      <c r="P24" s="34">
        <f>'Washer Downtime Detail'!BH515</f>
        <v>19</v>
      </c>
      <c r="Q24" s="34">
        <f>'EBI Downtime Detail'!AI511</f>
        <v>0</v>
      </c>
      <c r="R24" s="34">
        <f>'Filler Downtime Detail'!AK509</f>
        <v>5</v>
      </c>
      <c r="S24" s="34">
        <f>'Pasteurizer Downtime Detail'!Z496</f>
        <v>0</v>
      </c>
      <c r="T24" s="34">
        <f>'Labeler Downtime Detail'!AN495</f>
        <v>0</v>
      </c>
      <c r="U24" s="34">
        <f>'Videojet Downtime Detail '!O504</f>
        <v>0</v>
      </c>
      <c r="V24" s="34">
        <f>'Conveyor Downtime (new)'!AV510</f>
        <v>4</v>
      </c>
      <c r="W24" s="34">
        <f>'Packer Downtime Detail  '!AD500</f>
        <v>0</v>
      </c>
      <c r="X24" s="34">
        <f>'Carton Errector-sealer Detail'!P495</f>
        <v>0</v>
      </c>
      <c r="Y24" s="35"/>
      <c r="Z24" s="34">
        <f>10+35+5</f>
        <v>50</v>
      </c>
      <c r="AA24" s="90"/>
      <c r="AB24" s="90"/>
      <c r="AC24" s="89"/>
      <c r="AD24" s="44">
        <f t="shared" si="0"/>
        <v>86</v>
      </c>
      <c r="AE24" s="669">
        <f>G25-D24</f>
        <v>1.0694444444444446</v>
      </c>
      <c r="AF24"/>
      <c r="AG24"/>
      <c r="AH24" s="3"/>
      <c r="AI24" s="23"/>
      <c r="AJ24" s="23"/>
      <c r="AK24" s="54"/>
      <c r="AL24" s="3"/>
      <c r="AM24" s="3"/>
      <c r="AN24" s="3"/>
      <c r="AO24" s="3"/>
      <c r="AP24" s="3"/>
      <c r="AQ24" s="3"/>
      <c r="AR24" s="3"/>
      <c r="AS24" s="3"/>
      <c r="AT24" s="3"/>
      <c r="AU24" s="3"/>
      <c r="AV24" s="3"/>
      <c r="AW24" s="3"/>
      <c r="AX24" s="3"/>
      <c r="AY24"/>
      <c r="AZ24"/>
      <c r="BA24"/>
      <c r="BB24"/>
      <c r="BC24"/>
      <c r="BD24"/>
      <c r="BE24"/>
      <c r="BF24"/>
    </row>
    <row r="25" spans="1:58" s="138" customFormat="1">
      <c r="A25" s="7">
        <f>[5]September_206!$C25</f>
        <v>10</v>
      </c>
      <c r="B25" s="139">
        <f>[5]September_206!$B25</f>
        <v>46280</v>
      </c>
      <c r="C25" s="78" t="str">
        <f>[5]September_206!$D25</f>
        <v xml:space="preserve">CARIB AMBER </v>
      </c>
      <c r="D25" s="681"/>
      <c r="E25" s="80">
        <v>1.2152777777777777</v>
      </c>
      <c r="F25" s="80">
        <v>2</v>
      </c>
      <c r="G25" s="11">
        <v>2.0694444444444446</v>
      </c>
      <c r="H25" s="82"/>
      <c r="I25" s="32">
        <f>14</f>
        <v>14</v>
      </c>
      <c r="J25" s="86">
        <f>5+20+3+16+1+4</f>
        <v>49</v>
      </c>
      <c r="K25" s="71"/>
      <c r="L25" s="71"/>
      <c r="M25" s="71"/>
      <c r="N25" s="71"/>
      <c r="O25" s="71">
        <f>'Uncaser Downtime Detail '!AG510</f>
        <v>31</v>
      </c>
      <c r="P25" s="71">
        <f>'Washer Downtime Detail'!BH516</f>
        <v>17</v>
      </c>
      <c r="Q25" s="71">
        <f>'EBI Downtime Detail'!AI512</f>
        <v>2</v>
      </c>
      <c r="R25" s="71">
        <f>'Filler Downtime Detail'!AK510</f>
        <v>61</v>
      </c>
      <c r="S25" s="34">
        <f>'Pasteurizer Downtime Detail'!Z497</f>
        <v>0</v>
      </c>
      <c r="T25" s="71">
        <f>'Labeler Downtime Detail'!AN496</f>
        <v>6</v>
      </c>
      <c r="U25" s="71">
        <f>'Videojet Downtime Detail '!O505</f>
        <v>20</v>
      </c>
      <c r="V25" s="71">
        <f>'Conveyor Downtime (new)'!AV511</f>
        <v>21</v>
      </c>
      <c r="W25" s="71">
        <f>'Packer Downtime Detail  '!AD501</f>
        <v>2</v>
      </c>
      <c r="X25" s="71">
        <f>'Carton Errector-sealer Detail'!P496</f>
        <v>0</v>
      </c>
      <c r="Y25" s="71">
        <f>4+14+9</f>
        <v>27</v>
      </c>
      <c r="Z25" s="43">
        <f>7+18+4+8</f>
        <v>37</v>
      </c>
      <c r="AA25" s="88"/>
      <c r="AB25" s="88">
        <f>4+2+2+3+3</f>
        <v>14</v>
      </c>
      <c r="AC25" s="71"/>
      <c r="AD25" s="44">
        <f t="shared" si="0"/>
        <v>301</v>
      </c>
      <c r="AE25" s="669"/>
      <c r="AF25"/>
      <c r="AG25"/>
      <c r="AH25" s="3"/>
      <c r="AI25" s="23"/>
      <c r="AJ25" s="23"/>
      <c r="AK25" s="54"/>
      <c r="AL25" s="3"/>
      <c r="AM25" s="3"/>
      <c r="AN25" s="3"/>
      <c r="AO25" s="3"/>
      <c r="AP25" s="3"/>
      <c r="AQ25" s="3"/>
      <c r="AR25" s="3"/>
      <c r="AS25" s="3"/>
      <c r="AT25" s="3"/>
      <c r="AU25" s="3"/>
      <c r="AV25" s="3"/>
      <c r="AW25" s="3"/>
      <c r="AX25" s="3"/>
      <c r="AY25"/>
      <c r="AZ25"/>
      <c r="BA25"/>
      <c r="BB25"/>
      <c r="BC25"/>
      <c r="BD25"/>
      <c r="BE25"/>
      <c r="BF25"/>
    </row>
    <row r="26" spans="1:58" s="138" customFormat="1">
      <c r="A26" s="7">
        <f>[5]September_206!$C26</f>
        <v>11</v>
      </c>
      <c r="B26" s="139">
        <f>[5]September_206!$B26</f>
        <v>46281</v>
      </c>
      <c r="C26" s="78" t="str">
        <f>[5]September_206!$D26</f>
        <v>CARIB AMBER</v>
      </c>
      <c r="D26" s="681">
        <v>1</v>
      </c>
      <c r="E26" s="80">
        <v>1.0069444444444444</v>
      </c>
      <c r="F26" s="80">
        <v>1.3569444444444445</v>
      </c>
      <c r="G26" s="11">
        <v>0.49166666666666664</v>
      </c>
      <c r="H26" s="14"/>
      <c r="I26" s="34"/>
      <c r="J26" s="35"/>
      <c r="K26" s="34"/>
      <c r="L26" s="34"/>
      <c r="M26" s="34"/>
      <c r="N26" s="34"/>
      <c r="O26" s="34">
        <f>'Uncaser Downtime Detail '!AG511</f>
        <v>3</v>
      </c>
      <c r="P26" s="34">
        <f>'Washer Downtime Detail'!BH517</f>
        <v>3</v>
      </c>
      <c r="Q26" s="34">
        <f>'EBI Downtime Detail'!AI513</f>
        <v>0</v>
      </c>
      <c r="R26" s="34">
        <f>'Filler Downtime Detail'!AK511</f>
        <v>39</v>
      </c>
      <c r="S26" s="34">
        <f>'Pasteurizer Downtime Detail'!Z498</f>
        <v>0</v>
      </c>
      <c r="T26" s="34">
        <f>'Labeler Downtime Detail'!AN497</f>
        <v>0</v>
      </c>
      <c r="U26" s="34">
        <f>'Videojet Downtime Detail '!O506</f>
        <v>0</v>
      </c>
      <c r="V26" s="34">
        <f>'Conveyor Downtime (new)'!AV512</f>
        <v>4</v>
      </c>
      <c r="W26" s="34">
        <f>'Packer Downtime Detail  '!AD502</f>
        <v>0</v>
      </c>
      <c r="X26" s="34">
        <f>'Carton Errector-sealer Detail'!P497</f>
        <v>0</v>
      </c>
      <c r="Y26" s="35"/>
      <c r="Z26" s="34">
        <f>10+35</f>
        <v>45</v>
      </c>
      <c r="AA26" s="90"/>
      <c r="AB26" s="90">
        <f>5+3+2+9+2+22+12+10</f>
        <v>65</v>
      </c>
      <c r="AC26" s="89"/>
      <c r="AD26" s="44">
        <f t="shared" si="0"/>
        <v>159</v>
      </c>
      <c r="AE26" s="669">
        <f>G27-D26</f>
        <v>1.1666666666666665</v>
      </c>
      <c r="AF26"/>
      <c r="AG26"/>
      <c r="AH26" s="3"/>
      <c r="AI26" s="23"/>
      <c r="AJ26" s="23"/>
      <c r="AK26" s="54"/>
      <c r="AL26" s="3"/>
      <c r="AM26" s="3"/>
      <c r="AN26" s="3"/>
      <c r="AO26" s="3"/>
      <c r="AP26" s="3"/>
      <c r="AQ26" s="3"/>
      <c r="AR26" s="3"/>
      <c r="AS26" s="3"/>
      <c r="AT26" s="3"/>
      <c r="AU26" s="3"/>
      <c r="AV26" s="3"/>
      <c r="AW26" s="3"/>
      <c r="AX26" s="3"/>
      <c r="AY26"/>
      <c r="AZ26"/>
      <c r="BA26"/>
      <c r="BB26"/>
      <c r="BC26"/>
      <c r="BD26"/>
      <c r="BE26"/>
      <c r="BF26"/>
    </row>
    <row r="27" spans="1:58" s="138" customFormat="1">
      <c r="A27" s="7">
        <f>[5]September_206!$C27</f>
        <v>11</v>
      </c>
      <c r="B27" s="139">
        <f>[5]September_206!$B27</f>
        <v>46281</v>
      </c>
      <c r="C27" s="78" t="str">
        <f>[5]September_206!$D27</f>
        <v>PORNSTAR</v>
      </c>
      <c r="D27" s="681"/>
      <c r="E27" s="80">
        <v>1.8993055555555556</v>
      </c>
      <c r="F27" s="80">
        <v>2</v>
      </c>
      <c r="G27" s="11">
        <v>2.1666666666666665</v>
      </c>
      <c r="H27" s="82"/>
      <c r="I27" s="32">
        <f>25+35</f>
        <v>60</v>
      </c>
      <c r="J27" s="86">
        <f>60+60+60+60+60+60+60+60+60+60+60+60+35</f>
        <v>755</v>
      </c>
      <c r="K27" s="71"/>
      <c r="L27" s="71">
        <f>4+10</f>
        <v>14</v>
      </c>
      <c r="M27" s="71"/>
      <c r="N27" s="71"/>
      <c r="O27" s="71">
        <f>'Uncaser Downtime Detail '!AG512</f>
        <v>0</v>
      </c>
      <c r="P27" s="71">
        <f>'Washer Downtime Detail'!BH518</f>
        <v>0</v>
      </c>
      <c r="Q27" s="71">
        <f>'EBI Downtime Detail'!AI514</f>
        <v>4</v>
      </c>
      <c r="R27" s="71">
        <f>'Filler Downtime Detail'!AK512</f>
        <v>11</v>
      </c>
      <c r="S27" s="34">
        <f>'Pasteurizer Downtime Detail'!Z499</f>
        <v>0</v>
      </c>
      <c r="T27" s="71">
        <f>'Labeler Downtime Detail'!AN498</f>
        <v>0</v>
      </c>
      <c r="U27" s="71">
        <f>'Videojet Downtime Detail '!O507</f>
        <v>0</v>
      </c>
      <c r="V27" s="71">
        <f>'Conveyor Downtime (new)'!AV513</f>
        <v>0</v>
      </c>
      <c r="W27" s="71">
        <f>'Packer Downtime Detail  '!AD503</f>
        <v>0</v>
      </c>
      <c r="X27" s="71">
        <f>'Carton Errector-sealer Detail'!P498</f>
        <v>14</v>
      </c>
      <c r="Y27" s="71"/>
      <c r="Z27" s="43">
        <f>25+15+3</f>
        <v>43</v>
      </c>
      <c r="AA27" s="88"/>
      <c r="AB27" s="88"/>
      <c r="AC27" s="71"/>
      <c r="AD27" s="44">
        <f t="shared" si="0"/>
        <v>901</v>
      </c>
      <c r="AE27" s="669"/>
      <c r="AF27"/>
      <c r="AG27"/>
      <c r="AH27" s="3"/>
      <c r="AI27" s="23"/>
      <c r="AJ27" s="23"/>
      <c r="AK27" s="54"/>
      <c r="AL27" s="3"/>
      <c r="AM27" s="3"/>
      <c r="AN27" s="3"/>
      <c r="AO27" s="3"/>
      <c r="AP27" s="3"/>
      <c r="AQ27" s="3"/>
      <c r="AR27" s="3"/>
      <c r="AS27" s="3"/>
      <c r="AT27" s="3"/>
      <c r="AU27" s="3"/>
      <c r="AV27" s="3"/>
      <c r="AW27" s="3"/>
      <c r="AX27" s="3"/>
      <c r="AY27"/>
      <c r="AZ27"/>
      <c r="BA27"/>
      <c r="BB27"/>
      <c r="BC27"/>
      <c r="BD27"/>
      <c r="BE27"/>
      <c r="BF27"/>
    </row>
    <row r="28" spans="1:58">
      <c r="A28" s="7">
        <f>[5]September_206!$C28</f>
        <v>12</v>
      </c>
      <c r="B28" s="139">
        <f>[5]September_206!$B28</f>
        <v>46282</v>
      </c>
      <c r="C28" s="78" t="str">
        <f>[5]September_206!$D28</f>
        <v>PORNSTAR</v>
      </c>
      <c r="D28" s="681">
        <v>1</v>
      </c>
      <c r="E28" s="80">
        <v>1</v>
      </c>
      <c r="F28" s="80">
        <v>1.1777777777777778</v>
      </c>
      <c r="G28" s="11"/>
      <c r="H28" s="14"/>
      <c r="I28" s="34"/>
      <c r="J28" s="35">
        <f>4+4</f>
        <v>8</v>
      </c>
      <c r="K28" s="34"/>
      <c r="L28" s="34"/>
      <c r="M28" s="34"/>
      <c r="N28" s="34"/>
      <c r="O28" s="34">
        <f>'Uncaser Downtime Detail '!AG513</f>
        <v>0</v>
      </c>
      <c r="P28" s="34">
        <f>'Washer Downtime Detail'!BH519</f>
        <v>10</v>
      </c>
      <c r="Q28" s="34">
        <f>'EBI Downtime Detail'!AI515</f>
        <v>0</v>
      </c>
      <c r="R28" s="34">
        <f>'Filler Downtime Detail'!AK513</f>
        <v>2</v>
      </c>
      <c r="S28" s="34">
        <f>'Pasteurizer Downtime Detail'!Z500</f>
        <v>12</v>
      </c>
      <c r="T28" s="34">
        <f>'Labeler Downtime Detail'!AN499</f>
        <v>0</v>
      </c>
      <c r="U28" s="34">
        <f>'Videojet Downtime Detail '!O508</f>
        <v>103</v>
      </c>
      <c r="V28" s="34">
        <f>'Conveyor Downtime (new)'!AV514</f>
        <v>0</v>
      </c>
      <c r="W28" s="34" t="s">
        <v>209</v>
      </c>
      <c r="X28" s="34">
        <f>'Carton Errector-sealer Detail'!P499</f>
        <v>50</v>
      </c>
      <c r="Y28" s="35"/>
      <c r="Z28" s="34"/>
      <c r="AA28" s="90"/>
      <c r="AB28" s="90"/>
      <c r="AC28" s="89"/>
      <c r="AD28" s="44">
        <f t="shared" si="0"/>
        <v>185</v>
      </c>
      <c r="AE28" s="669">
        <f>G30-D28</f>
        <v>1.1055555555555556</v>
      </c>
      <c r="AH28" s="3"/>
      <c r="AI28" s="23"/>
      <c r="AJ28" s="23"/>
      <c r="AK28" s="54"/>
      <c r="AL28" s="3"/>
      <c r="AM28" s="3"/>
      <c r="AN28" s="3"/>
      <c r="AO28" s="3"/>
      <c r="AP28" s="3"/>
      <c r="AQ28" s="3"/>
      <c r="AR28" s="3"/>
      <c r="AS28" s="3"/>
      <c r="AT28" s="3"/>
      <c r="AU28" s="3"/>
      <c r="AV28" s="3"/>
      <c r="AW28" s="3"/>
      <c r="AX28" s="3"/>
    </row>
    <row r="29" spans="1:58">
      <c r="A29" s="7">
        <f>[5]September_206!$C29</f>
        <v>12</v>
      </c>
      <c r="B29" s="139">
        <f>[5]September_206!$B29</f>
        <v>46282</v>
      </c>
      <c r="C29" s="78" t="str">
        <f>[5]September_206!$D29</f>
        <v>BELLINI</v>
      </c>
      <c r="D29" s="681"/>
      <c r="E29" s="80">
        <v>1.1944444444444444</v>
      </c>
      <c r="F29" s="80">
        <v>1.5180555555555555</v>
      </c>
      <c r="G29" s="11">
        <v>0.60555555555555551</v>
      </c>
      <c r="H29" s="82">
        <v>5</v>
      </c>
      <c r="I29" s="32">
        <f>24</f>
        <v>24</v>
      </c>
      <c r="J29" s="86"/>
      <c r="K29" s="71"/>
      <c r="L29" s="71"/>
      <c r="M29" s="71"/>
      <c r="N29" s="71"/>
      <c r="O29" s="71">
        <f>'Uncaser Downtime Detail '!AG514</f>
        <v>6</v>
      </c>
      <c r="P29" s="71">
        <f>'Washer Downtime Detail'!BH520</f>
        <v>14</v>
      </c>
      <c r="Q29" s="71">
        <f>'EBI Downtime Detail'!AI516</f>
        <v>149</v>
      </c>
      <c r="R29" s="71">
        <f>'Filler Downtime Detail'!AK514</f>
        <v>20</v>
      </c>
      <c r="S29" s="34">
        <f>'Pasteurizer Downtime Detail'!Z501</f>
        <v>0</v>
      </c>
      <c r="T29" s="71">
        <f>'Labeler Downtime Detail'!AN500</f>
        <v>12</v>
      </c>
      <c r="U29" s="71">
        <f>'Videojet Downtime Detail '!O509</f>
        <v>0</v>
      </c>
      <c r="V29" s="71">
        <f>'Conveyor Downtime (new)'!AV515</f>
        <v>0</v>
      </c>
      <c r="W29" s="71">
        <f>'Packer Downtime Detail  '!AD505</f>
        <v>13</v>
      </c>
      <c r="X29" s="71">
        <f>'Carton Errector-sealer Detail'!P500</f>
        <v>6</v>
      </c>
      <c r="Y29" s="71"/>
      <c r="Z29" s="43"/>
      <c r="AA29" s="88"/>
      <c r="AB29" s="88">
        <f>2</f>
        <v>2</v>
      </c>
      <c r="AC29" s="71"/>
      <c r="AD29" s="44">
        <f t="shared" si="0"/>
        <v>251</v>
      </c>
      <c r="AE29" s="669"/>
      <c r="AH29" s="3"/>
      <c r="AI29" s="23"/>
      <c r="AJ29" s="23"/>
      <c r="AK29" s="54"/>
      <c r="AL29" s="3"/>
      <c r="AM29" s="3"/>
      <c r="AN29" s="3"/>
      <c r="AO29" s="3"/>
      <c r="AP29" s="3"/>
      <c r="AQ29" s="3"/>
      <c r="AR29" s="3"/>
      <c r="AS29" s="3"/>
      <c r="AT29" s="3"/>
      <c r="AU29" s="3"/>
      <c r="AV29" s="3"/>
      <c r="AW29" s="3"/>
      <c r="AX29" s="3"/>
    </row>
    <row r="30" spans="1:58">
      <c r="A30" s="7">
        <f>[5]September_206!$C30</f>
        <v>12</v>
      </c>
      <c r="B30" s="139">
        <f>[5]September_206!$B30</f>
        <v>46282</v>
      </c>
      <c r="C30" s="78" t="str">
        <f>[5]September_206!$D30</f>
        <v>ROYALE</v>
      </c>
      <c r="D30" s="681"/>
      <c r="E30" s="80">
        <v>1.5305555555555554</v>
      </c>
      <c r="F30" s="80">
        <v>1.9590277777777778</v>
      </c>
      <c r="G30" s="93">
        <v>2.1055555555555556</v>
      </c>
      <c r="H30" s="14"/>
      <c r="I30" s="34">
        <v>36</v>
      </c>
      <c r="J30" s="35">
        <f>3</f>
        <v>3</v>
      </c>
      <c r="K30" s="34"/>
      <c r="L30" s="34"/>
      <c r="M30" s="34"/>
      <c r="N30" s="34"/>
      <c r="O30" s="34">
        <f>'Uncaser Downtime Detail '!AG515</f>
        <v>0</v>
      </c>
      <c r="P30" s="34">
        <f>'Washer Downtime Detail'!BH521</f>
        <v>5</v>
      </c>
      <c r="Q30" s="34">
        <f>'EBI Downtime Detail'!AI517</f>
        <v>22</v>
      </c>
      <c r="R30" s="34">
        <f>'Filler Downtime Detail'!AK515</f>
        <v>7</v>
      </c>
      <c r="S30" s="34">
        <f>'Pasteurizer Downtime Detail'!Z502</f>
        <v>23</v>
      </c>
      <c r="T30" s="34">
        <f>'Labeler Downtime Detail'!AN501</f>
        <v>7</v>
      </c>
      <c r="U30" s="34">
        <f>'Videojet Downtime Detail '!O510</f>
        <v>0</v>
      </c>
      <c r="V30" s="34">
        <f>'Conveyor Downtime (new)'!AV516</f>
        <v>9</v>
      </c>
      <c r="W30" s="34">
        <f>'Packer Downtime Detail  '!AD506</f>
        <v>0</v>
      </c>
      <c r="X30" s="34">
        <f>'Carton Errector-sealer Detail'!P501</f>
        <v>157</v>
      </c>
      <c r="Y30" s="35"/>
      <c r="Z30" s="34">
        <f>25+5+38</f>
        <v>68</v>
      </c>
      <c r="AA30" s="90"/>
      <c r="AB30" s="90">
        <f>2</f>
        <v>2</v>
      </c>
      <c r="AC30" s="89"/>
      <c r="AD30" s="44">
        <f t="shared" si="0"/>
        <v>339</v>
      </c>
      <c r="AE30" s="669"/>
      <c r="AH30" s="3"/>
      <c r="AI30" s="23"/>
      <c r="AJ30" s="23"/>
      <c r="AK30" s="54"/>
      <c r="AL30" s="3"/>
      <c r="AM30" s="3"/>
      <c r="AN30" s="3"/>
      <c r="AO30" s="3"/>
      <c r="AP30" s="3"/>
      <c r="AQ30" s="3"/>
      <c r="AR30" s="3"/>
      <c r="AS30" s="3"/>
      <c r="AT30" s="3"/>
      <c r="AU30" s="3"/>
      <c r="AV30" s="3"/>
      <c r="AW30" s="3"/>
      <c r="AX30" s="3"/>
    </row>
    <row r="31" spans="1:58" ht="12.75" customHeight="1">
      <c r="A31" s="7">
        <f>[5]September_206!$C31</f>
        <v>13</v>
      </c>
      <c r="B31" s="139">
        <f>[5]September_206!$B31</f>
        <v>46283</v>
      </c>
      <c r="C31" s="78" t="str">
        <f>[5]September_206!$D31</f>
        <v xml:space="preserve">CARIB AMBER </v>
      </c>
      <c r="D31" s="681">
        <v>1</v>
      </c>
      <c r="E31" s="80">
        <v>1.1319444444444444</v>
      </c>
      <c r="F31" s="80">
        <v>1.6527777777777777</v>
      </c>
      <c r="G31" s="10">
        <v>1.7048611111111112</v>
      </c>
      <c r="H31" s="82"/>
      <c r="I31" s="32"/>
      <c r="J31" s="86">
        <f>5</f>
        <v>5</v>
      </c>
      <c r="K31" s="71"/>
      <c r="L31" s="71">
        <f>3</f>
        <v>3</v>
      </c>
      <c r="M31" s="71"/>
      <c r="N31" s="71"/>
      <c r="O31" s="71">
        <f>'Uncaser Downtime Detail '!AG516</f>
        <v>13</v>
      </c>
      <c r="P31" s="71">
        <f>'Washer Downtime Detail'!BH522</f>
        <v>6</v>
      </c>
      <c r="Q31" s="71">
        <f>'EBI Downtime Detail'!AI518</f>
        <v>13</v>
      </c>
      <c r="R31" s="71">
        <f>'Filler Downtime Detail'!AK516</f>
        <v>102</v>
      </c>
      <c r="S31" s="34">
        <f>'Pasteurizer Downtime Detail'!Z503</f>
        <v>55</v>
      </c>
      <c r="T31" s="71">
        <f>'Labeler Downtime Detail'!AN502</f>
        <v>0</v>
      </c>
      <c r="U31" s="71">
        <f>'Videojet Downtime Detail '!O511</f>
        <v>4</v>
      </c>
      <c r="V31" s="71">
        <f>'Conveyor Downtime (new)'!AV517</f>
        <v>23</v>
      </c>
      <c r="W31" s="71">
        <f>'Packer Downtime Detail  '!AD507</f>
        <v>8</v>
      </c>
      <c r="X31" s="71">
        <f>'Carton Errector-sealer Detail'!P502</f>
        <v>0</v>
      </c>
      <c r="Y31" s="71"/>
      <c r="Z31" s="43">
        <f>60+50</f>
        <v>110</v>
      </c>
      <c r="AA31" s="88"/>
      <c r="AB31" s="88">
        <f>3</f>
        <v>3</v>
      </c>
      <c r="AC31" s="71"/>
      <c r="AD31" s="44">
        <f t="shared" si="0"/>
        <v>345</v>
      </c>
      <c r="AE31" s="669">
        <f>G33-D31</f>
        <v>0.88888888888888884</v>
      </c>
      <c r="AH31" s="3"/>
      <c r="AI31" s="23"/>
      <c r="AJ31" s="23"/>
      <c r="AK31" s="54"/>
      <c r="AL31" s="3"/>
      <c r="AM31" s="3"/>
      <c r="AN31" s="3"/>
      <c r="AO31" s="3"/>
      <c r="AP31" s="3"/>
      <c r="AQ31" s="3"/>
      <c r="AR31" s="3"/>
      <c r="AS31" s="3"/>
      <c r="AT31" s="3"/>
      <c r="AU31" s="3"/>
      <c r="AV31" s="3"/>
      <c r="AW31" s="3"/>
      <c r="AX31" s="3"/>
    </row>
    <row r="32" spans="1:58" s="138" customFormat="1" ht="12.75" customHeight="1">
      <c r="A32" s="7">
        <f>[5]September_206!$C32</f>
        <v>13</v>
      </c>
      <c r="B32" s="139">
        <f>[5]September_206!$B32</f>
        <v>46283</v>
      </c>
      <c r="C32" s="78" t="s">
        <v>502</v>
      </c>
      <c r="D32" s="681"/>
      <c r="E32" s="80">
        <v>1.6666666666666667</v>
      </c>
      <c r="F32" s="80">
        <v>1.7402777777777778</v>
      </c>
      <c r="G32" s="11">
        <v>1.8125</v>
      </c>
      <c r="H32" s="14"/>
      <c r="I32" s="34">
        <f>20</f>
        <v>20</v>
      </c>
      <c r="J32" s="35"/>
      <c r="K32" s="34"/>
      <c r="L32" s="34"/>
      <c r="M32" s="34"/>
      <c r="N32" s="34"/>
      <c r="O32" s="34">
        <f>'Uncaser Downtime Detail '!AG517</f>
        <v>0</v>
      </c>
      <c r="P32" s="34">
        <f>'Washer Downtime Detail'!BH523</f>
        <v>0</v>
      </c>
      <c r="Q32" s="34">
        <f>'EBI Downtime Detail'!AI519</f>
        <v>0</v>
      </c>
      <c r="R32" s="34">
        <f>'Filler Downtime Detail'!AK517</f>
        <v>4</v>
      </c>
      <c r="S32" s="34">
        <f>'Pasteurizer Downtime Detail'!Z504</f>
        <v>0</v>
      </c>
      <c r="T32" s="34">
        <f>'Labeler Downtime Detail'!AN503</f>
        <v>8</v>
      </c>
      <c r="U32" s="34">
        <f>'Videojet Downtime Detail '!O512</f>
        <v>0</v>
      </c>
      <c r="V32" s="34">
        <f>'Conveyor Downtime (new)'!AV518</f>
        <v>0</v>
      </c>
      <c r="W32" s="34">
        <f>'Packer Downtime Detail  '!AD508</f>
        <v>0</v>
      </c>
      <c r="X32" s="34">
        <f>'Carton Errector-sealer Detail'!P503</f>
        <v>0</v>
      </c>
      <c r="Y32" s="35"/>
      <c r="Z32" s="34"/>
      <c r="AA32" s="90"/>
      <c r="AB32" s="90"/>
      <c r="AC32" s="89"/>
      <c r="AD32" s="44">
        <f t="shared" si="0"/>
        <v>32</v>
      </c>
      <c r="AE32" s="669"/>
      <c r="AF32"/>
      <c r="AG32"/>
      <c r="AH32" s="3"/>
      <c r="AI32" s="23"/>
      <c r="AJ32" s="23"/>
      <c r="AK32" s="54"/>
      <c r="AL32" s="3"/>
      <c r="AM32" s="3"/>
      <c r="AN32" s="3"/>
      <c r="AO32" s="3"/>
      <c r="AP32" s="3"/>
      <c r="AQ32" s="3"/>
      <c r="AR32" s="3"/>
      <c r="AS32" s="3"/>
      <c r="AT32" s="3"/>
      <c r="AU32" s="3"/>
      <c r="AV32" s="3"/>
      <c r="AW32" s="3"/>
      <c r="AX32" s="3"/>
      <c r="AY32"/>
      <c r="AZ32"/>
      <c r="BA32"/>
      <c r="BB32"/>
      <c r="BC32"/>
      <c r="BD32"/>
      <c r="BE32"/>
      <c r="BF32"/>
    </row>
    <row r="33" spans="1:58" s="138" customFormat="1" ht="12.75" customHeight="1">
      <c r="A33" s="7">
        <f>[5]September_206!$C33</f>
        <v>13</v>
      </c>
      <c r="B33" s="139">
        <f>[5]September_206!$B33</f>
        <v>46283</v>
      </c>
      <c r="C33" s="78" t="s">
        <v>503</v>
      </c>
      <c r="D33" s="681"/>
      <c r="E33" s="80">
        <v>1.7527777777777778</v>
      </c>
      <c r="F33" s="80">
        <v>1.8229166666666667</v>
      </c>
      <c r="G33" s="11">
        <v>1.8888888888888888</v>
      </c>
      <c r="H33" s="82"/>
      <c r="I33" s="32">
        <f>14+4</f>
        <v>18</v>
      </c>
      <c r="J33" s="86"/>
      <c r="K33" s="71"/>
      <c r="L33" s="71"/>
      <c r="M33" s="71"/>
      <c r="N33" s="71"/>
      <c r="O33" s="71">
        <f>'Uncaser Downtime Detail '!AG518</f>
        <v>0</v>
      </c>
      <c r="P33" s="71">
        <f>'Washer Downtime Detail'!BH524</f>
        <v>0</v>
      </c>
      <c r="Q33" s="71">
        <f>'EBI Downtime Detail'!AI520</f>
        <v>0</v>
      </c>
      <c r="R33" s="71">
        <f>'Filler Downtime Detail'!AK518</f>
        <v>3</v>
      </c>
      <c r="S33" s="71">
        <f>'Pasteurizer Downtime Detail'!Z505</f>
        <v>0</v>
      </c>
      <c r="T33" s="71">
        <f>'Labeler Downtime Detail'!AN504</f>
        <v>5</v>
      </c>
      <c r="U33" s="71">
        <f>'Videojet Downtime Detail '!O513</f>
        <v>0</v>
      </c>
      <c r="V33" s="71">
        <f>'Conveyor Downtime (new)'!AV519</f>
        <v>0</v>
      </c>
      <c r="W33" s="71">
        <f>'Packer Downtime Detail  '!AD509</f>
        <v>0</v>
      </c>
      <c r="X33" s="71">
        <f>'Carton Errector-sealer Detail'!P504</f>
        <v>0</v>
      </c>
      <c r="Y33" s="71"/>
      <c r="Z33" s="43"/>
      <c r="AA33" s="88"/>
      <c r="AB33" s="88"/>
      <c r="AC33" s="71"/>
      <c r="AD33" s="44">
        <f t="shared" si="0"/>
        <v>26</v>
      </c>
      <c r="AE33" s="669"/>
      <c r="AF33"/>
      <c r="AG33"/>
      <c r="AH33" s="3"/>
      <c r="AI33" s="23"/>
      <c r="AJ33" s="23"/>
      <c r="AK33" s="54"/>
      <c r="AL33" s="3"/>
      <c r="AM33" s="3"/>
      <c r="AN33" s="3"/>
      <c r="AO33" s="3"/>
      <c r="AP33" s="3"/>
      <c r="AQ33" s="3"/>
      <c r="AR33" s="3"/>
      <c r="AS33" s="3"/>
      <c r="AT33" s="3"/>
      <c r="AU33" s="3"/>
      <c r="AV33" s="3"/>
      <c r="AW33" s="3"/>
      <c r="AX33" s="3"/>
      <c r="AY33"/>
      <c r="AZ33"/>
      <c r="BA33"/>
      <c r="BB33"/>
      <c r="BC33"/>
      <c r="BD33"/>
      <c r="BE33"/>
      <c r="BF33"/>
    </row>
    <row r="34" spans="1:58" s="138" customFormat="1" ht="12.75" customHeight="1">
      <c r="A34" s="7">
        <f>[5]September_206!$C36</f>
        <v>14</v>
      </c>
      <c r="B34" s="139">
        <f>[5]September_206!$B36</f>
        <v>46286</v>
      </c>
      <c r="C34" s="78" t="str">
        <f>[5]September_206!$D36</f>
        <v>SHANDY SORREL EXPORT</v>
      </c>
      <c r="D34" s="681">
        <v>0.29166666666666669</v>
      </c>
      <c r="E34" s="80">
        <v>0.41666666666666669</v>
      </c>
      <c r="F34" s="80">
        <v>0.55000000000000004</v>
      </c>
      <c r="G34" s="11">
        <v>0.55000000000000004</v>
      </c>
      <c r="H34" s="14">
        <f>11+6</f>
        <v>17</v>
      </c>
      <c r="I34" s="34"/>
      <c r="J34" s="35"/>
      <c r="K34" s="34"/>
      <c r="L34" s="34"/>
      <c r="M34" s="34"/>
      <c r="N34" s="34"/>
      <c r="O34" s="34">
        <f>'Uncaser Downtime Detail '!AG519</f>
        <v>0</v>
      </c>
      <c r="P34" s="34">
        <f>'Washer Downtime Detail'!BH525</f>
        <v>155</v>
      </c>
      <c r="Q34" s="34">
        <f>'EBI Downtime Detail'!AI521</f>
        <v>5</v>
      </c>
      <c r="R34" s="34">
        <f>'Filler Downtime Detail'!AK519</f>
        <v>4</v>
      </c>
      <c r="S34" s="34">
        <f>'Pasteurizer Downtime Detail'!Z506</f>
        <v>0</v>
      </c>
      <c r="T34" s="34">
        <f>'Labeler Downtime Detail'!AN505</f>
        <v>4</v>
      </c>
      <c r="U34" s="34">
        <f>'Videojet Downtime Detail '!O514</f>
        <v>0</v>
      </c>
      <c r="V34" s="34">
        <f>'Conveyor Downtime (new)'!AV520</f>
        <v>2</v>
      </c>
      <c r="W34" s="34">
        <f>'Packer Downtime Detail  '!AD510</f>
        <v>0</v>
      </c>
      <c r="X34" s="34">
        <f>'Carton Errector-sealer Detail'!P505</f>
        <v>5</v>
      </c>
      <c r="Y34" s="35"/>
      <c r="Z34" s="34"/>
      <c r="AA34" s="90"/>
      <c r="AB34" s="90">
        <f>2+2</f>
        <v>4</v>
      </c>
      <c r="AC34" s="89"/>
      <c r="AD34" s="44">
        <f t="shared" si="0"/>
        <v>196</v>
      </c>
      <c r="AE34" s="669">
        <f>G35-D34</f>
        <v>0.50694444444444442</v>
      </c>
      <c r="AF34"/>
      <c r="AG34"/>
      <c r="AH34" s="3"/>
      <c r="AI34" s="23"/>
      <c r="AJ34" s="23"/>
      <c r="AK34" s="54"/>
      <c r="AL34" s="3"/>
      <c r="AM34" s="3"/>
      <c r="AN34" s="3"/>
      <c r="AO34" s="3"/>
      <c r="AP34" s="3"/>
      <c r="AQ34" s="3"/>
      <c r="AR34" s="3"/>
      <c r="AS34" s="3"/>
      <c r="AT34" s="3"/>
      <c r="AU34" s="3"/>
      <c r="AV34" s="3"/>
      <c r="AW34" s="3"/>
      <c r="AX34" s="3"/>
      <c r="AY34"/>
      <c r="AZ34"/>
      <c r="BA34"/>
      <c r="BB34"/>
      <c r="BC34"/>
      <c r="BD34"/>
      <c r="BE34"/>
      <c r="BF34"/>
    </row>
    <row r="35" spans="1:58" s="138" customFormat="1">
      <c r="A35" s="7">
        <f>[5]September_206!$C37</f>
        <v>14</v>
      </c>
      <c r="B35" s="139">
        <f>[5]September_206!$B37</f>
        <v>46286</v>
      </c>
      <c r="C35" s="78" t="str">
        <f>[5]September_206!$D37</f>
        <v xml:space="preserve">SHANDY SORREL LOCAL </v>
      </c>
      <c r="D35" s="681"/>
      <c r="E35" s="80">
        <v>0.56111111111111112</v>
      </c>
      <c r="F35" s="80">
        <v>0.74583333333333335</v>
      </c>
      <c r="G35" s="11">
        <v>0.79861111111111116</v>
      </c>
      <c r="H35" s="82"/>
      <c r="I35" s="32">
        <v>16</v>
      </c>
      <c r="J35" s="86">
        <v>4</v>
      </c>
      <c r="K35" s="71"/>
      <c r="L35" s="71"/>
      <c r="M35" s="71"/>
      <c r="N35" s="71"/>
      <c r="O35" s="71">
        <f>'Uncaser Downtime Detail '!AG520</f>
        <v>0</v>
      </c>
      <c r="P35" s="71">
        <f>'Washer Downtime Detail'!BH526</f>
        <v>0</v>
      </c>
      <c r="Q35" s="71">
        <f>'EBI Downtime Detail'!AI522</f>
        <v>0</v>
      </c>
      <c r="R35" s="71">
        <f>'Filler Downtime Detail'!AK520</f>
        <v>38</v>
      </c>
      <c r="S35" s="71">
        <f>'Pasteurizer Downtime Detail'!Z507</f>
        <v>7</v>
      </c>
      <c r="T35" s="71">
        <f>'Labeler Downtime Detail'!AN506</f>
        <v>0</v>
      </c>
      <c r="U35" s="71">
        <f>'Videojet Downtime Detail '!O515</f>
        <v>0</v>
      </c>
      <c r="V35" s="71">
        <f>'Conveyor Downtime (new)'!AV521</f>
        <v>0</v>
      </c>
      <c r="W35" s="71">
        <f>'Packer Downtime Detail  '!AD511</f>
        <v>0</v>
      </c>
      <c r="X35" s="71">
        <f>'Carton Errector-sealer Detail'!P506</f>
        <v>0</v>
      </c>
      <c r="Y35" s="71"/>
      <c r="Z35" s="43"/>
      <c r="AA35" s="88"/>
      <c r="AB35" s="88">
        <v>6</v>
      </c>
      <c r="AC35" s="71"/>
      <c r="AD35" s="44">
        <f t="shared" si="0"/>
        <v>71</v>
      </c>
      <c r="AE35" s="669"/>
      <c r="AF35"/>
      <c r="AG35"/>
      <c r="AH35" s="3"/>
      <c r="AI35" s="23"/>
      <c r="AJ35" s="23"/>
      <c r="AK35" s="54"/>
      <c r="AL35" s="3"/>
      <c r="AM35" s="3"/>
      <c r="AN35" s="3"/>
      <c r="AO35" s="3"/>
      <c r="AP35" s="3"/>
      <c r="AQ35" s="3"/>
      <c r="AR35" s="3"/>
      <c r="AS35" s="3"/>
      <c r="AT35" s="3"/>
      <c r="AU35" s="3"/>
      <c r="AV35" s="3"/>
      <c r="AW35" s="3"/>
      <c r="AX35" s="3"/>
      <c r="AY35"/>
      <c r="AZ35"/>
      <c r="BA35"/>
      <c r="BB35"/>
      <c r="BC35"/>
      <c r="BD35"/>
      <c r="BE35"/>
      <c r="BF35"/>
    </row>
    <row r="36" spans="1:58" s="138" customFormat="1" ht="16.5">
      <c r="A36" s="7">
        <f>[5]September_206!$C38</f>
        <v>15</v>
      </c>
      <c r="B36" s="139">
        <f>[5]September_206!$B38</f>
        <v>46287</v>
      </c>
      <c r="C36" s="78" t="str">
        <f>[5]September_206!$D38</f>
        <v>STAG</v>
      </c>
      <c r="D36" s="93">
        <v>0.29166666666666669</v>
      </c>
      <c r="E36" s="80">
        <v>0.34027777777777779</v>
      </c>
      <c r="F36" s="80">
        <v>0.89583333333333337</v>
      </c>
      <c r="G36" s="11">
        <v>0.95208333333333328</v>
      </c>
      <c r="H36" s="14">
        <v>2</v>
      </c>
      <c r="I36" s="34"/>
      <c r="J36" s="35">
        <f>4</f>
        <v>4</v>
      </c>
      <c r="K36" s="34"/>
      <c r="L36" s="34"/>
      <c r="M36" s="34"/>
      <c r="N36" s="34"/>
      <c r="O36" s="34">
        <f>'Uncaser Downtime Detail '!AG521</f>
        <v>0</v>
      </c>
      <c r="P36" s="34">
        <f>'Washer Downtime Detail'!BH527</f>
        <v>45</v>
      </c>
      <c r="Q36" s="34">
        <f>'EBI Downtime Detail'!AI523</f>
        <v>6</v>
      </c>
      <c r="R36" s="34">
        <f>'Filler Downtime Detail'!AK521</f>
        <v>28</v>
      </c>
      <c r="S36" s="34">
        <f>'Pasteurizer Downtime Detail'!Z508</f>
        <v>0</v>
      </c>
      <c r="T36" s="34">
        <f>'Labeler Downtime Detail'!AN507</f>
        <v>0</v>
      </c>
      <c r="U36" s="34">
        <f>'Videojet Downtime Detail '!O516</f>
        <v>0</v>
      </c>
      <c r="V36" s="34">
        <f>'Conveyor Downtime (new)'!AV522</f>
        <v>11</v>
      </c>
      <c r="W36" s="34">
        <f>'Packer Downtime Detail  '!AD512</f>
        <v>0</v>
      </c>
      <c r="X36" s="34">
        <f>'Carton Errector-sealer Detail'!P507</f>
        <v>0</v>
      </c>
      <c r="Y36" s="35"/>
      <c r="Z36" s="34">
        <f>10+10+40</f>
        <v>60</v>
      </c>
      <c r="AA36" s="90"/>
      <c r="AB36" s="90">
        <v>2</v>
      </c>
      <c r="AC36" s="89"/>
      <c r="AD36" s="44">
        <f t="shared" si="0"/>
        <v>158</v>
      </c>
      <c r="AE36" s="236">
        <f>G36-D36</f>
        <v>0.66041666666666665</v>
      </c>
      <c r="AF36"/>
      <c r="AG36"/>
      <c r="AH36" s="3"/>
      <c r="AI36" s="23"/>
      <c r="AJ36" s="23"/>
      <c r="AK36" s="54"/>
      <c r="AL36" s="3"/>
      <c r="AM36" s="3"/>
      <c r="AN36" s="3"/>
      <c r="AO36" s="3"/>
      <c r="AP36" s="3"/>
      <c r="AQ36" s="3"/>
      <c r="AR36" s="3"/>
      <c r="AS36" s="3"/>
      <c r="AT36" s="3"/>
      <c r="AU36" s="3"/>
      <c r="AV36" s="3"/>
      <c r="AW36" s="3"/>
      <c r="AX36" s="3"/>
      <c r="AY36"/>
      <c r="AZ36"/>
      <c r="BA36"/>
      <c r="BB36"/>
      <c r="BC36"/>
      <c r="BD36"/>
      <c r="BE36"/>
      <c r="BF36"/>
    </row>
    <row r="37" spans="1:58" s="497" customFormat="1" ht="16.5" customHeight="1">
      <c r="A37" s="7">
        <f>[5]September_206!$C39</f>
        <v>16</v>
      </c>
      <c r="B37" s="139">
        <f>[5]September_206!$B39</f>
        <v>46288</v>
      </c>
      <c r="C37" s="78" t="str">
        <f>[5]September_206!$D39</f>
        <v>STAG</v>
      </c>
      <c r="D37" s="681">
        <v>0.29166666666666669</v>
      </c>
      <c r="E37" s="80">
        <v>0.33333333333333331</v>
      </c>
      <c r="F37" s="80">
        <v>0.49305555555555558</v>
      </c>
      <c r="G37" s="11">
        <v>1.5486111111111112</v>
      </c>
      <c r="H37" s="506"/>
      <c r="I37" s="491"/>
      <c r="J37" s="507"/>
      <c r="K37" s="494"/>
      <c r="L37" s="494"/>
      <c r="M37" s="494"/>
      <c r="N37" s="494"/>
      <c r="O37" s="494">
        <f>'Uncaser Downtime Detail '!AG522</f>
        <v>0</v>
      </c>
      <c r="P37" s="494">
        <f>'Washer Downtime Detail'!BH528</f>
        <v>9</v>
      </c>
      <c r="Q37" s="494">
        <f>'EBI Downtime Detail'!AI524</f>
        <v>4</v>
      </c>
      <c r="R37" s="494">
        <f>'Filler Downtime Detail'!AK522</f>
        <v>3</v>
      </c>
      <c r="S37" s="494">
        <f>'Pasteurizer Downtime Detail'!Z509</f>
        <v>0</v>
      </c>
      <c r="T37" s="494">
        <f>'Labeler Downtime Detail'!AN508</f>
        <v>0</v>
      </c>
      <c r="U37" s="494">
        <f>'Videojet Downtime Detail '!O517</f>
        <v>4</v>
      </c>
      <c r="V37" s="494">
        <f>'Conveyor Downtime (new)'!AV523</f>
        <v>2</v>
      </c>
      <c r="W37" s="494">
        <f>'Packer Downtime Detail  '!AD513</f>
        <v>0</v>
      </c>
      <c r="X37" s="494">
        <f>'Carton Errector-sealer Detail'!P508</f>
        <v>0</v>
      </c>
      <c r="Y37" s="494"/>
      <c r="Z37" s="508">
        <v>10</v>
      </c>
      <c r="AA37" s="493"/>
      <c r="AB37" s="493">
        <v>2</v>
      </c>
      <c r="AC37" s="494"/>
      <c r="AD37" s="495">
        <f t="shared" si="0"/>
        <v>34</v>
      </c>
      <c r="AE37" s="669">
        <f>G38-D37</f>
        <v>0.66319444444444442</v>
      </c>
      <c r="AH37" s="498"/>
      <c r="AI37" s="504"/>
      <c r="AJ37" s="504"/>
      <c r="AK37" s="505"/>
      <c r="AL37" s="498"/>
      <c r="AM37" s="498"/>
      <c r="AN37" s="498"/>
      <c r="AO37" s="498"/>
      <c r="AP37" s="498"/>
      <c r="AQ37" s="498"/>
      <c r="AR37" s="498"/>
      <c r="AS37" s="498"/>
      <c r="AT37" s="498"/>
      <c r="AU37" s="498"/>
      <c r="AV37" s="498"/>
      <c r="AW37" s="498"/>
      <c r="AX37" s="498"/>
    </row>
    <row r="38" spans="1:58" s="138" customFormat="1" ht="16.5" customHeight="1">
      <c r="A38" s="7">
        <f>[5]September_206!$C40</f>
        <v>16</v>
      </c>
      <c r="B38" s="139">
        <f>[5]September_206!$B40</f>
        <v>46288</v>
      </c>
      <c r="C38" s="78" t="str">
        <f>[5]September_206!$D40</f>
        <v>CARIB FLINT EXPORT</v>
      </c>
      <c r="D38" s="681"/>
      <c r="E38" s="80">
        <v>0.51388888888888884</v>
      </c>
      <c r="F38" s="80">
        <v>0.89236111111111116</v>
      </c>
      <c r="G38" s="11">
        <v>0.95486111111111116</v>
      </c>
      <c r="H38" s="14"/>
      <c r="I38" s="34">
        <f>10+5+16</f>
        <v>31</v>
      </c>
      <c r="J38" s="35">
        <f>15+3</f>
        <v>18</v>
      </c>
      <c r="K38" s="34"/>
      <c r="L38" s="34"/>
      <c r="M38" s="34"/>
      <c r="N38" s="34"/>
      <c r="O38" s="34">
        <f>'Uncaser Downtime Detail '!AG523</f>
        <v>0</v>
      </c>
      <c r="P38" s="34">
        <f>'Washer Downtime Detail'!BH529</f>
        <v>0</v>
      </c>
      <c r="Q38" s="34">
        <f>'EBI Downtime Detail'!AI525</f>
        <v>0</v>
      </c>
      <c r="R38" s="34">
        <f>'Filler Downtime Detail'!AK523</f>
        <v>1</v>
      </c>
      <c r="S38" s="34">
        <f>'Pasteurizer Downtime Detail'!Z510</f>
        <v>5</v>
      </c>
      <c r="T38" s="34">
        <f>'Labeler Downtime Detail'!AN509</f>
        <v>13</v>
      </c>
      <c r="U38" s="34">
        <f>'Videojet Downtime Detail '!O518</f>
        <v>15</v>
      </c>
      <c r="V38" s="34">
        <f>'Conveyor Downtime (new)'!AV524</f>
        <v>13</v>
      </c>
      <c r="W38" s="34">
        <f>'Packer Downtime Detail  '!AD514</f>
        <v>96</v>
      </c>
      <c r="X38" s="34">
        <f>'Carton Errector-sealer Detail'!P509</f>
        <v>0</v>
      </c>
      <c r="Y38" s="35"/>
      <c r="Z38" s="34">
        <f>30+8</f>
        <v>38</v>
      </c>
      <c r="AA38" s="90"/>
      <c r="AB38" s="90">
        <v>2</v>
      </c>
      <c r="AC38" s="89"/>
      <c r="AD38" s="44">
        <f t="shared" si="0"/>
        <v>232</v>
      </c>
      <c r="AE38" s="669"/>
      <c r="AF38"/>
      <c r="AG38"/>
      <c r="AH38" s="3"/>
      <c r="AI38" s="23"/>
      <c r="AJ38" s="23"/>
      <c r="AK38" s="54"/>
      <c r="AL38" s="3"/>
      <c r="AM38" s="3"/>
      <c r="AN38" s="3"/>
      <c r="AO38" s="3"/>
      <c r="AP38" s="3"/>
      <c r="AQ38" s="3"/>
      <c r="AR38" s="3"/>
      <c r="AS38" s="3"/>
      <c r="AT38" s="3"/>
      <c r="AU38" s="3"/>
      <c r="AV38" s="3"/>
      <c r="AW38" s="3"/>
      <c r="AX38" s="3"/>
      <c r="AY38"/>
      <c r="AZ38"/>
      <c r="BA38"/>
      <c r="BB38"/>
      <c r="BC38"/>
      <c r="BD38"/>
      <c r="BE38"/>
      <c r="BF38"/>
    </row>
    <row r="39" spans="1:58" s="138" customFormat="1" ht="15" customHeight="1">
      <c r="A39" s="7">
        <f>[5]September_206!$C41</f>
        <v>17</v>
      </c>
      <c r="B39" s="139">
        <f>[5]September_206!$B41</f>
        <v>46289</v>
      </c>
      <c r="C39" s="78" t="str">
        <f>[5]September_206!$D41</f>
        <v>CARIB FLINT EXPORT</v>
      </c>
      <c r="D39" s="93">
        <v>0.29166666666666669</v>
      </c>
      <c r="E39" s="80">
        <v>0.36805555555555558</v>
      </c>
      <c r="F39" s="80">
        <v>0.89027777777777772</v>
      </c>
      <c r="G39" s="11">
        <v>0.95902777777777781</v>
      </c>
      <c r="H39" s="82"/>
      <c r="I39" s="32"/>
      <c r="J39" s="86">
        <f>1</f>
        <v>1</v>
      </c>
      <c r="K39" s="71"/>
      <c r="L39" s="71"/>
      <c r="M39" s="71"/>
      <c r="N39" s="71"/>
      <c r="O39" s="71">
        <f>'Uncaser Downtime Detail '!AG524</f>
        <v>7</v>
      </c>
      <c r="P39" s="71">
        <f>'Washer Downtime Detail'!BH530</f>
        <v>7</v>
      </c>
      <c r="Q39" s="71">
        <f>'EBI Downtime Detail'!AI526</f>
        <v>14</v>
      </c>
      <c r="R39" s="71">
        <f>'Filler Downtime Detail'!AK524</f>
        <v>64</v>
      </c>
      <c r="S39" s="71">
        <f>'Pasteurizer Downtime Detail'!Z511</f>
        <v>19</v>
      </c>
      <c r="T39" s="71">
        <f>'Labeler Downtime Detail'!AN510</f>
        <v>14</v>
      </c>
      <c r="U39" s="71">
        <f>'Videojet Downtime Detail '!O519</f>
        <v>0</v>
      </c>
      <c r="V39" s="71">
        <f>'Conveyor Downtime (new)'!AV525</f>
        <v>5</v>
      </c>
      <c r="W39" s="71">
        <f>'Packer Downtime Detail  '!AD515</f>
        <v>4</v>
      </c>
      <c r="X39" s="71">
        <f>'Carton Errector-sealer Detail'!P510</f>
        <v>43</v>
      </c>
      <c r="Y39" s="71"/>
      <c r="Z39" s="43"/>
      <c r="AA39" s="88"/>
      <c r="AB39" s="88">
        <f>12+14+2</f>
        <v>28</v>
      </c>
      <c r="AC39" s="71"/>
      <c r="AD39" s="44">
        <f t="shared" si="0"/>
        <v>206</v>
      </c>
      <c r="AE39" s="236">
        <f>G39-D39</f>
        <v>0.66736111111111107</v>
      </c>
      <c r="AF39"/>
      <c r="AG39"/>
      <c r="AH39" s="3"/>
      <c r="AI39" s="23"/>
      <c r="AJ39" s="23"/>
      <c r="AK39" s="54"/>
      <c r="AL39" s="3"/>
      <c r="AM39" s="3"/>
      <c r="AN39" s="3"/>
      <c r="AO39" s="3"/>
      <c r="AP39" s="3"/>
      <c r="AQ39" s="3"/>
      <c r="AR39" s="3"/>
      <c r="AS39" s="3"/>
      <c r="AT39" s="3"/>
      <c r="AU39" s="3"/>
      <c r="AV39" s="3"/>
      <c r="AW39" s="3"/>
      <c r="AX39" s="3"/>
      <c r="AY39"/>
      <c r="AZ39"/>
      <c r="BA39"/>
      <c r="BB39"/>
      <c r="BC39"/>
      <c r="BD39"/>
      <c r="BE39"/>
      <c r="BF39"/>
    </row>
    <row r="40" spans="1:58" s="138" customFormat="1">
      <c r="A40" s="7">
        <f>[5]September_206!$C42</f>
        <v>18</v>
      </c>
      <c r="B40" s="139">
        <f>[5]September_206!$B42</f>
        <v>46290</v>
      </c>
      <c r="C40" s="78" t="str">
        <f>[5]September_206!$D42</f>
        <v>CARIB FLINT EXPORT</v>
      </c>
      <c r="D40" s="681">
        <v>0.29166666666666669</v>
      </c>
      <c r="E40" s="80">
        <v>0.33680555555555558</v>
      </c>
      <c r="F40" s="80">
        <v>0.70138888888888884</v>
      </c>
      <c r="G40" s="11"/>
      <c r="H40" s="14"/>
      <c r="I40" s="34"/>
      <c r="J40" s="35"/>
      <c r="K40" s="34"/>
      <c r="L40" s="34"/>
      <c r="M40" s="34"/>
      <c r="N40" s="34"/>
      <c r="O40" s="34">
        <f>'Uncaser Downtime Detail '!AG525</f>
        <v>30</v>
      </c>
      <c r="P40" s="34">
        <f>'Washer Downtime Detail'!BH531</f>
        <v>0</v>
      </c>
      <c r="Q40" s="34">
        <f>'EBI Downtime Detail'!AI527</f>
        <v>0</v>
      </c>
      <c r="R40" s="34">
        <f>'Filler Downtime Detail'!AK525</f>
        <v>1</v>
      </c>
      <c r="S40" s="34">
        <f>'Pasteurizer Downtime Detail'!Z512</f>
        <v>0</v>
      </c>
      <c r="T40" s="34">
        <f>'Labeler Downtime Detail'!AN511</f>
        <v>18</v>
      </c>
      <c r="U40" s="34">
        <f>'Videojet Downtime Detail '!O520</f>
        <v>0</v>
      </c>
      <c r="V40" s="34">
        <f>'Conveyor Downtime (new)'!AV526</f>
        <v>11</v>
      </c>
      <c r="W40" s="34">
        <f>'Packer Downtime Detail  '!AD516</f>
        <v>16</v>
      </c>
      <c r="X40" s="34">
        <f>'Carton Errector-sealer Detail'!P511</f>
        <v>0</v>
      </c>
      <c r="Y40" s="35"/>
      <c r="Z40" s="34">
        <f>10+5+2</f>
        <v>17</v>
      </c>
      <c r="AA40" s="90"/>
      <c r="AB40" s="90">
        <f>7+12+15</f>
        <v>34</v>
      </c>
      <c r="AC40" s="89"/>
      <c r="AD40" s="44">
        <f t="shared" si="0"/>
        <v>127</v>
      </c>
      <c r="AE40" s="669">
        <f>G41-D40</f>
        <v>0.5541666666666667</v>
      </c>
      <c r="AF40"/>
      <c r="AG40"/>
      <c r="AH40" s="3"/>
      <c r="AI40" s="23"/>
      <c r="AJ40" s="23"/>
      <c r="AK40" s="54"/>
      <c r="AL40" s="3"/>
      <c r="AM40" s="3"/>
      <c r="AN40" s="3"/>
      <c r="AO40" s="3"/>
      <c r="AP40" s="3"/>
      <c r="AQ40" s="3"/>
      <c r="AR40" s="3"/>
      <c r="AS40" s="3"/>
      <c r="AT40" s="3"/>
      <c r="AU40" s="3"/>
      <c r="AV40" s="3"/>
      <c r="AW40" s="3"/>
      <c r="AX40" s="3"/>
      <c r="AY40"/>
      <c r="AZ40"/>
      <c r="BA40"/>
      <c r="BB40"/>
      <c r="BC40"/>
      <c r="BD40"/>
      <c r="BE40"/>
      <c r="BF40"/>
    </row>
    <row r="41" spans="1:58">
      <c r="A41" s="7">
        <f>[5]September_206!$C43</f>
        <v>18</v>
      </c>
      <c r="B41" s="139">
        <f>[5]September_206!$B43</f>
        <v>46290</v>
      </c>
      <c r="C41" s="78" t="str">
        <f>[5]September_206!$D43</f>
        <v>GUINNESS</v>
      </c>
      <c r="D41" s="681"/>
      <c r="E41" s="80">
        <v>0.7729166666666667</v>
      </c>
      <c r="F41" s="80">
        <v>0.81458333333333333</v>
      </c>
      <c r="G41" s="178">
        <v>0.84583333333333333</v>
      </c>
      <c r="H41" s="82"/>
      <c r="I41" s="32">
        <f>10+30+30+33</f>
        <v>103</v>
      </c>
      <c r="J41" s="86"/>
      <c r="K41" s="71"/>
      <c r="L41" s="71"/>
      <c r="M41" s="71"/>
      <c r="N41" s="71"/>
      <c r="O41" s="71">
        <f>'Uncaser Downtime Detail '!AG526</f>
        <v>0</v>
      </c>
      <c r="P41" s="71">
        <f>'Washer Downtime Detail'!BH532</f>
        <v>0</v>
      </c>
      <c r="Q41" s="71">
        <f>'EBI Downtime Detail'!AI528</f>
        <v>0</v>
      </c>
      <c r="R41" s="71">
        <f>'Filler Downtime Detail'!AK526</f>
        <v>0</v>
      </c>
      <c r="S41" s="71">
        <f>'Pasteurizer Downtime Detail'!Z513</f>
        <v>0</v>
      </c>
      <c r="T41" s="71">
        <f>'Labeler Downtime Detail'!AN512</f>
        <v>0</v>
      </c>
      <c r="U41" s="71">
        <f>'Videojet Downtime Detail '!O521</f>
        <v>0</v>
      </c>
      <c r="V41" s="71">
        <f>'Conveyor Downtime (new)'!AV527</f>
        <v>0</v>
      </c>
      <c r="W41" s="71">
        <f>'Packer Downtime Detail  '!AD517</f>
        <v>0</v>
      </c>
      <c r="X41" s="71">
        <f>'Carton Errector-sealer Detail'!P512</f>
        <v>0</v>
      </c>
      <c r="Y41" s="71"/>
      <c r="Z41" s="43"/>
      <c r="AA41" s="88"/>
      <c r="AB41" s="88"/>
      <c r="AC41" s="71"/>
      <c r="AD41" s="44">
        <f t="shared" ref="AD41:AD46" si="1">SUM(H41:J41,K41:AB41)</f>
        <v>103</v>
      </c>
      <c r="AE41" s="669"/>
      <c r="AH41" s="3"/>
      <c r="AI41" s="23"/>
      <c r="AJ41" s="23"/>
      <c r="AK41" s="54"/>
      <c r="AL41" s="3"/>
      <c r="AM41" s="3"/>
      <c r="AN41" s="3"/>
      <c r="AO41" s="3"/>
      <c r="AP41" s="3"/>
      <c r="AQ41" s="3"/>
      <c r="AR41" s="3"/>
      <c r="AS41" s="3"/>
      <c r="AT41" s="3"/>
      <c r="AU41" s="3"/>
      <c r="AV41" s="3"/>
      <c r="AW41" s="3"/>
      <c r="AX41" s="3"/>
    </row>
    <row r="42" spans="1:58">
      <c r="A42" s="7">
        <f>[5]September_206!$C44</f>
        <v>19</v>
      </c>
      <c r="B42" s="139">
        <f>[5]September_206!$B44</f>
        <v>46293</v>
      </c>
      <c r="C42" s="78" t="str">
        <f>[5]September_206!$D44</f>
        <v>GUINNESS</v>
      </c>
      <c r="D42" s="636">
        <v>1.2916666666666667</v>
      </c>
      <c r="E42" s="80">
        <v>1.3784722222222223</v>
      </c>
      <c r="F42" s="80">
        <v>1.9041666666666666</v>
      </c>
      <c r="G42" s="11">
        <v>1.9750000000000001</v>
      </c>
      <c r="H42" s="14"/>
      <c r="I42" s="34"/>
      <c r="J42" s="35"/>
      <c r="K42" s="34"/>
      <c r="L42" s="34"/>
      <c r="M42" s="34"/>
      <c r="N42" s="34"/>
      <c r="O42" s="34">
        <f>'Uncaser Downtime Detail '!AG527</f>
        <v>57</v>
      </c>
      <c r="P42" s="34">
        <f>'Washer Downtime Detail'!BH533</f>
        <v>6</v>
      </c>
      <c r="Q42" s="34">
        <f>'EBI Downtime Detail'!AI529</f>
        <v>0</v>
      </c>
      <c r="R42" s="34">
        <f>'Filler Downtime Detail'!AK527</f>
        <v>15</v>
      </c>
      <c r="S42" s="34">
        <f>'Pasteurizer Downtime Detail'!Z514</f>
        <v>65</v>
      </c>
      <c r="T42" s="34">
        <f>'Labeler Downtime Detail'!AN513</f>
        <v>32</v>
      </c>
      <c r="U42" s="34">
        <f>'Videojet Downtime Detail '!O522</f>
        <v>0</v>
      </c>
      <c r="V42" s="34">
        <f>'Conveyor Downtime (new)'!AV528</f>
        <v>31</v>
      </c>
      <c r="W42" s="34">
        <f>'Packer Downtime Detail  '!AD518</f>
        <v>102</v>
      </c>
      <c r="X42" s="34">
        <f>'Carton Errector-sealer Detail'!P513</f>
        <v>0</v>
      </c>
      <c r="Y42" s="35"/>
      <c r="Z42" s="34">
        <f>10+4</f>
        <v>14</v>
      </c>
      <c r="AA42" s="90"/>
      <c r="AB42" s="90">
        <v>4</v>
      </c>
      <c r="AC42" s="89"/>
      <c r="AD42" s="44">
        <f t="shared" si="1"/>
        <v>326</v>
      </c>
      <c r="AE42" s="45">
        <f>G42-D42</f>
        <v>0.68333333333333335</v>
      </c>
      <c r="AH42" s="3"/>
      <c r="AI42" s="23"/>
      <c r="AJ42" s="23"/>
      <c r="AK42" s="54"/>
      <c r="AL42" s="3"/>
      <c r="AM42" s="3"/>
      <c r="AN42" s="3"/>
      <c r="AO42" s="3"/>
      <c r="AP42" s="3"/>
      <c r="AQ42" s="3"/>
      <c r="AR42" s="3"/>
      <c r="AS42" s="3"/>
      <c r="AT42" s="3"/>
      <c r="AU42" s="3"/>
      <c r="AV42" s="3"/>
      <c r="AW42" s="3"/>
      <c r="AX42" s="3"/>
    </row>
    <row r="43" spans="1:58" ht="12" customHeight="1">
      <c r="A43" s="7">
        <f>[5]September_206!$C45</f>
        <v>20</v>
      </c>
      <c r="B43" s="139">
        <f>[5]September_206!$B45</f>
        <v>46294</v>
      </c>
      <c r="C43" s="78" t="str">
        <f>[5]September_206!$D45</f>
        <v>GUINNESS</v>
      </c>
      <c r="D43" s="681">
        <v>0.29166666666666669</v>
      </c>
      <c r="E43" s="80">
        <v>0.34166666666666667</v>
      </c>
      <c r="F43" s="80">
        <v>0.46944444444444444</v>
      </c>
      <c r="G43" s="11">
        <v>1.5486111111111112</v>
      </c>
      <c r="H43" s="82"/>
      <c r="I43" s="32"/>
      <c r="J43" s="86"/>
      <c r="K43" s="71"/>
      <c r="L43" s="71"/>
      <c r="M43" s="71"/>
      <c r="N43" s="71"/>
      <c r="O43" s="71">
        <f>'Uncaser Downtime Detail '!AG528</f>
        <v>5</v>
      </c>
      <c r="P43" s="71">
        <f>'Washer Downtime Detail'!BH534</f>
        <v>0</v>
      </c>
      <c r="Q43" s="71">
        <f>'EBI Downtime Detail'!AI530</f>
        <v>8</v>
      </c>
      <c r="R43" s="71">
        <f>'Filler Downtime Detail'!AK528</f>
        <v>0</v>
      </c>
      <c r="S43" s="71">
        <f>'Pasteurizer Downtime Detail'!Z515</f>
        <v>12</v>
      </c>
      <c r="T43" s="71">
        <f>'Labeler Downtime Detail'!AN514</f>
        <v>0</v>
      </c>
      <c r="U43" s="71">
        <f>'Videojet Downtime Detail '!O523</f>
        <v>6</v>
      </c>
      <c r="V43" s="71">
        <f>'Conveyor Downtime (new)'!AV529</f>
        <v>3</v>
      </c>
      <c r="W43" s="71">
        <f>'Packer Downtime Detail  '!AD519</f>
        <v>0</v>
      </c>
      <c r="X43" s="71">
        <f>'Carton Errector-sealer Detail'!P514</f>
        <v>0</v>
      </c>
      <c r="Y43" s="71"/>
      <c r="Z43" s="43">
        <v>10</v>
      </c>
      <c r="AA43" s="88"/>
      <c r="AB43" s="88">
        <v>2</v>
      </c>
      <c r="AC43" s="71"/>
      <c r="AD43" s="44">
        <f t="shared" si="1"/>
        <v>46</v>
      </c>
      <c r="AE43" s="669">
        <f>G44-D43</f>
        <v>0.65277777777777768</v>
      </c>
      <c r="AH43" s="3"/>
      <c r="AI43" s="23"/>
      <c r="AJ43" s="23"/>
      <c r="AK43" s="54"/>
      <c r="AL43" s="3"/>
      <c r="AM43" s="3"/>
      <c r="AN43" s="3"/>
      <c r="AO43" s="3"/>
      <c r="AP43" s="3"/>
      <c r="AQ43" s="3"/>
      <c r="AR43" s="3"/>
      <c r="AS43" s="3"/>
      <c r="AT43" s="3"/>
      <c r="AU43" s="3"/>
      <c r="AV43" s="3"/>
      <c r="AW43" s="3"/>
      <c r="AX43" s="3"/>
    </row>
    <row r="44" spans="1:58">
      <c r="A44" s="7">
        <f>[5]September_206!$C46</f>
        <v>20</v>
      </c>
      <c r="B44" s="139">
        <f>[5]September_206!$B46</f>
        <v>46294</v>
      </c>
      <c r="C44" s="78" t="str">
        <f>[5]September_206!$D46</f>
        <v>CARIB AMBER</v>
      </c>
      <c r="D44" s="681"/>
      <c r="E44" s="13">
        <v>0.54861111111111116</v>
      </c>
      <c r="F44" s="80">
        <v>0.89930555555555558</v>
      </c>
      <c r="G44" s="11">
        <v>0.94444444444444442</v>
      </c>
      <c r="H44" s="14"/>
      <c r="I44" s="34">
        <f>44+60+10</f>
        <v>114</v>
      </c>
      <c r="J44" s="35">
        <f>9+2</f>
        <v>11</v>
      </c>
      <c r="K44" s="34">
        <f>6+45</f>
        <v>51</v>
      </c>
      <c r="L44" s="34"/>
      <c r="M44" s="34"/>
      <c r="N44" s="34"/>
      <c r="O44" s="34">
        <f>'Uncaser Downtime Detail '!AG529</f>
        <v>0</v>
      </c>
      <c r="P44" s="34">
        <f>'Washer Downtime Detail'!BH535</f>
        <v>14</v>
      </c>
      <c r="Q44" s="34">
        <f>'EBI Downtime Detail'!AI531</f>
        <v>3</v>
      </c>
      <c r="R44" s="34">
        <f>'Filler Downtime Detail'!AK529</f>
        <v>9</v>
      </c>
      <c r="S44" s="34">
        <f>'Pasteurizer Downtime Detail'!Z516</f>
        <v>0</v>
      </c>
      <c r="T44" s="34">
        <f>'Labeler Downtime Detail'!AN515</f>
        <v>9</v>
      </c>
      <c r="U44" s="34">
        <f>'Videojet Downtime Detail '!O524</f>
        <v>0</v>
      </c>
      <c r="V44" s="34">
        <f>'Conveyor Downtime (new)'!AV530</f>
        <v>4</v>
      </c>
      <c r="W44" s="34">
        <f>'Packer Downtime Detail  '!AD520</f>
        <v>3</v>
      </c>
      <c r="X44" s="34">
        <f>'Carton Errector-sealer Detail'!P515</f>
        <v>0</v>
      </c>
      <c r="Y44" s="35"/>
      <c r="Z44" s="34"/>
      <c r="AA44" s="90">
        <v>3</v>
      </c>
      <c r="AB44" s="90">
        <f>7+2</f>
        <v>9</v>
      </c>
      <c r="AC44" s="89"/>
      <c r="AD44" s="44">
        <f t="shared" si="1"/>
        <v>230</v>
      </c>
      <c r="AE44" s="669"/>
      <c r="AH44" s="3"/>
      <c r="AI44" s="23"/>
      <c r="AJ44" s="23"/>
      <c r="AK44" s="54"/>
      <c r="AL44" s="3"/>
      <c r="AM44" s="3"/>
      <c r="AN44" s="3"/>
      <c r="AO44" s="3"/>
      <c r="AP44" s="3"/>
      <c r="AQ44" s="3"/>
      <c r="AR44" s="3"/>
      <c r="AS44" s="3"/>
      <c r="AT44" s="3"/>
      <c r="AU44" s="3"/>
      <c r="AV44" s="3"/>
      <c r="AW44" s="3"/>
      <c r="AX44" s="3"/>
    </row>
    <row r="45" spans="1:58">
      <c r="A45" s="7">
        <f>[5]September_206!$C47</f>
        <v>21</v>
      </c>
      <c r="B45" s="139">
        <f>[5]September_206!$B47</f>
        <v>46295</v>
      </c>
      <c r="C45" s="78" t="str">
        <f>[5]September_206!$D47</f>
        <v>CARIB AMBER</v>
      </c>
      <c r="D45" s="681">
        <v>0.29166666666666669</v>
      </c>
      <c r="E45" s="80">
        <v>0.34722222222222221</v>
      </c>
      <c r="F45" s="80">
        <v>0.66319444444444442</v>
      </c>
      <c r="G45" s="11">
        <v>1.726388888888889</v>
      </c>
      <c r="H45" s="82"/>
      <c r="I45" s="32"/>
      <c r="J45" s="86">
        <f>6</f>
        <v>6</v>
      </c>
      <c r="K45" s="71"/>
      <c r="L45" s="71"/>
      <c r="M45" s="71"/>
      <c r="N45" s="71"/>
      <c r="O45" s="71">
        <f>'Uncaser Downtime Detail '!AG530</f>
        <v>0</v>
      </c>
      <c r="P45" s="71">
        <f>'Washer Downtime Detail'!BH536</f>
        <v>0</v>
      </c>
      <c r="Q45" s="71">
        <f>'EBI Downtime Detail'!AI532</f>
        <v>9</v>
      </c>
      <c r="R45" s="71">
        <f>'Filler Downtime Detail'!AK530</f>
        <v>2</v>
      </c>
      <c r="S45" s="71">
        <f>'Pasteurizer Downtime Detail'!Z517</f>
        <v>38</v>
      </c>
      <c r="T45" s="71">
        <f>'Labeler Downtime Detail'!AN516</f>
        <v>8</v>
      </c>
      <c r="U45" s="71">
        <f>'Videojet Downtime Detail '!O525</f>
        <v>10</v>
      </c>
      <c r="V45" s="71">
        <f>'Conveyor Downtime (new)'!AV531</f>
        <v>2</v>
      </c>
      <c r="W45" s="71">
        <f>'Packer Downtime Detail  '!AD521</f>
        <v>2</v>
      </c>
      <c r="X45" s="71">
        <f>'Carton Errector-sealer Detail'!P516</f>
        <v>0</v>
      </c>
      <c r="Y45" s="71"/>
      <c r="Z45" s="43">
        <f>10+2+3+3</f>
        <v>18</v>
      </c>
      <c r="AA45" s="88"/>
      <c r="AB45" s="88">
        <v>4</v>
      </c>
      <c r="AC45" s="71"/>
      <c r="AD45" s="44">
        <f t="shared" si="1"/>
        <v>99</v>
      </c>
      <c r="AE45" s="669">
        <f>G46-D45</f>
        <v>0.68055555555555558</v>
      </c>
      <c r="AH45" s="3"/>
      <c r="AI45" s="23"/>
      <c r="AJ45" s="23"/>
      <c r="AK45" s="54"/>
      <c r="AL45" s="3"/>
      <c r="AM45" s="3"/>
      <c r="AN45" s="3"/>
      <c r="AO45" s="3"/>
      <c r="AP45" s="3"/>
      <c r="AQ45" s="3"/>
      <c r="AR45" s="3"/>
      <c r="AS45" s="3"/>
      <c r="AT45" s="3"/>
      <c r="AU45" s="3"/>
      <c r="AV45" s="3"/>
      <c r="AW45" s="3"/>
      <c r="AX45" s="3"/>
    </row>
    <row r="46" spans="1:58">
      <c r="A46" s="7">
        <f>[5]September_206!$C48</f>
        <v>21</v>
      </c>
      <c r="B46" s="139">
        <f>[5]September_206!$B48</f>
        <v>46295</v>
      </c>
      <c r="C46" s="78" t="str">
        <f>[5]September_206!$D48</f>
        <v>STARMALT</v>
      </c>
      <c r="D46" s="681"/>
      <c r="E46" s="80">
        <v>0.78055555555555556</v>
      </c>
      <c r="F46" s="80">
        <v>0.8979166666666667</v>
      </c>
      <c r="G46" s="11">
        <v>0.97222222222222221</v>
      </c>
      <c r="H46" s="14"/>
      <c r="I46" s="34">
        <f>5+60+50+40+44</f>
        <v>199</v>
      </c>
      <c r="J46" s="35"/>
      <c r="K46" s="34"/>
      <c r="L46" s="34"/>
      <c r="M46" s="34"/>
      <c r="N46" s="34"/>
      <c r="O46" s="34">
        <f>'Uncaser Downtime Detail '!AG531</f>
        <v>0</v>
      </c>
      <c r="P46" s="34">
        <f>'Washer Downtime Detail'!BH537</f>
        <v>10</v>
      </c>
      <c r="Q46" s="34">
        <f>'EBI Downtime Detail'!AI533</f>
        <v>2</v>
      </c>
      <c r="R46" s="34">
        <f>'Filler Downtime Detail'!AK531</f>
        <v>1</v>
      </c>
      <c r="S46" s="34">
        <f>'Pasteurizer Downtime Detail'!Z518</f>
        <v>0</v>
      </c>
      <c r="T46" s="34">
        <f>'Labeler Downtime Detail'!AN517</f>
        <v>2</v>
      </c>
      <c r="U46" s="34">
        <f>'Videojet Downtime Detail '!O526</f>
        <v>0</v>
      </c>
      <c r="V46" s="34">
        <f>'Conveyor Downtime (new)'!AV532</f>
        <v>1</v>
      </c>
      <c r="W46" s="34">
        <f>'Packer Downtime Detail  '!AD522</f>
        <v>0</v>
      </c>
      <c r="X46" s="34">
        <f>'Carton Errector-sealer Detail'!P517</f>
        <v>0</v>
      </c>
      <c r="Y46" s="35"/>
      <c r="Z46" s="34">
        <f>20</f>
        <v>20</v>
      </c>
      <c r="AA46" s="90"/>
      <c r="AB46" s="90"/>
      <c r="AC46" s="89"/>
      <c r="AD46" s="44">
        <f t="shared" si="1"/>
        <v>235</v>
      </c>
      <c r="AE46" s="669"/>
      <c r="AH46" s="3"/>
      <c r="AI46" s="23"/>
      <c r="AJ46" s="23"/>
      <c r="AK46" s="54"/>
      <c r="AL46" s="3"/>
      <c r="AM46" s="3"/>
      <c r="AN46" s="3"/>
      <c r="AO46" s="3"/>
      <c r="AP46" s="3"/>
      <c r="AQ46" s="3"/>
      <c r="AR46" s="3"/>
      <c r="AS46" s="3"/>
      <c r="AT46" s="3"/>
      <c r="AU46" s="3"/>
      <c r="AV46" s="3"/>
      <c r="AW46" s="3"/>
      <c r="AX46" s="3"/>
    </row>
    <row r="47" spans="1:58">
      <c r="A47" s="7">
        <f>[5]September_206!$C49</f>
        <v>0</v>
      </c>
      <c r="B47" s="139">
        <f>[5]September_206!$B49</f>
        <v>0</v>
      </c>
      <c r="C47" s="78">
        <f>[5]September_206!$D49</f>
        <v>0</v>
      </c>
      <c r="D47" s="93"/>
      <c r="E47" s="80"/>
      <c r="F47" s="80"/>
      <c r="G47" s="11"/>
      <c r="H47" s="82"/>
      <c r="I47" s="32"/>
      <c r="J47" s="86"/>
      <c r="K47" s="71"/>
      <c r="L47" s="71"/>
      <c r="M47" s="71"/>
      <c r="N47" s="71"/>
      <c r="O47" s="71">
        <f>'Uncaser Downtime Detail '!AG532</f>
        <v>0</v>
      </c>
      <c r="P47" s="71">
        <f>'Washer Downtime Detail'!BH538</f>
        <v>0</v>
      </c>
      <c r="Q47" s="71">
        <f>'EBI Downtime Detail'!AI534</f>
        <v>0</v>
      </c>
      <c r="R47" s="71">
        <f>'Filler Downtime Detail'!AK532</f>
        <v>0</v>
      </c>
      <c r="S47" s="71">
        <f>'Pasteurizer Downtime Detail'!Z519</f>
        <v>0</v>
      </c>
      <c r="T47" s="71">
        <f>'Labeler Downtime Detail'!AN518</f>
        <v>0</v>
      </c>
      <c r="U47" s="71">
        <f>'Videojet Downtime Detail '!O527</f>
        <v>0</v>
      </c>
      <c r="V47" s="71">
        <f>'Conveyor Downtime (new)'!AV533</f>
        <v>0</v>
      </c>
      <c r="W47" s="71">
        <f>'Packer Downtime Detail  '!AD523</f>
        <v>0</v>
      </c>
      <c r="X47" s="71">
        <f>'Carton Errector-sealer Detail'!P518</f>
        <v>0</v>
      </c>
      <c r="Y47" s="71"/>
      <c r="Z47" s="43"/>
      <c r="AA47" s="88"/>
      <c r="AB47" s="88"/>
      <c r="AC47" s="71"/>
      <c r="AD47" s="44">
        <f t="shared" ref="AD47:AD53" si="2">SUM(K47:AA47)+I47+J47+H47</f>
        <v>0</v>
      </c>
      <c r="AE47" s="91">
        <f>G49-D47</f>
        <v>0</v>
      </c>
      <c r="AH47" s="3"/>
      <c r="AI47" s="23"/>
      <c r="AJ47" s="23"/>
      <c r="AK47" s="54"/>
      <c r="AL47" s="3"/>
      <c r="AM47" s="3"/>
      <c r="AN47" s="3"/>
      <c r="AO47" s="3"/>
      <c r="AP47" s="3"/>
      <c r="AQ47" s="3"/>
      <c r="AR47" s="3"/>
      <c r="AS47" s="3"/>
      <c r="AT47" s="3"/>
      <c r="AU47" s="3"/>
      <c r="AV47" s="3"/>
      <c r="AW47" s="3"/>
      <c r="AX47" s="3"/>
    </row>
    <row r="48" spans="1:58">
      <c r="A48" s="7">
        <f>[5]September_206!$C50</f>
        <v>0</v>
      </c>
      <c r="B48" s="139">
        <f>[5]September_206!$B50</f>
        <v>0</v>
      </c>
      <c r="C48" s="78">
        <f>[5]September_206!$D50</f>
        <v>0</v>
      </c>
      <c r="D48" s="85"/>
      <c r="E48" s="80"/>
      <c r="F48" s="80"/>
      <c r="G48" s="11"/>
      <c r="H48" s="14"/>
      <c r="I48" s="34"/>
      <c r="J48" s="35"/>
      <c r="K48" s="34"/>
      <c r="L48" s="34"/>
      <c r="M48" s="34"/>
      <c r="N48" s="34"/>
      <c r="O48" s="34">
        <f>'Uncaser Downtime Detail '!AG533</f>
        <v>0</v>
      </c>
      <c r="P48" s="34">
        <f>'Washer Downtime Detail'!BH539</f>
        <v>0</v>
      </c>
      <c r="Q48" s="34">
        <f>'EBI Downtime Detail'!AI535</f>
        <v>0</v>
      </c>
      <c r="R48" s="34">
        <f>'Filler Downtime Detail'!AK533</f>
        <v>0</v>
      </c>
      <c r="S48" s="34">
        <f>'Pasteurizer Downtime Detail'!Z520</f>
        <v>0</v>
      </c>
      <c r="T48" s="34">
        <f>'Labeler Downtime Detail'!AN519</f>
        <v>0</v>
      </c>
      <c r="U48" s="34">
        <f>'Videojet Downtime Detail '!O528</f>
        <v>0</v>
      </c>
      <c r="V48" s="34">
        <f>'Conveyor Downtime (new)'!AV534</f>
        <v>0</v>
      </c>
      <c r="W48" s="34">
        <f>'Packer Downtime Detail  '!AD524</f>
        <v>0</v>
      </c>
      <c r="X48" s="34">
        <f>'Carton Errector-sealer Detail'!P519</f>
        <v>0</v>
      </c>
      <c r="Y48" s="35"/>
      <c r="Z48" s="34"/>
      <c r="AA48" s="90"/>
      <c r="AB48" s="90"/>
      <c r="AC48" s="89"/>
      <c r="AD48" s="44">
        <f t="shared" si="2"/>
        <v>0</v>
      </c>
      <c r="AE48" s="91"/>
      <c r="AH48" s="3"/>
      <c r="AI48" s="23"/>
      <c r="AJ48" s="23"/>
      <c r="AK48" s="54"/>
      <c r="AL48" s="3"/>
      <c r="AM48" s="3"/>
      <c r="AN48" s="3"/>
      <c r="AO48" s="3"/>
      <c r="AP48" s="3"/>
      <c r="AQ48" s="3"/>
      <c r="AR48" s="3"/>
      <c r="AS48" s="3"/>
      <c r="AT48" s="3"/>
      <c r="AU48" s="3"/>
      <c r="AV48" s="3"/>
      <c r="AW48" s="3"/>
      <c r="AX48" s="3"/>
    </row>
    <row r="49" spans="1:50">
      <c r="A49" s="7">
        <f>[5]September_206!$C51</f>
        <v>0</v>
      </c>
      <c r="B49" s="139">
        <f>[5]September_206!$B51</f>
        <v>0</v>
      </c>
      <c r="C49" s="78">
        <f>[5]September_206!$D51</f>
        <v>0</v>
      </c>
      <c r="D49" s="93"/>
      <c r="E49" s="80"/>
      <c r="F49" s="80"/>
      <c r="G49" s="11"/>
      <c r="H49" s="82"/>
      <c r="I49" s="32"/>
      <c r="J49" s="86"/>
      <c r="K49" s="71"/>
      <c r="L49" s="71"/>
      <c r="M49" s="71"/>
      <c r="N49" s="71"/>
      <c r="O49" s="71">
        <f>'Uncaser Downtime Detail '!AG534</f>
        <v>0</v>
      </c>
      <c r="P49" s="71">
        <f>'Washer Downtime Detail'!BH540</f>
        <v>0</v>
      </c>
      <c r="Q49" s="71">
        <f>'EBI Downtime Detail'!AI536</f>
        <v>0</v>
      </c>
      <c r="R49" s="71">
        <f>'Filler Downtime Detail'!AK534</f>
        <v>0</v>
      </c>
      <c r="S49" s="71">
        <f>'Pasteurizer Downtime Detail'!Z521</f>
        <v>0</v>
      </c>
      <c r="T49" s="71">
        <f>'Labeler Downtime Detail'!AN520</f>
        <v>0</v>
      </c>
      <c r="U49" s="71">
        <f>'Videojet Downtime Detail '!O529</f>
        <v>0</v>
      </c>
      <c r="V49" s="71">
        <f>'Conveyor Downtime (new)'!AV535</f>
        <v>0</v>
      </c>
      <c r="W49" s="71">
        <f>'Packer Downtime Detail  '!AD525</f>
        <v>0</v>
      </c>
      <c r="X49" s="71">
        <f>'Carton Errector-sealer Detail'!P520</f>
        <v>0</v>
      </c>
      <c r="Y49" s="71"/>
      <c r="Z49" s="43"/>
      <c r="AA49" s="88"/>
      <c r="AB49" s="88"/>
      <c r="AC49" s="71"/>
      <c r="AD49" s="44">
        <f t="shared" si="2"/>
        <v>0</v>
      </c>
      <c r="AE49" s="91"/>
      <c r="AH49" s="3"/>
      <c r="AI49" s="23"/>
      <c r="AJ49" s="23"/>
      <c r="AK49" s="54"/>
      <c r="AL49" s="3"/>
      <c r="AM49" s="3"/>
      <c r="AN49" s="3"/>
      <c r="AO49" s="3"/>
      <c r="AP49" s="3"/>
      <c r="AQ49" s="3"/>
      <c r="AR49" s="3"/>
      <c r="AS49" s="3"/>
      <c r="AT49" s="3"/>
      <c r="AU49" s="3"/>
      <c r="AV49" s="3"/>
      <c r="AW49" s="3"/>
      <c r="AX49" s="3"/>
    </row>
    <row r="50" spans="1:50">
      <c r="A50" s="7">
        <f>[5]September_206!$C52</f>
        <v>0</v>
      </c>
      <c r="B50" s="139">
        <f>[5]September_206!$B52</f>
        <v>0</v>
      </c>
      <c r="C50" s="78">
        <f>[5]September_206!$D52</f>
        <v>0</v>
      </c>
      <c r="D50" s="85"/>
      <c r="E50" s="80"/>
      <c r="F50" s="80"/>
      <c r="G50" s="11"/>
      <c r="H50" s="14"/>
      <c r="I50" s="34"/>
      <c r="J50" s="35"/>
      <c r="K50" s="34"/>
      <c r="L50" s="34"/>
      <c r="M50" s="34"/>
      <c r="N50" s="34"/>
      <c r="O50" s="34"/>
      <c r="P50" s="34">
        <f>'Washer Downtime Detail'!BH543</f>
        <v>0</v>
      </c>
      <c r="Q50" s="34">
        <f>'EBI Downtime Detail'!AI539</f>
        <v>0</v>
      </c>
      <c r="R50" s="34">
        <f>'Filler Downtime Detail'!AK537</f>
        <v>0</v>
      </c>
      <c r="S50" s="34">
        <f>'Pasteurizer Downtime Detail'!Z527</f>
        <v>0</v>
      </c>
      <c r="T50" s="34">
        <f>'Labeler Downtime Detail'!AN523</f>
        <v>0</v>
      </c>
      <c r="U50" s="34"/>
      <c r="V50" s="34">
        <f>'Conveyor Downtime (new)'!AV538</f>
        <v>0</v>
      </c>
      <c r="W50" s="34">
        <f>'Packer Downtime Detail  '!AD528</f>
        <v>0</v>
      </c>
      <c r="X50" s="34"/>
      <c r="Y50" s="35"/>
      <c r="Z50" s="34"/>
      <c r="AA50" s="90"/>
      <c r="AB50" s="90"/>
      <c r="AC50" s="89"/>
      <c r="AD50" s="44">
        <f t="shared" si="2"/>
        <v>0</v>
      </c>
      <c r="AE50" s="91"/>
      <c r="AH50" s="3"/>
      <c r="AI50" s="23"/>
      <c r="AJ50" s="23"/>
      <c r="AK50" s="54"/>
      <c r="AL50" s="3"/>
      <c r="AM50" s="3"/>
      <c r="AN50" s="3"/>
      <c r="AO50" s="3"/>
      <c r="AP50" s="3"/>
      <c r="AQ50" s="3"/>
      <c r="AR50" s="3"/>
      <c r="AS50" s="3"/>
      <c r="AT50" s="3"/>
      <c r="AU50" s="3"/>
      <c r="AV50" s="3"/>
      <c r="AW50" s="3"/>
      <c r="AX50" s="3"/>
    </row>
    <row r="51" spans="1:50">
      <c r="A51" s="7">
        <f>[5]September_206!$C53</f>
        <v>0</v>
      </c>
      <c r="B51" s="139">
        <f>[5]September_206!$B53</f>
        <v>0</v>
      </c>
      <c r="C51" s="78">
        <f>[5]September_206!$D53</f>
        <v>0</v>
      </c>
      <c r="D51" s="93"/>
      <c r="E51" s="80"/>
      <c r="F51" s="80"/>
      <c r="G51" s="11"/>
      <c r="H51" s="82"/>
      <c r="I51" s="32"/>
      <c r="J51" s="86"/>
      <c r="K51" s="71"/>
      <c r="L51" s="71"/>
      <c r="M51" s="71"/>
      <c r="N51" s="71"/>
      <c r="O51" s="71"/>
      <c r="P51" s="71"/>
      <c r="Q51" s="71"/>
      <c r="R51" s="71"/>
      <c r="S51" s="71"/>
      <c r="T51" s="71"/>
      <c r="U51" s="71"/>
      <c r="V51" s="71"/>
      <c r="W51" s="71"/>
      <c r="X51" s="71"/>
      <c r="Y51" s="71"/>
      <c r="Z51" s="43"/>
      <c r="AA51" s="88"/>
      <c r="AB51" s="88"/>
      <c r="AC51" s="71"/>
      <c r="AD51" s="44">
        <f t="shared" si="2"/>
        <v>0</v>
      </c>
      <c r="AE51" s="91"/>
      <c r="AH51" s="3"/>
      <c r="AI51" s="23"/>
      <c r="AJ51" s="23"/>
      <c r="AK51" s="54"/>
      <c r="AL51" s="3"/>
      <c r="AM51" s="3"/>
      <c r="AN51" s="3"/>
      <c r="AO51" s="3"/>
      <c r="AP51" s="3"/>
      <c r="AQ51" s="3"/>
      <c r="AR51" s="3"/>
      <c r="AS51" s="3"/>
      <c r="AT51" s="3"/>
      <c r="AU51" s="3"/>
      <c r="AV51" s="3"/>
      <c r="AW51" s="3"/>
      <c r="AX51" s="3"/>
    </row>
    <row r="52" spans="1:50">
      <c r="A52" s="7">
        <f>[5]September_206!$C52</f>
        <v>0</v>
      </c>
      <c r="B52" s="139"/>
      <c r="C52" s="78">
        <f>[6]September_2019!$D52</f>
        <v>0</v>
      </c>
      <c r="D52" s="85"/>
      <c r="E52" s="80"/>
      <c r="F52" s="80"/>
      <c r="G52" s="11"/>
      <c r="H52" s="14"/>
      <c r="I52" s="34"/>
      <c r="J52" s="35"/>
      <c r="K52" s="34"/>
      <c r="L52" s="34"/>
      <c r="M52" s="34"/>
      <c r="N52" s="34"/>
      <c r="O52" s="34"/>
      <c r="P52" s="34"/>
      <c r="Q52" s="34"/>
      <c r="R52" s="34"/>
      <c r="S52" s="34"/>
      <c r="T52" s="34"/>
      <c r="U52" s="34"/>
      <c r="V52" s="34"/>
      <c r="W52" s="34"/>
      <c r="X52" s="34"/>
      <c r="Y52" s="35"/>
      <c r="Z52" s="34"/>
      <c r="AA52" s="90"/>
      <c r="AB52" s="90"/>
      <c r="AC52" s="89"/>
      <c r="AD52" s="44">
        <f t="shared" si="2"/>
        <v>0</v>
      </c>
      <c r="AE52" s="91"/>
      <c r="AH52" s="3"/>
      <c r="AI52" s="23"/>
      <c r="AJ52" s="23"/>
      <c r="AK52" s="54"/>
      <c r="AL52" s="3"/>
      <c r="AM52" s="3"/>
      <c r="AN52" s="3"/>
      <c r="AO52" s="3"/>
      <c r="AP52" s="3"/>
      <c r="AQ52" s="3"/>
      <c r="AR52" s="3"/>
      <c r="AS52" s="3"/>
      <c r="AT52" s="3"/>
      <c r="AU52" s="3"/>
      <c r="AV52" s="3"/>
      <c r="AW52" s="3"/>
      <c r="AX52" s="3"/>
    </row>
    <row r="53" spans="1:50">
      <c r="A53" s="7">
        <f>[5]September_206!$C53</f>
        <v>0</v>
      </c>
      <c r="B53" s="139"/>
      <c r="C53" s="78"/>
      <c r="D53" s="93"/>
      <c r="E53" s="80"/>
      <c r="F53" s="80"/>
      <c r="G53" s="11"/>
      <c r="H53" s="82"/>
      <c r="I53" s="32"/>
      <c r="J53" s="86"/>
      <c r="K53" s="71"/>
      <c r="L53" s="71"/>
      <c r="M53" s="71"/>
      <c r="N53" s="71"/>
      <c r="O53" s="71"/>
      <c r="P53" s="71"/>
      <c r="Q53" s="71"/>
      <c r="R53" s="71"/>
      <c r="S53" s="71"/>
      <c r="T53" s="71"/>
      <c r="U53" s="71"/>
      <c r="V53" s="71"/>
      <c r="W53" s="71"/>
      <c r="X53" s="71"/>
      <c r="Y53" s="71"/>
      <c r="Z53" s="43"/>
      <c r="AA53" s="88"/>
      <c r="AB53" s="88"/>
      <c r="AC53" s="71"/>
      <c r="AD53" s="44">
        <f t="shared" si="2"/>
        <v>0</v>
      </c>
      <c r="AE53" s="91"/>
      <c r="AH53" s="3"/>
      <c r="AI53" s="23"/>
      <c r="AJ53" s="23"/>
      <c r="AK53" s="54"/>
      <c r="AL53" s="3"/>
      <c r="AM53" s="3"/>
      <c r="AN53" s="3"/>
      <c r="AO53" s="3"/>
      <c r="AP53" s="3"/>
      <c r="AQ53" s="3"/>
      <c r="AR53" s="3"/>
      <c r="AS53" s="3"/>
      <c r="AT53" s="3"/>
      <c r="AU53" s="3"/>
      <c r="AV53" s="3"/>
      <c r="AW53" s="3"/>
      <c r="AX53" s="3"/>
    </row>
    <row r="54" spans="1:50">
      <c r="A54" s="7"/>
      <c r="B54" s="139"/>
      <c r="C54" s="78"/>
      <c r="D54" s="93"/>
      <c r="E54" s="80"/>
      <c r="F54" s="80"/>
      <c r="G54" s="11"/>
      <c r="H54" s="14"/>
      <c r="I54" s="34"/>
      <c r="J54" s="35"/>
      <c r="K54" s="34"/>
      <c r="L54" s="34"/>
      <c r="M54" s="34"/>
      <c r="N54" s="34"/>
      <c r="O54" s="34"/>
      <c r="P54" s="34"/>
      <c r="Q54" s="34"/>
      <c r="R54" s="34"/>
      <c r="S54" s="34"/>
      <c r="T54" s="34"/>
      <c r="U54" s="34"/>
      <c r="V54" s="34"/>
      <c r="W54" s="34"/>
      <c r="X54" s="34"/>
      <c r="Y54" s="35"/>
      <c r="Z54" s="34"/>
      <c r="AA54" s="90"/>
      <c r="AB54" s="90"/>
      <c r="AC54" s="89"/>
      <c r="AD54" s="44"/>
      <c r="AE54" s="91"/>
      <c r="AH54" s="3"/>
      <c r="AI54" s="23"/>
      <c r="AJ54" s="23"/>
      <c r="AK54" s="54"/>
      <c r="AL54" s="3"/>
      <c r="AM54" s="3"/>
      <c r="AN54" s="3"/>
      <c r="AO54" s="3"/>
      <c r="AP54" s="3"/>
      <c r="AQ54" s="3"/>
      <c r="AR54" s="3"/>
      <c r="AS54" s="3"/>
      <c r="AT54" s="3"/>
      <c r="AU54" s="3"/>
      <c r="AV54" s="3"/>
      <c r="AW54" s="3"/>
      <c r="AX54" s="3"/>
    </row>
    <row r="55" spans="1:50" ht="15.75" thickBot="1">
      <c r="A55" s="15" t="s">
        <v>427</v>
      </c>
      <c r="B55" s="16"/>
      <c r="C55" s="17"/>
      <c r="D55" s="18"/>
      <c r="E55" s="18"/>
      <c r="F55" s="18"/>
      <c r="G55" s="19">
        <f>SUM(G51:G54)</f>
        <v>0</v>
      </c>
      <c r="H55" s="16">
        <f t="shared" ref="H55:AE55" si="3">SUM(H8:H54)</f>
        <v>38</v>
      </c>
      <c r="I55" s="98">
        <f t="shared" si="3"/>
        <v>1001</v>
      </c>
      <c r="J55" s="98">
        <f t="shared" si="3"/>
        <v>1099</v>
      </c>
      <c r="K55" s="98">
        <f t="shared" si="3"/>
        <v>51</v>
      </c>
      <c r="L55" s="98">
        <f t="shared" si="3"/>
        <v>27</v>
      </c>
      <c r="M55" s="98">
        <f t="shared" si="3"/>
        <v>0</v>
      </c>
      <c r="N55" s="98">
        <f t="shared" si="3"/>
        <v>88</v>
      </c>
      <c r="O55" s="98">
        <f t="shared" si="3"/>
        <v>253</v>
      </c>
      <c r="P55" s="98">
        <f t="shared" si="3"/>
        <v>422</v>
      </c>
      <c r="Q55" s="98">
        <f t="shared" si="3"/>
        <v>386</v>
      </c>
      <c r="R55" s="98">
        <f t="shared" si="3"/>
        <v>665</v>
      </c>
      <c r="S55" s="98">
        <f t="shared" si="3"/>
        <v>658</v>
      </c>
      <c r="T55" s="98">
        <f t="shared" si="3"/>
        <v>192</v>
      </c>
      <c r="U55" s="98">
        <f t="shared" si="3"/>
        <v>210</v>
      </c>
      <c r="V55" s="98">
        <f t="shared" si="3"/>
        <v>398</v>
      </c>
      <c r="W55" s="98">
        <f t="shared" si="3"/>
        <v>352</v>
      </c>
      <c r="X55" s="98">
        <f t="shared" si="3"/>
        <v>394</v>
      </c>
      <c r="Y55" s="98">
        <f t="shared" si="3"/>
        <v>27</v>
      </c>
      <c r="Z55" s="98">
        <f t="shared" si="3"/>
        <v>1241</v>
      </c>
      <c r="AA55" s="98">
        <f t="shared" si="3"/>
        <v>9</v>
      </c>
      <c r="AB55" s="98">
        <f t="shared" si="3"/>
        <v>267</v>
      </c>
      <c r="AC55" s="98">
        <f t="shared" ref="AC55" si="4">SUM(AC8:AC54)</f>
        <v>0</v>
      </c>
      <c r="AD55" s="142">
        <f t="shared" si="3"/>
        <v>7778</v>
      </c>
      <c r="AE55" s="48">
        <f t="shared" si="3"/>
        <v>16.400694444444447</v>
      </c>
      <c r="AH55" s="3"/>
      <c r="AI55" s="3"/>
      <c r="AJ55" s="3"/>
      <c r="AK55" s="3"/>
      <c r="AL55" s="3"/>
      <c r="AM55" s="3"/>
      <c r="AN55" s="3"/>
      <c r="AO55" s="3"/>
      <c r="AP55" s="3"/>
      <c r="AQ55" s="3"/>
      <c r="AR55" s="3"/>
      <c r="AS55" s="3"/>
      <c r="AT55" s="3"/>
      <c r="AU55" s="3"/>
      <c r="AV55" s="3"/>
      <c r="AW55" s="3"/>
      <c r="AX55" s="3"/>
    </row>
    <row r="56" spans="1:50" ht="13.5" thickTop="1">
      <c r="A56" s="20" t="s">
        <v>45</v>
      </c>
      <c r="B56" s="1"/>
      <c r="C56" s="3"/>
      <c r="D56" s="3"/>
      <c r="E56" s="3"/>
      <c r="F56" s="3"/>
      <c r="G56" s="3"/>
      <c r="H56" s="21">
        <f t="shared" ref="H56:AB56" si="5">H55/$AD$55</f>
        <v>4.8855746978657749E-3</v>
      </c>
      <c r="I56" s="21">
        <f t="shared" si="5"/>
        <v>0.12869632296220107</v>
      </c>
      <c r="J56" s="21">
        <f t="shared" si="5"/>
        <v>0.14129596297248651</v>
      </c>
      <c r="K56" s="21">
        <f t="shared" si="5"/>
        <v>6.5569555155566986E-3</v>
      </c>
      <c r="L56" s="21">
        <f t="shared" si="5"/>
        <v>3.4713293905888403E-3</v>
      </c>
      <c r="M56" s="21">
        <f t="shared" si="5"/>
        <v>0</v>
      </c>
      <c r="N56" s="21">
        <f t="shared" si="5"/>
        <v>1.131396245821548E-2</v>
      </c>
      <c r="O56" s="21">
        <f t="shared" si="5"/>
        <v>3.2527642067369501E-2</v>
      </c>
      <c r="P56" s="21">
        <f t="shared" si="5"/>
        <v>5.4255592697351501E-2</v>
      </c>
      <c r="Q56" s="21">
        <f t="shared" si="5"/>
        <v>4.962715350989972E-2</v>
      </c>
      <c r="R56" s="21">
        <f t="shared" si="5"/>
        <v>8.5497557212651065E-2</v>
      </c>
      <c r="S56" s="21">
        <f t="shared" si="5"/>
        <v>8.4597582926202106E-2</v>
      </c>
      <c r="T56" s="21">
        <f t="shared" si="5"/>
        <v>2.4685008999742866E-2</v>
      </c>
      <c r="U56" s="21">
        <f t="shared" si="5"/>
        <v>2.6999228593468757E-2</v>
      </c>
      <c r="V56" s="21">
        <f t="shared" si="5"/>
        <v>5.1169966572383645E-2</v>
      </c>
      <c r="W56" s="21">
        <f t="shared" si="5"/>
        <v>4.5255849832861919E-2</v>
      </c>
      <c r="X56" s="21">
        <f t="shared" si="5"/>
        <v>5.065569555155567E-2</v>
      </c>
      <c r="Y56" s="21">
        <f t="shared" si="5"/>
        <v>3.4713293905888403E-3</v>
      </c>
      <c r="Z56" s="21">
        <f t="shared" si="5"/>
        <v>0.15955258421187965</v>
      </c>
      <c r="AA56" s="21">
        <f t="shared" si="5"/>
        <v>1.1571097968629469E-3</v>
      </c>
      <c r="AB56" s="21">
        <f t="shared" si="5"/>
        <v>3.4327590640267421E-2</v>
      </c>
      <c r="AC56" s="21">
        <f t="shared" ref="AC56" si="6">AC55/$AD$55</f>
        <v>0</v>
      </c>
      <c r="AD56" s="3"/>
      <c r="AH56" s="3"/>
      <c r="AI56" s="3"/>
      <c r="AJ56" s="3"/>
      <c r="AK56" s="3"/>
      <c r="AL56" s="3"/>
      <c r="AM56" s="3"/>
      <c r="AN56" s="3"/>
      <c r="AO56" s="3"/>
      <c r="AP56" s="3"/>
      <c r="AQ56" s="3"/>
      <c r="AR56" s="3"/>
      <c r="AS56" s="3"/>
      <c r="AT56" s="3"/>
      <c r="AU56" s="3"/>
      <c r="AV56" s="3"/>
      <c r="AW56" s="3"/>
      <c r="AX56" s="3"/>
    </row>
    <row r="57" spans="1:50" ht="15">
      <c r="A57" s="20"/>
      <c r="B57" s="1"/>
      <c r="C57" s="3"/>
      <c r="D57" s="3"/>
      <c r="E57" s="3"/>
      <c r="F57" s="3"/>
      <c r="G57" s="3"/>
      <c r="H57" s="3"/>
      <c r="I57" s="36" t="s">
        <v>428</v>
      </c>
      <c r="J57" s="3"/>
      <c r="K57" s="37"/>
      <c r="L57" s="37"/>
      <c r="M57" s="3"/>
      <c r="N57" s="3"/>
      <c r="O57" s="3"/>
      <c r="P57" s="3"/>
      <c r="Q57" s="3"/>
      <c r="R57" s="3"/>
      <c r="S57" s="3"/>
      <c r="T57" s="3"/>
      <c r="U57" s="3"/>
      <c r="V57" s="3"/>
      <c r="W57" s="3"/>
      <c r="X57" s="3"/>
      <c r="Y57" s="3"/>
      <c r="Z57" s="3"/>
      <c r="AA57" s="3"/>
      <c r="AB57" s="3"/>
      <c r="AC57" s="3"/>
      <c r="AD57" s="3"/>
      <c r="AH57" s="3"/>
      <c r="AI57" s="3"/>
      <c r="AJ57" s="3"/>
      <c r="AK57" s="3"/>
      <c r="AL57" s="3"/>
      <c r="AM57" s="3"/>
      <c r="AN57" s="3"/>
      <c r="AO57" s="3"/>
      <c r="AP57" s="3"/>
      <c r="AQ57" s="3"/>
      <c r="AR57" s="3"/>
      <c r="AS57" s="3"/>
      <c r="AT57" s="3"/>
      <c r="AU57" s="3"/>
      <c r="AV57" s="3"/>
      <c r="AW57" s="3"/>
      <c r="AX57" s="3"/>
    </row>
    <row r="58" spans="1:50" ht="15">
      <c r="A58" s="1"/>
      <c r="B58" s="22"/>
      <c r="C58" t="s">
        <v>429</v>
      </c>
      <c r="D58" t="s">
        <v>430</v>
      </c>
      <c r="E58" t="s">
        <v>431</v>
      </c>
      <c r="F58" s="23"/>
      <c r="G58" s="23"/>
      <c r="H58" s="3"/>
      <c r="I58" s="38">
        <f>COUNT(I8:I54)</f>
        <v>19</v>
      </c>
      <c r="J58" s="3"/>
      <c r="K58" s="24"/>
      <c r="L58" s="24"/>
      <c r="M58" s="24"/>
      <c r="N58" s="24"/>
      <c r="O58" s="24"/>
      <c r="P58" s="24"/>
      <c r="Q58" s="141"/>
      <c r="R58" s="24"/>
      <c r="S58" s="24"/>
      <c r="T58" s="24"/>
      <c r="U58" s="24"/>
      <c r="V58" s="24"/>
      <c r="W58" s="24"/>
      <c r="X58" s="24"/>
      <c r="Y58" s="24"/>
      <c r="Z58" s="24"/>
      <c r="AA58" s="3"/>
      <c r="AB58" s="3"/>
      <c r="AC58" s="3"/>
      <c r="AH58" s="3"/>
      <c r="AI58" s="3"/>
      <c r="AJ58" s="3"/>
      <c r="AK58" s="3"/>
      <c r="AL58" s="3"/>
      <c r="AM58" s="3"/>
      <c r="AN58" s="3"/>
      <c r="AO58" s="3"/>
      <c r="AP58" s="3"/>
      <c r="AQ58" s="3"/>
      <c r="AR58" s="3"/>
      <c r="AS58" s="3"/>
      <c r="AT58" s="3"/>
      <c r="AU58" s="3"/>
      <c r="AV58" s="3"/>
      <c r="AW58" s="3"/>
      <c r="AX58" s="3"/>
    </row>
    <row r="59" spans="1:50">
      <c r="A59" s="1"/>
      <c r="B59" s="22"/>
      <c r="C59" s="24">
        <f>COUNTA(I8:I54)</f>
        <v>19</v>
      </c>
      <c r="D59" s="24">
        <f>COUNTA(C8:C54)</f>
        <v>45</v>
      </c>
      <c r="E59" s="24">
        <f>COUNTA(A8:A54)</f>
        <v>46</v>
      </c>
      <c r="F59" s="23"/>
      <c r="G59" s="23"/>
      <c r="H59" s="3"/>
      <c r="I59" s="1"/>
      <c r="J59" s="3"/>
      <c r="K59" s="24"/>
      <c r="L59" s="24"/>
      <c r="M59" s="24"/>
      <c r="N59" s="24"/>
      <c r="O59" s="24"/>
      <c r="P59" s="24"/>
      <c r="Q59" s="24"/>
      <c r="R59" s="24"/>
      <c r="S59" s="24"/>
      <c r="T59" s="24"/>
      <c r="U59" s="24"/>
      <c r="V59" s="24"/>
      <c r="W59" s="24"/>
      <c r="X59" s="24"/>
      <c r="Y59" s="24"/>
      <c r="Z59" s="24"/>
      <c r="AA59" s="3"/>
      <c r="AB59" s="3"/>
      <c r="AC59" s="3"/>
      <c r="AD59" s="143"/>
      <c r="AH59" s="3"/>
      <c r="AI59" s="3"/>
      <c r="AJ59" s="3"/>
      <c r="AK59" s="3"/>
      <c r="AL59" s="3"/>
      <c r="AM59" s="3"/>
      <c r="AN59" s="3"/>
      <c r="AO59" s="3"/>
      <c r="AP59" s="3"/>
      <c r="AQ59" s="3"/>
      <c r="AR59" s="3"/>
      <c r="AS59" s="3"/>
      <c r="AT59" s="3"/>
      <c r="AU59" s="3"/>
      <c r="AV59" s="3"/>
      <c r="AW59" s="3"/>
      <c r="AX59" s="3"/>
    </row>
    <row r="60" spans="1:50">
      <c r="A60" s="1"/>
      <c r="B60" s="22"/>
      <c r="C60" s="24"/>
      <c r="D60" s="25"/>
      <c r="E60" s="25"/>
      <c r="F60" s="23"/>
      <c r="G60" s="23"/>
      <c r="H60" s="3"/>
      <c r="I60" s="1"/>
      <c r="J60" s="3"/>
      <c r="K60" s="24"/>
      <c r="L60" s="24"/>
      <c r="M60" s="24"/>
      <c r="N60" s="24"/>
      <c r="O60" s="24"/>
      <c r="P60" s="24"/>
      <c r="Q60" s="24"/>
      <c r="R60" s="24"/>
      <c r="S60" s="24"/>
      <c r="T60" s="24"/>
      <c r="U60" s="24"/>
      <c r="V60" s="24"/>
      <c r="W60" s="24"/>
      <c r="X60" s="24"/>
      <c r="Y60" s="24"/>
      <c r="Z60" s="24"/>
      <c r="AA60" s="3"/>
      <c r="AB60" s="3"/>
      <c r="AC60" s="3"/>
      <c r="AD60" s="3"/>
      <c r="AH60" s="3"/>
      <c r="AI60" s="3"/>
      <c r="AJ60" s="3"/>
      <c r="AK60" s="3"/>
      <c r="AL60" s="3"/>
      <c r="AM60" s="3"/>
      <c r="AN60" s="3"/>
      <c r="AO60" s="3"/>
      <c r="AP60" s="3"/>
      <c r="AQ60" s="3"/>
      <c r="AR60" s="3"/>
      <c r="AS60" s="3"/>
      <c r="AT60" s="3"/>
      <c r="AU60" s="3"/>
      <c r="AV60" s="3"/>
      <c r="AW60" s="3"/>
    </row>
    <row r="61" spans="1:50" ht="15">
      <c r="A61" s="26"/>
      <c r="B61" s="26"/>
      <c r="C61" s="27" t="s">
        <v>432</v>
      </c>
      <c r="D61" s="28">
        <f>($D$59/$E$59)</f>
        <v>0.97826086956521741</v>
      </c>
      <c r="E61" s="28">
        <f>($D$59/$E$59)*$I$56</f>
        <v>0.12589857681084887</v>
      </c>
      <c r="F61" s="29"/>
      <c r="G61" s="29"/>
      <c r="H61" s="679" t="s">
        <v>433</v>
      </c>
      <c r="I61" s="679"/>
      <c r="J61" s="679"/>
      <c r="K61" s="679"/>
      <c r="L61" s="679"/>
      <c r="M61" s="679"/>
      <c r="N61" s="679"/>
      <c r="O61" s="24"/>
      <c r="P61" s="680" t="s">
        <v>434</v>
      </c>
      <c r="Q61" s="680"/>
      <c r="R61" s="680"/>
      <c r="S61" s="680"/>
      <c r="T61" s="680"/>
      <c r="U61" s="1"/>
      <c r="V61" s="1"/>
      <c r="W61" s="1"/>
      <c r="X61" s="1"/>
      <c r="Y61" s="1"/>
      <c r="Z61" s="24"/>
      <c r="AA61" s="3"/>
      <c r="AB61" s="3"/>
      <c r="AC61" s="3"/>
    </row>
    <row r="62" spans="1:50" ht="25.5">
      <c r="A62" s="1"/>
      <c r="B62" s="1"/>
      <c r="C62" s="3"/>
      <c r="D62" s="3"/>
      <c r="E62" s="3"/>
      <c r="F62" s="3"/>
      <c r="G62" s="3"/>
      <c r="H62" s="30" t="s">
        <v>81</v>
      </c>
      <c r="I62" s="30" t="s">
        <v>435</v>
      </c>
      <c r="J62" s="30" t="s">
        <v>436</v>
      </c>
      <c r="K62" s="30" t="s">
        <v>437</v>
      </c>
      <c r="L62" s="66" t="s">
        <v>438</v>
      </c>
      <c r="M62" s="66" t="s">
        <v>439</v>
      </c>
      <c r="N62" s="66" t="s">
        <v>440</v>
      </c>
      <c r="O62" s="26"/>
      <c r="P62" s="67" t="s">
        <v>81</v>
      </c>
      <c r="Q62" s="67" t="s">
        <v>435</v>
      </c>
      <c r="R62" s="39" t="s">
        <v>436</v>
      </c>
      <c r="S62" s="39" t="s">
        <v>437</v>
      </c>
      <c r="T62" s="73" t="s">
        <v>441</v>
      </c>
      <c r="U62" s="3"/>
      <c r="V62" s="3"/>
      <c r="W62" s="3"/>
      <c r="X62" s="3"/>
      <c r="Y62" s="3"/>
      <c r="Z62" s="24"/>
      <c r="AA62" s="3"/>
      <c r="AB62" s="3"/>
      <c r="AC62" s="3"/>
    </row>
    <row r="63" spans="1:50">
      <c r="A63" s="1"/>
      <c r="B63" s="1"/>
      <c r="C63" s="3"/>
      <c r="D63" s="3"/>
      <c r="E63" s="3"/>
      <c r="F63" s="3"/>
      <c r="G63" s="3"/>
      <c r="H63" s="65">
        <f t="shared" ref="H63:H98" si="7">B8</f>
        <v>46266</v>
      </c>
      <c r="I63" s="1" t="str">
        <f t="shared" ref="I63:I98" si="8">C8</f>
        <v>STAG</v>
      </c>
      <c r="J63" s="23">
        <f t="shared" ref="J63:J98" si="9">E8</f>
        <v>1.0555555555555556</v>
      </c>
      <c r="K63" s="23">
        <f t="shared" ref="K63:K98" si="10">F8</f>
        <v>1.6666666666666667</v>
      </c>
      <c r="L63" s="68">
        <f>K63-J63</f>
        <v>0.61111111111111116</v>
      </c>
      <c r="M63" s="3">
        <v>880</v>
      </c>
      <c r="N63" s="69">
        <f>M63-(H8+K8+L8+M8+N8+AA8+AB8+Z8+J8+AC8)</f>
        <v>815</v>
      </c>
      <c r="O63" s="3"/>
      <c r="P63" s="65">
        <f t="shared" ref="P63:P99" si="11">B8</f>
        <v>46266</v>
      </c>
      <c r="Q63" s="74" t="str">
        <f t="shared" ref="Q63:Q99" si="12">C8</f>
        <v>STAG</v>
      </c>
      <c r="R63" s="76">
        <v>1</v>
      </c>
      <c r="S63" s="23">
        <f>F8</f>
        <v>1.6666666666666667</v>
      </c>
      <c r="T63" s="668">
        <f>S64-R63</f>
        <v>1</v>
      </c>
      <c r="U63" s="3"/>
      <c r="V63" s="3"/>
      <c r="W63" s="3"/>
      <c r="X63" s="3"/>
      <c r="Y63" s="3"/>
      <c r="Z63" s="24"/>
      <c r="AA63" s="3"/>
      <c r="AB63" s="3"/>
      <c r="AC63" s="3"/>
    </row>
    <row r="64" spans="1:50">
      <c r="H64" s="65">
        <f t="shared" si="7"/>
        <v>46266</v>
      </c>
      <c r="I64" s="1" t="str">
        <f t="shared" si="8"/>
        <v>CARIB EXPORT</v>
      </c>
      <c r="J64" s="23">
        <f t="shared" si="9"/>
        <v>1.6944444444444444</v>
      </c>
      <c r="K64" s="23">
        <f t="shared" si="10"/>
        <v>2</v>
      </c>
      <c r="L64" s="68">
        <f>K64-J64</f>
        <v>0.30555555555555558</v>
      </c>
      <c r="M64" s="3">
        <v>440</v>
      </c>
      <c r="N64" s="69">
        <f>M64-(H9+K9+L9+M9+N9+AA9+AB9+Z9+J9+AC9)</f>
        <v>367</v>
      </c>
      <c r="O64" s="3"/>
      <c r="P64" s="65">
        <f t="shared" si="11"/>
        <v>46266</v>
      </c>
      <c r="Q64" s="74" t="str">
        <f t="shared" si="12"/>
        <v>CARIB EXPORT</v>
      </c>
      <c r="R64" s="23">
        <f t="shared" ref="R64:S64" si="13">E9</f>
        <v>1.6944444444444444</v>
      </c>
      <c r="S64" s="23">
        <f t="shared" si="13"/>
        <v>2</v>
      </c>
      <c r="T64" s="668"/>
      <c r="Z64" s="24"/>
      <c r="AA64" s="3"/>
      <c r="AB64" s="3"/>
      <c r="AC64" s="3"/>
    </row>
    <row r="65" spans="8:29">
      <c r="H65" s="65">
        <f t="shared" si="7"/>
        <v>46267</v>
      </c>
      <c r="I65" s="1" t="str">
        <f t="shared" si="8"/>
        <v>CARIB EXPORT</v>
      </c>
      <c r="J65" s="23">
        <f t="shared" si="9"/>
        <v>1.0083333333333333</v>
      </c>
      <c r="K65" s="23">
        <f t="shared" si="10"/>
        <v>1.4152777777777779</v>
      </c>
      <c r="L65" s="68">
        <f>K65-J65</f>
        <v>0.40694444444444455</v>
      </c>
      <c r="M65" s="3">
        <v>586</v>
      </c>
      <c r="N65" s="69">
        <f>M65-(H10+K10+L10+M10+N10+AA10+AB10+53+J10+AC10)</f>
        <v>520</v>
      </c>
      <c r="P65" s="65">
        <f t="shared" si="11"/>
        <v>46267</v>
      </c>
      <c r="Q65" s="74" t="str">
        <f t="shared" si="12"/>
        <v>CARIB EXPORT</v>
      </c>
      <c r="R65" s="76">
        <v>1</v>
      </c>
      <c r="S65" s="23">
        <f t="shared" ref="S65" si="14">F10</f>
        <v>1.4152777777777779</v>
      </c>
      <c r="T65" s="668">
        <f>S67-R65</f>
        <v>1</v>
      </c>
      <c r="Z65" s="24"/>
      <c r="AA65" s="3"/>
      <c r="AB65" s="3"/>
      <c r="AC65" s="3"/>
    </row>
    <row r="66" spans="8:29">
      <c r="H66" s="65">
        <f t="shared" si="7"/>
        <v>46267</v>
      </c>
      <c r="I66" s="1" t="str">
        <f t="shared" si="8"/>
        <v>CARIB FLINT LOCAL</v>
      </c>
      <c r="J66" s="23">
        <f t="shared" si="9"/>
        <v>1.4340277777777777</v>
      </c>
      <c r="K66" s="23">
        <f t="shared" si="10"/>
        <v>1.7104166666666667</v>
      </c>
      <c r="L66" s="68">
        <f>K66-J66</f>
        <v>0.27638888888888902</v>
      </c>
      <c r="M66" s="3">
        <v>398</v>
      </c>
      <c r="N66" s="69">
        <f>M66-(H11+K11+L11+M11+N11+AA11+AB11+Z11+J11+AC11)</f>
        <v>334</v>
      </c>
      <c r="P66" s="65">
        <f t="shared" si="11"/>
        <v>46267</v>
      </c>
      <c r="Q66" s="74" t="str">
        <f t="shared" si="12"/>
        <v>CARIB FLINT LOCAL</v>
      </c>
      <c r="R66" s="23">
        <f t="shared" ref="R66:S66" si="15">E11</f>
        <v>1.4340277777777777</v>
      </c>
      <c r="S66" s="23">
        <f t="shared" si="15"/>
        <v>1.7104166666666667</v>
      </c>
      <c r="T66" s="668"/>
      <c r="Z66" s="24"/>
      <c r="AA66" s="3"/>
      <c r="AB66" s="3"/>
      <c r="AC66" s="3"/>
    </row>
    <row r="67" spans="8:29">
      <c r="H67" s="65">
        <f t="shared" si="7"/>
        <v>46267</v>
      </c>
      <c r="I67" s="1" t="str">
        <f t="shared" si="8"/>
        <v>CARIB AMBER</v>
      </c>
      <c r="J67" s="23">
        <f t="shared" si="9"/>
        <v>1.7152777777777777</v>
      </c>
      <c r="K67" s="23">
        <f t="shared" si="10"/>
        <v>2</v>
      </c>
      <c r="L67" s="68">
        <f t="shared" ref="L67:L86" si="16">K67-J67</f>
        <v>0.28472222222222232</v>
      </c>
      <c r="M67" s="3">
        <v>410</v>
      </c>
      <c r="N67" s="69">
        <f>M67-(H12+K12+L12+M12+N12+AA12+AB12+J12+AC12)</f>
        <v>405</v>
      </c>
      <c r="P67" s="65">
        <f t="shared" si="11"/>
        <v>46267</v>
      </c>
      <c r="Q67" s="74" t="str">
        <f t="shared" si="12"/>
        <v>CARIB AMBER</v>
      </c>
      <c r="R67" s="23">
        <f t="shared" ref="R67:S67" si="17">E12</f>
        <v>1.7152777777777777</v>
      </c>
      <c r="S67" s="23">
        <f t="shared" si="17"/>
        <v>2</v>
      </c>
      <c r="T67" s="668"/>
      <c r="Z67" s="24"/>
      <c r="AA67" s="3"/>
      <c r="AB67" s="3"/>
      <c r="AC67" s="3"/>
    </row>
    <row r="68" spans="8:29">
      <c r="H68" s="65">
        <f t="shared" si="7"/>
        <v>46268</v>
      </c>
      <c r="I68" s="1" t="str">
        <f t="shared" si="8"/>
        <v>CARIB AMBER</v>
      </c>
      <c r="J68" s="23">
        <f t="shared" si="9"/>
        <v>1</v>
      </c>
      <c r="K68" s="23">
        <f t="shared" si="10"/>
        <v>1.1388888888888888</v>
      </c>
      <c r="L68" s="68">
        <f t="shared" si="16"/>
        <v>0.13888888888888884</v>
      </c>
      <c r="M68" s="3">
        <v>200</v>
      </c>
      <c r="N68" s="69">
        <f>M68-(H13+K13+L13+M13+N13+AA13+AB13+Z13+J13+AC13)</f>
        <v>198</v>
      </c>
      <c r="P68" s="65">
        <f t="shared" si="11"/>
        <v>46268</v>
      </c>
      <c r="Q68" s="74" t="str">
        <f t="shared" si="12"/>
        <v>CARIB AMBER</v>
      </c>
      <c r="R68" s="23">
        <f t="shared" ref="R68:S69" si="18">E13</f>
        <v>1</v>
      </c>
      <c r="S68" s="23">
        <f t="shared" si="18"/>
        <v>1.1388888888888888</v>
      </c>
      <c r="T68" s="668">
        <f>S70-R68</f>
        <v>1</v>
      </c>
      <c r="Z68" s="24"/>
      <c r="AA68" s="3"/>
      <c r="AB68" s="3"/>
      <c r="AC68" s="3"/>
    </row>
    <row r="69" spans="8:29">
      <c r="H69" s="65">
        <f t="shared" si="7"/>
        <v>46268</v>
      </c>
      <c r="I69" s="1" t="str">
        <f t="shared" si="8"/>
        <v>STAG</v>
      </c>
      <c r="J69" s="23">
        <f t="shared" si="9"/>
        <v>1.1784722222222221</v>
      </c>
      <c r="K69" s="23">
        <f t="shared" si="10"/>
        <v>1.7479166666666666</v>
      </c>
      <c r="L69" s="68">
        <f t="shared" si="16"/>
        <v>0.56944444444444442</v>
      </c>
      <c r="M69" s="3">
        <v>820</v>
      </c>
      <c r="N69" s="69">
        <f>M69-(H14+K14+L14+M14+N14+AA14+AB14+Z14+J14+AC14)</f>
        <v>700</v>
      </c>
      <c r="P69" s="65">
        <f t="shared" si="11"/>
        <v>46268</v>
      </c>
      <c r="Q69" s="74" t="str">
        <f t="shared" si="12"/>
        <v>STAG</v>
      </c>
      <c r="R69" s="23">
        <f t="shared" ref="R69" si="19">E14</f>
        <v>1.1784722222222221</v>
      </c>
      <c r="S69" s="23">
        <f t="shared" si="18"/>
        <v>1.7479166666666666</v>
      </c>
      <c r="T69" s="668"/>
    </row>
    <row r="70" spans="8:29">
      <c r="H70" s="65">
        <f t="shared" si="7"/>
        <v>46268</v>
      </c>
      <c r="I70" s="1" t="str">
        <f t="shared" si="8"/>
        <v>GINSENG UP ORIGINAL</v>
      </c>
      <c r="J70" s="23">
        <f t="shared" si="9"/>
        <v>1.9402777777777778</v>
      </c>
      <c r="K70" s="23">
        <f t="shared" si="10"/>
        <v>2</v>
      </c>
      <c r="L70" s="68">
        <f t="shared" si="16"/>
        <v>5.9722222222222232E-2</v>
      </c>
      <c r="M70" s="3">
        <v>86</v>
      </c>
      <c r="N70" s="69">
        <f>M70-(H15+K15+L15+M15+N15+AA15+AB15+Z15+AC15)</f>
        <v>68</v>
      </c>
      <c r="P70" s="65">
        <f t="shared" si="11"/>
        <v>46268</v>
      </c>
      <c r="Q70" s="74" t="str">
        <f t="shared" si="12"/>
        <v>GINSENG UP ORIGINAL</v>
      </c>
      <c r="R70" s="23">
        <f t="shared" ref="R70:S70" si="20">E15</f>
        <v>1.9402777777777778</v>
      </c>
      <c r="S70" s="23">
        <f t="shared" si="20"/>
        <v>2</v>
      </c>
      <c r="T70" s="668"/>
    </row>
    <row r="71" spans="8:29">
      <c r="H71" s="65">
        <f t="shared" si="7"/>
        <v>46269</v>
      </c>
      <c r="I71" s="1" t="str">
        <f t="shared" si="8"/>
        <v>GINSENG UP ORIGINAL</v>
      </c>
      <c r="J71" s="23">
        <f t="shared" si="9"/>
        <v>1</v>
      </c>
      <c r="K71" s="23">
        <f t="shared" si="10"/>
        <v>1.1715277777777777</v>
      </c>
      <c r="L71" s="68">
        <f t="shared" si="16"/>
        <v>0.17152777777777772</v>
      </c>
      <c r="M71" s="3">
        <v>247</v>
      </c>
      <c r="N71" s="69">
        <f>M71-(H16+K16+L16+M16+N16+AA16+AB16+Z16+J16+AC16)</f>
        <v>180</v>
      </c>
      <c r="P71" s="65">
        <f t="shared" si="11"/>
        <v>46269</v>
      </c>
      <c r="Q71" s="74" t="str">
        <f t="shared" si="12"/>
        <v>GINSENG UP ORIGINAL</v>
      </c>
      <c r="R71" s="23">
        <f t="shared" ref="R71:S71" si="21">E16</f>
        <v>1</v>
      </c>
      <c r="S71" s="23">
        <f t="shared" si="21"/>
        <v>1.1715277777777777</v>
      </c>
      <c r="T71" s="75">
        <f>S71-R71</f>
        <v>0.17152777777777772</v>
      </c>
    </row>
    <row r="72" spans="8:29">
      <c r="H72" s="65">
        <f t="shared" si="7"/>
        <v>46273</v>
      </c>
      <c r="I72" s="1" t="str">
        <f t="shared" si="8"/>
        <v>CARIB AMBER</v>
      </c>
      <c r="J72" s="23">
        <f t="shared" si="9"/>
        <v>0.3888888888888889</v>
      </c>
      <c r="K72" s="23">
        <f t="shared" si="10"/>
        <v>0.91666666666666663</v>
      </c>
      <c r="L72" s="68">
        <f t="shared" si="16"/>
        <v>0.52777777777777768</v>
      </c>
      <c r="M72" s="3">
        <v>760</v>
      </c>
      <c r="N72" s="69">
        <f>M72-(H17+K17+L17+M17+N17+AA17+AB17+J17+AC17)</f>
        <v>757</v>
      </c>
      <c r="P72" s="65">
        <f t="shared" si="11"/>
        <v>46273</v>
      </c>
      <c r="Q72" s="74" t="str">
        <f t="shared" si="12"/>
        <v>CARIB AMBER</v>
      </c>
      <c r="R72" s="76">
        <v>0.3263888888888889</v>
      </c>
      <c r="S72" s="76">
        <v>0.95833333333333337</v>
      </c>
      <c r="T72" s="75">
        <f>S72-R72</f>
        <v>0.63194444444444442</v>
      </c>
    </row>
    <row r="73" spans="8:29">
      <c r="H73" s="65">
        <f t="shared" si="7"/>
        <v>46274</v>
      </c>
      <c r="I73" s="1" t="str">
        <f t="shared" si="8"/>
        <v>CARIB AMBER</v>
      </c>
      <c r="J73" s="23">
        <f t="shared" si="9"/>
        <v>0.34375</v>
      </c>
      <c r="K73" s="23">
        <f t="shared" si="10"/>
        <v>0.90277777777777779</v>
      </c>
      <c r="L73" s="68">
        <f t="shared" si="16"/>
        <v>0.55902777777777779</v>
      </c>
      <c r="M73" s="3">
        <v>805</v>
      </c>
      <c r="N73" s="69">
        <f>M73-(H18+K18+L18+M18+N18+AA18+AB18+Z18+J18+AC18)</f>
        <v>694</v>
      </c>
      <c r="P73" s="65">
        <f t="shared" si="11"/>
        <v>46274</v>
      </c>
      <c r="Q73" s="74" t="str">
        <f t="shared" si="12"/>
        <v>CARIB AMBER</v>
      </c>
      <c r="R73" s="76">
        <v>0.3263888888888889</v>
      </c>
      <c r="S73" s="76">
        <v>0.95833333333333337</v>
      </c>
      <c r="T73" s="75">
        <f>S73-R73</f>
        <v>0.63194444444444442</v>
      </c>
      <c r="V73" t="s">
        <v>209</v>
      </c>
    </row>
    <row r="74" spans="8:29">
      <c r="H74" s="65">
        <f t="shared" si="7"/>
        <v>46275</v>
      </c>
      <c r="I74" s="1" t="str">
        <f t="shared" si="8"/>
        <v>CARIB AMBER</v>
      </c>
      <c r="J74" s="23">
        <f t="shared" si="9"/>
        <v>1.3472222222222223</v>
      </c>
      <c r="K74" s="23">
        <f t="shared" si="10"/>
        <v>1.9027777777777777</v>
      </c>
      <c r="L74" s="68">
        <f t="shared" si="16"/>
        <v>0.55555555555555536</v>
      </c>
      <c r="M74" s="3">
        <v>800</v>
      </c>
      <c r="N74" s="69">
        <f>M74-(H19+K19+L19+M19+N19+AA19+AB19+J19+AC19)</f>
        <v>798</v>
      </c>
      <c r="P74" s="65">
        <f t="shared" si="11"/>
        <v>46275</v>
      </c>
      <c r="Q74" s="74" t="str">
        <f t="shared" si="12"/>
        <v>CARIB AMBER</v>
      </c>
      <c r="R74" s="76">
        <v>0.3263888888888889</v>
      </c>
      <c r="S74" s="76">
        <v>0.95833333333333337</v>
      </c>
      <c r="T74" s="75">
        <f>S74-R74</f>
        <v>0.63194444444444442</v>
      </c>
    </row>
    <row r="75" spans="8:29">
      <c r="H75" s="65">
        <f t="shared" si="7"/>
        <v>46276</v>
      </c>
      <c r="I75" s="1" t="str">
        <f t="shared" si="8"/>
        <v>CARIB AMBER</v>
      </c>
      <c r="J75" s="23">
        <f t="shared" si="9"/>
        <v>0.34583333333333333</v>
      </c>
      <c r="K75" s="23">
        <f t="shared" si="10"/>
        <v>0.4236111111111111</v>
      </c>
      <c r="L75" s="68">
        <f t="shared" si="16"/>
        <v>7.7777777777777779E-2</v>
      </c>
      <c r="M75" s="3">
        <v>112</v>
      </c>
      <c r="N75" s="69">
        <f>M75-(H20+K20+L20+M20+N20+AA20+AB20+3+J20+AC20)</f>
        <v>109</v>
      </c>
      <c r="P75" s="65">
        <f t="shared" si="11"/>
        <v>46276</v>
      </c>
      <c r="Q75" s="74" t="str">
        <f t="shared" si="12"/>
        <v>CARIB AMBER</v>
      </c>
      <c r="R75" s="76">
        <v>0.3263888888888889</v>
      </c>
      <c r="S75" s="23">
        <f t="shared" ref="S75" si="22">F20</f>
        <v>0.4236111111111111</v>
      </c>
      <c r="T75" s="668">
        <f>S76-R75</f>
        <v>0.54861111111111116</v>
      </c>
    </row>
    <row r="76" spans="8:29">
      <c r="H76" s="65">
        <f t="shared" si="7"/>
        <v>46276</v>
      </c>
      <c r="I76" s="1" t="str">
        <f t="shared" si="8"/>
        <v>MACKESON</v>
      </c>
      <c r="J76" s="23">
        <f t="shared" si="9"/>
        <v>0.51666666666666672</v>
      </c>
      <c r="K76" s="23">
        <f t="shared" si="10"/>
        <v>0.83472222222222225</v>
      </c>
      <c r="L76" s="68">
        <f t="shared" si="16"/>
        <v>0.31805555555555554</v>
      </c>
      <c r="M76" s="3">
        <v>458</v>
      </c>
      <c r="N76" s="69">
        <f>M76-(H21+K21+L21+M21+N21+AA21+AB21+9+J21+AC21)</f>
        <v>427</v>
      </c>
      <c r="P76" s="65">
        <f t="shared" si="11"/>
        <v>46276</v>
      </c>
      <c r="Q76" s="74" t="str">
        <f t="shared" si="12"/>
        <v>MACKESON</v>
      </c>
      <c r="R76" s="23">
        <f t="shared" ref="R76" si="23">E21</f>
        <v>0.51666666666666672</v>
      </c>
      <c r="S76" s="76">
        <v>0.875</v>
      </c>
      <c r="T76" s="668"/>
    </row>
    <row r="77" spans="8:29">
      <c r="H77" s="65">
        <f t="shared" si="7"/>
        <v>46279</v>
      </c>
      <c r="I77" s="1" t="str">
        <f t="shared" si="8"/>
        <v>MACKESON</v>
      </c>
      <c r="J77" s="23">
        <f t="shared" si="9"/>
        <v>1.0833333333333333</v>
      </c>
      <c r="K77" s="23">
        <f t="shared" si="10"/>
        <v>1.4097222222222223</v>
      </c>
      <c r="L77" s="68">
        <f t="shared" si="16"/>
        <v>0.32638888888888906</v>
      </c>
      <c r="M77" s="3">
        <v>470</v>
      </c>
      <c r="N77" s="69">
        <f>M77-(H22+K22+L22+M22+N22+AA22+AB22+J22+AC22)</f>
        <v>467</v>
      </c>
      <c r="P77" s="65">
        <f t="shared" si="11"/>
        <v>46279</v>
      </c>
      <c r="Q77" s="74" t="str">
        <f t="shared" si="12"/>
        <v>MACKESON</v>
      </c>
      <c r="R77" s="76">
        <v>1.0416666666666667</v>
      </c>
      <c r="S77" s="23">
        <f t="shared" ref="S77" si="24">F22</f>
        <v>1.4097222222222223</v>
      </c>
      <c r="T77" s="668">
        <f>S78-R77</f>
        <v>0.95833333333333326</v>
      </c>
    </row>
    <row r="78" spans="8:29">
      <c r="H78" s="65">
        <f t="shared" si="7"/>
        <v>46279</v>
      </c>
      <c r="I78" s="1" t="str">
        <f t="shared" si="8"/>
        <v>STAG</v>
      </c>
      <c r="J78" s="23">
        <f t="shared" si="9"/>
        <v>1.5</v>
      </c>
      <c r="K78" s="23">
        <f t="shared" si="10"/>
        <v>2</v>
      </c>
      <c r="L78" s="68">
        <f t="shared" si="16"/>
        <v>0.5</v>
      </c>
      <c r="M78" s="3">
        <v>720</v>
      </c>
      <c r="N78" s="69">
        <f>M78-(H23+K23+L23+M23+N23+AA23+AB23+Z23+J23+AC23)</f>
        <v>691</v>
      </c>
      <c r="P78" s="65">
        <f t="shared" si="11"/>
        <v>46279</v>
      </c>
      <c r="Q78" s="74" t="str">
        <f t="shared" si="12"/>
        <v>STAG</v>
      </c>
      <c r="R78" s="23">
        <f t="shared" ref="R78:S78" si="25">E23</f>
        <v>1.5</v>
      </c>
      <c r="S78" s="23">
        <f t="shared" si="25"/>
        <v>2</v>
      </c>
      <c r="T78" s="668"/>
    </row>
    <row r="79" spans="8:29">
      <c r="H79" s="65">
        <f t="shared" si="7"/>
        <v>46280</v>
      </c>
      <c r="I79" s="1" t="str">
        <f t="shared" si="8"/>
        <v>STAG</v>
      </c>
      <c r="J79" s="23">
        <f t="shared" si="9"/>
        <v>1.0069444444444444</v>
      </c>
      <c r="K79" s="23">
        <f t="shared" si="10"/>
        <v>1.1979166666666667</v>
      </c>
      <c r="L79" s="68">
        <f t="shared" si="16"/>
        <v>0.19097222222222232</v>
      </c>
      <c r="M79" s="3">
        <v>275</v>
      </c>
      <c r="N79" s="69">
        <f>M79-(H24+K24+L24+M24+N24+AA24+AB24+Z24+J24+AC24)</f>
        <v>221</v>
      </c>
      <c r="P79" s="65">
        <f t="shared" si="11"/>
        <v>46280</v>
      </c>
      <c r="Q79" s="74" t="str">
        <f t="shared" si="12"/>
        <v>STAG</v>
      </c>
      <c r="R79" s="23">
        <f t="shared" ref="R79:S79" si="26">E24</f>
        <v>1.0069444444444444</v>
      </c>
      <c r="S79" s="23">
        <f t="shared" si="26"/>
        <v>1.1979166666666667</v>
      </c>
      <c r="T79" s="668">
        <f>S80-R79</f>
        <v>0.99305555555555558</v>
      </c>
    </row>
    <row r="80" spans="8:29">
      <c r="H80" s="65">
        <f t="shared" si="7"/>
        <v>46280</v>
      </c>
      <c r="I80" s="1" t="str">
        <f t="shared" si="8"/>
        <v xml:space="preserve">CARIB AMBER </v>
      </c>
      <c r="J80" s="23">
        <f t="shared" si="9"/>
        <v>1.2152777777777777</v>
      </c>
      <c r="K80" s="23">
        <f t="shared" si="10"/>
        <v>2</v>
      </c>
      <c r="L80" s="68">
        <f t="shared" si="16"/>
        <v>0.78472222222222232</v>
      </c>
      <c r="M80" s="3">
        <v>1130</v>
      </c>
      <c r="N80" s="69">
        <f t="shared" ref="N80:N106" si="27">M80-(H25+K25+L25+M25+N25+AA25+AB25+Z25+J25+AC25)</f>
        <v>1030</v>
      </c>
      <c r="P80" s="65">
        <f t="shared" si="11"/>
        <v>46280</v>
      </c>
      <c r="Q80" s="74" t="str">
        <f t="shared" si="12"/>
        <v xml:space="preserve">CARIB AMBER </v>
      </c>
      <c r="R80" s="23">
        <f t="shared" ref="R80:S80" si="28">E25</f>
        <v>1.2152777777777777</v>
      </c>
      <c r="S80" s="23">
        <f t="shared" si="28"/>
        <v>2</v>
      </c>
      <c r="T80" s="668"/>
    </row>
    <row r="81" spans="8:22">
      <c r="H81" s="65">
        <f t="shared" si="7"/>
        <v>46281</v>
      </c>
      <c r="I81" s="1" t="str">
        <f t="shared" si="8"/>
        <v>CARIB AMBER</v>
      </c>
      <c r="J81" s="23">
        <f t="shared" si="9"/>
        <v>1.0069444444444444</v>
      </c>
      <c r="K81" s="23">
        <f t="shared" si="10"/>
        <v>1.3569444444444445</v>
      </c>
      <c r="L81" s="68">
        <f t="shared" si="16"/>
        <v>0.35000000000000009</v>
      </c>
      <c r="M81" s="3">
        <v>504</v>
      </c>
      <c r="N81" s="69">
        <f t="shared" si="27"/>
        <v>394</v>
      </c>
      <c r="P81" s="65">
        <f t="shared" si="11"/>
        <v>46281</v>
      </c>
      <c r="Q81" s="74" t="str">
        <f t="shared" si="12"/>
        <v>CARIB AMBER</v>
      </c>
      <c r="R81" s="23">
        <f t="shared" ref="R81:S81" si="29">E26</f>
        <v>1.0069444444444444</v>
      </c>
      <c r="S81" s="23">
        <f t="shared" si="29"/>
        <v>1.3569444444444445</v>
      </c>
      <c r="T81" s="668">
        <f>S82-R81</f>
        <v>0.99305555555555558</v>
      </c>
    </row>
    <row r="82" spans="8:22">
      <c r="H82" s="65">
        <f t="shared" si="7"/>
        <v>46281</v>
      </c>
      <c r="I82" s="1" t="str">
        <f t="shared" si="8"/>
        <v>PORNSTAR</v>
      </c>
      <c r="J82" s="23">
        <f t="shared" si="9"/>
        <v>1.8993055555555556</v>
      </c>
      <c r="K82" s="23">
        <f t="shared" si="10"/>
        <v>2</v>
      </c>
      <c r="L82" s="68">
        <f t="shared" si="16"/>
        <v>0.10069444444444442</v>
      </c>
      <c r="M82" s="3">
        <v>145</v>
      </c>
      <c r="N82" s="69">
        <f>M82-(H27+K27+L27+M27+N27+AA27+AB27+Z27+AC27)</f>
        <v>88</v>
      </c>
      <c r="P82" s="65">
        <f t="shared" si="11"/>
        <v>46281</v>
      </c>
      <c r="Q82" s="74" t="str">
        <f t="shared" si="12"/>
        <v>PORNSTAR</v>
      </c>
      <c r="R82" s="23">
        <f t="shared" ref="R82:S82" si="30">E27</f>
        <v>1.8993055555555556</v>
      </c>
      <c r="S82" s="23">
        <f t="shared" si="30"/>
        <v>2</v>
      </c>
      <c r="T82" s="668"/>
    </row>
    <row r="83" spans="8:22">
      <c r="H83" s="65">
        <f t="shared" si="7"/>
        <v>46282</v>
      </c>
      <c r="I83" s="1" t="str">
        <f t="shared" si="8"/>
        <v>PORNSTAR</v>
      </c>
      <c r="J83" s="23">
        <f t="shared" si="9"/>
        <v>1</v>
      </c>
      <c r="K83" s="23">
        <f t="shared" si="10"/>
        <v>1.1777777777777778</v>
      </c>
      <c r="L83" s="68">
        <f t="shared" si="16"/>
        <v>0.17777777777777781</v>
      </c>
      <c r="M83" s="3">
        <v>256</v>
      </c>
      <c r="N83" s="69">
        <f t="shared" si="27"/>
        <v>248</v>
      </c>
      <c r="P83" s="65">
        <f t="shared" si="11"/>
        <v>46282</v>
      </c>
      <c r="Q83" s="74" t="str">
        <f t="shared" si="12"/>
        <v>PORNSTAR</v>
      </c>
      <c r="R83" s="76">
        <v>1</v>
      </c>
      <c r="S83" s="23">
        <f t="shared" ref="S83" si="31">F28</f>
        <v>1.1777777777777778</v>
      </c>
      <c r="T83" s="668">
        <f>S85-R83</f>
        <v>1</v>
      </c>
    </row>
    <row r="84" spans="8:22">
      <c r="H84" s="65">
        <f t="shared" si="7"/>
        <v>46282</v>
      </c>
      <c r="I84" s="1" t="str">
        <f t="shared" si="8"/>
        <v>BELLINI</v>
      </c>
      <c r="J84" s="23">
        <f t="shared" si="9"/>
        <v>1.1944444444444444</v>
      </c>
      <c r="K84" s="23">
        <f t="shared" si="10"/>
        <v>1.5180555555555555</v>
      </c>
      <c r="L84" s="68">
        <f t="shared" si="16"/>
        <v>0.32361111111111107</v>
      </c>
      <c r="M84" s="3">
        <v>466</v>
      </c>
      <c r="N84" s="69">
        <f t="shared" si="27"/>
        <v>459</v>
      </c>
      <c r="P84" s="65">
        <f t="shared" si="11"/>
        <v>46282</v>
      </c>
      <c r="Q84" s="74" t="str">
        <f t="shared" si="12"/>
        <v>BELLINI</v>
      </c>
      <c r="R84" s="23">
        <f t="shared" ref="R84:S84" si="32">E29</f>
        <v>1.1944444444444444</v>
      </c>
      <c r="S84" s="23">
        <f t="shared" si="32"/>
        <v>1.5180555555555555</v>
      </c>
      <c r="T84" s="668"/>
    </row>
    <row r="85" spans="8:22">
      <c r="H85" s="65">
        <f t="shared" si="7"/>
        <v>46282</v>
      </c>
      <c r="I85" s="1" t="str">
        <f t="shared" si="8"/>
        <v>ROYALE</v>
      </c>
      <c r="J85" s="23">
        <f t="shared" si="9"/>
        <v>1.5305555555555554</v>
      </c>
      <c r="K85" s="23">
        <f t="shared" si="10"/>
        <v>1.9590277777777778</v>
      </c>
      <c r="L85" s="68">
        <f t="shared" si="16"/>
        <v>0.42847222222222237</v>
      </c>
      <c r="M85" s="3">
        <v>617</v>
      </c>
      <c r="N85" s="69">
        <f t="shared" si="27"/>
        <v>544</v>
      </c>
      <c r="P85" s="65">
        <f t="shared" si="11"/>
        <v>46282</v>
      </c>
      <c r="Q85" s="74" t="str">
        <f t="shared" si="12"/>
        <v>ROYALE</v>
      </c>
      <c r="R85" s="23">
        <f t="shared" ref="R85" si="33">E30</f>
        <v>1.5305555555555554</v>
      </c>
      <c r="S85" s="76">
        <v>2</v>
      </c>
      <c r="T85" s="668"/>
    </row>
    <row r="86" spans="8:22">
      <c r="H86" s="65">
        <f t="shared" si="7"/>
        <v>46283</v>
      </c>
      <c r="I86" s="1" t="str">
        <f t="shared" si="8"/>
        <v xml:space="preserve">CARIB AMBER </v>
      </c>
      <c r="J86" s="23">
        <f t="shared" si="9"/>
        <v>1.1319444444444444</v>
      </c>
      <c r="K86" s="23">
        <f t="shared" si="10"/>
        <v>1.6527777777777777</v>
      </c>
      <c r="L86" s="68">
        <f t="shared" si="16"/>
        <v>0.52083333333333326</v>
      </c>
      <c r="M86" s="3">
        <v>750</v>
      </c>
      <c r="N86" s="69">
        <f>M86-(H31+K31+L31+M31+N31+AA31+AB31+Z31+J31+AC31)</f>
        <v>629</v>
      </c>
      <c r="P86" s="65">
        <f t="shared" si="11"/>
        <v>46283</v>
      </c>
      <c r="Q86" s="74" t="str">
        <f t="shared" si="12"/>
        <v xml:space="preserve">CARIB AMBER </v>
      </c>
      <c r="R86" s="76">
        <v>1</v>
      </c>
      <c r="S86" s="23">
        <f t="shared" ref="S86" si="34">F31</f>
        <v>1.6527777777777777</v>
      </c>
      <c r="T86" s="668">
        <f>S88-R86</f>
        <v>0.875</v>
      </c>
    </row>
    <row r="87" spans="8:22">
      <c r="H87" s="65">
        <f t="shared" si="7"/>
        <v>46283</v>
      </c>
      <c r="I87" s="1" t="str">
        <f t="shared" si="8"/>
        <v>SHANDY LIME EXPORT/ LOCAL</v>
      </c>
      <c r="J87" s="23">
        <f t="shared" si="9"/>
        <v>1.6666666666666667</v>
      </c>
      <c r="K87" s="23">
        <f t="shared" si="10"/>
        <v>1.7402777777777778</v>
      </c>
      <c r="L87" s="68">
        <f t="shared" ref="L87:L107" si="35">K87-J87</f>
        <v>7.3611111111111072E-2</v>
      </c>
      <c r="M87" s="3">
        <v>106</v>
      </c>
      <c r="N87" s="69">
        <f t="shared" si="27"/>
        <v>106</v>
      </c>
      <c r="P87" s="65">
        <f t="shared" si="11"/>
        <v>46283</v>
      </c>
      <c r="Q87" s="74" t="str">
        <f t="shared" si="12"/>
        <v>SHANDY LIME EXPORT/ LOCAL</v>
      </c>
      <c r="R87" s="23">
        <f t="shared" ref="R87:S87" si="36">E32</f>
        <v>1.6666666666666667</v>
      </c>
      <c r="S87" s="23">
        <f t="shared" si="36"/>
        <v>1.7402777777777778</v>
      </c>
      <c r="T87" s="668"/>
    </row>
    <row r="88" spans="8:22">
      <c r="H88" s="65">
        <f t="shared" si="7"/>
        <v>46283</v>
      </c>
      <c r="I88" s="1" t="str">
        <f t="shared" si="8"/>
        <v>SHANDY GINGER EXPORT/ LOCAL</v>
      </c>
      <c r="J88" s="23">
        <f t="shared" si="9"/>
        <v>1.7527777777777778</v>
      </c>
      <c r="K88" s="23">
        <f t="shared" si="10"/>
        <v>1.8229166666666667</v>
      </c>
      <c r="L88" s="68">
        <f t="shared" si="35"/>
        <v>7.0138888888888973E-2</v>
      </c>
      <c r="M88" s="3">
        <v>101</v>
      </c>
      <c r="N88" s="69">
        <f t="shared" si="27"/>
        <v>101</v>
      </c>
      <c r="P88" s="65">
        <f t="shared" si="11"/>
        <v>46283</v>
      </c>
      <c r="Q88" s="74" t="str">
        <f t="shared" si="12"/>
        <v>SHANDY GINGER EXPORT/ LOCAL</v>
      </c>
      <c r="R88" s="23">
        <f t="shared" ref="R88" si="37">E33</f>
        <v>1.7527777777777778</v>
      </c>
      <c r="S88" s="76">
        <v>1.875</v>
      </c>
      <c r="T88" s="668"/>
    </row>
    <row r="89" spans="8:22">
      <c r="H89" s="65">
        <f t="shared" si="7"/>
        <v>46286</v>
      </c>
      <c r="I89" s="1" t="str">
        <f t="shared" si="8"/>
        <v>SHANDY SORREL EXPORT</v>
      </c>
      <c r="J89" s="23">
        <f t="shared" si="9"/>
        <v>0.41666666666666669</v>
      </c>
      <c r="K89" s="23">
        <f t="shared" si="10"/>
        <v>0.55000000000000004</v>
      </c>
      <c r="L89" s="68">
        <f t="shared" si="35"/>
        <v>0.13333333333333336</v>
      </c>
      <c r="M89" s="3">
        <v>132</v>
      </c>
      <c r="N89" s="69">
        <f t="shared" si="27"/>
        <v>111</v>
      </c>
      <c r="P89" s="65">
        <f t="shared" si="11"/>
        <v>46286</v>
      </c>
      <c r="Q89" s="74" t="str">
        <f t="shared" si="12"/>
        <v>SHANDY SORREL EXPORT</v>
      </c>
      <c r="R89" s="76">
        <v>0.3263888888888889</v>
      </c>
      <c r="S89" s="23">
        <f t="shared" ref="S89" si="38">F34</f>
        <v>0.55000000000000004</v>
      </c>
      <c r="T89" s="668">
        <f>S90-R89</f>
        <v>0.63194444444444442</v>
      </c>
    </row>
    <row r="90" spans="8:22">
      <c r="H90" s="65">
        <f t="shared" si="7"/>
        <v>46286</v>
      </c>
      <c r="I90" s="1" t="str">
        <f t="shared" si="8"/>
        <v xml:space="preserve">SHANDY SORREL LOCAL </v>
      </c>
      <c r="J90" s="23">
        <f t="shared" si="9"/>
        <v>0.56111111111111112</v>
      </c>
      <c r="K90" s="23">
        <f t="shared" si="10"/>
        <v>0.74583333333333335</v>
      </c>
      <c r="L90" s="68">
        <f t="shared" si="35"/>
        <v>0.18472222222222223</v>
      </c>
      <c r="M90" s="3">
        <v>341</v>
      </c>
      <c r="N90" s="69">
        <f t="shared" si="27"/>
        <v>331</v>
      </c>
      <c r="P90" s="65">
        <f t="shared" si="11"/>
        <v>46286</v>
      </c>
      <c r="Q90" s="74" t="str">
        <f t="shared" si="12"/>
        <v xml:space="preserve">SHANDY SORREL LOCAL </v>
      </c>
      <c r="R90" s="23">
        <f t="shared" ref="R90" si="39">E35</f>
        <v>0.56111111111111112</v>
      </c>
      <c r="S90" s="76">
        <v>0.95833333333333337</v>
      </c>
      <c r="T90" s="668"/>
      <c r="V90" t="s">
        <v>209</v>
      </c>
    </row>
    <row r="91" spans="8:22">
      <c r="H91" s="65">
        <f t="shared" si="7"/>
        <v>46287</v>
      </c>
      <c r="I91" s="1" t="str">
        <f t="shared" si="8"/>
        <v>STAG</v>
      </c>
      <c r="J91" s="23">
        <f t="shared" si="9"/>
        <v>0.34027777777777779</v>
      </c>
      <c r="K91" s="23">
        <f t="shared" si="10"/>
        <v>0.89583333333333337</v>
      </c>
      <c r="L91" s="68">
        <f t="shared" si="35"/>
        <v>0.55555555555555558</v>
      </c>
      <c r="M91" s="3">
        <v>800</v>
      </c>
      <c r="N91" s="69">
        <f t="shared" si="27"/>
        <v>732</v>
      </c>
      <c r="P91" s="65">
        <f t="shared" si="11"/>
        <v>46287</v>
      </c>
      <c r="Q91" s="74" t="str">
        <f t="shared" si="12"/>
        <v>STAG</v>
      </c>
      <c r="R91" s="76">
        <v>0.3263888888888889</v>
      </c>
      <c r="S91" s="76">
        <v>0.95833333333333337</v>
      </c>
      <c r="T91" s="75">
        <f>S91-R91</f>
        <v>0.63194444444444442</v>
      </c>
    </row>
    <row r="92" spans="8:22">
      <c r="H92" s="65">
        <f t="shared" si="7"/>
        <v>46288</v>
      </c>
      <c r="I92" s="1" t="str">
        <f t="shared" si="8"/>
        <v>STAG</v>
      </c>
      <c r="J92" s="23">
        <f t="shared" si="9"/>
        <v>0.33333333333333331</v>
      </c>
      <c r="K92" s="23">
        <f t="shared" si="10"/>
        <v>0.49305555555555558</v>
      </c>
      <c r="L92" s="68">
        <f t="shared" si="35"/>
        <v>0.15972222222222227</v>
      </c>
      <c r="M92" s="3">
        <v>230</v>
      </c>
      <c r="N92" s="69">
        <f t="shared" si="27"/>
        <v>218</v>
      </c>
      <c r="P92" s="65">
        <f t="shared" si="11"/>
        <v>46288</v>
      </c>
      <c r="Q92" s="74" t="str">
        <f t="shared" si="12"/>
        <v>STAG</v>
      </c>
      <c r="R92" s="76">
        <v>0.3263888888888889</v>
      </c>
      <c r="S92" s="23">
        <f t="shared" ref="S92" si="40">F37</f>
        <v>0.49305555555555558</v>
      </c>
      <c r="T92" s="668">
        <f>S93-R92</f>
        <v>0.63194444444444442</v>
      </c>
    </row>
    <row r="93" spans="8:22">
      <c r="H93" s="65">
        <f t="shared" si="7"/>
        <v>46288</v>
      </c>
      <c r="I93" s="1" t="str">
        <f t="shared" si="8"/>
        <v>CARIB FLINT EXPORT</v>
      </c>
      <c r="J93" s="23">
        <f t="shared" si="9"/>
        <v>0.51388888888888884</v>
      </c>
      <c r="K93" s="23">
        <f t="shared" si="10"/>
        <v>0.89236111111111116</v>
      </c>
      <c r="L93" s="68">
        <f t="shared" si="35"/>
        <v>0.37847222222222232</v>
      </c>
      <c r="M93" s="3">
        <v>545</v>
      </c>
      <c r="N93" s="69">
        <f t="shared" si="27"/>
        <v>487</v>
      </c>
      <c r="P93" s="65">
        <f t="shared" si="11"/>
        <v>46288</v>
      </c>
      <c r="Q93" s="74" t="str">
        <f t="shared" si="12"/>
        <v>CARIB FLINT EXPORT</v>
      </c>
      <c r="R93" s="23">
        <f t="shared" ref="R93" si="41">E38</f>
        <v>0.51388888888888884</v>
      </c>
      <c r="S93" s="76">
        <v>0.95833333333333337</v>
      </c>
      <c r="T93" s="668"/>
    </row>
    <row r="94" spans="8:22">
      <c r="H94" s="65">
        <f t="shared" si="7"/>
        <v>46289</v>
      </c>
      <c r="I94" s="1" t="str">
        <f t="shared" si="8"/>
        <v>CARIB FLINT EXPORT</v>
      </c>
      <c r="J94" s="23">
        <f t="shared" si="9"/>
        <v>0.36805555555555558</v>
      </c>
      <c r="K94" s="23">
        <f t="shared" si="10"/>
        <v>0.89027777777777772</v>
      </c>
      <c r="L94" s="68">
        <f t="shared" si="35"/>
        <v>0.52222222222222214</v>
      </c>
      <c r="M94" s="3">
        <v>752</v>
      </c>
      <c r="N94" s="69">
        <f t="shared" si="27"/>
        <v>723</v>
      </c>
      <c r="P94" s="65">
        <f t="shared" si="11"/>
        <v>46289</v>
      </c>
      <c r="Q94" s="74" t="str">
        <f t="shared" si="12"/>
        <v>CARIB FLINT EXPORT</v>
      </c>
      <c r="R94" s="76">
        <v>0.3263888888888889</v>
      </c>
      <c r="S94" s="76">
        <v>0.95833333333333337</v>
      </c>
      <c r="T94" s="75">
        <f>S94-R94</f>
        <v>0.63194444444444442</v>
      </c>
    </row>
    <row r="95" spans="8:22">
      <c r="H95" s="65">
        <f t="shared" si="7"/>
        <v>46290</v>
      </c>
      <c r="I95" s="1" t="str">
        <f t="shared" si="8"/>
        <v>CARIB FLINT EXPORT</v>
      </c>
      <c r="J95" s="23">
        <f t="shared" si="9"/>
        <v>0.33680555555555558</v>
      </c>
      <c r="K95" s="23">
        <f t="shared" si="10"/>
        <v>0.70138888888888884</v>
      </c>
      <c r="L95" s="68">
        <f t="shared" si="35"/>
        <v>0.36458333333333326</v>
      </c>
      <c r="M95" s="3">
        <v>525</v>
      </c>
      <c r="N95" s="69">
        <f t="shared" si="27"/>
        <v>474</v>
      </c>
      <c r="P95" s="65">
        <f t="shared" si="11"/>
        <v>46290</v>
      </c>
      <c r="Q95" s="74" t="str">
        <f t="shared" si="12"/>
        <v>CARIB FLINT EXPORT</v>
      </c>
      <c r="R95" s="76">
        <v>0.3263888888888889</v>
      </c>
      <c r="S95" s="23">
        <f t="shared" ref="S95" si="42">F40</f>
        <v>0.70138888888888884</v>
      </c>
      <c r="T95" s="668">
        <f>S96-R95</f>
        <v>0.48819444444444443</v>
      </c>
    </row>
    <row r="96" spans="8:22">
      <c r="H96" s="65">
        <f t="shared" si="7"/>
        <v>46290</v>
      </c>
      <c r="I96" s="1" t="str">
        <f t="shared" si="8"/>
        <v>GUINNESS</v>
      </c>
      <c r="J96" s="23">
        <f t="shared" si="9"/>
        <v>0.7729166666666667</v>
      </c>
      <c r="K96" s="23">
        <f t="shared" si="10"/>
        <v>0.81458333333333333</v>
      </c>
      <c r="L96" s="68">
        <f t="shared" si="35"/>
        <v>4.166666666666663E-2</v>
      </c>
      <c r="M96" s="3">
        <v>60</v>
      </c>
      <c r="N96" s="69">
        <f t="shared" si="27"/>
        <v>60</v>
      </c>
      <c r="P96" s="65">
        <f t="shared" si="11"/>
        <v>46290</v>
      </c>
      <c r="Q96" s="74" t="str">
        <f t="shared" si="12"/>
        <v>GUINNESS</v>
      </c>
      <c r="R96" s="23">
        <f t="shared" ref="R96:S96" si="43">E41</f>
        <v>0.7729166666666667</v>
      </c>
      <c r="S96" s="23">
        <f t="shared" si="43"/>
        <v>0.81458333333333333</v>
      </c>
      <c r="T96" s="668"/>
    </row>
    <row r="97" spans="8:20">
      <c r="H97" s="65">
        <f t="shared" si="7"/>
        <v>46293</v>
      </c>
      <c r="I97" s="1" t="str">
        <f t="shared" si="8"/>
        <v>GUINNESS</v>
      </c>
      <c r="J97" s="23">
        <f t="shared" si="9"/>
        <v>1.3784722222222223</v>
      </c>
      <c r="K97" s="23">
        <f t="shared" si="10"/>
        <v>1.9041666666666666</v>
      </c>
      <c r="L97" s="68">
        <f t="shared" si="35"/>
        <v>0.52569444444444424</v>
      </c>
      <c r="M97" s="3">
        <v>757</v>
      </c>
      <c r="N97" s="69">
        <f t="shared" si="27"/>
        <v>739</v>
      </c>
      <c r="P97" s="65">
        <f t="shared" si="11"/>
        <v>46293</v>
      </c>
      <c r="Q97" s="74" t="str">
        <f t="shared" si="12"/>
        <v>GUINNESS</v>
      </c>
      <c r="R97" s="76">
        <v>0.3263888888888889</v>
      </c>
      <c r="S97" s="76">
        <v>0.95833333333333337</v>
      </c>
      <c r="T97" s="75">
        <f>S97-R97</f>
        <v>0.63194444444444442</v>
      </c>
    </row>
    <row r="98" spans="8:20">
      <c r="H98" s="65">
        <f t="shared" si="7"/>
        <v>46294</v>
      </c>
      <c r="I98" s="1" t="str">
        <f t="shared" si="8"/>
        <v>GUINNESS</v>
      </c>
      <c r="J98" s="23">
        <f t="shared" si="9"/>
        <v>0.34166666666666667</v>
      </c>
      <c r="K98" s="23">
        <f t="shared" si="10"/>
        <v>0.46944444444444444</v>
      </c>
      <c r="L98" s="68">
        <f t="shared" si="35"/>
        <v>0.12777777777777777</v>
      </c>
      <c r="M98" s="3">
        <v>184</v>
      </c>
      <c r="N98" s="69">
        <f t="shared" si="27"/>
        <v>172</v>
      </c>
      <c r="P98" s="65">
        <f t="shared" si="11"/>
        <v>46294</v>
      </c>
      <c r="Q98" s="74" t="str">
        <f t="shared" si="12"/>
        <v>GUINNESS</v>
      </c>
      <c r="R98" s="76">
        <v>0.3263888888888889</v>
      </c>
      <c r="S98" s="23">
        <f t="shared" ref="S98" si="44">F43</f>
        <v>0.46944444444444444</v>
      </c>
      <c r="T98" s="668">
        <f>S99-R98</f>
        <v>0.63194444444444442</v>
      </c>
    </row>
    <row r="99" spans="8:20">
      <c r="H99" s="65">
        <f t="shared" ref="H99:I102" si="45">B44</f>
        <v>46294</v>
      </c>
      <c r="I99" s="1" t="str">
        <f t="shared" si="45"/>
        <v>CARIB AMBER</v>
      </c>
      <c r="J99" s="23">
        <f t="shared" ref="J99:K103" si="46">E44</f>
        <v>0.54861111111111116</v>
      </c>
      <c r="K99" s="23">
        <f t="shared" si="46"/>
        <v>0.89930555555555558</v>
      </c>
      <c r="L99" s="68">
        <f t="shared" si="35"/>
        <v>0.35069444444444442</v>
      </c>
      <c r="M99" s="3">
        <v>505</v>
      </c>
      <c r="N99" s="69">
        <f t="shared" si="27"/>
        <v>431</v>
      </c>
      <c r="P99" s="65">
        <f t="shared" si="11"/>
        <v>46294</v>
      </c>
      <c r="Q99" s="74" t="str">
        <f t="shared" si="12"/>
        <v>CARIB AMBER</v>
      </c>
      <c r="R99" s="23">
        <f t="shared" ref="R99" si="47">E44</f>
        <v>0.54861111111111116</v>
      </c>
      <c r="S99" s="76">
        <v>0.95833333333333337</v>
      </c>
      <c r="T99" s="668"/>
    </row>
    <row r="100" spans="8:20">
      <c r="H100" s="65">
        <f t="shared" si="45"/>
        <v>46295</v>
      </c>
      <c r="I100" s="1" t="str">
        <f t="shared" si="45"/>
        <v>CARIB AMBER</v>
      </c>
      <c r="J100" s="23">
        <f t="shared" si="46"/>
        <v>0.34722222222222221</v>
      </c>
      <c r="K100" s="23">
        <f t="shared" si="46"/>
        <v>0.66319444444444442</v>
      </c>
      <c r="L100" s="68">
        <f t="shared" si="35"/>
        <v>0.31597222222222221</v>
      </c>
      <c r="M100" s="3">
        <v>455</v>
      </c>
      <c r="N100" s="69">
        <f t="shared" si="27"/>
        <v>427</v>
      </c>
      <c r="P100" s="65">
        <f t="shared" ref="P100:Q103" si="48">B45</f>
        <v>46295</v>
      </c>
      <c r="Q100" s="74" t="str">
        <f t="shared" si="48"/>
        <v>CARIB AMBER</v>
      </c>
      <c r="R100" s="76">
        <v>0.3263888888888889</v>
      </c>
      <c r="S100" s="23">
        <f t="shared" ref="S100" si="49">F45</f>
        <v>0.66319444444444442</v>
      </c>
      <c r="T100" s="668">
        <f>S101-R100</f>
        <v>0.63194444444444442</v>
      </c>
    </row>
    <row r="101" spans="8:20">
      <c r="H101" s="65">
        <f t="shared" si="45"/>
        <v>46295</v>
      </c>
      <c r="I101" s="1" t="str">
        <f t="shared" si="45"/>
        <v>STARMALT</v>
      </c>
      <c r="J101" s="23">
        <f t="shared" si="46"/>
        <v>0.78055555555555556</v>
      </c>
      <c r="K101" s="23">
        <f t="shared" si="46"/>
        <v>0.8979166666666667</v>
      </c>
      <c r="L101" s="68">
        <f t="shared" si="35"/>
        <v>0.11736111111111114</v>
      </c>
      <c r="M101" s="3">
        <v>169</v>
      </c>
      <c r="N101" s="69">
        <f t="shared" si="27"/>
        <v>149</v>
      </c>
      <c r="P101" s="65">
        <f t="shared" si="48"/>
        <v>46295</v>
      </c>
      <c r="Q101" s="74" t="str">
        <f t="shared" si="48"/>
        <v>STARMALT</v>
      </c>
      <c r="R101" s="23">
        <f t="shared" ref="R101" si="50">E46</f>
        <v>0.78055555555555556</v>
      </c>
      <c r="S101" s="76">
        <v>0.95833333333333337</v>
      </c>
      <c r="T101" s="668"/>
    </row>
    <row r="102" spans="8:20">
      <c r="H102" s="65">
        <f t="shared" si="45"/>
        <v>0</v>
      </c>
      <c r="I102" s="1">
        <f t="shared" si="45"/>
        <v>0</v>
      </c>
      <c r="J102" s="23">
        <f t="shared" si="46"/>
        <v>0</v>
      </c>
      <c r="K102" s="23">
        <f t="shared" si="46"/>
        <v>0</v>
      </c>
      <c r="L102" s="68">
        <f t="shared" si="35"/>
        <v>0</v>
      </c>
      <c r="M102" s="3"/>
      <c r="N102" s="69">
        <f>M102-(H47+K47+L47+M47+N47+AA47+AB47+Z47+J47+AC47)</f>
        <v>0</v>
      </c>
      <c r="P102" s="65">
        <f t="shared" si="48"/>
        <v>0</v>
      </c>
      <c r="Q102" s="74">
        <f t="shared" si="48"/>
        <v>0</v>
      </c>
      <c r="R102" s="23">
        <f t="shared" ref="R102:S102" si="51">E47</f>
        <v>0</v>
      </c>
      <c r="S102" s="23">
        <f t="shared" si="51"/>
        <v>0</v>
      </c>
      <c r="T102" s="135"/>
    </row>
    <row r="103" spans="8:20">
      <c r="H103" s="65">
        <f t="shared" ref="H103:H108" si="52">B47</f>
        <v>0</v>
      </c>
      <c r="I103" s="1">
        <f t="shared" ref="I103:I108" si="53">C47</f>
        <v>0</v>
      </c>
      <c r="J103" s="23">
        <f t="shared" si="46"/>
        <v>0</v>
      </c>
      <c r="K103" s="23">
        <f t="shared" si="46"/>
        <v>0</v>
      </c>
      <c r="L103" s="68">
        <f t="shared" si="35"/>
        <v>0</v>
      </c>
      <c r="M103" s="3"/>
      <c r="N103" s="69">
        <f t="shared" si="27"/>
        <v>0</v>
      </c>
      <c r="P103" s="65">
        <f t="shared" si="48"/>
        <v>0</v>
      </c>
      <c r="Q103" s="74">
        <f t="shared" si="48"/>
        <v>0</v>
      </c>
      <c r="R103" s="23">
        <f t="shared" ref="R103:S103" si="54">E48</f>
        <v>0</v>
      </c>
      <c r="S103" s="23">
        <f t="shared" si="54"/>
        <v>0</v>
      </c>
      <c r="T103" s="75">
        <f>S103-R103</f>
        <v>0</v>
      </c>
    </row>
    <row r="104" spans="8:20">
      <c r="H104" s="65">
        <f t="shared" si="52"/>
        <v>0</v>
      </c>
      <c r="I104" s="1">
        <f t="shared" si="53"/>
        <v>0</v>
      </c>
      <c r="J104" s="23">
        <f t="shared" ref="J104:K108" si="55">E48</f>
        <v>0</v>
      </c>
      <c r="K104" s="23">
        <f t="shared" si="55"/>
        <v>0</v>
      </c>
      <c r="L104" s="68">
        <f t="shared" si="35"/>
        <v>0</v>
      </c>
      <c r="M104" s="3"/>
      <c r="N104" s="69">
        <f t="shared" si="27"/>
        <v>0</v>
      </c>
      <c r="P104" s="65">
        <f t="shared" ref="P104:R107" si="56">B48</f>
        <v>0</v>
      </c>
      <c r="Q104" s="74">
        <f t="shared" si="56"/>
        <v>0</v>
      </c>
      <c r="R104" s="23">
        <f t="shared" ref="R104:S104" si="57">E49</f>
        <v>0</v>
      </c>
      <c r="S104" s="23">
        <f t="shared" si="57"/>
        <v>0</v>
      </c>
      <c r="T104" s="75">
        <f>S104-R104</f>
        <v>0</v>
      </c>
    </row>
    <row r="105" spans="8:20">
      <c r="H105" s="65">
        <f t="shared" si="52"/>
        <v>0</v>
      </c>
      <c r="I105" s="1">
        <f t="shared" si="53"/>
        <v>0</v>
      </c>
      <c r="J105" s="23">
        <f t="shared" si="55"/>
        <v>0</v>
      </c>
      <c r="K105" s="23">
        <f t="shared" si="55"/>
        <v>0</v>
      </c>
      <c r="L105" s="68">
        <f t="shared" si="35"/>
        <v>0</v>
      </c>
      <c r="M105" s="3"/>
      <c r="N105" s="69">
        <f t="shared" si="27"/>
        <v>0</v>
      </c>
      <c r="P105" s="65">
        <f t="shared" si="56"/>
        <v>0</v>
      </c>
      <c r="Q105" s="74">
        <f t="shared" si="56"/>
        <v>0</v>
      </c>
      <c r="R105" s="23">
        <f t="shared" ref="R105:S105" si="58">E50</f>
        <v>0</v>
      </c>
      <c r="S105" s="23">
        <f t="shared" si="58"/>
        <v>0</v>
      </c>
      <c r="T105" s="75">
        <f>S105-R105</f>
        <v>0</v>
      </c>
    </row>
    <row r="106" spans="8:20">
      <c r="H106" s="65">
        <f t="shared" si="52"/>
        <v>0</v>
      </c>
      <c r="I106" s="1">
        <f t="shared" si="53"/>
        <v>0</v>
      </c>
      <c r="J106" s="23">
        <f t="shared" si="55"/>
        <v>0</v>
      </c>
      <c r="K106" s="23">
        <f t="shared" si="55"/>
        <v>0</v>
      </c>
      <c r="L106" s="68">
        <f t="shared" si="35"/>
        <v>0</v>
      </c>
      <c r="N106" s="69">
        <f t="shared" si="27"/>
        <v>0</v>
      </c>
      <c r="P106" s="65">
        <f t="shared" si="56"/>
        <v>0</v>
      </c>
      <c r="Q106" s="74">
        <f t="shared" si="56"/>
        <v>0</v>
      </c>
      <c r="R106" s="23">
        <f t="shared" ref="R106:S106" si="59">E51</f>
        <v>0</v>
      </c>
      <c r="S106" s="23">
        <f t="shared" si="59"/>
        <v>0</v>
      </c>
      <c r="T106" s="75">
        <f>S106-R106</f>
        <v>0</v>
      </c>
    </row>
    <row r="107" spans="8:20">
      <c r="H107" s="65">
        <f t="shared" si="52"/>
        <v>0</v>
      </c>
      <c r="I107" s="1">
        <f t="shared" si="53"/>
        <v>0</v>
      </c>
      <c r="J107" s="23">
        <f t="shared" si="55"/>
        <v>0</v>
      </c>
      <c r="K107" s="23">
        <f t="shared" si="55"/>
        <v>0</v>
      </c>
      <c r="L107" s="68">
        <f t="shared" si="35"/>
        <v>0</v>
      </c>
      <c r="N107" s="69">
        <f>M107-(H51+K51+L51+M51+N51+AA51+AB51+Z51+J51+AC51)</f>
        <v>0</v>
      </c>
      <c r="P107" s="65">
        <f t="shared" si="56"/>
        <v>0</v>
      </c>
      <c r="Q107" s="74">
        <f t="shared" si="56"/>
        <v>0</v>
      </c>
      <c r="R107" s="23">
        <f t="shared" si="56"/>
        <v>0</v>
      </c>
      <c r="S107" s="23">
        <f>F51</f>
        <v>0</v>
      </c>
      <c r="T107" s="75">
        <f>S107-R107</f>
        <v>0</v>
      </c>
    </row>
    <row r="108" spans="8:20">
      <c r="H108" s="65">
        <f t="shared" si="52"/>
        <v>0</v>
      </c>
      <c r="I108" s="1">
        <f t="shared" si="53"/>
        <v>0</v>
      </c>
      <c r="J108" s="23">
        <f t="shared" si="55"/>
        <v>0</v>
      </c>
      <c r="K108" s="23">
        <f t="shared" si="55"/>
        <v>0</v>
      </c>
      <c r="Q108" s="74">
        <f t="shared" ref="Q108:Q113" si="60">C52</f>
        <v>0</v>
      </c>
    </row>
    <row r="109" spans="8:20">
      <c r="Q109" s="74">
        <f t="shared" si="60"/>
        <v>0</v>
      </c>
    </row>
    <row r="110" spans="8:20">
      <c r="Q110" s="74">
        <f t="shared" si="60"/>
        <v>0</v>
      </c>
    </row>
    <row r="111" spans="8:20">
      <c r="Q111" s="74">
        <f t="shared" si="60"/>
        <v>0</v>
      </c>
    </row>
    <row r="112" spans="8:20">
      <c r="Q112" s="74">
        <f t="shared" si="60"/>
        <v>0</v>
      </c>
    </row>
    <row r="113" spans="17:17">
      <c r="Q113" s="74">
        <f t="shared" si="60"/>
        <v>0</v>
      </c>
    </row>
    <row r="114" spans="17:17">
      <c r="Q114" s="74"/>
    </row>
    <row r="115" spans="17:17">
      <c r="Q115" s="74"/>
    </row>
    <row r="116" spans="17:17">
      <c r="Q116" s="74"/>
    </row>
    <row r="117" spans="17:17">
      <c r="Q117" s="74"/>
    </row>
    <row r="118" spans="17:17">
      <c r="Q118" s="74"/>
    </row>
    <row r="119" spans="17:17">
      <c r="Q119" s="74"/>
    </row>
    <row r="120" spans="17:17">
      <c r="Q120" s="74">
        <f>C64</f>
        <v>0</v>
      </c>
    </row>
    <row r="121" spans="17:17">
      <c r="Q121" s="74">
        <f>C65</f>
        <v>0</v>
      </c>
    </row>
    <row r="122" spans="17:17">
      <c r="Q122" s="74">
        <f>C66</f>
        <v>0</v>
      </c>
    </row>
    <row r="123" spans="17:17">
      <c r="Q123" s="74">
        <f>C67</f>
        <v>0</v>
      </c>
    </row>
  </sheetData>
  <mergeCells count="78">
    <mergeCell ref="D20:D21"/>
    <mergeCell ref="AE20:AE21"/>
    <mergeCell ref="T63:T64"/>
    <mergeCell ref="D22:D23"/>
    <mergeCell ref="D24:D25"/>
    <mergeCell ref="AE22:AE23"/>
    <mergeCell ref="AE24:AE25"/>
    <mergeCell ref="D26:D27"/>
    <mergeCell ref="D28:D30"/>
    <mergeCell ref="D31:D33"/>
    <mergeCell ref="D34:D35"/>
    <mergeCell ref="D37:D38"/>
    <mergeCell ref="D40:D41"/>
    <mergeCell ref="D43:D44"/>
    <mergeCell ref="AE43:AE44"/>
    <mergeCell ref="D45:D46"/>
    <mergeCell ref="D10:D12"/>
    <mergeCell ref="AE10:AE12"/>
    <mergeCell ref="D13:D15"/>
    <mergeCell ref="AE13:AE15"/>
    <mergeCell ref="A4:A7"/>
    <mergeCell ref="B4:B7"/>
    <mergeCell ref="C4:C7"/>
    <mergeCell ref="D4:D7"/>
    <mergeCell ref="D8:D9"/>
    <mergeCell ref="E4:E7"/>
    <mergeCell ref="F4:F7"/>
    <mergeCell ref="G4:G7"/>
    <mergeCell ref="H5:H7"/>
    <mergeCell ref="I5:I7"/>
    <mergeCell ref="AD5:AD7"/>
    <mergeCell ref="AE5:AE7"/>
    <mergeCell ref="AL4:AV4"/>
    <mergeCell ref="H61:N61"/>
    <mergeCell ref="P61:T61"/>
    <mergeCell ref="J5:J7"/>
    <mergeCell ref="K5:K7"/>
    <mergeCell ref="L5:L7"/>
    <mergeCell ref="M5:M7"/>
    <mergeCell ref="N5:N7"/>
    <mergeCell ref="O5:O7"/>
    <mergeCell ref="P5:P7"/>
    <mergeCell ref="Q5:Q7"/>
    <mergeCell ref="AE8:AE9"/>
    <mergeCell ref="B2:AE2"/>
    <mergeCell ref="H4:AE4"/>
    <mergeCell ref="R5:R7"/>
    <mergeCell ref="S5:S7"/>
    <mergeCell ref="T5:T7"/>
    <mergeCell ref="U5:U7"/>
    <mergeCell ref="V5:V7"/>
    <mergeCell ref="W5:W7"/>
    <mergeCell ref="X5:X7"/>
    <mergeCell ref="Y5:Y7"/>
    <mergeCell ref="Z5:Z7"/>
    <mergeCell ref="AA5:AA7"/>
    <mergeCell ref="AB5:AB7"/>
    <mergeCell ref="AC5:AC7"/>
    <mergeCell ref="AE40:AE41"/>
    <mergeCell ref="T95:T96"/>
    <mergeCell ref="T79:T80"/>
    <mergeCell ref="T75:T76"/>
    <mergeCell ref="T81:T82"/>
    <mergeCell ref="T83:T85"/>
    <mergeCell ref="T86:T88"/>
    <mergeCell ref="T89:T90"/>
    <mergeCell ref="T92:T93"/>
    <mergeCell ref="AE26:AE27"/>
    <mergeCell ref="AE28:AE30"/>
    <mergeCell ref="AE31:AE33"/>
    <mergeCell ref="AE34:AE35"/>
    <mergeCell ref="AE37:AE38"/>
    <mergeCell ref="T100:T101"/>
    <mergeCell ref="AE45:AE46"/>
    <mergeCell ref="T98:T99"/>
    <mergeCell ref="T65:T67"/>
    <mergeCell ref="T68:T70"/>
    <mergeCell ref="T77:T78"/>
  </mergeCells>
  <conditionalFormatting sqref="E21 E25:E28 E30:E31 E40:E54">
    <cfRule type="cellIs" dxfId="38" priority="1" stopIfTrue="1" operator="greaterThan">
      <formula>$E$3</formula>
    </cfRule>
  </conditionalFormatting>
  <pageMargins left="0.75" right="0.75" top="1" bottom="1" header="0.5" footer="0.5"/>
  <pageSetup scale="37" fitToHeight="2" orientation="landscape" r:id="rId1"/>
  <headerFooter alignWithMargins="0"/>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7">
    <tabColor rgb="FF00B0F0"/>
    <pageSetUpPr fitToPage="1"/>
  </sheetPr>
  <dimension ref="A1:AX136"/>
  <sheetViews>
    <sheetView showZeros="0" zoomScaleNormal="100" zoomScaleSheetLayoutView="50" workbookViewId="0">
      <pane xSplit="7" ySplit="7" topLeftCell="H8" activePane="bottomRight" state="frozen"/>
      <selection pane="topRight"/>
      <selection pane="bottomLeft"/>
      <selection pane="bottomRight" activeCell="AA12" sqref="AA12"/>
    </sheetView>
  </sheetViews>
  <sheetFormatPr defaultColWidth="9" defaultRowHeight="12.75"/>
  <cols>
    <col min="1" max="1" width="8.42578125" style="3" customWidth="1"/>
    <col min="2" max="2" width="9.42578125" style="3" customWidth="1"/>
    <col min="3" max="3" width="37.42578125" customWidth="1"/>
    <col min="4" max="4" width="8.5703125" customWidth="1"/>
    <col min="5" max="5" width="8.42578125" customWidth="1"/>
    <col min="6" max="6" width="8.5703125" customWidth="1"/>
    <col min="7" max="7" width="8" customWidth="1"/>
    <col min="8" max="8" width="9.5703125" customWidth="1"/>
    <col min="9" max="9" width="8.85546875" customWidth="1"/>
    <col min="10" max="10" width="9.42578125" customWidth="1"/>
    <col min="11" max="11" width="10.42578125" customWidth="1"/>
    <col min="12" max="12" width="11.42578125" customWidth="1"/>
    <col min="13" max="13" width="10.5703125" customWidth="1"/>
    <col min="14" max="14" width="10.42578125" customWidth="1"/>
    <col min="15" max="15" width="9.42578125" customWidth="1"/>
    <col min="16" max="16" width="8.5703125" customWidth="1"/>
    <col min="17" max="17" width="10.42578125" customWidth="1"/>
    <col min="18" max="18" width="7.5703125" customWidth="1"/>
    <col min="19" max="19" width="9" customWidth="1"/>
    <col min="20" max="20" width="8.5703125" customWidth="1"/>
    <col min="21" max="21" width="9.85546875" customWidth="1"/>
    <col min="22" max="22" width="11.85546875" customWidth="1"/>
    <col min="23" max="23" width="7.5703125" customWidth="1"/>
    <col min="24" max="24" width="14.5703125" customWidth="1"/>
    <col min="25" max="25" width="9.42578125" customWidth="1"/>
    <col min="26" max="26" width="11.42578125" customWidth="1"/>
    <col min="27" max="27" width="13.42578125" customWidth="1"/>
    <col min="28" max="29" width="11.42578125" customWidth="1"/>
    <col min="30" max="30" width="14.5703125" customWidth="1"/>
    <col min="31" max="31" width="11.42578125" customWidth="1"/>
    <col min="32" max="32" width="14.42578125" customWidth="1"/>
  </cols>
  <sheetData>
    <row r="1" spans="1:50">
      <c r="I1" s="3"/>
    </row>
    <row r="2" spans="1:50" ht="27.75">
      <c r="B2" s="670" t="s">
        <v>491</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5">
        <v>0.29166666666666702</v>
      </c>
      <c r="E3" s="5">
        <v>0.33333333333333298</v>
      </c>
      <c r="H3" s="6"/>
      <c r="I3" s="3"/>
      <c r="S3" s="3"/>
      <c r="AM3" s="6"/>
    </row>
    <row r="4" spans="1:50" ht="12.75" customHeight="1">
      <c r="A4" s="682" t="s">
        <v>411</v>
      </c>
      <c r="B4" s="685" t="s">
        <v>81</v>
      </c>
      <c r="C4" s="685" t="s">
        <v>412</v>
      </c>
      <c r="D4" s="688" t="s">
        <v>413</v>
      </c>
      <c r="E4" s="688" t="s">
        <v>414</v>
      </c>
      <c r="F4" s="688" t="s">
        <v>415</v>
      </c>
      <c r="G4" s="805" t="s">
        <v>416</v>
      </c>
      <c r="H4" s="802" t="s">
        <v>417</v>
      </c>
      <c r="I4" s="803"/>
      <c r="J4" s="803"/>
      <c r="K4" s="803"/>
      <c r="L4" s="803"/>
      <c r="M4" s="803"/>
      <c r="N4" s="803"/>
      <c r="O4" s="803"/>
      <c r="P4" s="803"/>
      <c r="Q4" s="803"/>
      <c r="R4" s="803"/>
      <c r="S4" s="803"/>
      <c r="T4" s="803"/>
      <c r="U4" s="803"/>
      <c r="V4" s="803"/>
      <c r="W4" s="803"/>
      <c r="X4" s="803"/>
      <c r="Y4" s="803"/>
      <c r="Z4" s="803"/>
      <c r="AA4" s="803"/>
      <c r="AB4" s="803"/>
      <c r="AC4" s="803"/>
      <c r="AD4" s="803"/>
      <c r="AE4" s="804"/>
      <c r="AF4" s="40"/>
      <c r="AK4" s="51"/>
      <c r="AL4" s="678"/>
      <c r="AM4" s="678"/>
      <c r="AN4" s="678"/>
      <c r="AO4" s="678"/>
      <c r="AP4" s="678"/>
      <c r="AQ4" s="678"/>
      <c r="AR4" s="678"/>
      <c r="AS4" s="678"/>
      <c r="AT4" s="678"/>
      <c r="AU4" s="678"/>
      <c r="AV4" s="678"/>
    </row>
    <row r="5" spans="1:50" ht="12.75" customHeight="1">
      <c r="A5" s="683"/>
      <c r="B5" s="686"/>
      <c r="C5" s="686"/>
      <c r="D5" s="689"/>
      <c r="E5" s="689"/>
      <c r="F5" s="689"/>
      <c r="G5" s="806"/>
      <c r="H5" s="807" t="s">
        <v>6</v>
      </c>
      <c r="I5" s="807" t="s">
        <v>7</v>
      </c>
      <c r="J5" s="809" t="s">
        <v>8</v>
      </c>
      <c r="K5" s="811" t="s">
        <v>9</v>
      </c>
      <c r="L5" s="814" t="s">
        <v>459</v>
      </c>
      <c r="M5" s="814" t="s">
        <v>11</v>
      </c>
      <c r="N5" s="814" t="s">
        <v>12</v>
      </c>
      <c r="O5" s="793" t="s">
        <v>13</v>
      </c>
      <c r="P5" s="793" t="s">
        <v>14</v>
      </c>
      <c r="Q5" s="793" t="s">
        <v>15</v>
      </c>
      <c r="R5" s="793" t="s">
        <v>16</v>
      </c>
      <c r="S5" s="793" t="s">
        <v>419</v>
      </c>
      <c r="T5" s="793" t="s">
        <v>18</v>
      </c>
      <c r="U5" s="793" t="s">
        <v>420</v>
      </c>
      <c r="V5" s="793" t="s">
        <v>20</v>
      </c>
      <c r="W5" s="793" t="s">
        <v>21</v>
      </c>
      <c r="X5" s="791" t="s">
        <v>22</v>
      </c>
      <c r="Y5" s="797" t="s">
        <v>421</v>
      </c>
      <c r="Z5" s="794" t="s">
        <v>24</v>
      </c>
      <c r="AA5" s="800" t="s">
        <v>25</v>
      </c>
      <c r="AB5" s="801" t="s">
        <v>56</v>
      </c>
      <c r="AC5" s="752" t="s">
        <v>27</v>
      </c>
      <c r="AD5" s="817" t="s">
        <v>422</v>
      </c>
      <c r="AE5" s="795"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806"/>
      <c r="H6" s="808"/>
      <c r="I6" s="808"/>
      <c r="J6" s="810"/>
      <c r="K6" s="812"/>
      <c r="L6" s="815"/>
      <c r="M6" s="815"/>
      <c r="N6" s="815"/>
      <c r="O6" s="674"/>
      <c r="P6" s="674"/>
      <c r="Q6" s="674"/>
      <c r="R6" s="674"/>
      <c r="S6" s="674"/>
      <c r="T6" s="674"/>
      <c r="U6" s="674"/>
      <c r="V6" s="674"/>
      <c r="W6" s="674"/>
      <c r="X6" s="791"/>
      <c r="Y6" s="798"/>
      <c r="Z6" s="794"/>
      <c r="AA6" s="752"/>
      <c r="AB6" s="801"/>
      <c r="AC6" s="752"/>
      <c r="AD6" s="689"/>
      <c r="AE6" s="796"/>
      <c r="AF6" s="41" t="s">
        <v>425</v>
      </c>
      <c r="AH6" s="3"/>
      <c r="AI6" s="3"/>
      <c r="AJ6" s="3"/>
      <c r="AK6" s="3"/>
      <c r="AL6" s="3"/>
      <c r="AM6" s="3"/>
      <c r="AN6" s="51"/>
      <c r="AO6" s="51"/>
      <c r="AP6" s="51"/>
      <c r="AQ6" s="51"/>
      <c r="AR6" s="51"/>
      <c r="AS6" s="51"/>
      <c r="AT6" s="51"/>
      <c r="AU6" s="3"/>
      <c r="AV6" s="51"/>
      <c r="AW6" s="3"/>
      <c r="AX6" s="3"/>
    </row>
    <row r="7" spans="1:50" ht="13.5" customHeight="1" thickBot="1">
      <c r="A7" s="683"/>
      <c r="B7" s="686"/>
      <c r="C7" s="686"/>
      <c r="D7" s="689"/>
      <c r="E7" s="689"/>
      <c r="F7" s="689"/>
      <c r="G7" s="806"/>
      <c r="H7" s="808"/>
      <c r="I7" s="808"/>
      <c r="J7" s="810"/>
      <c r="K7" s="813"/>
      <c r="L7" s="816"/>
      <c r="M7" s="816"/>
      <c r="N7" s="816"/>
      <c r="O7" s="675"/>
      <c r="P7" s="675"/>
      <c r="Q7" s="675"/>
      <c r="R7" s="675"/>
      <c r="S7" s="675"/>
      <c r="T7" s="675"/>
      <c r="U7" s="675"/>
      <c r="V7" s="675"/>
      <c r="W7" s="675"/>
      <c r="X7" s="792"/>
      <c r="Y7" s="799"/>
      <c r="Z7" s="794"/>
      <c r="AA7" s="752"/>
      <c r="AB7" s="801"/>
      <c r="AC7" s="753"/>
      <c r="AD7" s="690"/>
      <c r="AE7" s="796"/>
      <c r="AF7" s="42" t="s">
        <v>426</v>
      </c>
      <c r="AH7" s="3"/>
      <c r="AI7" s="3"/>
      <c r="AJ7" s="3"/>
      <c r="AK7" s="3"/>
      <c r="AL7" s="3"/>
      <c r="AM7" s="3"/>
      <c r="AN7" s="3"/>
      <c r="AO7" s="3"/>
      <c r="AP7" s="3"/>
      <c r="AQ7" s="3"/>
      <c r="AR7" s="3"/>
      <c r="AS7" s="3"/>
      <c r="AT7" s="3"/>
      <c r="AU7" s="3"/>
      <c r="AV7" s="3"/>
      <c r="AW7" s="3"/>
      <c r="AX7" s="3"/>
    </row>
    <row r="8" spans="1:50" ht="14.25" customHeight="1" thickTop="1">
      <c r="A8" s="108">
        <f>[5]October_2026!$C8</f>
        <v>1</v>
      </c>
      <c r="B8" s="608">
        <f>[5]October_2026!$B8</f>
        <v>46296</v>
      </c>
      <c r="C8" s="109" t="str">
        <f>[5]October_2026!$D8</f>
        <v>STAR MALT</v>
      </c>
      <c r="D8" s="601"/>
      <c r="E8" s="104"/>
      <c r="F8" s="105"/>
      <c r="G8" s="106"/>
      <c r="H8" s="107"/>
      <c r="I8" s="107"/>
      <c r="J8" s="114"/>
      <c r="K8" s="71"/>
      <c r="L8" s="71"/>
      <c r="M8" s="71"/>
      <c r="N8" s="71"/>
      <c r="O8" s="71">
        <f>'Uncaser Downtime Detail '!AG554</f>
        <v>0</v>
      </c>
      <c r="P8" s="71">
        <f>'Washer Downtime Detail'!BH561</f>
        <v>4</v>
      </c>
      <c r="Q8" s="71">
        <f>'EBI Downtime Detail'!AI558</f>
        <v>4</v>
      </c>
      <c r="R8" s="71">
        <f>'Filler Downtime Detail'!AK553</f>
        <v>0</v>
      </c>
      <c r="S8" s="71">
        <f>'Pasteurizer Downtime Detail'!Z530</f>
        <v>0</v>
      </c>
      <c r="T8" s="71">
        <f>'Labeler Downtime Detail'!AN528</f>
        <v>0</v>
      </c>
      <c r="U8" s="71">
        <f>'Videojet Downtime Detail '!O546</f>
        <v>0</v>
      </c>
      <c r="V8" s="71">
        <f>'Conveyor Downtime (new)'!AV556</f>
        <v>4</v>
      </c>
      <c r="W8" s="71">
        <f>'Packer Downtime Detail  '!AD539</f>
        <v>0</v>
      </c>
      <c r="X8" s="71">
        <f>'Carton Errector-sealer Detail'!P540</f>
        <v>0</v>
      </c>
      <c r="Y8" s="71"/>
      <c r="Z8" s="117">
        <f>15</f>
        <v>15</v>
      </c>
      <c r="AA8" s="117"/>
      <c r="AB8" s="117"/>
      <c r="AC8" s="71"/>
      <c r="AD8" s="118">
        <f>SUM(H8:AC8)</f>
        <v>27</v>
      </c>
      <c r="AE8" s="513"/>
      <c r="AH8" s="3"/>
      <c r="AI8" s="23"/>
      <c r="AJ8" s="23"/>
      <c r="AK8" s="54"/>
      <c r="AL8" s="3"/>
      <c r="AM8" s="3"/>
      <c r="AN8" s="3"/>
      <c r="AO8" s="3"/>
      <c r="AP8" s="3"/>
      <c r="AQ8" s="3"/>
      <c r="AR8" s="3"/>
      <c r="AS8" s="3"/>
      <c r="AT8" s="3"/>
      <c r="AU8" s="3"/>
      <c r="AV8" s="3"/>
      <c r="AW8" s="3"/>
      <c r="AX8" s="3"/>
    </row>
    <row r="9" spans="1:50" ht="16.5">
      <c r="A9" s="108">
        <f>[5]October_2026!$C9</f>
        <v>0</v>
      </c>
      <c r="B9" s="608">
        <f>[5]October_2026!$B9</f>
        <v>0</v>
      </c>
      <c r="C9" s="109">
        <f>[5]October_2026!$D9</f>
        <v>0</v>
      </c>
      <c r="D9" s="514"/>
      <c r="E9" s="111"/>
      <c r="F9" s="112"/>
      <c r="G9" s="113"/>
      <c r="H9" s="34"/>
      <c r="I9" s="34"/>
      <c r="J9" s="115"/>
      <c r="K9" s="34"/>
      <c r="L9" s="34"/>
      <c r="M9" s="34"/>
      <c r="N9" s="34"/>
      <c r="O9" s="34">
        <f>'Uncaser Downtime Detail '!AG555</f>
        <v>0</v>
      </c>
      <c r="P9" s="34">
        <f>'Washer Downtime Detail'!BH562</f>
        <v>0</v>
      </c>
      <c r="Q9" s="34">
        <f>'EBI Downtime Detail'!AI559</f>
        <v>0</v>
      </c>
      <c r="R9" s="34">
        <f>'Filler Downtime Detail'!AK554</f>
        <v>0</v>
      </c>
      <c r="S9" s="34">
        <f>'Pasteurizer Downtime Detail'!Z531</f>
        <v>0</v>
      </c>
      <c r="T9" s="34">
        <f>'Labeler Downtime Detail'!AN529</f>
        <v>0</v>
      </c>
      <c r="U9" s="34">
        <f>'Videojet Downtime Detail '!O547</f>
        <v>0</v>
      </c>
      <c r="V9" s="34">
        <f>'Conveyor Downtime (new)'!AV557</f>
        <v>0</v>
      </c>
      <c r="W9" s="34">
        <f>'Packer Downtime Detail  '!AD540</f>
        <v>0</v>
      </c>
      <c r="X9" s="34">
        <f>'Carton Errector-sealer Detail'!P541</f>
        <v>0</v>
      </c>
      <c r="Y9" s="34"/>
      <c r="Z9" s="120"/>
      <c r="AA9" s="120"/>
      <c r="AB9" s="120"/>
      <c r="AC9" s="34"/>
      <c r="AD9" s="118">
        <f>SUM(H9:AC9)</f>
        <v>0</v>
      </c>
      <c r="AE9" s="513"/>
      <c r="AH9" s="3"/>
      <c r="AI9" s="23"/>
      <c r="AJ9" s="23"/>
      <c r="AK9" s="54"/>
      <c r="AL9" s="3"/>
      <c r="AM9" s="3"/>
      <c r="AN9" s="3"/>
      <c r="AO9" s="3"/>
      <c r="AP9" s="3"/>
      <c r="AQ9" s="3"/>
      <c r="AR9" s="3"/>
      <c r="AS9" s="3"/>
      <c r="AT9" s="3"/>
      <c r="AU9" s="3"/>
      <c r="AV9" s="3"/>
      <c r="AW9" s="3"/>
      <c r="AX9" s="3"/>
    </row>
    <row r="10" spans="1:50" ht="16.5">
      <c r="A10" s="108">
        <f>[5]October_2026!$C10</f>
        <v>0</v>
      </c>
      <c r="B10" s="608">
        <f>[5]October_2026!$B10</f>
        <v>0</v>
      </c>
      <c r="C10" s="109">
        <f>[5]October_2026!$D10</f>
        <v>0</v>
      </c>
      <c r="D10" s="514"/>
      <c r="E10" s="111"/>
      <c r="F10" s="112"/>
      <c r="G10" s="113"/>
      <c r="H10" s="71"/>
      <c r="I10" s="71"/>
      <c r="J10" s="88"/>
      <c r="K10" s="71"/>
      <c r="L10" s="71"/>
      <c r="M10" s="71"/>
      <c r="N10" s="71"/>
      <c r="O10" s="71">
        <f>'Uncaser Downtime Detail '!AG556</f>
        <v>0</v>
      </c>
      <c r="P10" s="71">
        <f>'Washer Downtime Detail'!BH563</f>
        <v>0</v>
      </c>
      <c r="Q10" s="71">
        <f>'EBI Downtime Detail'!AI560</f>
        <v>0</v>
      </c>
      <c r="R10" s="71">
        <f>'Filler Downtime Detail'!AK555</f>
        <v>0</v>
      </c>
      <c r="S10" s="71">
        <f>'Pasteurizer Downtime Detail'!Z532</f>
        <v>0</v>
      </c>
      <c r="T10" s="71">
        <f>'Labeler Downtime Detail'!AN530</f>
        <v>0</v>
      </c>
      <c r="U10" s="71">
        <f>'Videojet Downtime Detail '!O548</f>
        <v>0</v>
      </c>
      <c r="V10" s="71">
        <f>'Conveyor Downtime (new)'!AV558</f>
        <v>0</v>
      </c>
      <c r="W10" s="71">
        <f>'Packer Downtime Detail  '!AD541</f>
        <v>0</v>
      </c>
      <c r="X10" s="71">
        <f>'Carton Errector-sealer Detail'!P542</f>
        <v>0</v>
      </c>
      <c r="Y10" s="71"/>
      <c r="Z10" s="122"/>
      <c r="AA10" s="122"/>
      <c r="AB10" s="122"/>
      <c r="AC10" s="71"/>
      <c r="AD10" s="118">
        <f t="shared" ref="AD10:AD70" si="0">SUM(H10:AC10)</f>
        <v>0</v>
      </c>
      <c r="AE10" s="513"/>
      <c r="AH10" s="3"/>
      <c r="AI10" s="23"/>
      <c r="AJ10" s="23"/>
      <c r="AK10" s="54"/>
      <c r="AL10" s="3"/>
      <c r="AM10" s="3"/>
      <c r="AN10" s="3"/>
      <c r="AO10" s="3"/>
      <c r="AP10" s="3"/>
      <c r="AQ10" s="3"/>
      <c r="AR10" s="3"/>
      <c r="AS10" s="3"/>
      <c r="AT10" s="3"/>
      <c r="AU10" s="3"/>
      <c r="AV10" s="3"/>
      <c r="AW10" s="3"/>
      <c r="AX10" s="3"/>
    </row>
    <row r="11" spans="1:50" ht="16.5">
      <c r="A11" s="108"/>
      <c r="B11" s="8"/>
      <c r="C11" s="109"/>
      <c r="D11" s="514"/>
      <c r="E11" s="111"/>
      <c r="F11" s="112"/>
      <c r="G11" s="113"/>
      <c r="H11" s="34"/>
      <c r="I11" s="34"/>
      <c r="J11" s="115"/>
      <c r="K11" s="34"/>
      <c r="L11" s="34"/>
      <c r="M11" s="34"/>
      <c r="N11" s="34"/>
      <c r="O11" s="34">
        <f>'Uncaser Downtime Detail '!AG557</f>
        <v>0</v>
      </c>
      <c r="P11" s="34">
        <f>'Washer Downtime Detail'!BH564</f>
        <v>0</v>
      </c>
      <c r="Q11" s="34">
        <f>'EBI Downtime Detail'!AI561</f>
        <v>0</v>
      </c>
      <c r="R11" s="34">
        <f>'Filler Downtime Detail'!AK556</f>
        <v>0</v>
      </c>
      <c r="S11" s="34">
        <f>'Pasteurizer Downtime Detail'!Z533</f>
        <v>0</v>
      </c>
      <c r="T11" s="34">
        <f>'Labeler Downtime Detail'!AN531</f>
        <v>0</v>
      </c>
      <c r="U11" s="34">
        <f>'Videojet Downtime Detail '!O549</f>
        <v>0</v>
      </c>
      <c r="V11" s="34">
        <f>'Conveyor Downtime (new)'!AV559</f>
        <v>0</v>
      </c>
      <c r="W11" s="34">
        <f>'Packer Downtime Detail  '!AD542</f>
        <v>0</v>
      </c>
      <c r="X11" s="34">
        <f>'Carton Errector-sealer Detail'!P543</f>
        <v>0</v>
      </c>
      <c r="Y11" s="34"/>
      <c r="Z11" s="120"/>
      <c r="AA11" s="120"/>
      <c r="AB11" s="120"/>
      <c r="AC11" s="34"/>
      <c r="AD11" s="118">
        <f t="shared" si="0"/>
        <v>0</v>
      </c>
      <c r="AE11" s="513">
        <f>G13-D11</f>
        <v>0</v>
      </c>
      <c r="AH11" s="3"/>
      <c r="AI11" s="23"/>
      <c r="AJ11" s="23"/>
      <c r="AK11" s="54"/>
      <c r="AL11" s="3"/>
      <c r="AM11" s="3"/>
      <c r="AN11" s="3"/>
      <c r="AO11" s="3"/>
      <c r="AP11" s="3"/>
      <c r="AQ11" s="3"/>
      <c r="AR11" s="3"/>
      <c r="AS11" s="3"/>
      <c r="AT11" s="3"/>
      <c r="AU11" s="3"/>
      <c r="AV11" s="3"/>
      <c r="AW11" s="3"/>
      <c r="AX11" s="3"/>
    </row>
    <row r="12" spans="1:50" ht="16.5">
      <c r="A12" s="108"/>
      <c r="B12" s="8"/>
      <c r="C12" s="109"/>
      <c r="D12" s="514"/>
      <c r="E12" s="111"/>
      <c r="F12" s="112"/>
      <c r="G12" s="113"/>
      <c r="H12" s="71"/>
      <c r="I12" s="71"/>
      <c r="J12" s="88"/>
      <c r="K12" s="71"/>
      <c r="L12" s="71"/>
      <c r="M12" s="71"/>
      <c r="N12" s="71"/>
      <c r="O12" s="71">
        <f>'Uncaser Downtime Detail '!AG558</f>
        <v>0</v>
      </c>
      <c r="P12" s="71">
        <f>'Washer Downtime Detail'!BH565</f>
        <v>0</v>
      </c>
      <c r="Q12" s="71">
        <f>'EBI Downtime Detail'!AI562</f>
        <v>0</v>
      </c>
      <c r="R12" s="71">
        <f>'Filler Downtime Detail'!AK557</f>
        <v>0</v>
      </c>
      <c r="S12" s="71">
        <f>'Pasteurizer Downtime Detail'!Z534</f>
        <v>0</v>
      </c>
      <c r="T12" s="71">
        <f>'Labeler Downtime Detail'!AN532</f>
        <v>0</v>
      </c>
      <c r="U12" s="71">
        <f>'Videojet Downtime Detail '!O550</f>
        <v>0</v>
      </c>
      <c r="V12" s="71">
        <f>'Conveyor Downtime (new)'!AV560</f>
        <v>0</v>
      </c>
      <c r="W12" s="71">
        <f>'Packer Downtime Detail  '!AD543</f>
        <v>0</v>
      </c>
      <c r="X12" s="71">
        <f>'Carton Errector-sealer Detail'!P544</f>
        <v>0</v>
      </c>
      <c r="Y12" s="71"/>
      <c r="Z12" s="122"/>
      <c r="AA12" s="122"/>
      <c r="AB12" s="122"/>
      <c r="AC12" s="71"/>
      <c r="AD12" s="118">
        <f t="shared" si="0"/>
        <v>0</v>
      </c>
      <c r="AE12" s="513"/>
      <c r="AH12" s="3"/>
      <c r="AI12" s="23"/>
      <c r="AJ12" s="23"/>
      <c r="AK12" s="54"/>
      <c r="AL12" s="3"/>
      <c r="AM12" s="3"/>
      <c r="AN12" s="3"/>
      <c r="AO12" s="3"/>
      <c r="AP12" s="3"/>
      <c r="AQ12" s="3"/>
      <c r="AR12" s="3"/>
      <c r="AS12" s="3"/>
      <c r="AT12" s="3"/>
      <c r="AU12" s="3"/>
      <c r="AV12" s="3"/>
      <c r="AW12" s="3"/>
      <c r="AX12" s="3"/>
    </row>
    <row r="13" spans="1:50" ht="16.5">
      <c r="A13" s="108"/>
      <c r="B13" s="8"/>
      <c r="C13" s="109"/>
      <c r="D13" s="514"/>
      <c r="E13" s="111"/>
      <c r="F13" s="112"/>
      <c r="G13" s="113"/>
      <c r="H13" s="34"/>
      <c r="I13" s="34"/>
      <c r="J13" s="115"/>
      <c r="K13" s="34"/>
      <c r="L13" s="34"/>
      <c r="M13" s="34"/>
      <c r="N13" s="34"/>
      <c r="O13" s="34">
        <f>'Uncaser Downtime Detail '!AG559</f>
        <v>0</v>
      </c>
      <c r="P13" s="34">
        <f>'Washer Downtime Detail'!BH566</f>
        <v>0</v>
      </c>
      <c r="Q13" s="34">
        <f>'EBI Downtime Detail'!AI563</f>
        <v>0</v>
      </c>
      <c r="R13" s="34">
        <f>'Filler Downtime Detail'!AK558</f>
        <v>0</v>
      </c>
      <c r="S13" s="34">
        <f>'Pasteurizer Downtime Detail'!Z535</f>
        <v>0</v>
      </c>
      <c r="T13" s="34">
        <f>'Labeler Downtime Detail'!AN533</f>
        <v>0</v>
      </c>
      <c r="U13" s="34">
        <f>'Videojet Downtime Detail '!O551</f>
        <v>0</v>
      </c>
      <c r="V13" s="34">
        <f>'Conveyor Downtime (new)'!AV561</f>
        <v>0</v>
      </c>
      <c r="W13" s="34">
        <f>'Packer Downtime Detail  '!AD544</f>
        <v>0</v>
      </c>
      <c r="X13" s="34">
        <f>'Carton Errector-sealer Detail'!P545</f>
        <v>0</v>
      </c>
      <c r="Y13" s="34"/>
      <c r="Z13" s="120"/>
      <c r="AA13" s="120"/>
      <c r="AB13" s="120"/>
      <c r="AC13" s="34"/>
      <c r="AD13" s="118">
        <f t="shared" si="0"/>
        <v>0</v>
      </c>
      <c r="AE13" s="513"/>
      <c r="AH13" s="3"/>
      <c r="AI13" s="23"/>
      <c r="AJ13" s="23"/>
      <c r="AK13" s="54"/>
      <c r="AL13" s="3"/>
      <c r="AM13" s="3"/>
      <c r="AN13" s="3"/>
      <c r="AO13" s="3"/>
      <c r="AP13" s="3"/>
      <c r="AQ13" s="3"/>
      <c r="AR13" s="3"/>
      <c r="AS13" s="3"/>
      <c r="AT13" s="3"/>
      <c r="AU13" s="3"/>
      <c r="AV13" s="3"/>
      <c r="AW13" s="3"/>
      <c r="AX13" s="3"/>
    </row>
    <row r="14" spans="1:50" ht="16.5">
      <c r="A14" s="108"/>
      <c r="B14" s="8"/>
      <c r="C14" s="109"/>
      <c r="D14" s="514"/>
      <c r="E14" s="111"/>
      <c r="F14" s="112"/>
      <c r="G14" s="113"/>
      <c r="H14" s="71"/>
      <c r="I14" s="71"/>
      <c r="J14" s="88"/>
      <c r="K14" s="71"/>
      <c r="L14" s="71"/>
      <c r="M14" s="71"/>
      <c r="N14" s="71"/>
      <c r="O14" s="71">
        <f>'Uncaser Downtime Detail '!AG560</f>
        <v>0</v>
      </c>
      <c r="P14" s="71">
        <f>'Washer Downtime Detail'!BH567</f>
        <v>0</v>
      </c>
      <c r="Q14" s="71">
        <f>'EBI Downtime Detail'!AI564</f>
        <v>0</v>
      </c>
      <c r="R14" s="71">
        <f>'Filler Downtime Detail'!AK559</f>
        <v>0</v>
      </c>
      <c r="S14" s="71">
        <f>'Pasteurizer Downtime Detail'!Z536</f>
        <v>0</v>
      </c>
      <c r="T14" s="71">
        <f>'Labeler Downtime Detail'!AN534</f>
        <v>0</v>
      </c>
      <c r="U14" s="71">
        <f>'Videojet Downtime Detail '!O552</f>
        <v>0</v>
      </c>
      <c r="V14" s="71">
        <f>'Conveyor Downtime (new)'!AV562</f>
        <v>0</v>
      </c>
      <c r="W14" s="71">
        <f>'Packer Downtime Detail  '!AD545</f>
        <v>0</v>
      </c>
      <c r="X14" s="71">
        <f>'Carton Errector-sealer Detail'!P546</f>
        <v>0</v>
      </c>
      <c r="Y14" s="71"/>
      <c r="Z14" s="122"/>
      <c r="AA14" s="122"/>
      <c r="AB14" s="122"/>
      <c r="AC14" s="71"/>
      <c r="AD14" s="118">
        <f t="shared" si="0"/>
        <v>0</v>
      </c>
      <c r="AE14" s="513">
        <f>G16-D14</f>
        <v>0</v>
      </c>
      <c r="AH14" s="3"/>
      <c r="AI14" s="23"/>
      <c r="AJ14" s="23"/>
      <c r="AK14" s="54"/>
      <c r="AL14" s="3"/>
      <c r="AM14" s="3"/>
      <c r="AN14" s="3"/>
      <c r="AO14" s="3"/>
      <c r="AP14" s="3"/>
      <c r="AQ14" s="3"/>
      <c r="AR14" s="3"/>
      <c r="AS14" s="3"/>
      <c r="AT14" s="3"/>
      <c r="AU14" s="3"/>
      <c r="AV14" s="3"/>
      <c r="AW14" s="3"/>
      <c r="AX14" s="3"/>
    </row>
    <row r="15" spans="1:50" ht="16.5">
      <c r="A15" s="108"/>
      <c r="B15" s="8"/>
      <c r="C15" s="109"/>
      <c r="D15" s="514"/>
      <c r="E15" s="111"/>
      <c r="F15" s="112"/>
      <c r="G15" s="113"/>
      <c r="H15" s="34"/>
      <c r="I15" s="34"/>
      <c r="J15" s="115"/>
      <c r="K15" s="34"/>
      <c r="L15" s="34"/>
      <c r="M15" s="34"/>
      <c r="N15" s="34"/>
      <c r="O15" s="34">
        <f>'Uncaser Downtime Detail '!AG561</f>
        <v>0</v>
      </c>
      <c r="P15" s="34">
        <f>'Washer Downtime Detail'!BH568</f>
        <v>0</v>
      </c>
      <c r="Q15" s="34">
        <f>'EBI Downtime Detail'!AI565</f>
        <v>0</v>
      </c>
      <c r="R15" s="34">
        <f>'Filler Downtime Detail'!AK560</f>
        <v>0</v>
      </c>
      <c r="S15" s="34">
        <f>'Pasteurizer Downtime Detail'!Z537</f>
        <v>0</v>
      </c>
      <c r="T15" s="34">
        <f>'Labeler Downtime Detail'!AN535</f>
        <v>0</v>
      </c>
      <c r="U15" s="34">
        <f>'Videojet Downtime Detail '!O553</f>
        <v>0</v>
      </c>
      <c r="V15" s="34">
        <f>'Conveyor Downtime (new)'!AV563</f>
        <v>0</v>
      </c>
      <c r="W15" s="34">
        <f>'Packer Downtime Detail  '!AD546</f>
        <v>0</v>
      </c>
      <c r="X15" s="34">
        <f>'Carton Errector-sealer Detail'!P547</f>
        <v>0</v>
      </c>
      <c r="Y15" s="34"/>
      <c r="Z15" s="120"/>
      <c r="AA15" s="120"/>
      <c r="AB15" s="120"/>
      <c r="AC15" s="34"/>
      <c r="AD15" s="118">
        <f t="shared" si="0"/>
        <v>0</v>
      </c>
      <c r="AE15" s="513"/>
      <c r="AH15" s="3"/>
      <c r="AI15" s="23"/>
      <c r="AJ15" s="23"/>
      <c r="AK15" s="54"/>
      <c r="AL15" s="3"/>
      <c r="AM15" s="3"/>
      <c r="AN15" s="3"/>
      <c r="AO15" s="3"/>
      <c r="AP15" s="3"/>
      <c r="AQ15" s="3"/>
      <c r="AR15" s="3"/>
      <c r="AS15" s="3"/>
      <c r="AT15" s="3"/>
      <c r="AU15" s="3"/>
      <c r="AV15" s="3"/>
      <c r="AW15" s="3"/>
      <c r="AX15" s="3"/>
    </row>
    <row r="16" spans="1:50" ht="16.5">
      <c r="A16" s="108"/>
      <c r="B16" s="8"/>
      <c r="C16" s="109"/>
      <c r="D16" s="514"/>
      <c r="E16" s="111"/>
      <c r="F16" s="112"/>
      <c r="G16" s="113"/>
      <c r="H16" s="71"/>
      <c r="I16" s="71"/>
      <c r="J16" s="88"/>
      <c r="K16" s="71"/>
      <c r="L16" s="71"/>
      <c r="M16" s="71"/>
      <c r="N16" s="71"/>
      <c r="O16" s="71">
        <f>'Uncaser Downtime Detail '!AG562</f>
        <v>0</v>
      </c>
      <c r="P16" s="71">
        <f>'Washer Downtime Detail'!BH569</f>
        <v>0</v>
      </c>
      <c r="Q16" s="71">
        <f>'EBI Downtime Detail'!AI566</f>
        <v>0</v>
      </c>
      <c r="R16" s="71">
        <f>'Filler Downtime Detail'!AK561</f>
        <v>0</v>
      </c>
      <c r="S16" s="71">
        <f>'Pasteurizer Downtime Detail'!Z538</f>
        <v>0</v>
      </c>
      <c r="T16" s="71">
        <f>'Labeler Downtime Detail'!AN536</f>
        <v>0</v>
      </c>
      <c r="U16" s="71">
        <f>'Videojet Downtime Detail '!O554</f>
        <v>0</v>
      </c>
      <c r="V16" s="71">
        <f>'Conveyor Downtime (new)'!AV564</f>
        <v>0</v>
      </c>
      <c r="W16" s="71">
        <f>'Packer Downtime Detail  '!AD547</f>
        <v>0</v>
      </c>
      <c r="X16" s="71">
        <f>'Carton Errector-sealer Detail'!P548</f>
        <v>0</v>
      </c>
      <c r="Y16" s="71"/>
      <c r="Z16" s="122"/>
      <c r="AA16" s="122"/>
      <c r="AB16" s="122"/>
      <c r="AC16" s="71"/>
      <c r="AD16" s="118">
        <f t="shared" si="0"/>
        <v>0</v>
      </c>
      <c r="AE16" s="513"/>
      <c r="AH16" s="3"/>
      <c r="AI16" s="23"/>
      <c r="AJ16" s="23"/>
      <c r="AK16" s="54"/>
      <c r="AL16" s="3"/>
      <c r="AM16" s="3"/>
      <c r="AN16" s="3"/>
      <c r="AO16" s="3"/>
      <c r="AP16" s="3"/>
      <c r="AQ16" s="3"/>
      <c r="AR16" s="3"/>
      <c r="AS16" s="3"/>
      <c r="AT16" s="3"/>
      <c r="AU16" s="3"/>
      <c r="AV16" s="3"/>
      <c r="AW16" s="3"/>
      <c r="AX16" s="3"/>
    </row>
    <row r="17" spans="1:50" ht="16.5">
      <c r="A17" s="108"/>
      <c r="B17" s="8"/>
      <c r="C17" s="109"/>
      <c r="D17" s="514"/>
      <c r="E17" s="111"/>
      <c r="F17" s="112"/>
      <c r="G17" s="113"/>
      <c r="H17" s="34"/>
      <c r="I17" s="34"/>
      <c r="J17" s="115"/>
      <c r="K17" s="34"/>
      <c r="L17" s="34"/>
      <c r="M17" s="34"/>
      <c r="N17" s="34"/>
      <c r="O17" s="34">
        <f>'Uncaser Downtime Detail '!AG563</f>
        <v>0</v>
      </c>
      <c r="P17" s="34">
        <f>'Washer Downtime Detail'!BH570</f>
        <v>0</v>
      </c>
      <c r="Q17" s="34">
        <f>'EBI Downtime Detail'!AI567</f>
        <v>0</v>
      </c>
      <c r="R17" s="34">
        <f>'Filler Downtime Detail'!AK562</f>
        <v>0</v>
      </c>
      <c r="S17" s="34">
        <f>'Pasteurizer Downtime Detail'!Z539</f>
        <v>0</v>
      </c>
      <c r="T17" s="34">
        <f>'Labeler Downtime Detail'!AN537</f>
        <v>0</v>
      </c>
      <c r="U17" s="34">
        <f>'Videojet Downtime Detail '!O555</f>
        <v>0</v>
      </c>
      <c r="V17" s="34">
        <f>'Conveyor Downtime (new)'!AV565</f>
        <v>0</v>
      </c>
      <c r="W17" s="34">
        <f>'Packer Downtime Detail  '!AD548</f>
        <v>0</v>
      </c>
      <c r="X17" s="34">
        <f>'Carton Errector-sealer Detail'!P549</f>
        <v>0</v>
      </c>
      <c r="Y17" s="34"/>
      <c r="Z17" s="120"/>
      <c r="AA17" s="120"/>
      <c r="AB17" s="120"/>
      <c r="AC17" s="34"/>
      <c r="AD17" s="118">
        <f t="shared" si="0"/>
        <v>0</v>
      </c>
      <c r="AE17" s="513">
        <f>G18-D17</f>
        <v>0</v>
      </c>
      <c r="AH17" s="3"/>
      <c r="AI17" s="23"/>
      <c r="AJ17" s="23"/>
      <c r="AK17" s="54"/>
      <c r="AL17" s="3"/>
      <c r="AM17" s="3"/>
      <c r="AN17" s="3"/>
      <c r="AO17" s="3"/>
      <c r="AP17" s="3"/>
      <c r="AQ17" s="3"/>
      <c r="AR17" s="3"/>
      <c r="AS17" s="3"/>
      <c r="AT17" s="3"/>
      <c r="AU17" s="3"/>
      <c r="AV17" s="3"/>
      <c r="AW17" s="3"/>
      <c r="AX17" s="3"/>
    </row>
    <row r="18" spans="1:50" ht="16.5">
      <c r="A18" s="108"/>
      <c r="B18" s="8"/>
      <c r="C18" s="109"/>
      <c r="D18" s="514"/>
      <c r="E18" s="111"/>
      <c r="F18" s="112"/>
      <c r="G18" s="113"/>
      <c r="H18" s="71"/>
      <c r="I18" s="71"/>
      <c r="J18" s="88"/>
      <c r="K18" s="71"/>
      <c r="L18" s="71"/>
      <c r="M18" s="71"/>
      <c r="N18" s="71"/>
      <c r="O18" s="71">
        <f>'Uncaser Downtime Detail '!AG564</f>
        <v>0</v>
      </c>
      <c r="P18" s="71">
        <f>'Washer Downtime Detail'!BH571</f>
        <v>0</v>
      </c>
      <c r="Q18" s="71">
        <f>'EBI Downtime Detail'!AI568</f>
        <v>0</v>
      </c>
      <c r="R18" s="71">
        <f>'Filler Downtime Detail'!AK563</f>
        <v>0</v>
      </c>
      <c r="S18" s="71">
        <f>'Pasteurizer Downtime Detail'!Z540</f>
        <v>0</v>
      </c>
      <c r="T18" s="71">
        <f>'Labeler Downtime Detail'!AN538</f>
        <v>0</v>
      </c>
      <c r="U18" s="71">
        <f>'Videojet Downtime Detail '!O556</f>
        <v>0</v>
      </c>
      <c r="V18" s="71">
        <f>'Conveyor Downtime (new)'!AV566</f>
        <v>0</v>
      </c>
      <c r="W18" s="71">
        <f>'Packer Downtime Detail  '!AD549</f>
        <v>0</v>
      </c>
      <c r="X18" s="71">
        <f>'Carton Errector-sealer Detail'!P550</f>
        <v>0</v>
      </c>
      <c r="Y18" s="71"/>
      <c r="Z18" s="122"/>
      <c r="AA18" s="122"/>
      <c r="AB18" s="122"/>
      <c r="AC18" s="71"/>
      <c r="AD18" s="118">
        <f t="shared" si="0"/>
        <v>0</v>
      </c>
      <c r="AE18" s="513"/>
      <c r="AH18" s="3"/>
      <c r="AI18" s="23"/>
      <c r="AJ18" s="23"/>
      <c r="AK18" s="54"/>
      <c r="AL18" s="3"/>
      <c r="AM18" s="3"/>
      <c r="AN18" s="3"/>
      <c r="AO18" s="3"/>
      <c r="AP18" s="3"/>
      <c r="AQ18" s="3"/>
      <c r="AR18" s="3"/>
      <c r="AS18" s="3"/>
      <c r="AT18" s="3"/>
      <c r="AU18" s="3"/>
      <c r="AV18" s="3"/>
      <c r="AW18" s="3"/>
      <c r="AX18" s="3"/>
    </row>
    <row r="19" spans="1:50" ht="19.5" customHeight="1">
      <c r="A19" s="108"/>
      <c r="B19" s="8"/>
      <c r="C19" s="109"/>
      <c r="D19" s="514"/>
      <c r="E19" s="111"/>
      <c r="F19" s="112"/>
      <c r="G19" s="113"/>
      <c r="H19" s="34"/>
      <c r="I19" s="34"/>
      <c r="J19" s="115"/>
      <c r="K19" s="34"/>
      <c r="L19" s="34"/>
      <c r="M19" s="34"/>
      <c r="N19" s="34"/>
      <c r="O19" s="34">
        <f>'Uncaser Downtime Detail '!AG565</f>
        <v>0</v>
      </c>
      <c r="P19" s="34">
        <f>'Washer Downtime Detail'!BH572</f>
        <v>0</v>
      </c>
      <c r="Q19" s="34">
        <f>'EBI Downtime Detail'!AI569</f>
        <v>0</v>
      </c>
      <c r="R19" s="34"/>
      <c r="S19" s="34">
        <f>'Pasteurizer Downtime Detail'!Z541</f>
        <v>0</v>
      </c>
      <c r="T19" s="34">
        <f>'Labeler Downtime Detail'!AN539</f>
        <v>0</v>
      </c>
      <c r="U19" s="34">
        <f>'Videojet Downtime Detail '!O557</f>
        <v>0</v>
      </c>
      <c r="V19" s="34">
        <f>'Conveyor Downtime (new)'!AV567</f>
        <v>0</v>
      </c>
      <c r="W19" s="34">
        <f>'Packer Downtime Detail  '!AD550</f>
        <v>0</v>
      </c>
      <c r="X19" s="34">
        <f>'Carton Errector-sealer Detail'!P551</f>
        <v>0</v>
      </c>
      <c r="Y19" s="34"/>
      <c r="Z19" s="120"/>
      <c r="AA19" s="120"/>
      <c r="AB19" s="120"/>
      <c r="AC19" s="34"/>
      <c r="AD19" s="118">
        <f t="shared" si="0"/>
        <v>0</v>
      </c>
      <c r="AE19" s="513">
        <f>G20-D19</f>
        <v>0</v>
      </c>
      <c r="AH19" s="3"/>
      <c r="AI19" s="23"/>
      <c r="AJ19" s="23"/>
      <c r="AK19" s="54"/>
      <c r="AL19" s="3"/>
      <c r="AM19" s="3"/>
      <c r="AN19" s="3"/>
      <c r="AO19" s="3"/>
      <c r="AP19" s="3"/>
      <c r="AQ19" s="3"/>
      <c r="AR19" s="3"/>
      <c r="AS19" s="3"/>
      <c r="AT19" s="3"/>
      <c r="AU19" s="3"/>
      <c r="AV19" s="3"/>
      <c r="AW19" s="3"/>
      <c r="AX19" s="3"/>
    </row>
    <row r="20" spans="1:50" ht="16.5">
      <c r="A20" s="108"/>
      <c r="B20" s="8"/>
      <c r="C20" s="109"/>
      <c r="D20" s="514"/>
      <c r="E20" s="111"/>
      <c r="F20" s="112"/>
      <c r="G20" s="113"/>
      <c r="H20" s="71"/>
      <c r="I20" s="71"/>
      <c r="J20" s="88"/>
      <c r="K20" s="71"/>
      <c r="L20" s="71"/>
      <c r="M20" s="71"/>
      <c r="N20" s="71"/>
      <c r="O20" s="71">
        <f>'Uncaser Downtime Detail '!AG566</f>
        <v>0</v>
      </c>
      <c r="P20" s="71">
        <f>'Washer Downtime Detail'!BH573</f>
        <v>0</v>
      </c>
      <c r="Q20" s="71">
        <f>'EBI Downtime Detail'!AI570</f>
        <v>0</v>
      </c>
      <c r="R20" s="71">
        <f>'Filler Downtime Detail'!AK565</f>
        <v>0</v>
      </c>
      <c r="S20" s="71">
        <f>'Pasteurizer Downtime Detail'!Z542</f>
        <v>0</v>
      </c>
      <c r="T20" s="71">
        <f>'Labeler Downtime Detail'!AN540</f>
        <v>0</v>
      </c>
      <c r="U20" s="71">
        <f>'Videojet Downtime Detail '!O558</f>
        <v>0</v>
      </c>
      <c r="V20" s="71">
        <f>'Conveyor Downtime (new)'!AV568</f>
        <v>0</v>
      </c>
      <c r="W20" s="71">
        <f>'Packer Downtime Detail  '!AD551</f>
        <v>0</v>
      </c>
      <c r="X20" s="71">
        <f>'Carton Errector-sealer Detail'!P552</f>
        <v>0</v>
      </c>
      <c r="Y20" s="71"/>
      <c r="Z20" s="122"/>
      <c r="AA20" s="122"/>
      <c r="AB20" s="122"/>
      <c r="AC20" s="71"/>
      <c r="AD20" s="118">
        <f t="shared" si="0"/>
        <v>0</v>
      </c>
      <c r="AE20" s="513"/>
      <c r="AH20" s="3"/>
      <c r="AI20" s="23"/>
      <c r="AJ20" s="23"/>
      <c r="AK20" s="54"/>
      <c r="AL20" s="3"/>
      <c r="AM20" s="3"/>
      <c r="AN20" s="3"/>
      <c r="AO20" s="3"/>
      <c r="AP20" s="3"/>
      <c r="AQ20" s="3"/>
      <c r="AR20" s="3"/>
      <c r="AS20" s="3"/>
      <c r="AT20" s="3"/>
      <c r="AU20" s="3"/>
      <c r="AV20" s="3"/>
      <c r="AW20" s="3"/>
      <c r="AX20" s="3"/>
    </row>
    <row r="21" spans="1:50" ht="16.5">
      <c r="A21" s="108"/>
      <c r="B21" s="8"/>
      <c r="C21" s="109"/>
      <c r="D21" s="514"/>
      <c r="E21" s="111"/>
      <c r="F21" s="112"/>
      <c r="G21" s="113"/>
      <c r="H21" s="34"/>
      <c r="I21" s="34"/>
      <c r="J21" s="115"/>
      <c r="K21" s="34"/>
      <c r="L21" s="34"/>
      <c r="M21" s="34"/>
      <c r="N21" s="34"/>
      <c r="O21" s="34">
        <f>'Uncaser Downtime Detail '!AG567</f>
        <v>0</v>
      </c>
      <c r="P21" s="34">
        <f>'Washer Downtime Detail'!BH574</f>
        <v>0</v>
      </c>
      <c r="Q21" s="34">
        <f>'EBI Downtime Detail'!AI571</f>
        <v>0</v>
      </c>
      <c r="R21" s="34">
        <f>'Filler Downtime Detail'!AK566</f>
        <v>0</v>
      </c>
      <c r="S21" s="34">
        <f>'Pasteurizer Downtime Detail'!Z543</f>
        <v>0</v>
      </c>
      <c r="T21" s="34">
        <f>'Labeler Downtime Detail'!AN541</f>
        <v>0</v>
      </c>
      <c r="U21" s="34">
        <f>'Videojet Downtime Detail '!O559</f>
        <v>0</v>
      </c>
      <c r="V21" s="34">
        <f>'Conveyor Downtime (new)'!AV569</f>
        <v>0</v>
      </c>
      <c r="W21" s="34">
        <f>'Packer Downtime Detail  '!AD552</f>
        <v>0</v>
      </c>
      <c r="X21" s="34">
        <f>'Carton Errector-sealer Detail'!P553</f>
        <v>0</v>
      </c>
      <c r="Y21" s="34"/>
      <c r="Z21" s="120"/>
      <c r="AA21" s="120"/>
      <c r="AB21" s="120"/>
      <c r="AC21" s="34"/>
      <c r="AD21" s="118">
        <f t="shared" si="0"/>
        <v>0</v>
      </c>
      <c r="AE21" s="513">
        <f>G22-D21</f>
        <v>0</v>
      </c>
      <c r="AH21" s="3"/>
      <c r="AI21" s="23"/>
      <c r="AJ21" s="23"/>
      <c r="AK21" s="54"/>
      <c r="AL21" s="3"/>
      <c r="AM21" s="3"/>
      <c r="AN21" s="3"/>
      <c r="AO21" s="3"/>
      <c r="AP21" s="3"/>
      <c r="AQ21" s="3"/>
      <c r="AR21" s="3"/>
      <c r="AS21" s="3"/>
      <c r="AT21" s="3"/>
      <c r="AU21" s="3"/>
      <c r="AV21" s="3"/>
      <c r="AW21" s="3"/>
      <c r="AX21" s="3"/>
    </row>
    <row r="22" spans="1:50" ht="16.5">
      <c r="A22" s="108"/>
      <c r="B22" s="8"/>
      <c r="C22" s="109"/>
      <c r="D22" s="514"/>
      <c r="E22" s="111"/>
      <c r="F22" s="112"/>
      <c r="G22" s="113"/>
      <c r="H22" s="71"/>
      <c r="I22" s="71"/>
      <c r="J22" s="88"/>
      <c r="K22" s="71"/>
      <c r="L22" s="71"/>
      <c r="M22" s="71"/>
      <c r="N22" s="71"/>
      <c r="O22" s="71">
        <f>'Uncaser Downtime Detail '!AG568</f>
        <v>0</v>
      </c>
      <c r="P22" s="71"/>
      <c r="Q22" s="71">
        <f>'EBI Downtime Detail'!AI572</f>
        <v>0</v>
      </c>
      <c r="R22" s="71">
        <f>'Filler Downtime Detail'!AK567</f>
        <v>0</v>
      </c>
      <c r="S22" s="71">
        <f>'Pasteurizer Downtime Detail'!Z544</f>
        <v>0</v>
      </c>
      <c r="T22" s="71">
        <f>'Labeler Downtime Detail'!AN542</f>
        <v>0</v>
      </c>
      <c r="U22" s="71">
        <f>'Videojet Downtime Detail '!O560</f>
        <v>0</v>
      </c>
      <c r="V22" s="71">
        <f>'Conveyor Downtime (new)'!AV570</f>
        <v>0</v>
      </c>
      <c r="W22" s="71">
        <f>'Packer Downtime Detail  '!AD553</f>
        <v>0</v>
      </c>
      <c r="X22" s="71">
        <f>'Carton Errector-sealer Detail'!P554</f>
        <v>0</v>
      </c>
      <c r="Y22" s="71"/>
      <c r="Z22" s="122"/>
      <c r="AA22" s="122"/>
      <c r="AB22" s="122"/>
      <c r="AC22" s="71"/>
      <c r="AD22" s="118">
        <f t="shared" si="0"/>
        <v>0</v>
      </c>
      <c r="AE22" s="513"/>
      <c r="AH22" s="3"/>
      <c r="AI22" s="23"/>
      <c r="AJ22" s="23"/>
      <c r="AK22" s="54"/>
      <c r="AL22" s="3"/>
      <c r="AM22" s="3"/>
      <c r="AN22" s="3"/>
      <c r="AO22" s="3"/>
      <c r="AP22" s="3"/>
      <c r="AQ22" s="3"/>
      <c r="AR22" s="3"/>
      <c r="AS22" s="3"/>
      <c r="AT22" s="3"/>
      <c r="AU22" s="3"/>
      <c r="AV22" s="3"/>
      <c r="AW22" s="3"/>
      <c r="AX22" s="3"/>
    </row>
    <row r="23" spans="1:50" ht="16.5">
      <c r="A23" s="108"/>
      <c r="B23" s="8"/>
      <c r="C23" s="109"/>
      <c r="D23" s="514"/>
      <c r="E23" s="111"/>
      <c r="F23" s="112"/>
      <c r="G23" s="113"/>
      <c r="H23" s="34"/>
      <c r="I23" s="34"/>
      <c r="J23" s="115"/>
      <c r="K23" s="34"/>
      <c r="L23" s="34"/>
      <c r="M23" s="34"/>
      <c r="N23" s="34"/>
      <c r="O23" s="34">
        <f>'Uncaser Downtime Detail '!AG569</f>
        <v>0</v>
      </c>
      <c r="P23" s="34">
        <f>'Washer Downtime Detail'!BH576</f>
        <v>0</v>
      </c>
      <c r="Q23" s="34">
        <f>'EBI Downtime Detail'!AI573</f>
        <v>0</v>
      </c>
      <c r="R23" s="34">
        <f>'Filler Downtime Detail'!AK568</f>
        <v>0</v>
      </c>
      <c r="S23" s="34">
        <f>'Pasteurizer Downtime Detail'!Z545</f>
        <v>0</v>
      </c>
      <c r="T23" s="34">
        <f>'Labeler Downtime Detail'!AN543</f>
        <v>0</v>
      </c>
      <c r="U23" s="34">
        <f>'Videojet Downtime Detail '!O561</f>
        <v>0</v>
      </c>
      <c r="V23" s="34">
        <f>'Conveyor Downtime (new)'!AV571</f>
        <v>0</v>
      </c>
      <c r="W23" s="34">
        <f>'Packer Downtime Detail  '!AD554</f>
        <v>0</v>
      </c>
      <c r="X23" s="34">
        <f>'Carton Errector-sealer Detail'!P555</f>
        <v>0</v>
      </c>
      <c r="Y23" s="34"/>
      <c r="Z23" s="120"/>
      <c r="AA23" s="120"/>
      <c r="AB23" s="120"/>
      <c r="AC23" s="34"/>
      <c r="AD23" s="118">
        <f t="shared" si="0"/>
        <v>0</v>
      </c>
      <c r="AE23" s="513">
        <f>G24-D23</f>
        <v>0</v>
      </c>
      <c r="AH23" s="3"/>
      <c r="AI23" s="23"/>
      <c r="AJ23" s="23"/>
      <c r="AK23" s="54"/>
      <c r="AL23" s="3"/>
      <c r="AM23" s="3"/>
      <c r="AN23" s="3"/>
      <c r="AO23" s="3"/>
      <c r="AP23" s="3"/>
      <c r="AQ23" s="3"/>
      <c r="AR23" s="3"/>
      <c r="AS23" s="3"/>
      <c r="AT23" s="3"/>
      <c r="AU23" s="3"/>
      <c r="AV23" s="3"/>
      <c r="AW23" s="3"/>
      <c r="AX23" s="3"/>
    </row>
    <row r="24" spans="1:50" ht="16.5">
      <c r="A24" s="108"/>
      <c r="B24" s="8"/>
      <c r="C24" s="109"/>
      <c r="D24" s="514"/>
      <c r="E24" s="111"/>
      <c r="F24" s="112"/>
      <c r="G24" s="113"/>
      <c r="H24" s="71"/>
      <c r="I24" s="71"/>
      <c r="J24" s="88"/>
      <c r="K24" s="71"/>
      <c r="L24" s="71"/>
      <c r="M24" s="71"/>
      <c r="N24" s="71"/>
      <c r="O24" s="71">
        <f>'Uncaser Downtime Detail '!AG570</f>
        <v>0</v>
      </c>
      <c r="P24" s="71">
        <f>'Washer Downtime Detail'!BH577</f>
        <v>0</v>
      </c>
      <c r="Q24" s="71">
        <f>'EBI Downtime Detail'!AI574</f>
        <v>0</v>
      </c>
      <c r="R24" s="71">
        <f>'Filler Downtime Detail'!AK569</f>
        <v>0</v>
      </c>
      <c r="S24" s="71">
        <f>'Pasteurizer Downtime Detail'!Z546</f>
        <v>0</v>
      </c>
      <c r="T24" s="71">
        <f>'Labeler Downtime Detail'!AN544</f>
        <v>0</v>
      </c>
      <c r="U24" s="71">
        <f>'Videojet Downtime Detail '!O562</f>
        <v>0</v>
      </c>
      <c r="V24" s="71">
        <f>'Conveyor Downtime (new)'!AV572</f>
        <v>0</v>
      </c>
      <c r="W24" s="71">
        <f>'Packer Downtime Detail  '!AD555</f>
        <v>0</v>
      </c>
      <c r="X24" s="71">
        <f>'Carton Errector-sealer Detail'!P556</f>
        <v>0</v>
      </c>
      <c r="Y24" s="71"/>
      <c r="Z24" s="122"/>
      <c r="AA24" s="122"/>
      <c r="AB24" s="122"/>
      <c r="AC24" s="71"/>
      <c r="AD24" s="118">
        <f t="shared" si="0"/>
        <v>0</v>
      </c>
      <c r="AE24" s="513"/>
      <c r="AH24" s="3"/>
      <c r="AI24" s="23"/>
      <c r="AJ24" s="23"/>
      <c r="AK24" s="54"/>
      <c r="AL24" s="3"/>
      <c r="AM24" s="3"/>
      <c r="AN24" s="3"/>
      <c r="AO24" s="3"/>
      <c r="AP24" s="3"/>
      <c r="AQ24" s="3"/>
      <c r="AR24" s="3"/>
      <c r="AS24" s="3"/>
      <c r="AT24" s="3"/>
      <c r="AU24" s="3"/>
      <c r="AV24" s="3"/>
      <c r="AW24" s="3"/>
      <c r="AX24" s="3"/>
    </row>
    <row r="25" spans="1:50" ht="16.5">
      <c r="A25" s="108"/>
      <c r="B25" s="8"/>
      <c r="C25" s="109"/>
      <c r="D25" s="514"/>
      <c r="E25" s="111"/>
      <c r="F25" s="112"/>
      <c r="G25" s="113"/>
      <c r="H25" s="34"/>
      <c r="I25" s="34"/>
      <c r="J25" s="115"/>
      <c r="K25" s="34"/>
      <c r="L25" s="34"/>
      <c r="M25" s="34"/>
      <c r="N25" s="34"/>
      <c r="O25" s="34">
        <f>'Uncaser Downtime Detail '!AG571</f>
        <v>0</v>
      </c>
      <c r="P25" s="34">
        <f>'Washer Downtime Detail'!BH578</f>
        <v>0</v>
      </c>
      <c r="Q25" s="34">
        <f>'EBI Downtime Detail'!AI575</f>
        <v>0</v>
      </c>
      <c r="R25" s="34">
        <f>'Filler Downtime Detail'!AK570</f>
        <v>0</v>
      </c>
      <c r="S25" s="34">
        <f>'Pasteurizer Downtime Detail'!Z547</f>
        <v>0</v>
      </c>
      <c r="T25" s="34">
        <f>'Labeler Downtime Detail'!AN545</f>
        <v>0</v>
      </c>
      <c r="U25" s="34">
        <f>'Videojet Downtime Detail '!O563</f>
        <v>0</v>
      </c>
      <c r="V25" s="34">
        <f>'Conveyor Downtime (new)'!AV573</f>
        <v>0</v>
      </c>
      <c r="W25" s="34">
        <f>'Packer Downtime Detail  '!AD556</f>
        <v>0</v>
      </c>
      <c r="X25" s="34">
        <f>'Carton Errector-sealer Detail'!P557</f>
        <v>0</v>
      </c>
      <c r="Y25" s="34"/>
      <c r="Z25" s="120"/>
      <c r="AA25" s="120"/>
      <c r="AB25" s="120"/>
      <c r="AC25" s="34"/>
      <c r="AD25" s="118">
        <f t="shared" si="0"/>
        <v>0</v>
      </c>
      <c r="AE25" s="513">
        <f>G26-D25</f>
        <v>0</v>
      </c>
      <c r="AH25" s="3"/>
      <c r="AI25" s="23"/>
      <c r="AJ25" s="23"/>
      <c r="AK25" s="54"/>
      <c r="AL25" s="3"/>
      <c r="AM25" s="3"/>
      <c r="AN25" s="3"/>
      <c r="AO25" s="3"/>
      <c r="AP25" s="3"/>
      <c r="AQ25" s="3"/>
      <c r="AR25" s="3"/>
      <c r="AS25" s="3"/>
      <c r="AT25" s="3"/>
      <c r="AU25" s="3"/>
      <c r="AV25" s="3"/>
      <c r="AW25" s="3"/>
      <c r="AX25" s="3"/>
    </row>
    <row r="26" spans="1:50" ht="16.5">
      <c r="A26" s="108"/>
      <c r="B26" s="8"/>
      <c r="C26" s="109"/>
      <c r="D26" s="514"/>
      <c r="E26" s="111"/>
      <c r="F26" s="112"/>
      <c r="G26" s="113"/>
      <c r="H26" s="71"/>
      <c r="I26" s="71"/>
      <c r="J26" s="88"/>
      <c r="K26" s="71"/>
      <c r="L26" s="71"/>
      <c r="M26" s="71"/>
      <c r="N26" s="71"/>
      <c r="O26" s="71">
        <f>'Uncaser Downtime Detail '!AG572</f>
        <v>0</v>
      </c>
      <c r="P26" s="71">
        <f>'Washer Downtime Detail'!BH579</f>
        <v>0</v>
      </c>
      <c r="Q26" s="71">
        <f>'EBI Downtime Detail'!AI576</f>
        <v>0</v>
      </c>
      <c r="R26" s="32">
        <f>'Filler Downtime Detail'!AK571</f>
        <v>0</v>
      </c>
      <c r="S26" s="71">
        <f>'Pasteurizer Downtime Detail'!Z548</f>
        <v>0</v>
      </c>
      <c r="T26" s="71">
        <f>'Labeler Downtime Detail'!AN546</f>
        <v>0</v>
      </c>
      <c r="U26" s="71">
        <f>'Videojet Downtime Detail '!O564</f>
        <v>0</v>
      </c>
      <c r="V26" s="71">
        <f>'Conveyor Downtime (new)'!AV574</f>
        <v>0</v>
      </c>
      <c r="W26" s="71">
        <f>'Packer Downtime Detail  '!AD557</f>
        <v>0</v>
      </c>
      <c r="X26" s="71">
        <f>'Carton Errector-sealer Detail'!P558</f>
        <v>0</v>
      </c>
      <c r="Y26" s="71"/>
      <c r="Z26" s="122"/>
      <c r="AA26" s="122"/>
      <c r="AB26" s="122"/>
      <c r="AC26" s="71"/>
      <c r="AD26" s="118">
        <f t="shared" si="0"/>
        <v>0</v>
      </c>
      <c r="AE26" s="513"/>
      <c r="AH26" s="3"/>
      <c r="AI26" s="23"/>
      <c r="AJ26" s="23"/>
      <c r="AK26" s="54"/>
      <c r="AL26" s="3"/>
      <c r="AM26" s="3"/>
      <c r="AN26" s="3"/>
      <c r="AO26" s="3"/>
      <c r="AP26" s="3"/>
      <c r="AQ26" s="3"/>
      <c r="AR26" s="3"/>
      <c r="AS26" s="3"/>
      <c r="AT26" s="3"/>
      <c r="AU26" s="3"/>
      <c r="AV26" s="3"/>
      <c r="AW26" s="3"/>
      <c r="AX26" s="3"/>
    </row>
    <row r="27" spans="1:50" ht="16.5">
      <c r="A27" s="108"/>
      <c r="B27" s="8"/>
      <c r="C27" s="109"/>
      <c r="D27" s="110"/>
      <c r="E27" s="111"/>
      <c r="F27" s="112"/>
      <c r="G27" s="113"/>
      <c r="H27" s="34"/>
      <c r="I27" s="34"/>
      <c r="J27" s="115"/>
      <c r="K27" s="34"/>
      <c r="L27" s="34"/>
      <c r="M27" s="34"/>
      <c r="N27" s="34"/>
      <c r="O27" s="34">
        <f>'Uncaser Downtime Detail '!AG573</f>
        <v>0</v>
      </c>
      <c r="P27" s="34">
        <f>'Washer Downtime Detail'!BH580</f>
        <v>0</v>
      </c>
      <c r="Q27" s="34">
        <f>'EBI Downtime Detail'!AI577</f>
        <v>0</v>
      </c>
      <c r="R27" s="34">
        <f>'Filler Downtime Detail'!AK572</f>
        <v>0</v>
      </c>
      <c r="S27" s="34">
        <f>'Pasteurizer Downtime Detail'!Z549</f>
        <v>0</v>
      </c>
      <c r="T27" s="34">
        <f>'Labeler Downtime Detail'!AN547</f>
        <v>0</v>
      </c>
      <c r="U27" s="34">
        <f>'Videojet Downtime Detail '!O565</f>
        <v>0</v>
      </c>
      <c r="V27" s="34">
        <f>'Conveyor Downtime (new)'!AV575</f>
        <v>0</v>
      </c>
      <c r="W27" s="34">
        <f>'Packer Downtime Detail  '!AD558</f>
        <v>0</v>
      </c>
      <c r="X27" s="34">
        <f>'Carton Errector-sealer Detail'!P559</f>
        <v>0</v>
      </c>
      <c r="Y27" s="34"/>
      <c r="Z27" s="120"/>
      <c r="AA27" s="120"/>
      <c r="AB27" s="120"/>
      <c r="AC27" s="34"/>
      <c r="AD27" s="118">
        <f t="shared" si="0"/>
        <v>0</v>
      </c>
      <c r="AE27" s="121">
        <f>G27-D27</f>
        <v>0</v>
      </c>
      <c r="AH27" s="3"/>
      <c r="AI27" s="23"/>
      <c r="AJ27" s="23"/>
      <c r="AK27" s="54"/>
      <c r="AL27" s="3"/>
      <c r="AM27" s="3"/>
      <c r="AN27" s="3"/>
      <c r="AO27" s="3"/>
      <c r="AP27" s="3"/>
      <c r="AQ27" s="3"/>
      <c r="AR27" s="3"/>
      <c r="AS27" s="3"/>
      <c r="AT27" s="3"/>
      <c r="AU27" s="3"/>
      <c r="AV27" s="3"/>
      <c r="AW27" s="3"/>
      <c r="AX27" s="3"/>
    </row>
    <row r="28" spans="1:50" ht="16.5">
      <c r="A28" s="108"/>
      <c r="B28" s="8"/>
      <c r="C28" s="109"/>
      <c r="D28" s="514"/>
      <c r="E28" s="111"/>
      <c r="F28" s="112"/>
      <c r="G28" s="113"/>
      <c r="H28" s="71"/>
      <c r="I28" s="71"/>
      <c r="J28" s="88"/>
      <c r="K28" s="71"/>
      <c r="L28" s="71"/>
      <c r="M28" s="71"/>
      <c r="N28" s="71"/>
      <c r="O28" s="71">
        <f>'Uncaser Downtime Detail '!AG574</f>
        <v>0</v>
      </c>
      <c r="P28" s="71">
        <f>'Washer Downtime Detail'!BH581</f>
        <v>0</v>
      </c>
      <c r="Q28" s="71">
        <f>'EBI Downtime Detail'!AI578</f>
        <v>0</v>
      </c>
      <c r="R28" s="71">
        <f>'Filler Downtime Detail'!AK573</f>
        <v>0</v>
      </c>
      <c r="S28" s="71">
        <f>'Pasteurizer Downtime Detail'!Z550</f>
        <v>0</v>
      </c>
      <c r="T28" s="71">
        <f>'Labeler Downtime Detail'!AN548</f>
        <v>0</v>
      </c>
      <c r="U28" s="71">
        <f>'Videojet Downtime Detail '!O566</f>
        <v>0</v>
      </c>
      <c r="V28" s="71">
        <f>'Conveyor Downtime (new)'!AV576</f>
        <v>0</v>
      </c>
      <c r="W28" s="71">
        <f>'Packer Downtime Detail  '!AD559</f>
        <v>0</v>
      </c>
      <c r="X28" s="71">
        <f>'Carton Errector-sealer Detail'!P560</f>
        <v>0</v>
      </c>
      <c r="Y28" s="71"/>
      <c r="Z28" s="122"/>
      <c r="AA28" s="122"/>
      <c r="AB28" s="122"/>
      <c r="AC28" s="71"/>
      <c r="AD28" s="118">
        <f t="shared" si="0"/>
        <v>0</v>
      </c>
      <c r="AE28" s="513">
        <f>G30-D28</f>
        <v>0</v>
      </c>
      <c r="AH28" s="3"/>
      <c r="AI28" s="23"/>
      <c r="AJ28" s="23"/>
      <c r="AK28" s="54"/>
      <c r="AL28" s="3"/>
      <c r="AM28" s="3"/>
      <c r="AN28" s="3"/>
      <c r="AO28" s="3"/>
      <c r="AP28" s="3"/>
      <c r="AQ28" s="3"/>
      <c r="AR28" s="3"/>
      <c r="AS28" s="3"/>
      <c r="AT28" s="3"/>
      <c r="AU28" s="3"/>
      <c r="AV28" s="3"/>
      <c r="AW28" s="3"/>
      <c r="AX28" s="3"/>
    </row>
    <row r="29" spans="1:50" ht="16.5">
      <c r="A29" s="108"/>
      <c r="B29" s="8"/>
      <c r="C29" s="109"/>
      <c r="D29" s="514"/>
      <c r="E29" s="111"/>
      <c r="F29" s="112"/>
      <c r="G29" s="113"/>
      <c r="H29" s="34"/>
      <c r="I29" s="34"/>
      <c r="J29" s="115"/>
      <c r="K29" s="34"/>
      <c r="L29" s="34"/>
      <c r="M29" s="34"/>
      <c r="N29" s="34"/>
      <c r="O29" s="34">
        <f>'Uncaser Downtime Detail '!AG575</f>
        <v>0</v>
      </c>
      <c r="P29" s="34"/>
      <c r="Q29" s="34">
        <f>'EBI Downtime Detail'!AI579</f>
        <v>0</v>
      </c>
      <c r="R29" s="34">
        <f>'Filler Downtime Detail'!AK574</f>
        <v>0</v>
      </c>
      <c r="S29" s="34">
        <f>'Pasteurizer Downtime Detail'!Z551</f>
        <v>0</v>
      </c>
      <c r="T29" s="34">
        <f>'Labeler Downtime Detail'!AN549</f>
        <v>0</v>
      </c>
      <c r="U29" s="34">
        <f>'Videojet Downtime Detail '!O567</f>
        <v>0</v>
      </c>
      <c r="V29" s="34">
        <f>'Conveyor Downtime (new)'!AV577</f>
        <v>0</v>
      </c>
      <c r="W29" s="34">
        <f>'Packer Downtime Detail  '!AD560</f>
        <v>0</v>
      </c>
      <c r="X29" s="34">
        <f>'Carton Errector-sealer Detail'!P561</f>
        <v>0</v>
      </c>
      <c r="Y29" s="34"/>
      <c r="Z29" s="120"/>
      <c r="AA29" s="120"/>
      <c r="AB29" s="120"/>
      <c r="AC29" s="34"/>
      <c r="AD29" s="118">
        <f t="shared" si="0"/>
        <v>0</v>
      </c>
      <c r="AE29" s="513"/>
      <c r="AH29" s="3"/>
      <c r="AI29" s="23"/>
      <c r="AJ29" s="23"/>
      <c r="AK29" s="54"/>
      <c r="AL29" s="3"/>
      <c r="AM29" s="3"/>
      <c r="AN29" s="3"/>
      <c r="AO29" s="3"/>
      <c r="AP29" s="3"/>
      <c r="AQ29" s="3"/>
      <c r="AR29" s="3"/>
      <c r="AS29" s="3"/>
      <c r="AT29" s="3"/>
      <c r="AU29" s="3"/>
      <c r="AV29" s="3"/>
      <c r="AW29" s="3"/>
      <c r="AX29" s="3"/>
    </row>
    <row r="30" spans="1:50" ht="16.5">
      <c r="A30" s="108"/>
      <c r="B30" s="8"/>
      <c r="C30" s="109"/>
      <c r="D30" s="514"/>
      <c r="E30" s="111"/>
      <c r="F30" s="112"/>
      <c r="G30" s="111"/>
      <c r="H30" s="71"/>
      <c r="I30" s="71"/>
      <c r="J30" s="88"/>
      <c r="K30" s="71"/>
      <c r="L30" s="71"/>
      <c r="M30" s="71"/>
      <c r="N30" s="71"/>
      <c r="O30" s="71">
        <f>'Uncaser Downtime Detail '!AG576</f>
        <v>0</v>
      </c>
      <c r="P30" s="71">
        <f>'Washer Downtime Detail'!BH583</f>
        <v>0</v>
      </c>
      <c r="Q30" s="71">
        <f>'EBI Downtime Detail'!AI580</f>
        <v>0</v>
      </c>
      <c r="R30" s="71">
        <f>'Filler Downtime Detail'!AK575</f>
        <v>0</v>
      </c>
      <c r="S30" s="71">
        <f>'Pasteurizer Downtime Detail'!Z552</f>
        <v>0</v>
      </c>
      <c r="T30" s="71">
        <f>'Labeler Downtime Detail'!AN550</f>
        <v>0</v>
      </c>
      <c r="U30" s="71">
        <f>'Videojet Downtime Detail '!O568</f>
        <v>0</v>
      </c>
      <c r="V30" s="71">
        <f>'Conveyor Downtime (new)'!AV578</f>
        <v>0</v>
      </c>
      <c r="W30" s="71">
        <f>'Packer Downtime Detail  '!AD561</f>
        <v>0</v>
      </c>
      <c r="X30" s="71">
        <f>'Carton Errector-sealer Detail'!P562</f>
        <v>0</v>
      </c>
      <c r="Y30" s="71"/>
      <c r="Z30" s="122"/>
      <c r="AA30" s="122"/>
      <c r="AB30" s="122"/>
      <c r="AC30" s="71"/>
      <c r="AD30" s="118">
        <f t="shared" si="0"/>
        <v>0</v>
      </c>
      <c r="AE30" s="513"/>
      <c r="AH30" s="3"/>
      <c r="AI30" s="23"/>
      <c r="AJ30" s="23"/>
      <c r="AK30" s="54"/>
      <c r="AL30" s="3"/>
      <c r="AM30" s="3"/>
      <c r="AN30" s="3"/>
      <c r="AO30" s="3"/>
      <c r="AP30" s="3"/>
      <c r="AQ30" s="3"/>
      <c r="AR30" s="3"/>
      <c r="AS30" s="3"/>
      <c r="AT30" s="3"/>
      <c r="AU30" s="3"/>
      <c r="AV30" s="3"/>
      <c r="AW30" s="3"/>
      <c r="AX30" s="3"/>
    </row>
    <row r="31" spans="1:50" ht="16.5">
      <c r="A31" s="108"/>
      <c r="B31" s="8"/>
      <c r="C31" s="109"/>
      <c r="D31" s="514"/>
      <c r="E31" s="111"/>
      <c r="F31" s="112"/>
      <c r="G31" s="113"/>
      <c r="H31" s="34"/>
      <c r="I31" s="34"/>
      <c r="J31" s="115"/>
      <c r="K31" s="34"/>
      <c r="L31" s="34"/>
      <c r="M31" s="34"/>
      <c r="N31" s="34"/>
      <c r="O31" s="34">
        <f>'Uncaser Downtime Detail '!AG577</f>
        <v>0</v>
      </c>
      <c r="P31" s="34">
        <f>'Washer Downtime Detail'!BH584</f>
        <v>0</v>
      </c>
      <c r="Q31" s="34">
        <f>'EBI Downtime Detail'!AI581</f>
        <v>0</v>
      </c>
      <c r="R31" s="34">
        <f>'Filler Downtime Detail'!AK576</f>
        <v>0</v>
      </c>
      <c r="S31" s="34">
        <f>'Pasteurizer Downtime Detail'!Z553</f>
        <v>0</v>
      </c>
      <c r="T31" s="34">
        <f>'Labeler Downtime Detail'!AN551</f>
        <v>0</v>
      </c>
      <c r="U31" s="34">
        <f>'Videojet Downtime Detail '!O569</f>
        <v>0</v>
      </c>
      <c r="V31" s="34">
        <f>'Conveyor Downtime (new)'!AV579</f>
        <v>0</v>
      </c>
      <c r="W31" s="34">
        <f>'Packer Downtime Detail  '!AD562</f>
        <v>0</v>
      </c>
      <c r="X31" s="34">
        <f>'Carton Errector-sealer Detail'!P563</f>
        <v>0</v>
      </c>
      <c r="Y31" s="34"/>
      <c r="Z31" s="120"/>
      <c r="AA31" s="120"/>
      <c r="AB31" s="123"/>
      <c r="AC31" s="34"/>
      <c r="AD31" s="118">
        <f t="shared" si="0"/>
        <v>0</v>
      </c>
      <c r="AE31" s="513">
        <f>G32-D31</f>
        <v>0</v>
      </c>
      <c r="AH31" s="3"/>
      <c r="AI31" s="23"/>
      <c r="AJ31" s="23"/>
      <c r="AK31" s="54"/>
      <c r="AL31" s="3"/>
      <c r="AM31" s="3"/>
      <c r="AN31" s="3"/>
      <c r="AO31" s="3"/>
      <c r="AP31" s="3"/>
      <c r="AQ31" s="3"/>
      <c r="AR31" s="3"/>
      <c r="AS31" s="3"/>
      <c r="AT31" s="3"/>
      <c r="AU31" s="3"/>
      <c r="AV31" s="3"/>
      <c r="AW31" s="3"/>
      <c r="AX31" s="3"/>
    </row>
    <row r="32" spans="1:50" ht="16.5">
      <c r="A32" s="108"/>
      <c r="B32" s="8"/>
      <c r="C32" s="109"/>
      <c r="D32" s="514"/>
      <c r="E32" s="111"/>
      <c r="F32" s="112"/>
      <c r="G32" s="111"/>
      <c r="I32" s="71"/>
      <c r="J32" s="88"/>
      <c r="K32" s="71"/>
      <c r="L32" s="71"/>
      <c r="M32" s="71"/>
      <c r="N32" s="71"/>
      <c r="O32" s="71">
        <f>'Uncaser Downtime Detail '!AG578</f>
        <v>0</v>
      </c>
      <c r="P32" s="71">
        <f>'Washer Downtime Detail'!BH585</f>
        <v>0</v>
      </c>
      <c r="Q32" s="71">
        <f>'EBI Downtime Detail'!AI582</f>
        <v>0</v>
      </c>
      <c r="R32" s="71">
        <f>'Filler Downtime Detail'!AK577</f>
        <v>0</v>
      </c>
      <c r="S32" s="71">
        <f>'Pasteurizer Downtime Detail'!Z554</f>
        <v>0</v>
      </c>
      <c r="T32" s="71">
        <f>'Labeler Downtime Detail'!AN552</f>
        <v>0</v>
      </c>
      <c r="U32" s="71">
        <f>'Videojet Downtime Detail '!O570</f>
        <v>0</v>
      </c>
      <c r="V32" s="71">
        <f>'Conveyor Downtime (new)'!AV580</f>
        <v>0</v>
      </c>
      <c r="W32" s="71">
        <f>'Packer Downtime Detail  '!AD563</f>
        <v>0</v>
      </c>
      <c r="X32" s="71">
        <f>'Carton Errector-sealer Detail'!P564</f>
        <v>0</v>
      </c>
      <c r="Y32" s="71"/>
      <c r="Z32" s="122"/>
      <c r="AA32" s="122"/>
      <c r="AB32" s="122"/>
      <c r="AC32" s="71"/>
      <c r="AD32" s="118">
        <f t="shared" si="0"/>
        <v>0</v>
      </c>
      <c r="AE32" s="513"/>
      <c r="AH32" s="3"/>
      <c r="AI32" s="23"/>
      <c r="AJ32" s="23"/>
      <c r="AK32" s="54"/>
      <c r="AL32" s="3"/>
      <c r="AM32" s="3"/>
      <c r="AN32" s="3"/>
      <c r="AO32" s="3"/>
      <c r="AP32" s="3"/>
      <c r="AQ32" s="3"/>
      <c r="AR32" s="3"/>
      <c r="AS32" s="3"/>
      <c r="AT32" s="3"/>
      <c r="AU32" s="3"/>
      <c r="AV32" s="3"/>
      <c r="AW32" s="3"/>
      <c r="AX32" s="3"/>
    </row>
    <row r="33" spans="1:50" ht="16.5">
      <c r="A33" s="108"/>
      <c r="B33" s="8"/>
      <c r="C33" s="109"/>
      <c r="D33" s="514"/>
      <c r="E33" s="111"/>
      <c r="F33" s="112"/>
      <c r="G33" s="113"/>
      <c r="H33" s="34"/>
      <c r="I33" s="34"/>
      <c r="J33" s="115"/>
      <c r="K33" s="34"/>
      <c r="L33" s="34"/>
      <c r="M33" s="116"/>
      <c r="N33" s="34"/>
      <c r="O33" s="34">
        <f>'Uncaser Downtime Detail '!AG579</f>
        <v>0</v>
      </c>
      <c r="P33" s="34">
        <f>'Washer Downtime Detail'!BH586</f>
        <v>0</v>
      </c>
      <c r="Q33" s="34">
        <f>'EBI Downtime Detail'!AI583</f>
        <v>0</v>
      </c>
      <c r="R33" s="34">
        <f>'Filler Downtime Detail'!AK578</f>
        <v>0</v>
      </c>
      <c r="S33" s="34">
        <f>'Pasteurizer Downtime Detail'!Z555</f>
        <v>0</v>
      </c>
      <c r="T33" s="34">
        <f>'Labeler Downtime Detail'!AN553</f>
        <v>0</v>
      </c>
      <c r="U33" s="34">
        <f>'Videojet Downtime Detail '!O571</f>
        <v>0</v>
      </c>
      <c r="V33" s="34">
        <f>'Conveyor Downtime (new)'!AV581</f>
        <v>0</v>
      </c>
      <c r="W33" s="34">
        <f>'Packer Downtime Detail  '!AD564</f>
        <v>0</v>
      </c>
      <c r="X33" s="34">
        <f>'Carton Errector-sealer Detail'!P565</f>
        <v>0</v>
      </c>
      <c r="Y33" s="34"/>
      <c r="Z33" s="120"/>
      <c r="AA33" s="120"/>
      <c r="AB33" s="120"/>
      <c r="AC33" s="34"/>
      <c r="AD33" s="118">
        <f t="shared" si="0"/>
        <v>0</v>
      </c>
      <c r="AE33" s="513">
        <f>G34-D33</f>
        <v>0</v>
      </c>
      <c r="AH33" s="3"/>
      <c r="AI33" s="23"/>
      <c r="AJ33" s="23"/>
      <c r="AK33" s="54"/>
      <c r="AL33" s="3"/>
      <c r="AM33" s="3"/>
      <c r="AN33" s="3"/>
      <c r="AO33" s="3"/>
      <c r="AP33" s="3"/>
      <c r="AQ33" s="3"/>
      <c r="AR33" s="3"/>
      <c r="AS33" s="3"/>
      <c r="AT33" s="3"/>
      <c r="AU33" s="3"/>
      <c r="AV33" s="3"/>
      <c r="AW33" s="3"/>
      <c r="AX33" s="3"/>
    </row>
    <row r="34" spans="1:50" ht="16.5">
      <c r="A34" s="108"/>
      <c r="B34" s="8"/>
      <c r="C34" s="109"/>
      <c r="D34" s="514"/>
      <c r="E34" s="111"/>
      <c r="F34" s="112"/>
      <c r="G34" s="111"/>
      <c r="H34" s="71"/>
      <c r="I34" s="71"/>
      <c r="J34" s="88"/>
      <c r="K34" s="71"/>
      <c r="L34" s="71"/>
      <c r="M34" s="71"/>
      <c r="N34" s="71"/>
      <c r="O34" s="71">
        <f>'Uncaser Downtime Detail '!AG580</f>
        <v>0</v>
      </c>
      <c r="P34" s="71">
        <f>'Washer Downtime Detail'!BH587</f>
        <v>0</v>
      </c>
      <c r="Q34" s="71">
        <f>'EBI Downtime Detail'!AI584</f>
        <v>0</v>
      </c>
      <c r="R34" s="71">
        <f>'Filler Downtime Detail'!AK579</f>
        <v>0</v>
      </c>
      <c r="S34" s="71">
        <f>'Pasteurizer Downtime Detail'!Z556</f>
        <v>0</v>
      </c>
      <c r="T34" s="71">
        <f>'Labeler Downtime Detail'!AN554</f>
        <v>0</v>
      </c>
      <c r="U34" s="71">
        <f>'Videojet Downtime Detail '!O572</f>
        <v>0</v>
      </c>
      <c r="V34" s="71">
        <f>'Conveyor Downtime (new)'!AV582</f>
        <v>0</v>
      </c>
      <c r="W34" s="71">
        <f>'Packer Downtime Detail  '!AD565</f>
        <v>0</v>
      </c>
      <c r="X34" s="71"/>
      <c r="Y34" s="71"/>
      <c r="Z34" s="122"/>
      <c r="AA34" s="122"/>
      <c r="AB34" s="122"/>
      <c r="AC34" s="71"/>
      <c r="AD34" s="118">
        <f t="shared" si="0"/>
        <v>0</v>
      </c>
      <c r="AE34" s="513"/>
      <c r="AH34" s="3"/>
      <c r="AI34" s="23"/>
      <c r="AJ34" s="23"/>
      <c r="AK34" s="54"/>
      <c r="AL34" s="3"/>
      <c r="AM34" s="3"/>
      <c r="AN34" s="3"/>
      <c r="AO34" s="3"/>
      <c r="AP34" s="3"/>
      <c r="AQ34" s="3"/>
      <c r="AR34" s="3"/>
      <c r="AS34" s="3"/>
      <c r="AT34" s="3"/>
      <c r="AU34" s="3"/>
      <c r="AV34" s="3"/>
      <c r="AW34" s="3"/>
      <c r="AX34" s="3"/>
    </row>
    <row r="35" spans="1:50" ht="16.5">
      <c r="A35" s="108"/>
      <c r="B35" s="8"/>
      <c r="C35" s="109"/>
      <c r="D35" s="514"/>
      <c r="E35" s="111"/>
      <c r="F35" s="112"/>
      <c r="G35" s="113"/>
      <c r="H35" s="34"/>
      <c r="I35" s="34"/>
      <c r="J35" s="115"/>
      <c r="K35" s="34"/>
      <c r="L35" s="34"/>
      <c r="M35" s="34"/>
      <c r="N35" s="34"/>
      <c r="O35" s="34">
        <f>'Uncaser Downtime Detail '!AG581</f>
        <v>0</v>
      </c>
      <c r="P35" s="34">
        <f>'Washer Downtime Detail'!BH588</f>
        <v>0</v>
      </c>
      <c r="Q35" s="34">
        <f>'EBI Downtime Detail'!AI585</f>
        <v>0</v>
      </c>
      <c r="R35" s="34">
        <f>'Filler Downtime Detail'!AK580</f>
        <v>0</v>
      </c>
      <c r="S35" s="34">
        <f>'Pasteurizer Downtime Detail'!Z557</f>
        <v>0</v>
      </c>
      <c r="T35" s="34">
        <f>'Labeler Downtime Detail'!AN555</f>
        <v>0</v>
      </c>
      <c r="U35" s="34">
        <f>'Videojet Downtime Detail '!O573</f>
        <v>0</v>
      </c>
      <c r="V35" s="34">
        <f>'Conveyor Downtime (new)'!AV583</f>
        <v>0</v>
      </c>
      <c r="W35" s="34">
        <f>'Packer Downtime Detail  '!AD566</f>
        <v>0</v>
      </c>
      <c r="X35" s="34"/>
      <c r="Y35" s="34"/>
      <c r="Z35" s="120"/>
      <c r="AA35" s="120"/>
      <c r="AB35" s="120"/>
      <c r="AC35" s="34"/>
      <c r="AD35" s="118">
        <f t="shared" si="0"/>
        <v>0</v>
      </c>
      <c r="AE35" s="513">
        <f>G38-D35</f>
        <v>0</v>
      </c>
      <c r="AH35" s="3"/>
      <c r="AI35" s="23"/>
      <c r="AJ35" s="23"/>
      <c r="AK35" s="54"/>
      <c r="AL35" s="3"/>
      <c r="AM35" s="3"/>
      <c r="AN35" s="3"/>
      <c r="AO35" s="3"/>
      <c r="AP35" s="3"/>
      <c r="AQ35" s="3"/>
      <c r="AR35" s="3"/>
      <c r="AS35" s="3"/>
      <c r="AT35" s="3"/>
      <c r="AU35" s="3"/>
      <c r="AV35" s="3"/>
      <c r="AW35" s="3"/>
      <c r="AX35" s="3"/>
    </row>
    <row r="36" spans="1:50" ht="16.5">
      <c r="A36" s="108"/>
      <c r="B36" s="8"/>
      <c r="C36" s="109"/>
      <c r="D36" s="514"/>
      <c r="E36" s="111"/>
      <c r="F36" s="112"/>
      <c r="G36" s="113"/>
      <c r="H36" s="71"/>
      <c r="I36" s="71"/>
      <c r="J36" s="88"/>
      <c r="K36" s="71"/>
      <c r="L36" s="71"/>
      <c r="M36" s="71"/>
      <c r="N36" s="71"/>
      <c r="O36" s="71">
        <f>'Uncaser Downtime Detail '!AG582</f>
        <v>0</v>
      </c>
      <c r="P36" s="71">
        <f>'Washer Downtime Detail'!BH589</f>
        <v>0</v>
      </c>
      <c r="Q36" s="71">
        <f>'EBI Downtime Detail'!AI586</f>
        <v>0</v>
      </c>
      <c r="R36" s="71">
        <f>'Filler Downtime Detail'!AK581</f>
        <v>0</v>
      </c>
      <c r="S36" s="71">
        <f>'Pasteurizer Downtime Detail'!Z558</f>
        <v>0</v>
      </c>
      <c r="T36" s="71">
        <f>'Labeler Downtime Detail'!AN556</f>
        <v>0</v>
      </c>
      <c r="U36" s="71">
        <f>'Videojet Downtime Detail '!O574</f>
        <v>0</v>
      </c>
      <c r="V36" s="71">
        <f>'Conveyor Downtime (new)'!AV584</f>
        <v>0</v>
      </c>
      <c r="W36" s="71">
        <f>'Packer Downtime Detail  '!AD567</f>
        <v>0</v>
      </c>
      <c r="X36" s="71">
        <f>'Carton Errector-sealer Detail'!P568</f>
        <v>0</v>
      </c>
      <c r="Y36" s="71"/>
      <c r="Z36" s="122"/>
      <c r="AA36" s="122"/>
      <c r="AB36" s="122"/>
      <c r="AC36" s="71"/>
      <c r="AD36" s="118">
        <f t="shared" si="0"/>
        <v>0</v>
      </c>
      <c r="AE36" s="513"/>
      <c r="AH36" s="3"/>
      <c r="AI36" s="23"/>
      <c r="AJ36" s="23"/>
      <c r="AK36" s="54"/>
      <c r="AL36" s="3"/>
      <c r="AM36" s="3"/>
      <c r="AN36" s="3"/>
      <c r="AO36" s="3"/>
      <c r="AP36" s="3"/>
      <c r="AQ36" s="3"/>
      <c r="AR36" s="3"/>
      <c r="AS36" s="3"/>
      <c r="AT36" s="3"/>
      <c r="AU36" s="3"/>
      <c r="AV36" s="3"/>
      <c r="AW36" s="3"/>
      <c r="AX36" s="3"/>
    </row>
    <row r="37" spans="1:50" ht="16.5">
      <c r="A37" s="108"/>
      <c r="B37" s="8"/>
      <c r="C37" s="109"/>
      <c r="D37" s="514"/>
      <c r="E37" s="111"/>
      <c r="F37" s="112"/>
      <c r="G37" s="113"/>
      <c r="H37" s="34"/>
      <c r="I37" s="34"/>
      <c r="J37" s="115"/>
      <c r="K37" s="34"/>
      <c r="L37" s="34"/>
      <c r="M37" s="34"/>
      <c r="N37" s="34"/>
      <c r="O37" s="34"/>
      <c r="P37" s="34">
        <f>'Washer Downtime Detail'!BH590</f>
        <v>0</v>
      </c>
      <c r="Q37" s="34">
        <f>'EBI Downtime Detail'!AI587</f>
        <v>0</v>
      </c>
      <c r="R37" s="34">
        <f>'Filler Downtime Detail'!AK582</f>
        <v>0</v>
      </c>
      <c r="S37" s="34">
        <f>'Pasteurizer Downtime Detail'!Z559</f>
        <v>0</v>
      </c>
      <c r="T37" s="34">
        <f>'Labeler Downtime Detail'!AN557</f>
        <v>0</v>
      </c>
      <c r="U37" s="34">
        <f>'Videojet Downtime Detail '!O575</f>
        <v>0</v>
      </c>
      <c r="V37" s="34">
        <f>'Conveyor Downtime (new)'!AV585</f>
        <v>0</v>
      </c>
      <c r="W37" s="34">
        <f>'Packer Downtime Detail  '!AD568</f>
        <v>0</v>
      </c>
      <c r="X37" s="34">
        <f>'Carton Errector-sealer Detail'!P569</f>
        <v>0</v>
      </c>
      <c r="Y37" s="34"/>
      <c r="Z37" s="120"/>
      <c r="AA37" s="120"/>
      <c r="AB37" s="120"/>
      <c r="AC37" s="34"/>
      <c r="AD37" s="118">
        <f t="shared" si="0"/>
        <v>0</v>
      </c>
      <c r="AE37" s="513"/>
      <c r="AH37" s="3"/>
      <c r="AI37" s="23"/>
      <c r="AJ37" s="23"/>
      <c r="AK37" s="54"/>
      <c r="AL37" s="3"/>
      <c r="AM37" s="3"/>
      <c r="AN37" s="3"/>
      <c r="AO37" s="3"/>
      <c r="AP37" s="3"/>
      <c r="AQ37" s="3"/>
      <c r="AR37" s="3"/>
      <c r="AS37" s="3"/>
      <c r="AT37" s="3"/>
      <c r="AU37" s="3"/>
      <c r="AV37" s="3"/>
      <c r="AW37" s="3"/>
      <c r="AX37" s="3"/>
    </row>
    <row r="38" spans="1:50" ht="16.5">
      <c r="A38" s="108"/>
      <c r="B38" s="8"/>
      <c r="C38" s="109"/>
      <c r="D38" s="514"/>
      <c r="E38" s="111"/>
      <c r="F38" s="112"/>
      <c r="G38" s="113"/>
      <c r="H38" s="71"/>
      <c r="I38" s="71"/>
      <c r="J38" s="88"/>
      <c r="K38" s="71"/>
      <c r="L38" s="71"/>
      <c r="M38" s="71"/>
      <c r="N38" s="71"/>
      <c r="O38" s="71">
        <f>'Uncaser Downtime Detail '!AG584</f>
        <v>0</v>
      </c>
      <c r="P38" s="71">
        <f>'Washer Downtime Detail'!BH591</f>
        <v>0</v>
      </c>
      <c r="Q38" s="71">
        <f>'EBI Downtime Detail'!AI588</f>
        <v>0</v>
      </c>
      <c r="R38" s="71">
        <f>'Filler Downtime Detail'!AK583</f>
        <v>0</v>
      </c>
      <c r="S38" s="71">
        <f>'Pasteurizer Downtime Detail'!Z560</f>
        <v>0</v>
      </c>
      <c r="T38" s="71">
        <f>'Labeler Downtime Detail'!AN558</f>
        <v>0</v>
      </c>
      <c r="U38" s="71">
        <f>'Videojet Downtime Detail '!O576</f>
        <v>0</v>
      </c>
      <c r="V38" s="71">
        <f>'Conveyor Downtime (new)'!AV586</f>
        <v>0</v>
      </c>
      <c r="W38" s="71">
        <f>'Packer Downtime Detail  '!AD569</f>
        <v>0</v>
      </c>
      <c r="X38" s="71">
        <f>'Carton Errector-sealer Detail'!P570</f>
        <v>0</v>
      </c>
      <c r="Y38" s="71"/>
      <c r="Z38" s="122"/>
      <c r="AA38" s="122"/>
      <c r="AB38" s="122"/>
      <c r="AC38" s="71"/>
      <c r="AD38" s="118">
        <f t="shared" si="0"/>
        <v>0</v>
      </c>
      <c r="AE38" s="513"/>
      <c r="AH38" s="3"/>
      <c r="AI38" s="23"/>
      <c r="AJ38" s="23"/>
      <c r="AK38" s="54"/>
      <c r="AL38" s="3"/>
      <c r="AM38" s="3"/>
      <c r="AN38" s="3"/>
      <c r="AO38" s="3"/>
      <c r="AP38" s="3"/>
      <c r="AQ38" s="3"/>
      <c r="AR38" s="3"/>
      <c r="AS38" s="3"/>
      <c r="AT38" s="3"/>
      <c r="AU38" s="3"/>
      <c r="AV38" s="3"/>
      <c r="AW38" s="3"/>
      <c r="AX38" s="3"/>
    </row>
    <row r="39" spans="1:50" ht="16.5">
      <c r="A39" s="108"/>
      <c r="B39" s="8"/>
      <c r="C39" s="109"/>
      <c r="D39" s="514"/>
      <c r="E39" s="111"/>
      <c r="F39" s="112"/>
      <c r="G39" s="113"/>
      <c r="H39" s="34"/>
      <c r="I39" s="34"/>
      <c r="J39" s="115"/>
      <c r="K39" s="34"/>
      <c r="L39" s="34"/>
      <c r="M39" s="34"/>
      <c r="N39" s="34"/>
      <c r="O39" s="34">
        <f>'Uncaser Downtime Detail '!AG585</f>
        <v>0</v>
      </c>
      <c r="P39" s="34">
        <f>'Washer Downtime Detail'!BH592</f>
        <v>0</v>
      </c>
      <c r="Q39" s="34">
        <f>'EBI Downtime Detail'!AI589</f>
        <v>0</v>
      </c>
      <c r="R39" s="34">
        <f>'Filler Downtime Detail'!AK584</f>
        <v>0</v>
      </c>
      <c r="S39" s="34">
        <f>'Pasteurizer Downtime Detail'!Z561</f>
        <v>0</v>
      </c>
      <c r="T39" s="34">
        <f>'Labeler Downtime Detail'!AN559</f>
        <v>0</v>
      </c>
      <c r="U39" s="34">
        <f>'Videojet Downtime Detail '!O577</f>
        <v>0</v>
      </c>
      <c r="V39" s="34">
        <f>'Conveyor Downtime (new)'!AV587</f>
        <v>0</v>
      </c>
      <c r="W39" s="34">
        <f>'Packer Downtime Detail  '!AD570</f>
        <v>0</v>
      </c>
      <c r="X39" s="34">
        <f>'Carton Errector-sealer Detail'!P571</f>
        <v>0</v>
      </c>
      <c r="Y39" s="34"/>
      <c r="Z39" s="120"/>
      <c r="AA39" s="120"/>
      <c r="AB39" s="120"/>
      <c r="AC39" s="34"/>
      <c r="AD39" s="118">
        <f t="shared" si="0"/>
        <v>0</v>
      </c>
      <c r="AE39" s="513">
        <f>G40-D39</f>
        <v>0</v>
      </c>
      <c r="AH39" s="3"/>
      <c r="AI39" s="23"/>
      <c r="AJ39" s="23"/>
      <c r="AK39" s="54"/>
      <c r="AL39" s="3"/>
      <c r="AM39" s="3"/>
      <c r="AN39" s="3"/>
      <c r="AO39" s="3"/>
      <c r="AP39" s="3"/>
      <c r="AQ39" s="3"/>
      <c r="AR39" s="3"/>
      <c r="AS39" s="3"/>
      <c r="AT39" s="3"/>
      <c r="AU39" s="3"/>
      <c r="AV39" s="3"/>
      <c r="AW39" s="3"/>
      <c r="AX39" s="3"/>
    </row>
    <row r="40" spans="1:50" ht="16.5">
      <c r="A40" s="108"/>
      <c r="B40" s="8"/>
      <c r="C40" s="109"/>
      <c r="D40" s="514"/>
      <c r="E40" s="111"/>
      <c r="F40" s="112"/>
      <c r="G40" s="111"/>
      <c r="H40" s="71"/>
      <c r="I40" s="71"/>
      <c r="J40" s="88"/>
      <c r="K40" s="71"/>
      <c r="L40" s="71"/>
      <c r="M40" s="71"/>
      <c r="N40" s="71"/>
      <c r="O40" s="71">
        <f>'Uncaser Downtime Detail '!AG586</f>
        <v>0</v>
      </c>
      <c r="P40" s="71">
        <f>'Washer Downtime Detail'!BH593</f>
        <v>0</v>
      </c>
      <c r="Q40" s="71">
        <f>'EBI Downtime Detail'!AI590</f>
        <v>0</v>
      </c>
      <c r="R40" s="71">
        <f>'Filler Downtime Detail'!AK585</f>
        <v>0</v>
      </c>
      <c r="S40" s="71">
        <f>'Pasteurizer Downtime Detail'!Z562</f>
        <v>0</v>
      </c>
      <c r="T40" s="71">
        <f>'Labeler Downtime Detail'!AN560</f>
        <v>0</v>
      </c>
      <c r="U40" s="71">
        <f>'Videojet Downtime Detail '!O578</f>
        <v>0</v>
      </c>
      <c r="V40" s="71">
        <f>'Conveyor Downtime (new)'!AV588</f>
        <v>0</v>
      </c>
      <c r="W40" s="71">
        <f>'Packer Downtime Detail  '!AD571</f>
        <v>0</v>
      </c>
      <c r="X40" s="71">
        <f>'Carton Errector-sealer Detail'!P572</f>
        <v>0</v>
      </c>
      <c r="Y40" s="71"/>
      <c r="Z40" s="122"/>
      <c r="AA40" s="122"/>
      <c r="AB40" s="122"/>
      <c r="AC40" s="71"/>
      <c r="AD40" s="118">
        <f t="shared" si="0"/>
        <v>0</v>
      </c>
      <c r="AE40" s="513"/>
      <c r="AH40" s="3"/>
      <c r="AI40" s="23"/>
      <c r="AJ40" s="23"/>
      <c r="AK40" s="54"/>
      <c r="AL40" s="3"/>
      <c r="AM40" s="3"/>
      <c r="AN40" s="3"/>
      <c r="AO40" s="3"/>
      <c r="AP40" s="3"/>
      <c r="AQ40" s="3"/>
      <c r="AR40" s="3"/>
      <c r="AS40" s="3"/>
      <c r="AT40" s="3"/>
      <c r="AU40" s="3"/>
      <c r="AV40" s="3"/>
      <c r="AW40" s="3"/>
      <c r="AX40" s="3"/>
    </row>
    <row r="41" spans="1:50" ht="16.5">
      <c r="A41" s="108"/>
      <c r="B41" s="8"/>
      <c r="C41" s="109"/>
      <c r="D41" s="514"/>
      <c r="E41" s="111"/>
      <c r="F41" s="112"/>
      <c r="G41" s="113"/>
      <c r="H41" s="34"/>
      <c r="I41" s="34"/>
      <c r="J41" s="115"/>
      <c r="K41" s="34"/>
      <c r="L41" s="34"/>
      <c r="M41" s="34"/>
      <c r="N41" s="34"/>
      <c r="O41" s="34">
        <f>'Uncaser Downtime Detail '!AG587</f>
        <v>0</v>
      </c>
      <c r="P41" s="34">
        <f>'Washer Downtime Detail'!BH594</f>
        <v>0</v>
      </c>
      <c r="Q41" s="34">
        <f>'EBI Downtime Detail'!AI591</f>
        <v>0</v>
      </c>
      <c r="R41" s="34">
        <f>'Filler Downtime Detail'!AK586</f>
        <v>0</v>
      </c>
      <c r="S41" s="34">
        <f>'Pasteurizer Downtime Detail'!Z563</f>
        <v>0</v>
      </c>
      <c r="T41" s="34">
        <f>'Labeler Downtime Detail'!AN561</f>
        <v>0</v>
      </c>
      <c r="U41" s="34">
        <f>'Videojet Downtime Detail '!O579</f>
        <v>0</v>
      </c>
      <c r="V41" s="34">
        <f>'Conveyor Downtime (new)'!AV589</f>
        <v>0</v>
      </c>
      <c r="W41" s="34">
        <f>'Packer Downtime Detail  '!AD572</f>
        <v>0</v>
      </c>
      <c r="X41" s="34">
        <f>'Carton Errector-sealer Detail'!P573</f>
        <v>0</v>
      </c>
      <c r="Y41" s="34"/>
      <c r="Z41" s="120"/>
      <c r="AA41" s="120"/>
      <c r="AB41" s="120"/>
      <c r="AC41" s="34"/>
      <c r="AD41" s="118">
        <f t="shared" si="0"/>
        <v>0</v>
      </c>
      <c r="AE41" s="513">
        <f>G43-D41</f>
        <v>0</v>
      </c>
      <c r="AH41" s="3"/>
      <c r="AI41" s="23"/>
      <c r="AJ41" s="23"/>
      <c r="AK41" s="54"/>
      <c r="AL41" s="3"/>
      <c r="AM41" s="3"/>
      <c r="AN41" s="3"/>
      <c r="AO41" s="3"/>
      <c r="AP41" s="3"/>
      <c r="AQ41" s="3"/>
      <c r="AR41" s="3"/>
      <c r="AS41" s="3"/>
      <c r="AT41" s="3"/>
      <c r="AU41" s="3"/>
      <c r="AV41" s="3"/>
      <c r="AW41" s="3"/>
      <c r="AX41" s="3"/>
    </row>
    <row r="42" spans="1:50" ht="16.5">
      <c r="A42" s="108"/>
      <c r="B42" s="8"/>
      <c r="C42" s="109"/>
      <c r="D42" s="514"/>
      <c r="E42" s="111"/>
      <c r="F42" s="112"/>
      <c r="G42" s="113"/>
      <c r="H42" s="71"/>
      <c r="I42" s="71"/>
      <c r="J42" s="88"/>
      <c r="K42" s="71"/>
      <c r="L42" s="71"/>
      <c r="M42" s="71"/>
      <c r="N42" s="71"/>
      <c r="O42" s="71">
        <f>'Uncaser Downtime Detail '!AG588</f>
        <v>0</v>
      </c>
      <c r="P42" s="71">
        <f>'Washer Downtime Detail'!BH595</f>
        <v>0</v>
      </c>
      <c r="Q42" s="71">
        <f>'EBI Downtime Detail'!AI592</f>
        <v>0</v>
      </c>
      <c r="R42" s="71">
        <f>'Filler Downtime Detail'!AK587</f>
        <v>0</v>
      </c>
      <c r="S42" s="71">
        <f>'Pasteurizer Downtime Detail'!Z564</f>
        <v>0</v>
      </c>
      <c r="T42" s="71">
        <f>'Labeler Downtime Detail'!AN562</f>
        <v>0</v>
      </c>
      <c r="U42" s="71">
        <f>'Videojet Downtime Detail '!O580</f>
        <v>0</v>
      </c>
      <c r="V42" s="71">
        <f>'Conveyor Downtime (new)'!AV590</f>
        <v>0</v>
      </c>
      <c r="W42" s="71">
        <f>'Packer Downtime Detail  '!AD573</f>
        <v>0</v>
      </c>
      <c r="X42" s="71">
        <f>'Carton Errector-sealer Detail'!P574</f>
        <v>0</v>
      </c>
      <c r="Y42" s="71"/>
      <c r="Z42" s="122"/>
      <c r="AA42" s="122"/>
      <c r="AB42" s="122"/>
      <c r="AC42" s="71"/>
      <c r="AD42" s="118">
        <f t="shared" si="0"/>
        <v>0</v>
      </c>
      <c r="AE42" s="513"/>
      <c r="AH42" s="3"/>
      <c r="AI42" s="23"/>
      <c r="AJ42" s="23"/>
      <c r="AK42" s="54"/>
      <c r="AL42" s="3"/>
      <c r="AM42" s="3"/>
      <c r="AN42" s="3"/>
      <c r="AO42" s="3"/>
      <c r="AP42" s="3"/>
      <c r="AQ42" s="3"/>
      <c r="AR42" s="3"/>
      <c r="AS42" s="3"/>
      <c r="AT42" s="3"/>
      <c r="AU42" s="3"/>
      <c r="AV42" s="3"/>
      <c r="AW42" s="3"/>
      <c r="AX42" s="3"/>
    </row>
    <row r="43" spans="1:50" ht="15" customHeight="1">
      <c r="A43" s="108"/>
      <c r="B43" s="8"/>
      <c r="C43" s="109"/>
      <c r="D43" s="514"/>
      <c r="E43" s="111"/>
      <c r="F43" s="112"/>
      <c r="G43" s="111"/>
      <c r="H43" s="34"/>
      <c r="I43" s="34"/>
      <c r="J43" s="115"/>
      <c r="K43" s="34"/>
      <c r="L43" s="34"/>
      <c r="M43" s="34"/>
      <c r="N43" s="34"/>
      <c r="O43" s="34">
        <f>'Uncaser Downtime Detail '!AG589</f>
        <v>0</v>
      </c>
      <c r="P43" s="34">
        <f>'Washer Downtime Detail'!BH596</f>
        <v>0</v>
      </c>
      <c r="Q43" s="34">
        <f>'EBI Downtime Detail'!AI593</f>
        <v>0</v>
      </c>
      <c r="R43" s="34">
        <f>'Filler Downtime Detail'!AK588</f>
        <v>0</v>
      </c>
      <c r="S43" s="34">
        <f>'Pasteurizer Downtime Detail'!Z565</f>
        <v>0</v>
      </c>
      <c r="T43" s="34">
        <f>'Labeler Downtime Detail'!AN563</f>
        <v>0</v>
      </c>
      <c r="U43" s="34">
        <f>'Videojet Downtime Detail '!O581</f>
        <v>0</v>
      </c>
      <c r="V43" s="34">
        <f>'Conveyor Downtime (new)'!AV591</f>
        <v>0</v>
      </c>
      <c r="W43" s="34">
        <f>'Packer Downtime Detail  '!AD574</f>
        <v>0</v>
      </c>
      <c r="X43" s="34">
        <f>'Carton Errector-sealer Detail'!P575</f>
        <v>0</v>
      </c>
      <c r="Y43" s="34"/>
      <c r="Z43" s="120"/>
      <c r="AA43" s="120"/>
      <c r="AB43" s="120"/>
      <c r="AC43" s="34"/>
      <c r="AD43" s="118">
        <f t="shared" si="0"/>
        <v>0</v>
      </c>
      <c r="AE43" s="513"/>
      <c r="AH43" s="3"/>
      <c r="AI43" s="23"/>
      <c r="AJ43" s="23"/>
      <c r="AK43" s="54"/>
      <c r="AL43" s="3"/>
      <c r="AM43" s="3"/>
      <c r="AN43" s="3"/>
      <c r="AO43" s="3"/>
      <c r="AP43" s="3"/>
      <c r="AQ43" s="3"/>
      <c r="AR43" s="3"/>
      <c r="AS43" s="3"/>
      <c r="AT43" s="3"/>
      <c r="AU43" s="3"/>
      <c r="AV43" s="3"/>
      <c r="AW43" s="3"/>
      <c r="AX43" s="3"/>
    </row>
    <row r="44" spans="1:50" ht="16.5">
      <c r="A44" s="108"/>
      <c r="B44" s="8"/>
      <c r="C44" s="109"/>
      <c r="D44" s="110"/>
      <c r="E44" s="111"/>
      <c r="F44" s="112"/>
      <c r="G44" s="111"/>
      <c r="H44" s="71"/>
      <c r="I44" s="71"/>
      <c r="J44" s="88"/>
      <c r="K44" s="71"/>
      <c r="L44" s="71"/>
      <c r="M44" s="71"/>
      <c r="N44" s="71"/>
      <c r="O44" s="71">
        <f>'Uncaser Downtime Detail '!AG590</f>
        <v>0</v>
      </c>
      <c r="P44" s="71">
        <f>'Washer Downtime Detail'!BH597</f>
        <v>0</v>
      </c>
      <c r="Q44" s="71">
        <f>'EBI Downtime Detail'!AI594</f>
        <v>0</v>
      </c>
      <c r="R44" s="71">
        <f>'Filler Downtime Detail'!AK589</f>
        <v>0</v>
      </c>
      <c r="S44" s="71">
        <f>'Pasteurizer Downtime Detail'!Z566</f>
        <v>0</v>
      </c>
      <c r="T44" s="71">
        <f>'Labeler Downtime Detail'!AN564</f>
        <v>0</v>
      </c>
      <c r="U44" s="71">
        <f>'Videojet Downtime Detail '!O582</f>
        <v>0</v>
      </c>
      <c r="V44" s="71">
        <f>'Conveyor Downtime (new)'!AV592</f>
        <v>0</v>
      </c>
      <c r="W44" s="71">
        <f>'Packer Downtime Detail  '!AD575</f>
        <v>0</v>
      </c>
      <c r="X44" s="71">
        <f>'Carton Errector-sealer Detail'!P576</f>
        <v>0</v>
      </c>
      <c r="Y44" s="71"/>
      <c r="Z44" s="122"/>
      <c r="AA44" s="122"/>
      <c r="AB44" s="122"/>
      <c r="AC44" s="71"/>
      <c r="AD44" s="118">
        <f t="shared" si="0"/>
        <v>0</v>
      </c>
      <c r="AE44" s="121">
        <f>G44-D44</f>
        <v>0</v>
      </c>
      <c r="AH44" s="3"/>
      <c r="AI44" s="23"/>
      <c r="AJ44" s="23"/>
      <c r="AK44" s="54"/>
      <c r="AL44" s="3"/>
      <c r="AM44" s="3"/>
      <c r="AN44" s="3"/>
      <c r="AO44" s="3"/>
      <c r="AP44" s="3"/>
      <c r="AQ44" s="3"/>
      <c r="AR44" s="3"/>
      <c r="AS44" s="3"/>
      <c r="AT44" s="3"/>
      <c r="AU44" s="3"/>
      <c r="AV44" s="3"/>
      <c r="AW44" s="3"/>
      <c r="AX44" s="3"/>
    </row>
    <row r="45" spans="1:50" ht="16.5">
      <c r="A45" s="108"/>
      <c r="B45" s="8"/>
      <c r="C45" s="109"/>
      <c r="D45" s="514"/>
      <c r="E45" s="111"/>
      <c r="F45" s="112"/>
      <c r="G45" s="113"/>
      <c r="H45" s="34"/>
      <c r="I45" s="34"/>
      <c r="J45" s="115"/>
      <c r="K45" s="34"/>
      <c r="L45" s="34"/>
      <c r="M45" s="34"/>
      <c r="N45" s="34"/>
      <c r="O45" s="34">
        <f>'Uncaser Downtime Detail '!AG591</f>
        <v>0</v>
      </c>
      <c r="P45" s="34">
        <f>'Washer Downtime Detail'!BH598</f>
        <v>0</v>
      </c>
      <c r="Q45" s="34">
        <f>'EBI Downtime Detail'!AI595</f>
        <v>0</v>
      </c>
      <c r="R45" s="34">
        <f>'Filler Downtime Detail'!AK590</f>
        <v>0</v>
      </c>
      <c r="S45" s="34">
        <f>'Pasteurizer Downtime Detail'!Z567</f>
        <v>0</v>
      </c>
      <c r="T45" s="34">
        <f>'Labeler Downtime Detail'!AN565</f>
        <v>0</v>
      </c>
      <c r="U45" s="34">
        <f>'Videojet Downtime Detail '!O583</f>
        <v>0</v>
      </c>
      <c r="V45" s="34">
        <f>'Conveyor Downtime (new)'!AV593</f>
        <v>0</v>
      </c>
      <c r="W45" s="34">
        <f>'Packer Downtime Detail  '!AD576</f>
        <v>0</v>
      </c>
      <c r="X45" s="34">
        <f>'Carton Errector-sealer Detail'!P577</f>
        <v>0</v>
      </c>
      <c r="Y45" s="34"/>
      <c r="Z45" s="120"/>
      <c r="AA45" s="120"/>
      <c r="AB45" s="120"/>
      <c r="AC45" s="34"/>
      <c r="AD45" s="118">
        <f t="shared" si="0"/>
        <v>0</v>
      </c>
      <c r="AE45" s="513">
        <f>G46-D45</f>
        <v>0</v>
      </c>
      <c r="AH45" s="3"/>
      <c r="AI45" s="23"/>
      <c r="AJ45" s="23"/>
      <c r="AK45" s="54"/>
      <c r="AL45" s="3"/>
      <c r="AM45" s="3"/>
      <c r="AN45" s="3"/>
      <c r="AO45" s="3"/>
      <c r="AP45" s="3"/>
      <c r="AQ45" s="3"/>
      <c r="AR45" s="3"/>
      <c r="AS45" s="3"/>
      <c r="AT45" s="3"/>
      <c r="AU45" s="3"/>
      <c r="AV45" s="3"/>
      <c r="AW45" s="3"/>
      <c r="AX45" s="3"/>
    </row>
    <row r="46" spans="1:50" ht="16.5">
      <c r="A46" s="108"/>
      <c r="B46" s="8"/>
      <c r="C46" s="109"/>
      <c r="D46" s="514"/>
      <c r="E46" s="111"/>
      <c r="F46" s="112"/>
      <c r="G46" s="113"/>
      <c r="H46" s="71"/>
      <c r="I46" s="71"/>
      <c r="J46" s="88"/>
      <c r="K46" s="71"/>
      <c r="L46" s="71"/>
      <c r="M46" s="71"/>
      <c r="N46" s="71"/>
      <c r="O46" s="71">
        <f>'Uncaser Downtime Detail '!AG592</f>
        <v>0</v>
      </c>
      <c r="P46" s="71">
        <f>'Washer Downtime Detail'!BH599</f>
        <v>0</v>
      </c>
      <c r="Q46" s="71">
        <f>'EBI Downtime Detail'!AI596</f>
        <v>0</v>
      </c>
      <c r="R46" s="71">
        <f>'Filler Downtime Detail'!AK591</f>
        <v>0</v>
      </c>
      <c r="S46" s="71">
        <f>'Pasteurizer Downtime Detail'!Z568</f>
        <v>0</v>
      </c>
      <c r="T46" s="71">
        <f>'Labeler Downtime Detail'!AN566</f>
        <v>0</v>
      </c>
      <c r="U46" s="71">
        <f>'Videojet Downtime Detail '!O584</f>
        <v>0</v>
      </c>
      <c r="V46" s="71">
        <f>'Conveyor Downtime (new)'!AV594</f>
        <v>0</v>
      </c>
      <c r="W46" s="71">
        <f>'Packer Downtime Detail  '!AD577</f>
        <v>0</v>
      </c>
      <c r="X46" s="71">
        <f>'Carton Errector-sealer Detail'!P578</f>
        <v>0</v>
      </c>
      <c r="Y46" s="71"/>
      <c r="Z46" s="122"/>
      <c r="AA46" s="122"/>
      <c r="AB46" s="122"/>
      <c r="AC46" s="71"/>
      <c r="AD46" s="118">
        <f t="shared" si="0"/>
        <v>0</v>
      </c>
      <c r="AE46" s="513"/>
      <c r="AH46" s="3"/>
      <c r="AI46" s="23"/>
      <c r="AJ46" s="23"/>
      <c r="AK46" s="54"/>
      <c r="AL46" s="3"/>
      <c r="AM46" s="3"/>
      <c r="AN46" s="3"/>
      <c r="AO46" s="3"/>
      <c r="AP46" s="3"/>
      <c r="AQ46" s="3"/>
      <c r="AR46" s="3"/>
      <c r="AS46" s="3"/>
      <c r="AT46" s="3"/>
      <c r="AU46" s="3"/>
      <c r="AV46" s="3"/>
      <c r="AW46" s="3"/>
      <c r="AX46" s="3"/>
    </row>
    <row r="47" spans="1:50" ht="16.5">
      <c r="A47" s="108"/>
      <c r="B47" s="8"/>
      <c r="C47" s="109"/>
      <c r="D47" s="514"/>
      <c r="E47" s="111"/>
      <c r="F47" s="112"/>
      <c r="G47" s="113"/>
      <c r="H47" s="34"/>
      <c r="I47" s="34"/>
      <c r="J47" s="115"/>
      <c r="K47" s="34"/>
      <c r="L47" s="34"/>
      <c r="M47" s="34"/>
      <c r="N47" s="34"/>
      <c r="O47" s="34">
        <f>'Uncaser Downtime Detail '!AG593</f>
        <v>0</v>
      </c>
      <c r="P47" s="34">
        <f>'Washer Downtime Detail'!BH600</f>
        <v>0</v>
      </c>
      <c r="Q47" s="34">
        <f>'EBI Downtime Detail'!AI597</f>
        <v>0</v>
      </c>
      <c r="R47" s="34">
        <f>'Filler Downtime Detail'!AK592</f>
        <v>0</v>
      </c>
      <c r="S47" s="34">
        <f>'Pasteurizer Downtime Detail'!Z569</f>
        <v>0</v>
      </c>
      <c r="T47" s="34">
        <f>'Labeler Downtime Detail'!AN567</f>
        <v>0</v>
      </c>
      <c r="U47" s="34">
        <f>'Videojet Downtime Detail '!O585</f>
        <v>0</v>
      </c>
      <c r="V47" s="34">
        <f>'Conveyor Downtime (new)'!AV595</f>
        <v>0</v>
      </c>
      <c r="W47" s="34">
        <f>'Packer Downtime Detail  '!AD578</f>
        <v>0</v>
      </c>
      <c r="X47" s="34">
        <f>'Carton Errector-sealer Detail'!P579</f>
        <v>0</v>
      </c>
      <c r="Y47" s="34"/>
      <c r="Z47" s="120"/>
      <c r="AA47" s="120"/>
      <c r="AB47" s="120"/>
      <c r="AC47" s="34"/>
      <c r="AD47" s="118">
        <f t="shared" si="0"/>
        <v>0</v>
      </c>
      <c r="AE47" s="513">
        <f>G49-D47</f>
        <v>0</v>
      </c>
      <c r="AH47" s="3"/>
      <c r="AI47" s="23"/>
      <c r="AJ47" s="23"/>
      <c r="AK47" s="54"/>
      <c r="AL47" s="3"/>
      <c r="AM47" s="3"/>
      <c r="AN47" s="3"/>
      <c r="AO47" s="3"/>
      <c r="AP47" s="3"/>
      <c r="AQ47" s="3"/>
      <c r="AR47" s="3"/>
      <c r="AS47" s="3"/>
      <c r="AT47" s="3"/>
      <c r="AU47" s="3"/>
      <c r="AV47" s="3"/>
      <c r="AW47" s="3"/>
      <c r="AX47" s="3"/>
    </row>
    <row r="48" spans="1:50" ht="16.5">
      <c r="A48" s="108"/>
      <c r="B48" s="8"/>
      <c r="C48" s="109"/>
      <c r="D48" s="514"/>
      <c r="E48" s="111"/>
      <c r="F48" s="112"/>
      <c r="G48" s="111"/>
      <c r="H48" s="71"/>
      <c r="I48" s="71"/>
      <c r="J48" s="88"/>
      <c r="K48" s="71"/>
      <c r="L48" s="71"/>
      <c r="M48" s="71"/>
      <c r="N48" s="71"/>
      <c r="O48" s="71">
        <f>'Uncaser Downtime Detail '!AG594</f>
        <v>0</v>
      </c>
      <c r="P48" s="71">
        <f>'Washer Downtime Detail'!BH601</f>
        <v>0</v>
      </c>
      <c r="Q48" s="71">
        <f>'EBI Downtime Detail'!AI598</f>
        <v>0</v>
      </c>
      <c r="R48" s="71">
        <f>'Filler Downtime Detail'!AK593</f>
        <v>0</v>
      </c>
      <c r="S48" s="71">
        <f>'Pasteurizer Downtime Detail'!Z570</f>
        <v>0</v>
      </c>
      <c r="T48" s="71">
        <f>'Labeler Downtime Detail'!AN568</f>
        <v>0</v>
      </c>
      <c r="U48" s="71">
        <f>'Videojet Downtime Detail '!O586</f>
        <v>0</v>
      </c>
      <c r="V48" s="71">
        <f>'Conveyor Downtime (new)'!AV596</f>
        <v>0</v>
      </c>
      <c r="W48" s="71">
        <f>'Packer Downtime Detail  '!AD579</f>
        <v>0</v>
      </c>
      <c r="X48" s="71">
        <f>'Carton Errector-sealer Detail'!P580</f>
        <v>0</v>
      </c>
      <c r="Y48" s="71"/>
      <c r="Z48" s="122"/>
      <c r="AA48" s="122"/>
      <c r="AB48" s="122"/>
      <c r="AC48" s="71"/>
      <c r="AD48" s="118">
        <f t="shared" si="0"/>
        <v>0</v>
      </c>
      <c r="AE48" s="513"/>
      <c r="AH48" s="3"/>
      <c r="AI48" s="23"/>
      <c r="AJ48" s="23"/>
      <c r="AK48" s="54"/>
      <c r="AL48" s="3"/>
      <c r="AM48" s="3"/>
      <c r="AN48" s="3"/>
      <c r="AO48" s="3"/>
      <c r="AP48" s="3"/>
      <c r="AQ48" s="3"/>
      <c r="AR48" s="3"/>
      <c r="AS48" s="3"/>
      <c r="AT48" s="3"/>
      <c r="AU48" s="3"/>
      <c r="AV48" s="3"/>
      <c r="AW48" s="3"/>
      <c r="AX48" s="3"/>
    </row>
    <row r="49" spans="1:50" ht="16.5">
      <c r="A49" s="108"/>
      <c r="B49" s="8"/>
      <c r="C49" s="109"/>
      <c r="D49" s="514"/>
      <c r="E49" s="111"/>
      <c r="F49" s="112"/>
      <c r="G49" s="111"/>
      <c r="H49" s="34"/>
      <c r="I49" s="34"/>
      <c r="J49" s="115"/>
      <c r="K49" s="34"/>
      <c r="L49" s="34"/>
      <c r="M49" s="34"/>
      <c r="N49" s="34"/>
      <c r="O49" s="34">
        <f>'Uncaser Downtime Detail '!AG595</f>
        <v>0</v>
      </c>
      <c r="P49" s="34">
        <f>'Washer Downtime Detail'!BH602</f>
        <v>0</v>
      </c>
      <c r="Q49" s="34">
        <f>'EBI Downtime Detail'!AI599</f>
        <v>0</v>
      </c>
      <c r="R49" s="34">
        <f>'Filler Downtime Detail'!AK594</f>
        <v>0</v>
      </c>
      <c r="S49" s="34">
        <f>'Pasteurizer Downtime Detail'!Z571</f>
        <v>0</v>
      </c>
      <c r="T49" s="34">
        <f>'Labeler Downtime Detail'!AN569</f>
        <v>0</v>
      </c>
      <c r="U49" s="34">
        <f>'Videojet Downtime Detail '!O587</f>
        <v>0</v>
      </c>
      <c r="V49" s="34">
        <f>'Conveyor Downtime (new)'!AV597</f>
        <v>0</v>
      </c>
      <c r="W49" s="34">
        <f>'Packer Downtime Detail  '!AD580</f>
        <v>0</v>
      </c>
      <c r="X49" s="34">
        <f>'Carton Errector-sealer Detail'!P581</f>
        <v>0</v>
      </c>
      <c r="Y49" s="34"/>
      <c r="Z49" s="120"/>
      <c r="AA49" s="120"/>
      <c r="AB49" s="120"/>
      <c r="AC49" s="34"/>
      <c r="AD49" s="118">
        <f t="shared" si="0"/>
        <v>0</v>
      </c>
      <c r="AE49" s="513">
        <f>G52-D50</f>
        <v>0</v>
      </c>
      <c r="AH49" s="3"/>
      <c r="AI49" s="23"/>
      <c r="AJ49" s="23"/>
      <c r="AK49" s="54"/>
      <c r="AL49" s="3"/>
      <c r="AM49" s="3"/>
      <c r="AN49" s="3"/>
      <c r="AO49" s="3"/>
      <c r="AP49" s="3"/>
      <c r="AQ49" s="3"/>
      <c r="AR49" s="3"/>
      <c r="AS49" s="3"/>
      <c r="AT49" s="3"/>
      <c r="AU49" s="3"/>
      <c r="AV49" s="3"/>
      <c r="AW49" s="3"/>
      <c r="AX49" s="3"/>
    </row>
    <row r="50" spans="1:50" ht="16.5">
      <c r="A50" s="108"/>
      <c r="B50" s="8"/>
      <c r="C50" s="109"/>
      <c r="D50" s="514"/>
      <c r="E50" s="111"/>
      <c r="F50" s="112"/>
      <c r="G50" s="113"/>
      <c r="H50" s="71"/>
      <c r="I50" s="71"/>
      <c r="J50" s="88"/>
      <c r="K50" s="71"/>
      <c r="L50" s="71"/>
      <c r="M50" s="71"/>
      <c r="N50" s="71"/>
      <c r="O50" s="71">
        <f>'Uncaser Downtime Detail '!AG596</f>
        <v>0</v>
      </c>
      <c r="P50" s="71">
        <f>'Washer Downtime Detail'!BH603</f>
        <v>0</v>
      </c>
      <c r="Q50" s="71">
        <f>'EBI Downtime Detail'!AI600</f>
        <v>0</v>
      </c>
      <c r="R50" s="71">
        <f>'Filler Downtime Detail'!AK595</f>
        <v>0</v>
      </c>
      <c r="S50" s="71">
        <f>'Pasteurizer Downtime Detail'!Z572</f>
        <v>0</v>
      </c>
      <c r="T50" s="71">
        <f>'Labeler Downtime Detail'!AN570</f>
        <v>0</v>
      </c>
      <c r="U50" s="71">
        <f>'Videojet Downtime Detail '!O588</f>
        <v>0</v>
      </c>
      <c r="V50" s="71">
        <f>'Conveyor Downtime (new)'!AV598</f>
        <v>0</v>
      </c>
      <c r="W50" s="71">
        <f>'Packer Downtime Detail  '!AD581</f>
        <v>0</v>
      </c>
      <c r="X50" s="71">
        <f>'Carton Errector-sealer Detail'!P582</f>
        <v>0</v>
      </c>
      <c r="Y50" s="71"/>
      <c r="Z50" s="122"/>
      <c r="AA50" s="122"/>
      <c r="AB50" s="122"/>
      <c r="AC50" s="71"/>
      <c r="AD50" s="118">
        <f t="shared" si="0"/>
        <v>0</v>
      </c>
      <c r="AE50" s="513"/>
      <c r="AH50" s="3"/>
      <c r="AI50" s="23"/>
      <c r="AJ50" s="23"/>
      <c r="AK50" s="54"/>
      <c r="AL50" s="3"/>
      <c r="AM50" s="3"/>
      <c r="AN50" s="3"/>
      <c r="AO50" s="3"/>
      <c r="AP50" s="3"/>
      <c r="AQ50" s="3"/>
      <c r="AR50" s="3"/>
      <c r="AS50" s="3"/>
      <c r="AT50" s="3"/>
      <c r="AU50" s="3"/>
      <c r="AV50" s="3"/>
      <c r="AW50" s="3"/>
      <c r="AX50" s="3"/>
    </row>
    <row r="51" spans="1:50" ht="16.5">
      <c r="A51" s="108"/>
      <c r="B51" s="8"/>
      <c r="C51" s="109"/>
      <c r="D51" s="514"/>
      <c r="E51" s="111"/>
      <c r="F51" s="112"/>
      <c r="G51" s="113"/>
      <c r="H51" s="34"/>
      <c r="I51" s="34"/>
      <c r="J51" s="115"/>
      <c r="K51" s="34"/>
      <c r="L51" s="34"/>
      <c r="M51" s="34"/>
      <c r="N51" s="34"/>
      <c r="O51" s="34">
        <f>'Uncaser Downtime Detail '!AG597</f>
        <v>0</v>
      </c>
      <c r="P51" s="34">
        <f>'Washer Downtime Detail'!BH604</f>
        <v>0</v>
      </c>
      <c r="Q51" s="34">
        <f>'EBI Downtime Detail'!AI601</f>
        <v>0</v>
      </c>
      <c r="R51" s="34">
        <f>'Filler Downtime Detail'!AK596</f>
        <v>0</v>
      </c>
      <c r="S51" s="34">
        <f>'Pasteurizer Downtime Detail'!Z573</f>
        <v>0</v>
      </c>
      <c r="T51" s="34">
        <f>'Labeler Downtime Detail'!AN571</f>
        <v>0</v>
      </c>
      <c r="U51" s="34">
        <f>'Videojet Downtime Detail '!O589</f>
        <v>0</v>
      </c>
      <c r="V51" s="34">
        <f>'Conveyor Downtime (new)'!AV599</f>
        <v>0</v>
      </c>
      <c r="W51" s="34">
        <f>'Packer Downtime Detail  '!AD582</f>
        <v>0</v>
      </c>
      <c r="X51" s="34">
        <f>'Carton Errector-sealer Detail'!P583</f>
        <v>0</v>
      </c>
      <c r="Y51" s="34"/>
      <c r="Z51" s="120"/>
      <c r="AA51" s="120"/>
      <c r="AB51" s="120"/>
      <c r="AC51" s="34"/>
      <c r="AD51" s="118">
        <f t="shared" si="0"/>
        <v>0</v>
      </c>
      <c r="AE51" s="513"/>
      <c r="AH51" s="3"/>
      <c r="AI51" s="23"/>
      <c r="AJ51" s="23"/>
      <c r="AK51" s="54"/>
      <c r="AL51" s="3"/>
      <c r="AM51" s="3"/>
      <c r="AN51" s="3"/>
      <c r="AO51" s="3"/>
      <c r="AP51" s="3"/>
      <c r="AQ51" s="3"/>
      <c r="AR51" s="3"/>
      <c r="AS51" s="3"/>
      <c r="AT51" s="3"/>
      <c r="AU51" s="3"/>
      <c r="AV51" s="3"/>
      <c r="AW51" s="3"/>
      <c r="AX51" s="3"/>
    </row>
    <row r="52" spans="1:50" ht="16.5">
      <c r="A52" s="108"/>
      <c r="B52" s="8"/>
      <c r="C52" s="109"/>
      <c r="D52" s="514"/>
      <c r="E52" s="111"/>
      <c r="F52" s="112"/>
      <c r="G52" s="111"/>
      <c r="H52" s="71"/>
      <c r="I52" s="71"/>
      <c r="J52" s="88"/>
      <c r="K52" s="71"/>
      <c r="L52" s="71"/>
      <c r="M52" s="71"/>
      <c r="N52" s="71"/>
      <c r="O52" s="71">
        <f>'Uncaser Downtime Detail '!AG598</f>
        <v>0</v>
      </c>
      <c r="P52" s="71">
        <f>'Washer Downtime Detail'!BH605</f>
        <v>0</v>
      </c>
      <c r="Q52" s="71">
        <f>'EBI Downtime Detail'!AI602</f>
        <v>0</v>
      </c>
      <c r="R52" s="71">
        <f>'Filler Downtime Detail'!AK597</f>
        <v>0</v>
      </c>
      <c r="S52" s="71">
        <f>'Pasteurizer Downtime Detail'!Z574</f>
        <v>0</v>
      </c>
      <c r="T52" s="71">
        <f>'Labeler Downtime Detail'!AN572</f>
        <v>0</v>
      </c>
      <c r="U52" s="71">
        <f>'Videojet Downtime Detail '!O590</f>
        <v>0</v>
      </c>
      <c r="V52" s="71">
        <f>'Conveyor Downtime (new)'!AV600</f>
        <v>0</v>
      </c>
      <c r="W52" s="71">
        <f>'Packer Downtime Detail  '!AD583</f>
        <v>0</v>
      </c>
      <c r="X52" s="71">
        <f>'Carton Errector-sealer Detail'!P584</f>
        <v>0</v>
      </c>
      <c r="Y52" s="71"/>
      <c r="Z52" s="122"/>
      <c r="AA52" s="122"/>
      <c r="AB52" s="122"/>
      <c r="AC52" s="71"/>
      <c r="AD52" s="118">
        <f t="shared" si="0"/>
        <v>0</v>
      </c>
      <c r="AE52" s="513"/>
      <c r="AH52" s="3"/>
      <c r="AI52" s="23"/>
      <c r="AJ52" s="23"/>
      <c r="AK52" s="54"/>
      <c r="AL52" s="3"/>
      <c r="AM52" s="3"/>
      <c r="AN52" s="3"/>
      <c r="AO52" s="3"/>
      <c r="AP52" s="3"/>
      <c r="AQ52" s="3"/>
      <c r="AR52" s="3"/>
      <c r="AS52" s="3"/>
      <c r="AT52" s="3"/>
      <c r="AU52" s="3"/>
      <c r="AV52" s="3"/>
      <c r="AW52" s="3"/>
      <c r="AX52" s="3"/>
    </row>
    <row r="53" spans="1:50" ht="16.5">
      <c r="A53" s="108"/>
      <c r="B53" s="8"/>
      <c r="C53" s="109"/>
      <c r="D53" s="514"/>
      <c r="E53" s="111"/>
      <c r="F53" s="112"/>
      <c r="G53" s="113"/>
      <c r="H53" s="34"/>
      <c r="I53" s="34"/>
      <c r="J53" s="115"/>
      <c r="K53" s="34"/>
      <c r="L53" s="34"/>
      <c r="M53" s="34"/>
      <c r="N53" s="34"/>
      <c r="O53" s="34">
        <f>'Uncaser Downtime Detail '!AG599</f>
        <v>0</v>
      </c>
      <c r="P53" s="34">
        <f>'Washer Downtime Detail'!BH606</f>
        <v>0</v>
      </c>
      <c r="Q53" s="34">
        <f>'EBI Downtime Detail'!AI603</f>
        <v>0</v>
      </c>
      <c r="R53" s="34">
        <f>'Filler Downtime Detail'!AK598</f>
        <v>0</v>
      </c>
      <c r="S53" s="34">
        <f>'Pasteurizer Downtime Detail'!Z575</f>
        <v>0</v>
      </c>
      <c r="T53" s="34">
        <f>'Labeler Downtime Detail'!AN573</f>
        <v>0</v>
      </c>
      <c r="U53" s="34">
        <f>'Videojet Downtime Detail '!O591</f>
        <v>0</v>
      </c>
      <c r="V53" s="34">
        <f>'Conveyor Downtime (new)'!AV601</f>
        <v>0</v>
      </c>
      <c r="W53" s="34">
        <f>'Packer Downtime Detail  '!AD584</f>
        <v>0</v>
      </c>
      <c r="X53" s="34">
        <f>'Carton Errector-sealer Detail'!P585</f>
        <v>0</v>
      </c>
      <c r="Y53" s="34"/>
      <c r="Z53" s="120"/>
      <c r="AA53" s="120"/>
      <c r="AB53" s="120"/>
      <c r="AC53" s="34"/>
      <c r="AD53" s="118">
        <f t="shared" si="0"/>
        <v>0</v>
      </c>
      <c r="AE53" s="513">
        <f>G54-D53</f>
        <v>0</v>
      </c>
      <c r="AH53" s="3"/>
      <c r="AI53" s="23"/>
      <c r="AJ53" s="23"/>
      <c r="AK53" s="54"/>
      <c r="AL53" s="3"/>
      <c r="AM53" s="3"/>
      <c r="AN53" s="3"/>
      <c r="AO53" s="3"/>
      <c r="AP53" s="3"/>
      <c r="AQ53" s="3"/>
      <c r="AR53" s="3"/>
      <c r="AS53" s="3"/>
      <c r="AT53" s="3"/>
      <c r="AU53" s="3"/>
      <c r="AV53" s="3"/>
      <c r="AW53" s="3"/>
      <c r="AX53" s="3"/>
    </row>
    <row r="54" spans="1:50" ht="16.5">
      <c r="A54" s="108"/>
      <c r="B54" s="8"/>
      <c r="C54" s="109"/>
      <c r="D54" s="514"/>
      <c r="E54" s="111"/>
      <c r="F54" s="112"/>
      <c r="G54" s="111"/>
      <c r="H54" s="71"/>
      <c r="I54" s="71"/>
      <c r="J54" s="88"/>
      <c r="K54" s="71"/>
      <c r="L54" s="71"/>
      <c r="M54" s="71"/>
      <c r="N54" s="71"/>
      <c r="O54" s="71">
        <f>'Uncaser Downtime Detail '!AG600</f>
        <v>0</v>
      </c>
      <c r="P54" s="71">
        <f>'Washer Downtime Detail'!BH607</f>
        <v>0</v>
      </c>
      <c r="Q54" s="71">
        <f>'EBI Downtime Detail'!AI604</f>
        <v>0</v>
      </c>
      <c r="R54" s="71">
        <f>'Filler Downtime Detail'!AK599</f>
        <v>0</v>
      </c>
      <c r="S54" s="71">
        <f>'Pasteurizer Downtime Detail'!Z576</f>
        <v>0</v>
      </c>
      <c r="T54" s="71">
        <f>'Labeler Downtime Detail'!AN574</f>
        <v>0</v>
      </c>
      <c r="U54" s="71">
        <f>'Videojet Downtime Detail '!O592</f>
        <v>0</v>
      </c>
      <c r="V54" s="71">
        <f>'Conveyor Downtime (new)'!AV602</f>
        <v>0</v>
      </c>
      <c r="W54" s="71">
        <f>'Packer Downtime Detail  '!AD585</f>
        <v>0</v>
      </c>
      <c r="X54" s="71">
        <f>'Carton Errector-sealer Detail'!P586</f>
        <v>0</v>
      </c>
      <c r="Y54" s="71"/>
      <c r="Z54" s="122"/>
      <c r="AA54" s="122"/>
      <c r="AB54" s="122"/>
      <c r="AC54" s="71"/>
      <c r="AD54" s="118">
        <f t="shared" si="0"/>
        <v>0</v>
      </c>
      <c r="AE54" s="513"/>
      <c r="AH54" s="3"/>
      <c r="AI54" s="23"/>
      <c r="AJ54" s="23"/>
      <c r="AK54" s="54"/>
      <c r="AL54" s="3"/>
      <c r="AM54" s="3"/>
      <c r="AN54" s="3"/>
      <c r="AO54" s="3"/>
      <c r="AP54" s="3"/>
      <c r="AQ54" s="3"/>
      <c r="AR54" s="3"/>
      <c r="AS54" s="3"/>
      <c r="AT54" s="3"/>
      <c r="AU54" s="3"/>
      <c r="AV54" s="3"/>
      <c r="AW54" s="3"/>
      <c r="AX54" s="3"/>
    </row>
    <row r="55" spans="1:50" ht="16.5">
      <c r="A55" s="108"/>
      <c r="B55" s="8"/>
      <c r="C55" s="109"/>
      <c r="D55" s="514"/>
      <c r="E55" s="111"/>
      <c r="F55" s="112"/>
      <c r="G55" s="111"/>
      <c r="H55" s="34"/>
      <c r="I55" s="34"/>
      <c r="J55" s="115"/>
      <c r="K55" s="34"/>
      <c r="L55" s="34"/>
      <c r="M55" s="34"/>
      <c r="N55" s="34"/>
      <c r="O55" s="34">
        <f>'Uncaser Downtime Detail '!AG601</f>
        <v>0</v>
      </c>
      <c r="P55" s="34">
        <f>'Washer Downtime Detail'!BH608</f>
        <v>0</v>
      </c>
      <c r="Q55" s="34">
        <f>'EBI Downtime Detail'!AI605</f>
        <v>0</v>
      </c>
      <c r="R55" s="34">
        <f>'Filler Downtime Detail'!AK600</f>
        <v>0</v>
      </c>
      <c r="S55" s="34">
        <f>'Pasteurizer Downtime Detail'!Z577</f>
        <v>0</v>
      </c>
      <c r="T55" s="34">
        <f>'Labeler Downtime Detail'!AN575</f>
        <v>0</v>
      </c>
      <c r="U55" s="34">
        <f>'Videojet Downtime Detail '!O593</f>
        <v>0</v>
      </c>
      <c r="V55" s="34">
        <f>'Conveyor Downtime (new)'!AV603</f>
        <v>0</v>
      </c>
      <c r="W55" s="34">
        <f>'Packer Downtime Detail  '!AD586</f>
        <v>0</v>
      </c>
      <c r="X55" s="34">
        <f>'Carton Errector-sealer Detail'!P587</f>
        <v>0</v>
      </c>
      <c r="Y55" s="34"/>
      <c r="Z55" s="120"/>
      <c r="AA55" s="120"/>
      <c r="AB55" s="120"/>
      <c r="AC55" s="34"/>
      <c r="AD55" s="118">
        <f t="shared" si="0"/>
        <v>0</v>
      </c>
      <c r="AE55" s="513">
        <f>G56-D55</f>
        <v>0</v>
      </c>
      <c r="AH55" s="3"/>
      <c r="AI55" s="23"/>
      <c r="AJ55" s="23"/>
      <c r="AK55" s="54"/>
      <c r="AL55" s="3"/>
      <c r="AM55" s="3"/>
      <c r="AN55" s="3"/>
      <c r="AO55" s="3"/>
      <c r="AP55" s="3"/>
      <c r="AQ55" s="3"/>
      <c r="AR55" s="3"/>
      <c r="AS55" s="3"/>
      <c r="AT55" s="3"/>
      <c r="AU55" s="3"/>
      <c r="AV55" s="3"/>
      <c r="AW55" s="3"/>
      <c r="AX55" s="3"/>
    </row>
    <row r="56" spans="1:50" ht="16.5">
      <c r="A56" s="108"/>
      <c r="B56" s="8"/>
      <c r="C56" s="109"/>
      <c r="D56" s="514"/>
      <c r="E56" s="111"/>
      <c r="F56" s="112"/>
      <c r="G56" s="111"/>
      <c r="H56" s="71"/>
      <c r="I56" s="71"/>
      <c r="J56" s="88"/>
      <c r="K56" s="71"/>
      <c r="L56" s="71"/>
      <c r="M56" s="71"/>
      <c r="N56" s="71"/>
      <c r="O56" s="71">
        <f>'Uncaser Downtime Detail '!AG602</f>
        <v>0</v>
      </c>
      <c r="P56" s="71">
        <f>'Washer Downtime Detail'!BH609</f>
        <v>0</v>
      </c>
      <c r="Q56" s="71">
        <f>'EBI Downtime Detail'!AI606</f>
        <v>0</v>
      </c>
      <c r="R56" s="71">
        <f>'Filler Downtime Detail'!AK601</f>
        <v>0</v>
      </c>
      <c r="S56" s="71">
        <f>'Pasteurizer Downtime Detail'!Z578</f>
        <v>0</v>
      </c>
      <c r="T56" s="71">
        <f>'Labeler Downtime Detail'!AN576</f>
        <v>0</v>
      </c>
      <c r="U56" s="71">
        <f>'Videojet Downtime Detail '!O594</f>
        <v>0</v>
      </c>
      <c r="V56" s="71">
        <f>'Conveyor Downtime (new)'!AV604</f>
        <v>0</v>
      </c>
      <c r="W56" s="71">
        <f>'Packer Downtime Detail  '!AD587</f>
        <v>0</v>
      </c>
      <c r="X56" s="71">
        <f>'Carton Errector-sealer Detail'!P588</f>
        <v>0</v>
      </c>
      <c r="Y56" s="71"/>
      <c r="Z56" s="122"/>
      <c r="AB56" s="122"/>
      <c r="AC56" s="71"/>
      <c r="AD56" s="118">
        <f t="shared" si="0"/>
        <v>0</v>
      </c>
      <c r="AE56" s="513"/>
      <c r="AH56" s="3"/>
      <c r="AI56" s="23"/>
      <c r="AJ56" s="23"/>
      <c r="AK56" s="54"/>
      <c r="AL56" s="3"/>
      <c r="AM56" s="3"/>
      <c r="AN56" s="3"/>
      <c r="AO56" s="3"/>
      <c r="AP56" s="3"/>
      <c r="AQ56" s="3"/>
      <c r="AR56" s="3"/>
      <c r="AS56" s="3"/>
      <c r="AT56" s="3"/>
      <c r="AU56" s="3"/>
      <c r="AV56" s="3"/>
      <c r="AW56" s="3"/>
      <c r="AX56" s="3"/>
    </row>
    <row r="57" spans="1:50" ht="16.5">
      <c r="A57" s="108"/>
      <c r="B57" s="8"/>
      <c r="C57" s="109"/>
      <c r="D57" s="514"/>
      <c r="E57" s="111"/>
      <c r="F57" s="111"/>
      <c r="G57" s="113"/>
      <c r="H57" s="34"/>
      <c r="I57" s="34"/>
      <c r="J57" s="115"/>
      <c r="K57" s="34"/>
      <c r="L57" s="34"/>
      <c r="M57" s="34"/>
      <c r="N57" s="34"/>
      <c r="O57" s="34">
        <f>'Uncaser Downtime Detail '!AG603</f>
        <v>0</v>
      </c>
      <c r="P57" s="34">
        <f>'Washer Downtime Detail'!BH610</f>
        <v>0</v>
      </c>
      <c r="Q57" s="34">
        <f>'EBI Downtime Detail'!AI607</f>
        <v>0</v>
      </c>
      <c r="R57" s="34">
        <f>'Filler Downtime Detail'!AK602</f>
        <v>0</v>
      </c>
      <c r="S57" s="34">
        <f>'Pasteurizer Downtime Detail'!Z579</f>
        <v>0</v>
      </c>
      <c r="T57" s="34">
        <f>'Labeler Downtime Detail'!AN577</f>
        <v>0</v>
      </c>
      <c r="U57" s="34">
        <f>'Videojet Downtime Detail '!O595</f>
        <v>0</v>
      </c>
      <c r="V57" s="34">
        <f>'Conveyor Downtime (new)'!AV605</f>
        <v>0</v>
      </c>
      <c r="W57" s="34">
        <f>'Packer Downtime Detail  '!AD588</f>
        <v>0</v>
      </c>
      <c r="X57" s="34">
        <f>'Carton Errector-sealer Detail'!P589</f>
        <v>0</v>
      </c>
      <c r="Y57" s="34"/>
      <c r="Z57" s="120"/>
      <c r="AA57" s="120"/>
      <c r="AB57" s="120"/>
      <c r="AC57" s="34"/>
      <c r="AD57" s="118">
        <f t="shared" si="0"/>
        <v>0</v>
      </c>
      <c r="AE57" s="513">
        <f>G59-D57</f>
        <v>0</v>
      </c>
      <c r="AH57" s="3"/>
      <c r="AI57" s="23"/>
      <c r="AJ57" s="23"/>
      <c r="AK57" s="54"/>
      <c r="AL57" s="3"/>
      <c r="AM57" s="3"/>
      <c r="AN57" s="3"/>
      <c r="AO57" s="3"/>
      <c r="AP57" s="3"/>
      <c r="AQ57" s="3"/>
      <c r="AR57" s="3"/>
      <c r="AS57" s="3"/>
      <c r="AT57" s="3"/>
      <c r="AU57" s="3"/>
      <c r="AV57" s="3"/>
      <c r="AW57" s="3"/>
      <c r="AX57" s="3"/>
    </row>
    <row r="58" spans="1:50" ht="16.5">
      <c r="A58" s="108"/>
      <c r="B58" s="8"/>
      <c r="C58" s="109"/>
      <c r="D58" s="514"/>
      <c r="E58" s="111"/>
      <c r="F58" s="111"/>
      <c r="G58" s="113"/>
      <c r="H58" s="71"/>
      <c r="I58" s="71"/>
      <c r="J58" s="88"/>
      <c r="K58" s="71"/>
      <c r="L58" s="71"/>
      <c r="M58" s="71"/>
      <c r="N58" s="71"/>
      <c r="O58" s="71">
        <f>'Uncaser Downtime Detail '!AG604</f>
        <v>0</v>
      </c>
      <c r="P58" s="71">
        <f>'Washer Downtime Detail'!BH611</f>
        <v>0</v>
      </c>
      <c r="Q58" s="71">
        <f>'EBI Downtime Detail'!AI608</f>
        <v>0</v>
      </c>
      <c r="R58" s="71">
        <f>'Filler Downtime Detail'!AK603</f>
        <v>0</v>
      </c>
      <c r="S58" s="71">
        <f>'Pasteurizer Downtime Detail'!Z580</f>
        <v>0</v>
      </c>
      <c r="T58" s="71">
        <f>'Labeler Downtime Detail'!AN578</f>
        <v>0</v>
      </c>
      <c r="U58" s="71">
        <f>'Videojet Downtime Detail '!O596</f>
        <v>0</v>
      </c>
      <c r="V58" s="71">
        <f>'Conveyor Downtime (new)'!AV606</f>
        <v>0</v>
      </c>
      <c r="W58" s="71">
        <f>'Packer Downtime Detail  '!AD589</f>
        <v>0</v>
      </c>
      <c r="X58" s="71">
        <f>'Carton Errector-sealer Detail'!P590</f>
        <v>0</v>
      </c>
      <c r="Y58" s="71"/>
      <c r="Z58" s="122"/>
      <c r="AA58" s="122"/>
      <c r="AB58" s="122"/>
      <c r="AC58" s="71"/>
      <c r="AD58" s="118">
        <f t="shared" si="0"/>
        <v>0</v>
      </c>
      <c r="AE58" s="513"/>
      <c r="AH58" s="3"/>
      <c r="AI58" s="23"/>
      <c r="AJ58" s="23"/>
      <c r="AK58" s="54"/>
      <c r="AL58" s="3"/>
      <c r="AM58" s="3"/>
      <c r="AN58" s="3"/>
      <c r="AO58" s="3"/>
      <c r="AP58" s="3"/>
      <c r="AQ58" s="3"/>
      <c r="AR58" s="3"/>
      <c r="AS58" s="3"/>
      <c r="AT58" s="3"/>
      <c r="AU58" s="3"/>
      <c r="AV58" s="3"/>
      <c r="AW58" s="3"/>
      <c r="AX58" s="3"/>
    </row>
    <row r="59" spans="1:50" ht="16.5">
      <c r="A59" s="108"/>
      <c r="B59" s="8"/>
      <c r="C59" s="109"/>
      <c r="D59" s="514"/>
      <c r="E59" s="111"/>
      <c r="F59" s="112"/>
      <c r="G59" s="113"/>
      <c r="H59" s="34"/>
      <c r="I59" s="34"/>
      <c r="J59" s="115"/>
      <c r="K59" s="34"/>
      <c r="L59" s="34"/>
      <c r="M59" s="34"/>
      <c r="N59" s="34"/>
      <c r="O59" s="34">
        <f>'Uncaser Downtime Detail '!AG605</f>
        <v>0</v>
      </c>
      <c r="P59" s="34">
        <f>'Washer Downtime Detail'!BH612</f>
        <v>0</v>
      </c>
      <c r="Q59" s="34">
        <f>'EBI Downtime Detail'!AI609</f>
        <v>0</v>
      </c>
      <c r="R59" s="34">
        <f>'Filler Downtime Detail'!AK604</f>
        <v>0</v>
      </c>
      <c r="S59" s="34">
        <f>'Pasteurizer Downtime Detail'!Z581</f>
        <v>0</v>
      </c>
      <c r="T59" s="34">
        <f>'Labeler Downtime Detail'!AN579</f>
        <v>0</v>
      </c>
      <c r="U59" s="34">
        <f>'Videojet Downtime Detail '!O597</f>
        <v>0</v>
      </c>
      <c r="V59" s="34">
        <f>'Conveyor Downtime (new)'!AV607</f>
        <v>0</v>
      </c>
      <c r="W59" s="34">
        <f>'Packer Downtime Detail  '!AD590</f>
        <v>0</v>
      </c>
      <c r="X59" s="34">
        <f>'Carton Errector-sealer Detail'!P591</f>
        <v>0</v>
      </c>
      <c r="Y59" s="34"/>
      <c r="Z59" s="120"/>
      <c r="AA59" s="120"/>
      <c r="AB59" s="120"/>
      <c r="AC59" s="34"/>
      <c r="AD59" s="118">
        <f t="shared" si="0"/>
        <v>0</v>
      </c>
      <c r="AE59" s="513"/>
      <c r="AH59" s="3"/>
      <c r="AI59" s="23"/>
      <c r="AJ59" s="23"/>
      <c r="AK59" s="54"/>
      <c r="AL59" s="3"/>
      <c r="AM59" s="3"/>
      <c r="AN59" s="3"/>
      <c r="AO59" s="3"/>
      <c r="AP59" s="3"/>
      <c r="AQ59" s="3"/>
      <c r="AR59" s="3"/>
      <c r="AS59" s="3"/>
      <c r="AT59" s="3"/>
      <c r="AU59" s="3"/>
      <c r="AV59" s="3"/>
      <c r="AW59" s="3"/>
      <c r="AX59" s="3"/>
    </row>
    <row r="60" spans="1:50" ht="16.5">
      <c r="A60" s="108"/>
      <c r="B60" s="8"/>
      <c r="C60" s="109"/>
      <c r="D60" s="514"/>
      <c r="E60" s="111"/>
      <c r="F60" s="112"/>
      <c r="G60" s="113"/>
      <c r="H60" s="71"/>
      <c r="I60" s="71"/>
      <c r="J60" s="88"/>
      <c r="K60" s="71"/>
      <c r="L60" s="71"/>
      <c r="M60" s="71"/>
      <c r="N60" s="71"/>
      <c r="O60" s="71">
        <f>'Uncaser Downtime Detail '!AG606</f>
        <v>0</v>
      </c>
      <c r="P60" s="71">
        <f>'Washer Downtime Detail'!BH613</f>
        <v>0</v>
      </c>
      <c r="Q60" s="71">
        <f>'EBI Downtime Detail'!AI610</f>
        <v>0</v>
      </c>
      <c r="R60" s="71">
        <f>'Filler Downtime Detail'!AK605</f>
        <v>0</v>
      </c>
      <c r="S60" s="71">
        <f>'Pasteurizer Downtime Detail'!Z582</f>
        <v>0</v>
      </c>
      <c r="T60" s="71">
        <f>'Labeler Downtime Detail'!AN580</f>
        <v>0</v>
      </c>
      <c r="U60" s="71">
        <f>'Videojet Downtime Detail '!O598</f>
        <v>0</v>
      </c>
      <c r="V60" s="71">
        <f>'Conveyor Downtime (new)'!AV608</f>
        <v>0</v>
      </c>
      <c r="W60" s="71">
        <f>'Packer Downtime Detail  '!AD591</f>
        <v>0</v>
      </c>
      <c r="X60" s="71">
        <f>'Carton Errector-sealer Detail'!P592</f>
        <v>0</v>
      </c>
      <c r="Y60" s="71"/>
      <c r="Z60" s="122"/>
      <c r="AA60" s="122"/>
      <c r="AB60" s="122"/>
      <c r="AC60" s="71"/>
      <c r="AD60" s="118">
        <f t="shared" si="0"/>
        <v>0</v>
      </c>
      <c r="AE60" s="513"/>
      <c r="AH60" s="3"/>
      <c r="AI60" s="23"/>
      <c r="AJ60" s="23"/>
      <c r="AK60" s="54"/>
      <c r="AL60" s="3"/>
      <c r="AM60" s="3"/>
      <c r="AN60" s="3"/>
      <c r="AO60" s="3"/>
      <c r="AP60" s="3"/>
      <c r="AQ60" s="3"/>
      <c r="AR60" s="3"/>
      <c r="AS60" s="3"/>
      <c r="AT60" s="3"/>
      <c r="AU60" s="3"/>
      <c r="AV60" s="3"/>
      <c r="AW60" s="3"/>
      <c r="AX60" s="3"/>
    </row>
    <row r="61" spans="1:50" ht="16.5">
      <c r="A61" s="108"/>
      <c r="B61" s="8"/>
      <c r="C61" s="109"/>
      <c r="D61" s="110"/>
      <c r="E61" s="111"/>
      <c r="F61" s="112"/>
      <c r="G61" s="113"/>
      <c r="H61" s="34"/>
      <c r="I61" s="34"/>
      <c r="J61" s="115"/>
      <c r="K61" s="34"/>
      <c r="L61" s="34"/>
      <c r="M61" s="34"/>
      <c r="N61" s="34"/>
      <c r="O61" s="34"/>
      <c r="P61" s="34">
        <f>'Washer Downtime Detail'!BH614</f>
        <v>0</v>
      </c>
      <c r="Q61" s="34">
        <f>'EBI Downtime Detail'!AI611</f>
        <v>0</v>
      </c>
      <c r="R61" s="34">
        <f>'Filler Downtime Detail'!AK606</f>
        <v>0</v>
      </c>
      <c r="S61" s="34">
        <f>'Pasteurizer Downtime Detail'!Z583</f>
        <v>0</v>
      </c>
      <c r="T61" s="34">
        <f>'Labeler Downtime Detail'!AN581</f>
        <v>0</v>
      </c>
      <c r="U61" s="34">
        <f>'Videojet Downtime Detail '!O599</f>
        <v>0</v>
      </c>
      <c r="V61" s="34">
        <f>'Conveyor Downtime (new)'!AV609</f>
        <v>0</v>
      </c>
      <c r="W61" s="34">
        <f>'Packer Downtime Detail  '!AD592</f>
        <v>0</v>
      </c>
      <c r="X61" s="34">
        <f>'Carton Errector-sealer Detail'!P593</f>
        <v>0</v>
      </c>
      <c r="Y61" s="34"/>
      <c r="Z61" s="120"/>
      <c r="AA61" s="120"/>
      <c r="AB61" s="120"/>
      <c r="AC61" s="34"/>
      <c r="AD61" s="118">
        <f t="shared" si="0"/>
        <v>0</v>
      </c>
      <c r="AE61" s="119">
        <f t="shared" ref="AE61:AE70" si="1">G61-D61</f>
        <v>0</v>
      </c>
      <c r="AH61" s="3"/>
      <c r="AI61" s="23"/>
      <c r="AJ61" s="23"/>
      <c r="AK61" s="54"/>
      <c r="AL61" s="3"/>
      <c r="AM61" s="3"/>
      <c r="AN61" s="3"/>
      <c r="AO61" s="3"/>
      <c r="AP61" s="3"/>
      <c r="AQ61" s="3"/>
      <c r="AR61" s="3"/>
      <c r="AS61" s="3"/>
      <c r="AT61" s="3"/>
      <c r="AU61" s="3"/>
      <c r="AV61" s="3"/>
      <c r="AW61" s="3"/>
      <c r="AX61" s="3"/>
    </row>
    <row r="62" spans="1:50" ht="16.5">
      <c r="A62" s="108"/>
      <c r="B62" s="8"/>
      <c r="C62" s="109"/>
      <c r="D62" s="111"/>
      <c r="E62" s="111"/>
      <c r="F62" s="112"/>
      <c r="G62" s="113"/>
      <c r="H62" s="71"/>
      <c r="I62" s="71"/>
      <c r="J62" s="88"/>
      <c r="K62" s="71"/>
      <c r="L62" s="71"/>
      <c r="M62" s="71"/>
      <c r="N62" s="71"/>
      <c r="O62" s="71"/>
      <c r="P62" s="71">
        <f>'Washer Downtime Detail'!BH615</f>
        <v>0</v>
      </c>
      <c r="Q62" s="71">
        <f>'EBI Downtime Detail'!AI612</f>
        <v>0</v>
      </c>
      <c r="R62" s="71"/>
      <c r="S62" s="71">
        <f>'Pasteurizer Downtime Detail'!Z584</f>
        <v>0</v>
      </c>
      <c r="T62" s="71">
        <f>'Labeler Downtime Detail'!AN582</f>
        <v>0</v>
      </c>
      <c r="U62" s="71">
        <f>'Videojet Downtime Detail '!O606</f>
        <v>0</v>
      </c>
      <c r="V62" s="71">
        <f>'Conveyor Downtime (new)'!AV610</f>
        <v>0</v>
      </c>
      <c r="W62" s="71">
        <f>'Packer Downtime Detail  '!AD593</f>
        <v>0</v>
      </c>
      <c r="X62" s="71">
        <f>'Carton Errector-sealer Detail'!P594</f>
        <v>0</v>
      </c>
      <c r="Y62" s="71"/>
      <c r="Z62" s="122"/>
      <c r="AA62" s="122"/>
      <c r="AB62" s="122"/>
      <c r="AC62" s="71"/>
      <c r="AD62" s="118">
        <f t="shared" si="0"/>
        <v>0</v>
      </c>
      <c r="AE62" s="119">
        <f t="shared" si="1"/>
        <v>0</v>
      </c>
      <c r="AH62" s="3"/>
      <c r="AI62" s="23"/>
      <c r="AJ62" s="23"/>
      <c r="AK62" s="54"/>
      <c r="AL62" s="3"/>
      <c r="AM62" s="3"/>
      <c r="AN62" s="3"/>
      <c r="AO62" s="3"/>
      <c r="AP62" s="3"/>
      <c r="AQ62" s="3"/>
      <c r="AR62" s="3"/>
      <c r="AS62" s="3"/>
      <c r="AT62" s="3"/>
      <c r="AU62" s="3"/>
      <c r="AV62" s="3"/>
      <c r="AW62" s="3"/>
      <c r="AX62" s="3"/>
    </row>
    <row r="63" spans="1:50" ht="16.5">
      <c r="A63" s="108"/>
      <c r="B63" s="8"/>
      <c r="C63" s="109"/>
      <c r="D63" s="110"/>
      <c r="E63" s="111"/>
      <c r="F63" s="112"/>
      <c r="G63" s="113"/>
      <c r="H63" s="34"/>
      <c r="I63" s="34"/>
      <c r="J63" s="115"/>
      <c r="K63" s="34"/>
      <c r="L63" s="34"/>
      <c r="M63" s="34"/>
      <c r="N63" s="34"/>
      <c r="O63" s="34"/>
      <c r="P63" s="34"/>
      <c r="Q63" s="34"/>
      <c r="R63" s="34"/>
      <c r="S63" s="34"/>
      <c r="T63" s="34"/>
      <c r="U63" s="34"/>
      <c r="V63" s="34"/>
      <c r="W63" s="34"/>
      <c r="X63" s="34"/>
      <c r="Y63" s="34"/>
      <c r="Z63" s="120"/>
      <c r="AA63" s="120"/>
      <c r="AB63" s="120"/>
      <c r="AC63" s="34"/>
      <c r="AD63" s="118">
        <f t="shared" si="0"/>
        <v>0</v>
      </c>
      <c r="AE63" s="119">
        <f t="shared" si="1"/>
        <v>0</v>
      </c>
      <c r="AH63" s="3"/>
      <c r="AI63" s="23"/>
      <c r="AJ63" s="23"/>
      <c r="AK63" s="54"/>
      <c r="AL63" s="3"/>
      <c r="AM63" s="3"/>
      <c r="AN63" s="3"/>
      <c r="AO63" s="3"/>
      <c r="AP63" s="3"/>
      <c r="AQ63" s="3"/>
      <c r="AR63" s="3"/>
      <c r="AS63" s="3"/>
      <c r="AT63" s="3"/>
      <c r="AU63" s="3"/>
      <c r="AV63" s="3"/>
      <c r="AW63" s="3"/>
      <c r="AX63" s="3"/>
    </row>
    <row r="64" spans="1:50" ht="16.5" hidden="1">
      <c r="A64" s="108"/>
      <c r="B64" s="8"/>
      <c r="C64" s="109"/>
      <c r="D64" s="111"/>
      <c r="E64" s="111"/>
      <c r="F64" s="112"/>
      <c r="G64" s="113"/>
      <c r="H64" s="71"/>
      <c r="I64" s="71"/>
      <c r="J64" s="88"/>
      <c r="K64" s="71"/>
      <c r="L64" s="71"/>
      <c r="M64" s="71"/>
      <c r="N64" s="71"/>
      <c r="O64" s="71"/>
      <c r="P64" s="71"/>
      <c r="Q64" s="71"/>
      <c r="R64" s="71"/>
      <c r="S64" s="71"/>
      <c r="T64" s="71"/>
      <c r="U64" s="71"/>
      <c r="V64" s="71"/>
      <c r="W64" s="71"/>
      <c r="X64" s="71"/>
      <c r="Y64" s="71"/>
      <c r="Z64" s="122"/>
      <c r="AA64" s="122"/>
      <c r="AB64" s="122"/>
      <c r="AC64" s="71"/>
      <c r="AD64" s="118">
        <f t="shared" si="0"/>
        <v>0</v>
      </c>
      <c r="AE64" s="119">
        <f t="shared" si="1"/>
        <v>0</v>
      </c>
      <c r="AH64" s="3"/>
      <c r="AI64" s="23"/>
      <c r="AJ64" s="23"/>
      <c r="AK64" s="54"/>
      <c r="AL64" s="3"/>
      <c r="AM64" s="3"/>
      <c r="AN64" s="3"/>
      <c r="AO64" s="3"/>
      <c r="AP64" s="3"/>
      <c r="AQ64" s="3"/>
      <c r="AR64" s="3"/>
      <c r="AS64" s="3"/>
      <c r="AT64" s="3"/>
      <c r="AU64" s="3"/>
      <c r="AV64" s="3"/>
      <c r="AW64" s="3"/>
      <c r="AX64" s="3"/>
    </row>
    <row r="65" spans="1:50" ht="16.5" hidden="1">
      <c r="A65" s="108"/>
      <c r="B65" s="8"/>
      <c r="C65" s="109"/>
      <c r="D65" s="110"/>
      <c r="E65" s="111"/>
      <c r="F65" s="112"/>
      <c r="G65" s="113"/>
      <c r="H65" s="34"/>
      <c r="I65" s="34"/>
      <c r="J65" s="115"/>
      <c r="K65" s="34"/>
      <c r="L65" s="34"/>
      <c r="M65" s="34"/>
      <c r="N65" s="34"/>
      <c r="O65" s="34"/>
      <c r="P65" s="34"/>
      <c r="Q65" s="34"/>
      <c r="R65" s="34"/>
      <c r="S65" s="34"/>
      <c r="T65" s="34"/>
      <c r="U65" s="34"/>
      <c r="V65" s="34"/>
      <c r="W65" s="34"/>
      <c r="X65" s="34"/>
      <c r="Y65" s="34"/>
      <c r="Z65" s="120"/>
      <c r="AA65" s="120"/>
      <c r="AB65" s="120"/>
      <c r="AC65" s="34"/>
      <c r="AD65" s="118">
        <f t="shared" si="0"/>
        <v>0</v>
      </c>
      <c r="AE65" s="119">
        <f t="shared" si="1"/>
        <v>0</v>
      </c>
      <c r="AH65" s="3"/>
      <c r="AI65" s="23"/>
      <c r="AJ65" s="23"/>
      <c r="AK65" s="54"/>
      <c r="AL65" s="3"/>
      <c r="AM65" s="3"/>
      <c r="AN65" s="3"/>
      <c r="AO65" s="3"/>
      <c r="AP65" s="3"/>
      <c r="AQ65" s="3"/>
      <c r="AR65" s="3"/>
      <c r="AS65" s="3"/>
      <c r="AT65" s="3"/>
      <c r="AU65" s="3"/>
      <c r="AV65" s="3"/>
      <c r="AW65" s="3"/>
      <c r="AX65" s="3"/>
    </row>
    <row r="66" spans="1:50" ht="16.5" hidden="1">
      <c r="A66" s="108"/>
      <c r="B66" s="8"/>
      <c r="C66" s="109"/>
      <c r="D66" s="111"/>
      <c r="E66" s="111"/>
      <c r="F66" s="112"/>
      <c r="G66" s="113"/>
      <c r="H66" s="71"/>
      <c r="I66" s="71"/>
      <c r="J66" s="88"/>
      <c r="K66" s="71"/>
      <c r="L66" s="71"/>
      <c r="M66" s="71"/>
      <c r="N66" s="71"/>
      <c r="O66" s="71"/>
      <c r="P66" s="71"/>
      <c r="Q66" s="71"/>
      <c r="R66" s="71"/>
      <c r="S66" s="71"/>
      <c r="T66" s="71"/>
      <c r="U66" s="71"/>
      <c r="V66" s="71"/>
      <c r="W66" s="71"/>
      <c r="X66" s="71"/>
      <c r="Y66" s="71"/>
      <c r="Z66" s="122"/>
      <c r="AA66" s="122"/>
      <c r="AB66" s="122"/>
      <c r="AC66" s="71"/>
      <c r="AD66" s="118">
        <f t="shared" si="0"/>
        <v>0</v>
      </c>
      <c r="AE66" s="119">
        <f t="shared" si="1"/>
        <v>0</v>
      </c>
      <c r="AH66" s="3"/>
      <c r="AI66" s="23"/>
      <c r="AJ66" s="23"/>
      <c r="AK66" s="54"/>
      <c r="AL66" s="3"/>
      <c r="AM66" s="3"/>
      <c r="AN66" s="3"/>
      <c r="AO66" s="3"/>
      <c r="AP66" s="3"/>
      <c r="AQ66" s="3"/>
      <c r="AR66" s="3"/>
      <c r="AS66" s="3"/>
      <c r="AT66" s="3"/>
      <c r="AU66" s="3"/>
      <c r="AV66" s="3"/>
      <c r="AW66" s="3"/>
      <c r="AX66" s="3"/>
    </row>
    <row r="67" spans="1:50" ht="16.5" hidden="1">
      <c r="A67" s="108"/>
      <c r="B67" s="8"/>
      <c r="C67" s="109"/>
      <c r="D67" s="110"/>
      <c r="E67" s="111"/>
      <c r="F67" s="112"/>
      <c r="G67" s="113"/>
      <c r="H67" s="71"/>
      <c r="I67" s="71"/>
      <c r="J67" s="88"/>
      <c r="K67" s="71"/>
      <c r="L67" s="71"/>
      <c r="M67" s="71"/>
      <c r="N67" s="71"/>
      <c r="O67" s="71"/>
      <c r="P67" s="71"/>
      <c r="Q67" s="71"/>
      <c r="R67" s="71"/>
      <c r="S67" s="71"/>
      <c r="T67" s="71"/>
      <c r="U67" s="71"/>
      <c r="V67" s="71"/>
      <c r="W67" s="71"/>
      <c r="X67" s="71"/>
      <c r="Y67" s="71"/>
      <c r="Z67" s="122"/>
      <c r="AA67" s="122"/>
      <c r="AB67" s="122"/>
      <c r="AC67" s="71"/>
      <c r="AD67" s="118">
        <f t="shared" si="0"/>
        <v>0</v>
      </c>
      <c r="AE67" s="119">
        <f t="shared" si="1"/>
        <v>0</v>
      </c>
      <c r="AH67" s="3"/>
      <c r="AI67" s="23"/>
      <c r="AJ67" s="23"/>
      <c r="AK67" s="54"/>
      <c r="AL67" s="3"/>
      <c r="AM67" s="3"/>
      <c r="AN67" s="3"/>
      <c r="AO67" s="3"/>
      <c r="AP67" s="3"/>
      <c r="AQ67" s="3"/>
      <c r="AR67" s="3"/>
      <c r="AS67" s="3"/>
      <c r="AT67" s="3"/>
      <c r="AU67" s="3"/>
      <c r="AV67" s="3"/>
      <c r="AW67" s="3"/>
      <c r="AX67" s="3"/>
    </row>
    <row r="68" spans="1:50" ht="16.5" hidden="1">
      <c r="A68" s="108"/>
      <c r="B68" s="8"/>
      <c r="C68" s="109"/>
      <c r="D68" s="110"/>
      <c r="E68" s="111"/>
      <c r="F68" s="112"/>
      <c r="G68" s="113"/>
      <c r="H68" s="34"/>
      <c r="I68" s="34"/>
      <c r="J68" s="115"/>
      <c r="K68" s="34"/>
      <c r="L68" s="34"/>
      <c r="M68" s="34"/>
      <c r="N68" s="34"/>
      <c r="O68" s="34"/>
      <c r="P68" s="34"/>
      <c r="Q68" s="34"/>
      <c r="R68" s="34"/>
      <c r="S68" s="34"/>
      <c r="T68" s="34"/>
      <c r="U68" s="34"/>
      <c r="V68" s="34"/>
      <c r="W68" s="34"/>
      <c r="X68" s="34"/>
      <c r="Y68" s="34"/>
      <c r="Z68" s="120"/>
      <c r="AA68" s="120"/>
      <c r="AB68" s="120"/>
      <c r="AC68" s="34"/>
      <c r="AD68" s="118">
        <f t="shared" si="0"/>
        <v>0</v>
      </c>
      <c r="AE68" s="119">
        <f t="shared" si="1"/>
        <v>0</v>
      </c>
      <c r="AH68" s="3"/>
      <c r="AI68" s="23"/>
      <c r="AJ68" s="23"/>
      <c r="AK68" s="54"/>
      <c r="AL68" s="3"/>
      <c r="AM68" s="3"/>
      <c r="AN68" s="3"/>
      <c r="AO68" s="3"/>
      <c r="AP68" s="3"/>
      <c r="AQ68" s="3"/>
      <c r="AR68" s="3"/>
      <c r="AS68" s="3"/>
      <c r="AT68" s="3"/>
      <c r="AU68" s="3"/>
      <c r="AV68" s="3"/>
      <c r="AW68" s="3"/>
      <c r="AX68" s="3"/>
    </row>
    <row r="69" spans="1:50" ht="16.5" hidden="1">
      <c r="A69" s="108"/>
      <c r="B69" s="8"/>
      <c r="C69" s="109"/>
      <c r="D69" s="110"/>
      <c r="E69" s="111"/>
      <c r="F69" s="112"/>
      <c r="G69" s="113"/>
      <c r="H69" s="34"/>
      <c r="I69" s="34"/>
      <c r="J69" s="115"/>
      <c r="K69" s="34"/>
      <c r="L69" s="34"/>
      <c r="M69" s="34"/>
      <c r="N69" s="34"/>
      <c r="O69" s="34"/>
      <c r="P69" s="34"/>
      <c r="Q69" s="34"/>
      <c r="R69" s="34"/>
      <c r="S69" s="34"/>
      <c r="T69" s="34"/>
      <c r="U69" s="34"/>
      <c r="V69" s="34"/>
      <c r="W69" s="34"/>
      <c r="X69" s="34"/>
      <c r="Y69" s="34"/>
      <c r="Z69" s="120"/>
      <c r="AA69" s="120"/>
      <c r="AB69" s="120"/>
      <c r="AC69" s="34"/>
      <c r="AD69" s="118">
        <f t="shared" si="0"/>
        <v>0</v>
      </c>
      <c r="AE69" s="119">
        <f t="shared" si="1"/>
        <v>0</v>
      </c>
      <c r="AH69" s="3"/>
      <c r="AI69" s="23"/>
      <c r="AJ69" s="23"/>
      <c r="AK69" s="54"/>
      <c r="AL69" s="3"/>
      <c r="AM69" s="3"/>
      <c r="AN69" s="3"/>
      <c r="AO69" s="3"/>
      <c r="AP69" s="3"/>
      <c r="AQ69" s="3"/>
      <c r="AR69" s="3"/>
      <c r="AS69" s="3"/>
      <c r="AT69" s="3"/>
      <c r="AU69" s="3"/>
      <c r="AV69" s="3"/>
      <c r="AW69" s="3"/>
      <c r="AX69" s="3"/>
    </row>
    <row r="70" spans="1:50" ht="16.5" hidden="1">
      <c r="A70" s="108"/>
      <c r="B70" s="8"/>
      <c r="C70" s="109"/>
      <c r="D70" s="124"/>
      <c r="E70" s="111"/>
      <c r="F70" s="112"/>
      <c r="G70" s="113"/>
      <c r="H70" s="71"/>
      <c r="I70" s="71"/>
      <c r="J70" s="88"/>
      <c r="K70" s="71"/>
      <c r="L70" s="71"/>
      <c r="M70" s="71"/>
      <c r="N70" s="71"/>
      <c r="O70" s="71"/>
      <c r="P70" s="71"/>
      <c r="Q70" s="71"/>
      <c r="R70" s="71"/>
      <c r="S70" s="71"/>
      <c r="T70" s="71"/>
      <c r="U70" s="71"/>
      <c r="V70" s="71"/>
      <c r="W70" s="71"/>
      <c r="X70" s="71"/>
      <c r="Y70" s="71"/>
      <c r="Z70" s="122"/>
      <c r="AA70" s="122"/>
      <c r="AB70" s="122"/>
      <c r="AC70" s="71"/>
      <c r="AD70" s="118">
        <f t="shared" si="0"/>
        <v>0</v>
      </c>
      <c r="AE70" s="119">
        <f t="shared" si="1"/>
        <v>0</v>
      </c>
      <c r="AH70" s="3"/>
      <c r="AI70" s="23"/>
      <c r="AJ70" s="23"/>
      <c r="AK70" s="54"/>
      <c r="AL70" s="3"/>
      <c r="AM70" s="3"/>
      <c r="AN70" s="3"/>
      <c r="AO70" s="3"/>
      <c r="AP70" s="3"/>
      <c r="AQ70" s="3"/>
      <c r="AR70" s="3"/>
      <c r="AS70" s="3"/>
      <c r="AT70" s="3"/>
      <c r="AU70" s="3"/>
      <c r="AV70" s="3"/>
      <c r="AW70" s="3"/>
      <c r="AX70" s="3"/>
    </row>
    <row r="71" spans="1:50" ht="15.75" thickBot="1">
      <c r="A71" s="125" t="s">
        <v>427</v>
      </c>
      <c r="B71" s="126"/>
      <c r="C71" s="31"/>
      <c r="D71" s="127"/>
      <c r="E71" s="127"/>
      <c r="F71" s="127"/>
      <c r="G71" s="128">
        <f>SUM(G52:G61)</f>
        <v>0</v>
      </c>
      <c r="H71" s="129">
        <f t="shared" ref="H71:AD71" si="2">SUM(H8:H61)</f>
        <v>0</v>
      </c>
      <c r="I71" s="130">
        <f t="shared" si="2"/>
        <v>0</v>
      </c>
      <c r="J71" s="130">
        <f t="shared" si="2"/>
        <v>0</v>
      </c>
      <c r="K71" s="130">
        <f t="shared" si="2"/>
        <v>0</v>
      </c>
      <c r="L71" s="130">
        <f t="shared" si="2"/>
        <v>0</v>
      </c>
      <c r="M71" s="130">
        <f t="shared" si="2"/>
        <v>0</v>
      </c>
      <c r="N71" s="130">
        <f t="shared" si="2"/>
        <v>0</v>
      </c>
      <c r="O71" s="130">
        <f t="shared" si="2"/>
        <v>0</v>
      </c>
      <c r="P71" s="130">
        <f>SUM(P8:P61)</f>
        <v>4</v>
      </c>
      <c r="Q71" s="130">
        <f t="shared" si="2"/>
        <v>4</v>
      </c>
      <c r="R71" s="130">
        <f t="shared" si="2"/>
        <v>0</v>
      </c>
      <c r="S71" s="130">
        <f t="shared" si="2"/>
        <v>0</v>
      </c>
      <c r="T71" s="130">
        <f t="shared" si="2"/>
        <v>0</v>
      </c>
      <c r="U71" s="130">
        <f t="shared" si="2"/>
        <v>0</v>
      </c>
      <c r="V71" s="131">
        <f>SUM(V8:V61)</f>
        <v>4</v>
      </c>
      <c r="W71" s="130">
        <f t="shared" si="2"/>
        <v>0</v>
      </c>
      <c r="X71" s="130">
        <f t="shared" si="2"/>
        <v>0</v>
      </c>
      <c r="Y71" s="130">
        <f t="shared" si="2"/>
        <v>0</v>
      </c>
      <c r="Z71" s="130">
        <f t="shared" si="2"/>
        <v>15</v>
      </c>
      <c r="AA71" s="130">
        <f t="shared" si="2"/>
        <v>0</v>
      </c>
      <c r="AB71" s="130">
        <f t="shared" si="2"/>
        <v>0</v>
      </c>
      <c r="AC71" s="130">
        <f t="shared" si="2"/>
        <v>0</v>
      </c>
      <c r="AD71" s="133">
        <f t="shared" si="2"/>
        <v>27</v>
      </c>
      <c r="AE71" s="48">
        <f>SUM(AE8:AE61)</f>
        <v>0</v>
      </c>
      <c r="AH71" s="3"/>
      <c r="AI71" s="3"/>
      <c r="AJ71" s="3"/>
      <c r="AK71" s="3"/>
      <c r="AL71" s="3"/>
      <c r="AM71" s="3"/>
      <c r="AN71" s="3"/>
      <c r="AO71" s="3"/>
      <c r="AP71" s="3"/>
      <c r="AQ71" s="3"/>
      <c r="AR71" s="3"/>
      <c r="AS71" s="3"/>
      <c r="AT71" s="3"/>
      <c r="AU71" s="3"/>
      <c r="AV71" s="3"/>
      <c r="AW71" s="3"/>
      <c r="AX71" s="3"/>
    </row>
    <row r="72" spans="1:50" ht="17.25" thickTop="1">
      <c r="A72" s="20" t="s">
        <v>45</v>
      </c>
      <c r="B72" s="1"/>
      <c r="C72" s="3"/>
      <c r="D72" s="111"/>
      <c r="E72" s="111"/>
      <c r="F72" s="112"/>
      <c r="G72" s="111"/>
      <c r="H72" s="21">
        <f>H71/$AD$71</f>
        <v>0</v>
      </c>
      <c r="I72" s="21">
        <f t="shared" ref="I72:AB72" si="3">I71/$AD$71</f>
        <v>0</v>
      </c>
      <c r="J72" s="21">
        <f t="shared" si="3"/>
        <v>0</v>
      </c>
      <c r="K72" s="21">
        <f t="shared" si="3"/>
        <v>0</v>
      </c>
      <c r="L72" s="21">
        <f t="shared" si="3"/>
        <v>0</v>
      </c>
      <c r="M72" s="21">
        <f t="shared" si="3"/>
        <v>0</v>
      </c>
      <c r="N72" s="21">
        <f t="shared" si="3"/>
        <v>0</v>
      </c>
      <c r="O72" s="21">
        <f t="shared" si="3"/>
        <v>0</v>
      </c>
      <c r="P72" s="21">
        <f t="shared" si="3"/>
        <v>0.14814814814814814</v>
      </c>
      <c r="Q72" s="21">
        <f t="shared" si="3"/>
        <v>0.14814814814814814</v>
      </c>
      <c r="R72" s="21">
        <f t="shared" si="3"/>
        <v>0</v>
      </c>
      <c r="S72" s="21">
        <f t="shared" si="3"/>
        <v>0</v>
      </c>
      <c r="T72" s="21">
        <f t="shared" si="3"/>
        <v>0</v>
      </c>
      <c r="U72" s="21">
        <f t="shared" si="3"/>
        <v>0</v>
      </c>
      <c r="V72" s="21">
        <f t="shared" si="3"/>
        <v>0.14814814814814814</v>
      </c>
      <c r="W72" s="21">
        <f t="shared" si="3"/>
        <v>0</v>
      </c>
      <c r="X72" s="21">
        <f t="shared" si="3"/>
        <v>0</v>
      </c>
      <c r="Y72" s="21">
        <f t="shared" si="3"/>
        <v>0</v>
      </c>
      <c r="Z72" s="21">
        <f t="shared" si="3"/>
        <v>0.55555555555555558</v>
      </c>
      <c r="AA72" s="21">
        <f t="shared" si="3"/>
        <v>0</v>
      </c>
      <c r="AB72" s="21">
        <f t="shared" si="3"/>
        <v>0</v>
      </c>
      <c r="AC72" s="21"/>
      <c r="AD72" s="3"/>
      <c r="AH72" s="3"/>
      <c r="AI72" s="3"/>
      <c r="AJ72" s="3"/>
      <c r="AK72" s="3"/>
      <c r="AL72" s="3"/>
      <c r="AM72" s="3"/>
      <c r="AN72" s="3"/>
      <c r="AO72" s="3"/>
      <c r="AP72" s="3"/>
      <c r="AQ72" s="3"/>
      <c r="AR72" s="3"/>
      <c r="AS72" s="3"/>
      <c r="AT72" s="3"/>
      <c r="AU72" s="3"/>
      <c r="AV72" s="3"/>
      <c r="AW72" s="3"/>
      <c r="AX72" s="3"/>
    </row>
    <row r="73" spans="1:50" ht="16.5">
      <c r="A73" s="20"/>
      <c r="B73" s="1"/>
      <c r="C73" s="3"/>
      <c r="D73" s="111"/>
      <c r="E73" s="111"/>
      <c r="F73" s="112"/>
      <c r="G73" s="111"/>
      <c r="H73" s="3"/>
      <c r="I73" s="36" t="s">
        <v>428</v>
      </c>
      <c r="J73" s="3"/>
      <c r="K73" s="37"/>
      <c r="L73" s="37"/>
      <c r="M73" s="3"/>
      <c r="N73" s="3"/>
      <c r="O73" s="3"/>
      <c r="P73" s="3"/>
      <c r="Q73" s="3"/>
      <c r="R73" s="3"/>
      <c r="S73" s="3"/>
      <c r="T73" s="3"/>
      <c r="U73" s="3"/>
      <c r="V73" s="3"/>
      <c r="W73" s="3"/>
      <c r="X73" s="3"/>
      <c r="Y73" s="3"/>
      <c r="Z73" s="3"/>
      <c r="AA73" s="3"/>
      <c r="AB73" s="3"/>
      <c r="AC73" s="3"/>
      <c r="AD73" s="3"/>
      <c r="AE73" s="134"/>
      <c r="AH73" s="3"/>
      <c r="AI73" s="3"/>
      <c r="AJ73" s="3"/>
      <c r="AK73" s="3"/>
      <c r="AL73" s="3"/>
      <c r="AM73" s="3"/>
      <c r="AN73" s="3"/>
      <c r="AO73" s="3"/>
      <c r="AP73" s="3"/>
      <c r="AQ73" s="3"/>
      <c r="AR73" s="3"/>
      <c r="AS73" s="3"/>
      <c r="AT73" s="3"/>
      <c r="AU73" s="3"/>
      <c r="AV73" s="3"/>
      <c r="AW73" s="3"/>
      <c r="AX73" s="3"/>
    </row>
    <row r="74" spans="1:50" ht="15">
      <c r="A74" s="1"/>
      <c r="B74" s="22"/>
      <c r="F74" s="23"/>
      <c r="G74" s="23"/>
      <c r="H74" s="3"/>
      <c r="I74" s="38">
        <f>COUNT(I8:I61)</f>
        <v>0</v>
      </c>
      <c r="J74" s="3"/>
      <c r="K74" s="24"/>
      <c r="L74" s="24"/>
      <c r="M74" s="24">
        <f>289-240</f>
        <v>49</v>
      </c>
      <c r="N74" s="24"/>
      <c r="O74" s="24"/>
      <c r="P74" s="24"/>
      <c r="Q74" s="24"/>
      <c r="R74" s="24"/>
      <c r="S74" s="24"/>
      <c r="T74" s="24"/>
      <c r="U74" s="24"/>
      <c r="V74" s="24"/>
      <c r="W74" s="24"/>
      <c r="X74" s="24"/>
      <c r="Y74" s="24"/>
      <c r="Z74" s="3"/>
      <c r="AA74" s="3"/>
      <c r="AB74" s="3"/>
      <c r="AC74" s="3"/>
      <c r="AD74" s="3"/>
      <c r="AH74" s="3"/>
      <c r="AI74" s="3"/>
      <c r="AJ74" s="3"/>
      <c r="AK74" s="3"/>
      <c r="AL74" s="3"/>
      <c r="AM74" s="3"/>
      <c r="AN74" s="3"/>
      <c r="AO74" s="3"/>
      <c r="AP74" s="3"/>
      <c r="AQ74" s="3"/>
      <c r="AR74" s="3"/>
      <c r="AS74" s="3"/>
      <c r="AT74" s="3"/>
      <c r="AU74" s="3"/>
      <c r="AV74" s="3"/>
      <c r="AW74" s="3"/>
      <c r="AX74" s="3"/>
    </row>
    <row r="75" spans="1:50">
      <c r="A75" s="1"/>
      <c r="B75" s="22"/>
      <c r="C75" s="24"/>
      <c r="D75" s="24"/>
      <c r="E75" s="24"/>
      <c r="F75" s="23" t="s">
        <v>209</v>
      </c>
      <c r="G75" s="23"/>
      <c r="H75" s="97">
        <f>SUM(Jul!H61,Aug!H68,Sept!H55,Oct!H71)</f>
        <v>192</v>
      </c>
      <c r="I75" s="97">
        <f>SUM(Jul!I61,Aug!I68,Sept!I55,Oct!I71)</f>
        <v>3861</v>
      </c>
      <c r="J75" s="97">
        <f>SUM(Jul!J61,Aug!J68,Sept!J55,Oct!J71)</f>
        <v>3841</v>
      </c>
      <c r="K75" s="3"/>
      <c r="L75" s="3"/>
      <c r="M75" s="3"/>
      <c r="N75" s="3"/>
      <c r="O75" s="3"/>
      <c r="P75" s="3"/>
      <c r="Q75" s="3"/>
      <c r="R75" s="3"/>
      <c r="S75" s="3"/>
      <c r="T75" s="3"/>
      <c r="U75" s="3"/>
      <c r="V75" s="3"/>
      <c r="W75" s="3"/>
      <c r="X75" s="3"/>
      <c r="Y75" s="3"/>
      <c r="Z75" s="3"/>
      <c r="AA75" s="3"/>
      <c r="AB75" s="3"/>
      <c r="AC75" s="3"/>
      <c r="AD75" s="3"/>
      <c r="AH75" s="3"/>
      <c r="AI75" s="3"/>
      <c r="AJ75" s="3"/>
      <c r="AK75" s="3"/>
      <c r="AL75" s="3"/>
      <c r="AM75" s="3"/>
      <c r="AN75" s="3"/>
      <c r="AO75" s="3"/>
      <c r="AP75" s="3"/>
      <c r="AQ75" s="3"/>
      <c r="AR75" s="3"/>
      <c r="AS75" s="3"/>
      <c r="AT75" s="3"/>
      <c r="AU75" s="3"/>
      <c r="AV75" s="3"/>
      <c r="AW75" s="3"/>
      <c r="AX75" s="3"/>
    </row>
    <row r="76" spans="1:50" ht="13.5" customHeight="1">
      <c r="A76" s="1"/>
      <c r="B76" s="22"/>
      <c r="C76" s="24"/>
      <c r="D76" s="25"/>
      <c r="E76" s="25"/>
      <c r="F76" s="23"/>
      <c r="G76" s="23"/>
      <c r="H76" s="3"/>
      <c r="I76" s="1"/>
      <c r="J76" s="3"/>
      <c r="K76" s="24"/>
      <c r="L76" s="24"/>
      <c r="M76" s="24"/>
      <c r="N76" s="24"/>
      <c r="O76" s="24"/>
      <c r="P76" s="24"/>
      <c r="Q76" s="24"/>
      <c r="R76" s="24"/>
      <c r="S76" s="24"/>
      <c r="T76" s="24"/>
      <c r="U76" s="24"/>
      <c r="V76" s="71"/>
      <c r="W76" s="24"/>
      <c r="X76" s="24"/>
      <c r="Y76" s="24"/>
      <c r="Z76" s="3"/>
      <c r="AA76" s="3"/>
      <c r="AB76" s="3"/>
      <c r="AC76" s="3"/>
      <c r="AD76" s="3"/>
      <c r="AH76" s="3"/>
      <c r="AI76" s="3"/>
      <c r="AJ76" s="3"/>
      <c r="AK76" s="3"/>
      <c r="AL76" s="3"/>
      <c r="AM76" s="3"/>
      <c r="AN76" s="3"/>
      <c r="AO76" s="3"/>
      <c r="AP76" s="3"/>
      <c r="AQ76" s="3"/>
      <c r="AR76" s="3"/>
      <c r="AS76" s="3"/>
      <c r="AT76" s="3"/>
      <c r="AU76" s="3"/>
      <c r="AV76" s="3"/>
      <c r="AW76" s="3"/>
    </row>
    <row r="77" spans="1:50" ht="15" customHeight="1">
      <c r="A77" s="26"/>
      <c r="B77" s="26"/>
      <c r="C77" s="24"/>
      <c r="D77" s="25"/>
      <c r="E77" s="25"/>
      <c r="F77" s="29"/>
      <c r="G77" s="29"/>
      <c r="H77" s="679" t="s">
        <v>433</v>
      </c>
      <c r="I77" s="679"/>
      <c r="J77" s="679"/>
      <c r="K77" s="679"/>
      <c r="L77" s="679"/>
      <c r="M77" s="679"/>
      <c r="N77" s="679"/>
      <c r="O77" s="24"/>
      <c r="P77" s="680" t="s">
        <v>434</v>
      </c>
      <c r="Q77" s="680"/>
      <c r="R77" s="680"/>
      <c r="S77" s="680"/>
      <c r="T77" s="680"/>
      <c r="U77" s="132"/>
      <c r="V77" s="71"/>
      <c r="W77" s="132"/>
      <c r="X77" s="132"/>
      <c r="Y77" s="132"/>
      <c r="Z77" s="3"/>
      <c r="AA77" s="3"/>
      <c r="AB77" s="3"/>
      <c r="AC77" s="3"/>
      <c r="AD77" s="3"/>
    </row>
    <row r="78" spans="1:50" ht="25.5">
      <c r="A78" s="1"/>
      <c r="B78" s="1"/>
      <c r="C78" s="3"/>
      <c r="D78" s="3"/>
      <c r="E78" s="3"/>
      <c r="F78" s="3"/>
      <c r="G78" s="3"/>
      <c r="H78" s="30" t="s">
        <v>81</v>
      </c>
      <c r="I78" s="30" t="s">
        <v>435</v>
      </c>
      <c r="J78" s="30" t="s">
        <v>436</v>
      </c>
      <c r="K78" s="30" t="s">
        <v>437</v>
      </c>
      <c r="L78" s="66" t="s">
        <v>438</v>
      </c>
      <c r="M78" s="66" t="s">
        <v>439</v>
      </c>
      <c r="N78" s="66" t="s">
        <v>440</v>
      </c>
      <c r="O78" s="26"/>
      <c r="P78" s="67" t="s">
        <v>81</v>
      </c>
      <c r="Q78" s="67" t="s">
        <v>435</v>
      </c>
      <c r="R78" s="39" t="s">
        <v>436</v>
      </c>
      <c r="S78" s="39" t="s">
        <v>437</v>
      </c>
      <c r="T78" s="73" t="s">
        <v>441</v>
      </c>
      <c r="U78" s="3"/>
      <c r="V78" s="3"/>
      <c r="W78" s="3"/>
      <c r="X78" s="3"/>
      <c r="Y78" s="3"/>
      <c r="Z78" s="3"/>
      <c r="AA78" s="3"/>
      <c r="AB78" s="3"/>
      <c r="AC78" s="3"/>
      <c r="AD78" s="3"/>
    </row>
    <row r="79" spans="1:50">
      <c r="A79" s="1"/>
      <c r="B79" s="1"/>
      <c r="C79" s="3"/>
      <c r="D79" s="3"/>
      <c r="E79" s="3"/>
      <c r="F79" s="3"/>
      <c r="G79" s="3"/>
      <c r="H79" s="65">
        <f t="shared" ref="H79:H99" si="4">B8</f>
        <v>46296</v>
      </c>
      <c r="I79" s="1" t="str">
        <f t="shared" ref="I79:I99" si="5">C8</f>
        <v>STAR MALT</v>
      </c>
      <c r="J79" s="23">
        <f t="shared" ref="J79:J99" si="6">E8</f>
        <v>0</v>
      </c>
      <c r="K79" s="23">
        <f t="shared" ref="K79:K99" si="7">F8</f>
        <v>0</v>
      </c>
      <c r="L79" s="785">
        <f>K80-J79</f>
        <v>0</v>
      </c>
      <c r="M79" s="784"/>
      <c r="N79" s="69">
        <f t="shared" ref="N79:N134" si="8">M79-(H8+K8+L8+M8+N8+AA8+AB8+Z8+AC8)</f>
        <v>-15</v>
      </c>
      <c r="O79" s="3"/>
      <c r="P79" s="65">
        <f>Oct!B8</f>
        <v>46296</v>
      </c>
      <c r="Q79" s="23" t="str">
        <f t="shared" ref="Q79:Q99" si="9">C8</f>
        <v>STAR MALT</v>
      </c>
      <c r="R79" s="23">
        <f t="shared" ref="R79:S79" si="10">E8</f>
        <v>0</v>
      </c>
      <c r="S79" s="23">
        <f t="shared" si="10"/>
        <v>0</v>
      </c>
      <c r="T79" s="668">
        <f>S81-R79</f>
        <v>0</v>
      </c>
      <c r="U79" s="3"/>
      <c r="V79" s="3"/>
      <c r="W79" s="3"/>
      <c r="X79" s="3"/>
      <c r="Y79" s="3"/>
      <c r="Z79" s="3"/>
      <c r="AA79" s="3"/>
      <c r="AB79" s="3"/>
      <c r="AC79" s="3"/>
      <c r="AD79" s="3"/>
    </row>
    <row r="80" spans="1:50">
      <c r="H80" s="65">
        <f t="shared" si="4"/>
        <v>0</v>
      </c>
      <c r="I80" s="1">
        <f t="shared" si="5"/>
        <v>0</v>
      </c>
      <c r="J80" s="23">
        <f t="shared" si="6"/>
        <v>0</v>
      </c>
      <c r="K80" s="23">
        <f t="shared" si="7"/>
        <v>0</v>
      </c>
      <c r="L80" s="785"/>
      <c r="M80" s="784"/>
      <c r="N80" s="69">
        <f t="shared" si="8"/>
        <v>0</v>
      </c>
      <c r="O80" s="3"/>
      <c r="P80" s="65">
        <f>Oct!B9</f>
        <v>0</v>
      </c>
      <c r="Q80" s="23">
        <f t="shared" si="9"/>
        <v>0</v>
      </c>
      <c r="R80" s="23">
        <f t="shared" ref="R80:R124" si="11">E9</f>
        <v>0</v>
      </c>
      <c r="S80" s="23">
        <f t="shared" ref="S80:S124" si="12">F9</f>
        <v>0</v>
      </c>
      <c r="T80" s="668"/>
      <c r="Z80" s="3"/>
      <c r="AA80" s="3"/>
      <c r="AB80" s="3"/>
      <c r="AC80" s="3"/>
      <c r="AD80" s="3"/>
    </row>
    <row r="81" spans="8:30">
      <c r="H81" s="65">
        <f t="shared" si="4"/>
        <v>0</v>
      </c>
      <c r="I81" s="1">
        <f t="shared" si="5"/>
        <v>0</v>
      </c>
      <c r="J81" s="23">
        <f t="shared" si="6"/>
        <v>0</v>
      </c>
      <c r="K81" s="23">
        <f t="shared" si="7"/>
        <v>0</v>
      </c>
      <c r="L81" s="68">
        <f t="shared" ref="L81:L122" si="13">K81-J81</f>
        <v>0</v>
      </c>
      <c r="M81" s="3"/>
      <c r="N81" s="69">
        <f t="shared" si="8"/>
        <v>0</v>
      </c>
      <c r="P81" s="65">
        <f>Oct!B10</f>
        <v>0</v>
      </c>
      <c r="Q81" s="23">
        <f t="shared" si="9"/>
        <v>0</v>
      </c>
      <c r="R81" s="23">
        <f t="shared" si="11"/>
        <v>0</v>
      </c>
      <c r="S81" s="23">
        <f t="shared" si="12"/>
        <v>0</v>
      </c>
      <c r="T81" s="668"/>
      <c r="Z81" s="3"/>
      <c r="AA81" s="3"/>
      <c r="AB81" s="3"/>
      <c r="AC81" s="3"/>
      <c r="AD81" s="3"/>
    </row>
    <row r="82" spans="8:30">
      <c r="H82" s="65">
        <f t="shared" si="4"/>
        <v>0</v>
      </c>
      <c r="I82" s="1">
        <f t="shared" si="5"/>
        <v>0</v>
      </c>
      <c r="J82" s="23">
        <f t="shared" si="6"/>
        <v>0</v>
      </c>
      <c r="K82" s="23">
        <f t="shared" si="7"/>
        <v>0</v>
      </c>
      <c r="L82" s="68">
        <f t="shared" si="13"/>
        <v>0</v>
      </c>
      <c r="M82" s="3"/>
      <c r="N82" s="69">
        <f t="shared" si="8"/>
        <v>0</v>
      </c>
      <c r="P82" s="65">
        <f>Oct!B11</f>
        <v>0</v>
      </c>
      <c r="Q82" s="23">
        <f t="shared" si="9"/>
        <v>0</v>
      </c>
      <c r="R82" s="23">
        <f t="shared" si="11"/>
        <v>0</v>
      </c>
      <c r="S82" s="23">
        <f t="shared" si="12"/>
        <v>0</v>
      </c>
      <c r="T82" s="668">
        <f>S84-R82</f>
        <v>0</v>
      </c>
    </row>
    <row r="83" spans="8:30">
      <c r="H83" s="65">
        <f t="shared" si="4"/>
        <v>0</v>
      </c>
      <c r="I83" s="1">
        <f t="shared" si="5"/>
        <v>0</v>
      </c>
      <c r="J83" s="23">
        <f t="shared" si="6"/>
        <v>0</v>
      </c>
      <c r="K83" s="23">
        <f t="shared" si="7"/>
        <v>0</v>
      </c>
      <c r="L83" s="68">
        <f t="shared" si="13"/>
        <v>0</v>
      </c>
      <c r="M83" s="3"/>
      <c r="N83" s="69">
        <f t="shared" si="8"/>
        <v>0</v>
      </c>
      <c r="P83" s="65">
        <f>Oct!B12</f>
        <v>0</v>
      </c>
      <c r="Q83" s="23">
        <f t="shared" si="9"/>
        <v>0</v>
      </c>
      <c r="R83" s="23">
        <f t="shared" si="11"/>
        <v>0</v>
      </c>
      <c r="S83" s="23">
        <f t="shared" si="12"/>
        <v>0</v>
      </c>
      <c r="T83" s="668"/>
    </row>
    <row r="84" spans="8:30">
      <c r="H84" s="65">
        <f t="shared" si="4"/>
        <v>0</v>
      </c>
      <c r="I84" s="1">
        <f t="shared" si="5"/>
        <v>0</v>
      </c>
      <c r="J84" s="23">
        <f t="shared" si="6"/>
        <v>0</v>
      </c>
      <c r="K84" s="23">
        <f t="shared" si="7"/>
        <v>0</v>
      </c>
      <c r="L84" s="68">
        <f t="shared" si="13"/>
        <v>0</v>
      </c>
      <c r="M84" s="3"/>
      <c r="N84" s="69">
        <f t="shared" si="8"/>
        <v>0</v>
      </c>
      <c r="P84" s="65">
        <f>Oct!B13</f>
        <v>0</v>
      </c>
      <c r="Q84" s="23">
        <f t="shared" si="9"/>
        <v>0</v>
      </c>
      <c r="R84" s="23">
        <f t="shared" si="11"/>
        <v>0</v>
      </c>
      <c r="S84" s="23">
        <f t="shared" si="12"/>
        <v>0</v>
      </c>
      <c r="T84" s="668"/>
    </row>
    <row r="85" spans="8:30">
      <c r="H85" s="65">
        <f t="shared" si="4"/>
        <v>0</v>
      </c>
      <c r="I85" s="1">
        <f t="shared" si="5"/>
        <v>0</v>
      </c>
      <c r="J85" s="23">
        <f t="shared" si="6"/>
        <v>0</v>
      </c>
      <c r="K85" s="23">
        <f t="shared" si="7"/>
        <v>0</v>
      </c>
      <c r="L85" s="68">
        <f t="shared" si="13"/>
        <v>0</v>
      </c>
      <c r="M85" s="3"/>
      <c r="N85" s="69">
        <f t="shared" si="8"/>
        <v>0</v>
      </c>
      <c r="P85" s="65">
        <f>Oct!B14</f>
        <v>0</v>
      </c>
      <c r="Q85" s="23">
        <f t="shared" si="9"/>
        <v>0</v>
      </c>
      <c r="R85" s="23">
        <f t="shared" si="11"/>
        <v>0</v>
      </c>
      <c r="S85" s="23">
        <f t="shared" si="12"/>
        <v>0</v>
      </c>
      <c r="T85" s="668">
        <f>S87-R85</f>
        <v>0</v>
      </c>
    </row>
    <row r="86" spans="8:30">
      <c r="H86" s="65">
        <f t="shared" si="4"/>
        <v>0</v>
      </c>
      <c r="I86" s="1">
        <f t="shared" si="5"/>
        <v>0</v>
      </c>
      <c r="J86" s="23">
        <f t="shared" si="6"/>
        <v>0</v>
      </c>
      <c r="K86" s="23">
        <f t="shared" si="7"/>
        <v>0</v>
      </c>
      <c r="L86" s="68">
        <f t="shared" si="13"/>
        <v>0</v>
      </c>
      <c r="M86" s="3"/>
      <c r="N86" s="69">
        <f t="shared" si="8"/>
        <v>0</v>
      </c>
      <c r="P86" s="65">
        <f>Oct!B15</f>
        <v>0</v>
      </c>
      <c r="Q86" s="23">
        <f t="shared" si="9"/>
        <v>0</v>
      </c>
      <c r="R86" s="23">
        <f t="shared" si="11"/>
        <v>0</v>
      </c>
      <c r="S86" s="23">
        <f t="shared" si="12"/>
        <v>0</v>
      </c>
      <c r="T86" s="668"/>
    </row>
    <row r="87" spans="8:30">
      <c r="H87" s="65">
        <f t="shared" si="4"/>
        <v>0</v>
      </c>
      <c r="I87" s="1">
        <f t="shared" si="5"/>
        <v>0</v>
      </c>
      <c r="J87" s="23">
        <f t="shared" si="6"/>
        <v>0</v>
      </c>
      <c r="K87" s="23">
        <f t="shared" si="7"/>
        <v>0</v>
      </c>
      <c r="L87" s="68">
        <f t="shared" si="13"/>
        <v>0</v>
      </c>
      <c r="M87" s="3"/>
      <c r="N87" s="69">
        <f t="shared" si="8"/>
        <v>0</v>
      </c>
      <c r="P87" s="65">
        <f>Oct!B16</f>
        <v>0</v>
      </c>
      <c r="Q87" s="23">
        <f t="shared" si="9"/>
        <v>0</v>
      </c>
      <c r="R87" s="23">
        <f t="shared" si="11"/>
        <v>0</v>
      </c>
      <c r="S87" s="23">
        <f t="shared" si="12"/>
        <v>0</v>
      </c>
      <c r="T87" s="668"/>
    </row>
    <row r="88" spans="8:30">
      <c r="H88" s="65">
        <f t="shared" si="4"/>
        <v>0</v>
      </c>
      <c r="I88" s="1">
        <f t="shared" si="5"/>
        <v>0</v>
      </c>
      <c r="J88" s="23">
        <f t="shared" si="6"/>
        <v>0</v>
      </c>
      <c r="K88" s="23">
        <f t="shared" si="7"/>
        <v>0</v>
      </c>
      <c r="L88" s="68">
        <f t="shared" si="13"/>
        <v>0</v>
      </c>
      <c r="M88" s="3"/>
      <c r="N88" s="69">
        <f t="shared" si="8"/>
        <v>0</v>
      </c>
      <c r="P88" s="65">
        <f>Oct!B17</f>
        <v>0</v>
      </c>
      <c r="Q88" s="23">
        <f t="shared" si="9"/>
        <v>0</v>
      </c>
      <c r="R88" s="23">
        <f t="shared" si="11"/>
        <v>0</v>
      </c>
      <c r="S88" s="23">
        <f t="shared" si="12"/>
        <v>0</v>
      </c>
      <c r="T88" s="668">
        <f>S89-R88</f>
        <v>0</v>
      </c>
    </row>
    <row r="89" spans="8:30">
      <c r="H89" s="65">
        <f t="shared" si="4"/>
        <v>0</v>
      </c>
      <c r="I89" s="1">
        <f t="shared" si="5"/>
        <v>0</v>
      </c>
      <c r="J89" s="23">
        <f t="shared" si="6"/>
        <v>0</v>
      </c>
      <c r="K89" s="23">
        <f t="shared" si="7"/>
        <v>0</v>
      </c>
      <c r="L89" s="68">
        <f t="shared" si="13"/>
        <v>0</v>
      </c>
      <c r="M89" s="3"/>
      <c r="N89" s="69">
        <f t="shared" si="8"/>
        <v>0</v>
      </c>
      <c r="P89" s="65">
        <f>Oct!B18</f>
        <v>0</v>
      </c>
      <c r="Q89" s="23">
        <f t="shared" si="9"/>
        <v>0</v>
      </c>
      <c r="R89" s="23">
        <f t="shared" si="11"/>
        <v>0</v>
      </c>
      <c r="S89" s="23">
        <f t="shared" si="12"/>
        <v>0</v>
      </c>
      <c r="T89" s="668"/>
    </row>
    <row r="90" spans="8:30">
      <c r="H90" s="65">
        <f t="shared" si="4"/>
        <v>0</v>
      </c>
      <c r="I90" s="1">
        <f t="shared" si="5"/>
        <v>0</v>
      </c>
      <c r="J90" s="23">
        <f t="shared" si="6"/>
        <v>0</v>
      </c>
      <c r="K90" s="23">
        <f t="shared" si="7"/>
        <v>0</v>
      </c>
      <c r="L90" s="68">
        <f t="shared" si="13"/>
        <v>0</v>
      </c>
      <c r="M90" s="3"/>
      <c r="N90" s="69">
        <f t="shared" si="8"/>
        <v>0</v>
      </c>
      <c r="P90" s="65">
        <f>Oct!B19</f>
        <v>0</v>
      </c>
      <c r="Q90" s="23">
        <f t="shared" si="9"/>
        <v>0</v>
      </c>
      <c r="R90" s="23">
        <f t="shared" si="11"/>
        <v>0</v>
      </c>
      <c r="S90" s="23">
        <f t="shared" si="12"/>
        <v>0</v>
      </c>
      <c r="T90" s="668">
        <f>S91-R90</f>
        <v>0</v>
      </c>
    </row>
    <row r="91" spans="8:30">
      <c r="H91" s="65">
        <f t="shared" si="4"/>
        <v>0</v>
      </c>
      <c r="I91" s="1">
        <f t="shared" si="5"/>
        <v>0</v>
      </c>
      <c r="J91" s="23">
        <f t="shared" si="6"/>
        <v>0</v>
      </c>
      <c r="K91" s="23">
        <f t="shared" si="7"/>
        <v>0</v>
      </c>
      <c r="L91" s="68">
        <f t="shared" si="13"/>
        <v>0</v>
      </c>
      <c r="M91" s="3"/>
      <c r="N91" s="69">
        <f t="shared" si="8"/>
        <v>0</v>
      </c>
      <c r="P91" s="65">
        <f>Oct!B20</f>
        <v>0</v>
      </c>
      <c r="Q91" s="23">
        <f t="shared" si="9"/>
        <v>0</v>
      </c>
      <c r="R91" s="23">
        <f t="shared" si="11"/>
        <v>0</v>
      </c>
      <c r="S91" s="23">
        <f t="shared" si="12"/>
        <v>0</v>
      </c>
      <c r="T91" s="668"/>
    </row>
    <row r="92" spans="8:30">
      <c r="H92" s="65">
        <f t="shared" si="4"/>
        <v>0</v>
      </c>
      <c r="I92" s="1">
        <f t="shared" si="5"/>
        <v>0</v>
      </c>
      <c r="J92" s="23">
        <f t="shared" si="6"/>
        <v>0</v>
      </c>
      <c r="K92" s="23">
        <f t="shared" si="7"/>
        <v>0</v>
      </c>
      <c r="L92" s="68">
        <f t="shared" si="13"/>
        <v>0</v>
      </c>
      <c r="M92" s="3"/>
      <c r="N92" s="69">
        <f t="shared" si="8"/>
        <v>0</v>
      </c>
      <c r="P92" s="65">
        <f>Oct!B21</f>
        <v>0</v>
      </c>
      <c r="Q92" s="23">
        <f t="shared" si="9"/>
        <v>0</v>
      </c>
      <c r="R92" s="23">
        <f t="shared" si="11"/>
        <v>0</v>
      </c>
      <c r="S92" s="23">
        <f t="shared" si="12"/>
        <v>0</v>
      </c>
      <c r="T92" s="668">
        <f>S93-R92</f>
        <v>0</v>
      </c>
    </row>
    <row r="93" spans="8:30">
      <c r="H93" s="65">
        <f t="shared" si="4"/>
        <v>0</v>
      </c>
      <c r="I93" s="1">
        <f t="shared" si="5"/>
        <v>0</v>
      </c>
      <c r="J93" s="23">
        <f t="shared" si="6"/>
        <v>0</v>
      </c>
      <c r="K93" s="23">
        <f t="shared" si="7"/>
        <v>0</v>
      </c>
      <c r="L93" s="68">
        <f t="shared" si="13"/>
        <v>0</v>
      </c>
      <c r="M93" s="3"/>
      <c r="N93" s="69">
        <f t="shared" si="8"/>
        <v>0</v>
      </c>
      <c r="P93" s="65">
        <f>Oct!B22</f>
        <v>0</v>
      </c>
      <c r="Q93" s="23">
        <f t="shared" si="9"/>
        <v>0</v>
      </c>
      <c r="R93" s="23">
        <f t="shared" si="11"/>
        <v>0</v>
      </c>
      <c r="S93" s="23">
        <f t="shared" si="12"/>
        <v>0</v>
      </c>
      <c r="T93" s="668"/>
    </row>
    <row r="94" spans="8:30">
      <c r="H94" s="65">
        <f t="shared" si="4"/>
        <v>0</v>
      </c>
      <c r="I94" s="1">
        <f t="shared" si="5"/>
        <v>0</v>
      </c>
      <c r="J94" s="23">
        <f t="shared" si="6"/>
        <v>0</v>
      </c>
      <c r="K94" s="23">
        <f t="shared" si="7"/>
        <v>0</v>
      </c>
      <c r="L94" s="68">
        <f t="shared" si="13"/>
        <v>0</v>
      </c>
      <c r="M94" s="3"/>
      <c r="N94" s="69">
        <f t="shared" si="8"/>
        <v>0</v>
      </c>
      <c r="P94" s="65">
        <f>Oct!B23</f>
        <v>0</v>
      </c>
      <c r="Q94" s="23">
        <f t="shared" si="9"/>
        <v>0</v>
      </c>
      <c r="R94" s="23">
        <f t="shared" si="11"/>
        <v>0</v>
      </c>
      <c r="S94" s="23">
        <f t="shared" si="12"/>
        <v>0</v>
      </c>
      <c r="T94" s="668">
        <f>S95-R94</f>
        <v>0</v>
      </c>
    </row>
    <row r="95" spans="8:30">
      <c r="H95" s="65">
        <f t="shared" si="4"/>
        <v>0</v>
      </c>
      <c r="I95" s="1">
        <f t="shared" si="5"/>
        <v>0</v>
      </c>
      <c r="J95" s="23">
        <f t="shared" si="6"/>
        <v>0</v>
      </c>
      <c r="K95" s="23">
        <f t="shared" si="7"/>
        <v>0</v>
      </c>
      <c r="L95" s="68">
        <f t="shared" si="13"/>
        <v>0</v>
      </c>
      <c r="M95" s="3"/>
      <c r="N95" s="69">
        <f t="shared" si="8"/>
        <v>0</v>
      </c>
      <c r="P95" s="65">
        <f>Oct!B24</f>
        <v>0</v>
      </c>
      <c r="Q95" s="23">
        <f t="shared" si="9"/>
        <v>0</v>
      </c>
      <c r="R95" s="23">
        <f t="shared" si="11"/>
        <v>0</v>
      </c>
      <c r="S95" s="23">
        <f t="shared" si="12"/>
        <v>0</v>
      </c>
      <c r="T95" s="668"/>
    </row>
    <row r="96" spans="8:30">
      <c r="H96" s="65">
        <f>B25</f>
        <v>0</v>
      </c>
      <c r="I96" s="1">
        <f t="shared" si="5"/>
        <v>0</v>
      </c>
      <c r="J96" s="23">
        <f t="shared" si="6"/>
        <v>0</v>
      </c>
      <c r="K96" s="23">
        <f t="shared" si="7"/>
        <v>0</v>
      </c>
      <c r="L96" s="68">
        <f t="shared" si="13"/>
        <v>0</v>
      </c>
      <c r="M96" s="3"/>
      <c r="N96" s="69">
        <f t="shared" si="8"/>
        <v>0</v>
      </c>
      <c r="P96" s="65">
        <f>Oct!B25</f>
        <v>0</v>
      </c>
      <c r="Q96" s="23">
        <f t="shared" si="9"/>
        <v>0</v>
      </c>
      <c r="R96" s="23">
        <f t="shared" si="11"/>
        <v>0</v>
      </c>
      <c r="S96" s="23">
        <f t="shared" si="12"/>
        <v>0</v>
      </c>
      <c r="T96" s="668">
        <f>S97-R96</f>
        <v>0</v>
      </c>
    </row>
    <row r="97" spans="8:20">
      <c r="H97" s="65">
        <f>B26</f>
        <v>0</v>
      </c>
      <c r="I97" s="1">
        <f t="shared" si="5"/>
        <v>0</v>
      </c>
      <c r="J97" s="23">
        <f t="shared" si="6"/>
        <v>0</v>
      </c>
      <c r="K97" s="23">
        <f t="shared" si="7"/>
        <v>0</v>
      </c>
      <c r="L97" s="68">
        <f t="shared" si="13"/>
        <v>0</v>
      </c>
      <c r="M97" s="3"/>
      <c r="N97" s="69">
        <f t="shared" si="8"/>
        <v>0</v>
      </c>
      <c r="P97" s="65">
        <f>Oct!B26</f>
        <v>0</v>
      </c>
      <c r="Q97" s="23">
        <f t="shared" si="9"/>
        <v>0</v>
      </c>
      <c r="R97" s="23">
        <f t="shared" si="11"/>
        <v>0</v>
      </c>
      <c r="S97" s="23">
        <f t="shared" si="12"/>
        <v>0</v>
      </c>
      <c r="T97" s="668"/>
    </row>
    <row r="98" spans="8:20">
      <c r="H98" s="65">
        <f t="shared" si="4"/>
        <v>0</v>
      </c>
      <c r="I98" s="1">
        <f t="shared" si="5"/>
        <v>0</v>
      </c>
      <c r="J98" s="23">
        <f t="shared" si="6"/>
        <v>0</v>
      </c>
      <c r="K98" s="23">
        <f t="shared" si="7"/>
        <v>0</v>
      </c>
      <c r="L98" s="68">
        <f t="shared" si="13"/>
        <v>0</v>
      </c>
      <c r="M98" s="3"/>
      <c r="N98" s="69">
        <f t="shared" si="8"/>
        <v>0</v>
      </c>
      <c r="P98" s="65">
        <f>Oct!B27</f>
        <v>0</v>
      </c>
      <c r="Q98" s="23">
        <f t="shared" si="9"/>
        <v>0</v>
      </c>
      <c r="R98" s="23">
        <f t="shared" si="11"/>
        <v>0</v>
      </c>
      <c r="S98" s="23">
        <f t="shared" si="12"/>
        <v>0</v>
      </c>
      <c r="T98" s="75">
        <f>S98-R98</f>
        <v>0</v>
      </c>
    </row>
    <row r="99" spans="8:20">
      <c r="H99" s="65">
        <f t="shared" si="4"/>
        <v>0</v>
      </c>
      <c r="I99" s="1">
        <f t="shared" si="5"/>
        <v>0</v>
      </c>
      <c r="J99" s="23">
        <f t="shared" si="6"/>
        <v>0</v>
      </c>
      <c r="K99" s="23">
        <f t="shared" si="7"/>
        <v>0</v>
      </c>
      <c r="L99" s="68">
        <f t="shared" si="13"/>
        <v>0</v>
      </c>
      <c r="M99" s="3"/>
      <c r="N99" s="69">
        <f t="shared" si="8"/>
        <v>0</v>
      </c>
      <c r="P99" s="65">
        <f>Oct!B28</f>
        <v>0</v>
      </c>
      <c r="Q99" s="23">
        <f t="shared" si="9"/>
        <v>0</v>
      </c>
      <c r="R99" s="23">
        <f t="shared" si="11"/>
        <v>0</v>
      </c>
      <c r="S99" s="23">
        <f t="shared" si="12"/>
        <v>0</v>
      </c>
      <c r="T99" s="668">
        <f>S101-R99</f>
        <v>0</v>
      </c>
    </row>
    <row r="100" spans="8:20">
      <c r="H100" s="65">
        <f t="shared" ref="H100:H113" si="14">B29</f>
        <v>0</v>
      </c>
      <c r="I100" s="1">
        <f t="shared" ref="I100:I113" si="15">C29</f>
        <v>0</v>
      </c>
      <c r="J100" s="23">
        <f t="shared" ref="J100:J113" si="16">E29</f>
        <v>0</v>
      </c>
      <c r="K100" s="23">
        <f t="shared" ref="K100:K113" si="17">F29</f>
        <v>0</v>
      </c>
      <c r="L100" s="68">
        <f t="shared" si="13"/>
        <v>0</v>
      </c>
      <c r="M100" s="3"/>
      <c r="N100" s="69">
        <f t="shared" si="8"/>
        <v>0</v>
      </c>
      <c r="P100" s="65">
        <f>Oct!B29</f>
        <v>0</v>
      </c>
      <c r="Q100" s="23">
        <f t="shared" ref="Q100:Q116" si="18">C29</f>
        <v>0</v>
      </c>
      <c r="R100" s="23">
        <f t="shared" si="11"/>
        <v>0</v>
      </c>
      <c r="S100" s="23">
        <f t="shared" si="12"/>
        <v>0</v>
      </c>
      <c r="T100" s="668"/>
    </row>
    <row r="101" spans="8:20">
      <c r="H101" s="65">
        <f t="shared" si="14"/>
        <v>0</v>
      </c>
      <c r="I101" s="1">
        <f t="shared" si="15"/>
        <v>0</v>
      </c>
      <c r="J101" s="23">
        <f t="shared" si="16"/>
        <v>0</v>
      </c>
      <c r="K101" s="23">
        <f t="shared" si="17"/>
        <v>0</v>
      </c>
      <c r="L101" s="68">
        <f t="shared" si="13"/>
        <v>0</v>
      </c>
      <c r="M101" s="3"/>
      <c r="N101" s="69">
        <f t="shared" si="8"/>
        <v>0</v>
      </c>
      <c r="P101" s="65">
        <f>Oct!B30</f>
        <v>0</v>
      </c>
      <c r="Q101" s="23">
        <f t="shared" si="18"/>
        <v>0</v>
      </c>
      <c r="R101" s="23">
        <f t="shared" si="11"/>
        <v>0</v>
      </c>
      <c r="S101" s="23">
        <f t="shared" si="12"/>
        <v>0</v>
      </c>
      <c r="T101" s="668"/>
    </row>
    <row r="102" spans="8:20">
      <c r="H102" s="65">
        <f t="shared" si="14"/>
        <v>0</v>
      </c>
      <c r="I102" s="1">
        <f t="shared" si="15"/>
        <v>0</v>
      </c>
      <c r="J102" s="23">
        <f t="shared" si="16"/>
        <v>0</v>
      </c>
      <c r="K102" s="23">
        <f t="shared" si="17"/>
        <v>0</v>
      </c>
      <c r="L102" s="68">
        <f t="shared" si="13"/>
        <v>0</v>
      </c>
      <c r="M102" s="3"/>
      <c r="N102" s="69">
        <f t="shared" si="8"/>
        <v>0</v>
      </c>
      <c r="O102" s="70"/>
      <c r="P102" s="65">
        <f>Oct!B31</f>
        <v>0</v>
      </c>
      <c r="Q102" s="23">
        <f t="shared" si="18"/>
        <v>0</v>
      </c>
      <c r="R102" s="23">
        <f t="shared" si="11"/>
        <v>0</v>
      </c>
      <c r="S102" s="23">
        <f t="shared" si="12"/>
        <v>0</v>
      </c>
      <c r="T102" s="668">
        <f>S103-R102</f>
        <v>0</v>
      </c>
    </row>
    <row r="103" spans="8:20">
      <c r="H103" s="65">
        <f t="shared" si="14"/>
        <v>0</v>
      </c>
      <c r="I103" s="1">
        <f t="shared" si="15"/>
        <v>0</v>
      </c>
      <c r="J103" s="23">
        <f t="shared" si="16"/>
        <v>0</v>
      </c>
      <c r="K103" s="23">
        <f t="shared" si="17"/>
        <v>0</v>
      </c>
      <c r="L103" s="68">
        <f t="shared" si="13"/>
        <v>0</v>
      </c>
      <c r="M103" s="3"/>
      <c r="N103" s="69">
        <f t="shared" si="8"/>
        <v>0</v>
      </c>
      <c r="O103" s="70"/>
      <c r="P103" s="65">
        <f>Oct!B32</f>
        <v>0</v>
      </c>
      <c r="Q103" s="23">
        <f t="shared" si="18"/>
        <v>0</v>
      </c>
      <c r="R103" s="23">
        <f t="shared" si="11"/>
        <v>0</v>
      </c>
      <c r="S103" s="23">
        <f t="shared" si="12"/>
        <v>0</v>
      </c>
      <c r="T103" s="668"/>
    </row>
    <row r="104" spans="8:20">
      <c r="H104" s="65">
        <f t="shared" si="14"/>
        <v>0</v>
      </c>
      <c r="I104" s="1">
        <f t="shared" si="15"/>
        <v>0</v>
      </c>
      <c r="J104" s="23">
        <f t="shared" si="16"/>
        <v>0</v>
      </c>
      <c r="K104" s="23">
        <f t="shared" si="17"/>
        <v>0</v>
      </c>
      <c r="L104" s="68">
        <f t="shared" si="13"/>
        <v>0</v>
      </c>
      <c r="M104" s="3"/>
      <c r="N104" s="69">
        <f t="shared" si="8"/>
        <v>0</v>
      </c>
      <c r="O104" s="70"/>
      <c r="P104" s="65">
        <f>Oct!B33</f>
        <v>0</v>
      </c>
      <c r="Q104" s="23">
        <f t="shared" si="18"/>
        <v>0</v>
      </c>
      <c r="R104" s="23">
        <f t="shared" si="11"/>
        <v>0</v>
      </c>
      <c r="S104" s="23">
        <f t="shared" si="12"/>
        <v>0</v>
      </c>
      <c r="T104" s="668">
        <f>S105-R104</f>
        <v>0</v>
      </c>
    </row>
    <row r="105" spans="8:20">
      <c r="H105" s="65">
        <f t="shared" si="14"/>
        <v>0</v>
      </c>
      <c r="I105" s="1">
        <f t="shared" si="15"/>
        <v>0</v>
      </c>
      <c r="J105" s="23">
        <f t="shared" si="16"/>
        <v>0</v>
      </c>
      <c r="K105" s="23">
        <f t="shared" si="17"/>
        <v>0</v>
      </c>
      <c r="L105" s="68">
        <f t="shared" si="13"/>
        <v>0</v>
      </c>
      <c r="M105" s="3"/>
      <c r="N105" s="69">
        <f t="shared" si="8"/>
        <v>0</v>
      </c>
      <c r="O105" s="70"/>
      <c r="P105" s="65">
        <f>Oct!B34</f>
        <v>0</v>
      </c>
      <c r="Q105" s="23">
        <f t="shared" si="18"/>
        <v>0</v>
      </c>
      <c r="R105" s="23">
        <f t="shared" si="11"/>
        <v>0</v>
      </c>
      <c r="S105" s="23">
        <f t="shared" si="12"/>
        <v>0</v>
      </c>
      <c r="T105" s="668"/>
    </row>
    <row r="106" spans="8:20">
      <c r="H106" s="65">
        <f t="shared" si="14"/>
        <v>0</v>
      </c>
      <c r="I106" s="1">
        <f t="shared" si="15"/>
        <v>0</v>
      </c>
      <c r="J106" s="23">
        <f t="shared" si="16"/>
        <v>0</v>
      </c>
      <c r="K106" s="23">
        <f t="shared" si="17"/>
        <v>0</v>
      </c>
      <c r="L106" s="68">
        <f t="shared" si="13"/>
        <v>0</v>
      </c>
      <c r="M106" s="3"/>
      <c r="N106" s="69">
        <f t="shared" si="8"/>
        <v>0</v>
      </c>
      <c r="O106" s="70"/>
      <c r="P106" s="65">
        <f>Oct!B35</f>
        <v>0</v>
      </c>
      <c r="Q106" s="23">
        <f t="shared" si="18"/>
        <v>0</v>
      </c>
      <c r="R106" s="23">
        <f t="shared" si="11"/>
        <v>0</v>
      </c>
      <c r="S106" s="23">
        <f t="shared" si="12"/>
        <v>0</v>
      </c>
      <c r="T106" s="668">
        <f>S109-R106</f>
        <v>0</v>
      </c>
    </row>
    <row r="107" spans="8:20">
      <c r="H107" s="65">
        <f t="shared" si="14"/>
        <v>0</v>
      </c>
      <c r="I107" s="1">
        <f t="shared" si="15"/>
        <v>0</v>
      </c>
      <c r="J107" s="23">
        <f t="shared" si="16"/>
        <v>0</v>
      </c>
      <c r="K107" s="23">
        <f t="shared" si="17"/>
        <v>0</v>
      </c>
      <c r="L107" s="68">
        <f t="shared" si="13"/>
        <v>0</v>
      </c>
      <c r="M107" s="3"/>
      <c r="N107" s="69">
        <f t="shared" si="8"/>
        <v>0</v>
      </c>
      <c r="O107" s="70"/>
      <c r="P107" s="65">
        <f>Oct!B36</f>
        <v>0</v>
      </c>
      <c r="Q107" s="23">
        <f t="shared" si="18"/>
        <v>0</v>
      </c>
      <c r="R107" s="23">
        <f t="shared" si="11"/>
        <v>0</v>
      </c>
      <c r="S107" s="23">
        <f t="shared" si="12"/>
        <v>0</v>
      </c>
      <c r="T107" s="668"/>
    </row>
    <row r="108" spans="8:20">
      <c r="H108" s="65">
        <f t="shared" si="14"/>
        <v>0</v>
      </c>
      <c r="I108" s="1">
        <f t="shared" si="15"/>
        <v>0</v>
      </c>
      <c r="J108" s="23">
        <f t="shared" si="16"/>
        <v>0</v>
      </c>
      <c r="K108" s="23">
        <f t="shared" si="17"/>
        <v>0</v>
      </c>
      <c r="L108" s="68">
        <f t="shared" si="13"/>
        <v>0</v>
      </c>
      <c r="M108" s="3"/>
      <c r="N108" s="69">
        <f t="shared" si="8"/>
        <v>0</v>
      </c>
      <c r="P108" s="65">
        <f>Oct!B37</f>
        <v>0</v>
      </c>
      <c r="Q108" s="23">
        <f t="shared" si="18"/>
        <v>0</v>
      </c>
      <c r="R108" s="23">
        <f t="shared" si="11"/>
        <v>0</v>
      </c>
      <c r="S108" s="23">
        <f t="shared" si="12"/>
        <v>0</v>
      </c>
      <c r="T108" s="668"/>
    </row>
    <row r="109" spans="8:20">
      <c r="H109" s="65">
        <f t="shared" si="14"/>
        <v>0</v>
      </c>
      <c r="I109" s="1">
        <f t="shared" si="15"/>
        <v>0</v>
      </c>
      <c r="J109" s="23">
        <f t="shared" si="16"/>
        <v>0</v>
      </c>
      <c r="K109" s="23">
        <f t="shared" si="17"/>
        <v>0</v>
      </c>
      <c r="L109" s="68">
        <f t="shared" si="13"/>
        <v>0</v>
      </c>
      <c r="M109" s="3"/>
      <c r="N109" s="69">
        <f t="shared" si="8"/>
        <v>0</v>
      </c>
      <c r="P109" s="65">
        <f>Oct!B38</f>
        <v>0</v>
      </c>
      <c r="Q109" s="23">
        <f t="shared" si="18"/>
        <v>0</v>
      </c>
      <c r="R109" s="23">
        <f t="shared" si="11"/>
        <v>0</v>
      </c>
      <c r="S109" s="23">
        <f t="shared" si="12"/>
        <v>0</v>
      </c>
      <c r="T109" s="668"/>
    </row>
    <row r="110" spans="8:20">
      <c r="H110" s="65">
        <f t="shared" si="14"/>
        <v>0</v>
      </c>
      <c r="I110" s="1">
        <f t="shared" si="15"/>
        <v>0</v>
      </c>
      <c r="J110" s="23">
        <f t="shared" si="16"/>
        <v>0</v>
      </c>
      <c r="K110" s="23">
        <f t="shared" si="17"/>
        <v>0</v>
      </c>
      <c r="L110" s="68">
        <f t="shared" si="13"/>
        <v>0</v>
      </c>
      <c r="M110" s="3"/>
      <c r="N110" s="69">
        <f t="shared" si="8"/>
        <v>0</v>
      </c>
      <c r="P110" s="65">
        <f>Oct!B39</f>
        <v>0</v>
      </c>
      <c r="Q110" s="23">
        <f t="shared" si="18"/>
        <v>0</v>
      </c>
      <c r="R110" s="23">
        <f t="shared" si="11"/>
        <v>0</v>
      </c>
      <c r="S110" s="23">
        <f t="shared" si="12"/>
        <v>0</v>
      </c>
      <c r="T110" s="668">
        <f>S111-R110</f>
        <v>0</v>
      </c>
    </row>
    <row r="111" spans="8:20">
      <c r="H111" s="65">
        <f t="shared" si="14"/>
        <v>0</v>
      </c>
      <c r="I111" s="1">
        <f t="shared" si="15"/>
        <v>0</v>
      </c>
      <c r="J111" s="23">
        <f t="shared" si="16"/>
        <v>0</v>
      </c>
      <c r="K111" s="23">
        <f t="shared" si="17"/>
        <v>0</v>
      </c>
      <c r="L111" s="68">
        <f t="shared" si="13"/>
        <v>0</v>
      </c>
      <c r="M111" s="3"/>
      <c r="N111" s="69">
        <f t="shared" si="8"/>
        <v>0</v>
      </c>
      <c r="P111" s="65">
        <f>Oct!B40</f>
        <v>0</v>
      </c>
      <c r="Q111" s="23">
        <f t="shared" si="18"/>
        <v>0</v>
      </c>
      <c r="R111" s="23">
        <f t="shared" si="11"/>
        <v>0</v>
      </c>
      <c r="S111" s="23">
        <f t="shared" si="12"/>
        <v>0</v>
      </c>
      <c r="T111" s="668"/>
    </row>
    <row r="112" spans="8:20">
      <c r="H112" s="65">
        <f t="shared" si="14"/>
        <v>0</v>
      </c>
      <c r="I112" s="1">
        <f t="shared" si="15"/>
        <v>0</v>
      </c>
      <c r="J112" s="23">
        <f t="shared" si="16"/>
        <v>0</v>
      </c>
      <c r="K112" s="23">
        <f t="shared" si="17"/>
        <v>0</v>
      </c>
      <c r="L112" s="68">
        <f t="shared" si="13"/>
        <v>0</v>
      </c>
      <c r="M112" s="3"/>
      <c r="N112" s="69">
        <f t="shared" si="8"/>
        <v>0</v>
      </c>
      <c r="P112" s="65">
        <f>Oct!B41</f>
        <v>0</v>
      </c>
      <c r="Q112" s="23">
        <f t="shared" si="18"/>
        <v>0</v>
      </c>
      <c r="R112" s="23">
        <f t="shared" si="11"/>
        <v>0</v>
      </c>
      <c r="S112" s="23">
        <f t="shared" si="12"/>
        <v>0</v>
      </c>
      <c r="T112" s="668">
        <f>S114-R112</f>
        <v>0</v>
      </c>
    </row>
    <row r="113" spans="8:20">
      <c r="H113" s="65">
        <f t="shared" si="14"/>
        <v>0</v>
      </c>
      <c r="I113" s="1">
        <f t="shared" si="15"/>
        <v>0</v>
      </c>
      <c r="J113" s="23">
        <f t="shared" si="16"/>
        <v>0</v>
      </c>
      <c r="K113" s="23">
        <f t="shared" si="17"/>
        <v>0</v>
      </c>
      <c r="L113" s="68">
        <f t="shared" si="13"/>
        <v>0</v>
      </c>
      <c r="M113" s="3"/>
      <c r="N113" s="69">
        <f t="shared" si="8"/>
        <v>0</v>
      </c>
      <c r="P113" s="65">
        <f>Oct!B42</f>
        <v>0</v>
      </c>
      <c r="Q113" s="23">
        <f t="shared" si="18"/>
        <v>0</v>
      </c>
      <c r="R113" s="23">
        <f t="shared" si="11"/>
        <v>0</v>
      </c>
      <c r="S113" s="23">
        <f t="shared" si="12"/>
        <v>0</v>
      </c>
      <c r="T113" s="668"/>
    </row>
    <row r="114" spans="8:20">
      <c r="H114" s="65">
        <f t="shared" ref="H114:H127" si="19">B43</f>
        <v>0</v>
      </c>
      <c r="I114" s="1">
        <f t="shared" ref="I114:I127" si="20">C43</f>
        <v>0</v>
      </c>
      <c r="J114" s="23">
        <f t="shared" ref="J114:J136" si="21">E43</f>
        <v>0</v>
      </c>
      <c r="K114" s="23">
        <f t="shared" ref="K114:K136" si="22">F43</f>
        <v>0</v>
      </c>
      <c r="L114" s="68">
        <f t="shared" si="13"/>
        <v>0</v>
      </c>
      <c r="M114" s="3"/>
      <c r="N114" s="69">
        <f t="shared" si="8"/>
        <v>0</v>
      </c>
      <c r="P114" s="65">
        <f>Oct!B43</f>
        <v>0</v>
      </c>
      <c r="Q114" s="23">
        <f t="shared" si="18"/>
        <v>0</v>
      </c>
      <c r="R114" s="23">
        <f t="shared" si="11"/>
        <v>0</v>
      </c>
      <c r="S114" s="23">
        <f t="shared" si="12"/>
        <v>0</v>
      </c>
      <c r="T114" s="668"/>
    </row>
    <row r="115" spans="8:20">
      <c r="H115" s="65">
        <f t="shared" si="19"/>
        <v>0</v>
      </c>
      <c r="I115" s="1">
        <f t="shared" si="20"/>
        <v>0</v>
      </c>
      <c r="J115" s="23">
        <f t="shared" si="21"/>
        <v>0</v>
      </c>
      <c r="K115" s="23">
        <f t="shared" si="22"/>
        <v>0</v>
      </c>
      <c r="L115" s="68">
        <f t="shared" si="13"/>
        <v>0</v>
      </c>
      <c r="M115" s="3"/>
      <c r="N115" s="69">
        <f t="shared" si="8"/>
        <v>0</v>
      </c>
      <c r="P115" s="65">
        <f>Oct!B44</f>
        <v>0</v>
      </c>
      <c r="Q115" s="23">
        <f t="shared" si="18"/>
        <v>0</v>
      </c>
      <c r="R115" s="23">
        <f t="shared" si="11"/>
        <v>0</v>
      </c>
      <c r="S115" s="23">
        <f t="shared" si="12"/>
        <v>0</v>
      </c>
      <c r="T115" s="75">
        <f>S115-R115</f>
        <v>0</v>
      </c>
    </row>
    <row r="116" spans="8:20">
      <c r="H116" s="65">
        <f t="shared" si="19"/>
        <v>0</v>
      </c>
      <c r="I116" s="1">
        <f t="shared" si="20"/>
        <v>0</v>
      </c>
      <c r="J116" s="23">
        <f t="shared" si="21"/>
        <v>0</v>
      </c>
      <c r="K116" s="23">
        <f t="shared" si="22"/>
        <v>0</v>
      </c>
      <c r="L116" s="68">
        <f t="shared" si="13"/>
        <v>0</v>
      </c>
      <c r="M116" s="3"/>
      <c r="N116" s="69">
        <f t="shared" si="8"/>
        <v>0</v>
      </c>
      <c r="P116" s="65">
        <f>Oct!B45</f>
        <v>0</v>
      </c>
      <c r="Q116" s="23">
        <f t="shared" si="18"/>
        <v>0</v>
      </c>
      <c r="R116" s="23">
        <f t="shared" si="11"/>
        <v>0</v>
      </c>
      <c r="S116" s="23">
        <f t="shared" si="12"/>
        <v>0</v>
      </c>
      <c r="T116" s="668">
        <f>S117-R116</f>
        <v>0</v>
      </c>
    </row>
    <row r="117" spans="8:20">
      <c r="H117" s="65">
        <f t="shared" si="19"/>
        <v>0</v>
      </c>
      <c r="I117" s="1">
        <f t="shared" si="20"/>
        <v>0</v>
      </c>
      <c r="J117" s="23">
        <f t="shared" si="21"/>
        <v>0</v>
      </c>
      <c r="K117" s="23">
        <f t="shared" si="22"/>
        <v>0</v>
      </c>
      <c r="L117" s="68">
        <f t="shared" si="13"/>
        <v>0</v>
      </c>
      <c r="M117" s="3"/>
      <c r="N117" s="69">
        <f t="shared" si="8"/>
        <v>0</v>
      </c>
      <c r="P117" s="65">
        <f>Oct!B46</f>
        <v>0</v>
      </c>
      <c r="Q117" s="23">
        <f t="shared" ref="Q117:Q124" si="23">C46</f>
        <v>0</v>
      </c>
      <c r="R117" s="23">
        <f t="shared" si="11"/>
        <v>0</v>
      </c>
      <c r="S117" s="23">
        <f t="shared" si="12"/>
        <v>0</v>
      </c>
      <c r="T117" s="668"/>
    </row>
    <row r="118" spans="8:20">
      <c r="H118" s="65">
        <f t="shared" si="19"/>
        <v>0</v>
      </c>
      <c r="I118" s="1">
        <f t="shared" si="20"/>
        <v>0</v>
      </c>
      <c r="J118" s="23">
        <f t="shared" si="21"/>
        <v>0</v>
      </c>
      <c r="K118" s="23">
        <f t="shared" si="22"/>
        <v>0</v>
      </c>
      <c r="L118" s="68">
        <f t="shared" si="13"/>
        <v>0</v>
      </c>
      <c r="M118" s="3"/>
      <c r="N118" s="69">
        <f t="shared" si="8"/>
        <v>0</v>
      </c>
      <c r="P118" s="65">
        <f>Oct!B47</f>
        <v>0</v>
      </c>
      <c r="Q118" s="23">
        <f t="shared" si="23"/>
        <v>0</v>
      </c>
      <c r="R118" s="23">
        <f t="shared" si="11"/>
        <v>0</v>
      </c>
      <c r="S118" s="23">
        <f t="shared" si="12"/>
        <v>0</v>
      </c>
      <c r="T118" s="668">
        <f>S120-R118</f>
        <v>0</v>
      </c>
    </row>
    <row r="119" spans="8:20">
      <c r="H119" s="65">
        <f t="shared" si="19"/>
        <v>0</v>
      </c>
      <c r="I119" s="1">
        <f t="shared" si="20"/>
        <v>0</v>
      </c>
      <c r="J119" s="23">
        <f t="shared" si="21"/>
        <v>0</v>
      </c>
      <c r="K119" s="23">
        <f t="shared" si="22"/>
        <v>0</v>
      </c>
      <c r="L119" s="68">
        <f t="shared" si="13"/>
        <v>0</v>
      </c>
      <c r="M119" s="3"/>
      <c r="N119" s="69">
        <f t="shared" si="8"/>
        <v>0</v>
      </c>
      <c r="P119" s="65">
        <f>Oct!B48</f>
        <v>0</v>
      </c>
      <c r="Q119" s="23">
        <f t="shared" si="23"/>
        <v>0</v>
      </c>
      <c r="R119" s="23">
        <f t="shared" si="11"/>
        <v>0</v>
      </c>
      <c r="S119" s="23">
        <f t="shared" si="12"/>
        <v>0</v>
      </c>
      <c r="T119" s="668"/>
    </row>
    <row r="120" spans="8:20">
      <c r="H120" s="65">
        <f t="shared" si="19"/>
        <v>0</v>
      </c>
      <c r="I120" s="1">
        <f t="shared" si="20"/>
        <v>0</v>
      </c>
      <c r="J120" s="23">
        <f t="shared" si="21"/>
        <v>0</v>
      </c>
      <c r="K120" s="23">
        <f t="shared" si="22"/>
        <v>0</v>
      </c>
      <c r="L120" s="68">
        <f t="shared" si="13"/>
        <v>0</v>
      </c>
      <c r="M120" s="3"/>
      <c r="N120" s="69">
        <f t="shared" si="8"/>
        <v>0</v>
      </c>
      <c r="P120" s="65">
        <f>Oct!B49</f>
        <v>0</v>
      </c>
      <c r="Q120" s="23">
        <f t="shared" si="23"/>
        <v>0</v>
      </c>
      <c r="R120" s="23">
        <f t="shared" si="11"/>
        <v>0</v>
      </c>
      <c r="S120" s="23">
        <f t="shared" si="12"/>
        <v>0</v>
      </c>
      <c r="T120" s="668"/>
    </row>
    <row r="121" spans="8:20">
      <c r="H121" s="65">
        <f t="shared" si="19"/>
        <v>0</v>
      </c>
      <c r="I121" s="1">
        <f t="shared" si="20"/>
        <v>0</v>
      </c>
      <c r="J121" s="23">
        <f t="shared" si="21"/>
        <v>0</v>
      </c>
      <c r="K121" s="23">
        <f t="shared" si="22"/>
        <v>0</v>
      </c>
      <c r="L121" s="68">
        <f t="shared" si="13"/>
        <v>0</v>
      </c>
      <c r="M121" s="3"/>
      <c r="N121" s="69">
        <f t="shared" si="8"/>
        <v>0</v>
      </c>
      <c r="P121" s="65">
        <f>Oct!B50</f>
        <v>0</v>
      </c>
      <c r="Q121" s="23">
        <f t="shared" si="23"/>
        <v>0</v>
      </c>
      <c r="R121" s="23">
        <f t="shared" si="11"/>
        <v>0</v>
      </c>
      <c r="S121" s="23">
        <f t="shared" si="12"/>
        <v>0</v>
      </c>
      <c r="T121" s="668">
        <f>S123-R121</f>
        <v>0</v>
      </c>
    </row>
    <row r="122" spans="8:20">
      <c r="H122" s="65">
        <f t="shared" si="19"/>
        <v>0</v>
      </c>
      <c r="I122" s="1">
        <f t="shared" si="20"/>
        <v>0</v>
      </c>
      <c r="J122" s="23">
        <f t="shared" si="21"/>
        <v>0</v>
      </c>
      <c r="K122" s="23">
        <f t="shared" si="22"/>
        <v>0</v>
      </c>
      <c r="L122" s="68">
        <f t="shared" si="13"/>
        <v>0</v>
      </c>
      <c r="M122" s="3"/>
      <c r="N122" s="69">
        <f t="shared" si="8"/>
        <v>0</v>
      </c>
      <c r="P122" s="65">
        <f>Oct!B51</f>
        <v>0</v>
      </c>
      <c r="Q122" s="23">
        <f t="shared" si="23"/>
        <v>0</v>
      </c>
      <c r="R122" s="23">
        <f t="shared" si="11"/>
        <v>0</v>
      </c>
      <c r="S122" s="23">
        <f t="shared" si="12"/>
        <v>0</v>
      </c>
      <c r="T122" s="668"/>
    </row>
    <row r="123" spans="8:20">
      <c r="H123" s="65">
        <f t="shared" si="19"/>
        <v>0</v>
      </c>
      <c r="I123" s="1">
        <f t="shared" si="20"/>
        <v>0</v>
      </c>
      <c r="J123" s="23">
        <f t="shared" si="21"/>
        <v>0</v>
      </c>
      <c r="K123" s="23">
        <f t="shared" si="22"/>
        <v>0</v>
      </c>
      <c r="L123" s="68">
        <f t="shared" ref="L123:L126" si="24">K123-J123</f>
        <v>0</v>
      </c>
      <c r="M123" s="3"/>
      <c r="N123" s="69">
        <f t="shared" si="8"/>
        <v>0</v>
      </c>
      <c r="P123" s="65">
        <f>Oct!B52</f>
        <v>0</v>
      </c>
      <c r="Q123" s="23">
        <f t="shared" si="23"/>
        <v>0</v>
      </c>
      <c r="R123" s="23">
        <f t="shared" si="11"/>
        <v>0</v>
      </c>
      <c r="S123" s="23">
        <f t="shared" si="12"/>
        <v>0</v>
      </c>
      <c r="T123" s="668"/>
    </row>
    <row r="124" spans="8:20">
      <c r="H124" s="65">
        <f t="shared" si="19"/>
        <v>0</v>
      </c>
      <c r="I124" s="1">
        <f t="shared" si="20"/>
        <v>0</v>
      </c>
      <c r="J124" s="23">
        <f t="shared" si="21"/>
        <v>0</v>
      </c>
      <c r="K124" s="23">
        <f t="shared" si="22"/>
        <v>0</v>
      </c>
      <c r="L124" s="68">
        <f t="shared" si="24"/>
        <v>0</v>
      </c>
      <c r="M124" s="3"/>
      <c r="N124" s="69">
        <f t="shared" si="8"/>
        <v>0</v>
      </c>
      <c r="P124" s="65">
        <f>Oct!B53</f>
        <v>0</v>
      </c>
      <c r="Q124" s="23">
        <f t="shared" si="23"/>
        <v>0</v>
      </c>
      <c r="R124" s="23">
        <f t="shared" si="11"/>
        <v>0</v>
      </c>
      <c r="S124" s="23">
        <f t="shared" si="12"/>
        <v>0</v>
      </c>
      <c r="T124" s="668">
        <f>S125-R124</f>
        <v>0</v>
      </c>
    </row>
    <row r="125" spans="8:20">
      <c r="H125" s="65">
        <f t="shared" si="19"/>
        <v>0</v>
      </c>
      <c r="I125" s="1">
        <f t="shared" si="20"/>
        <v>0</v>
      </c>
      <c r="J125" s="23">
        <f t="shared" si="21"/>
        <v>0</v>
      </c>
      <c r="K125" s="23">
        <f t="shared" si="22"/>
        <v>0</v>
      </c>
      <c r="L125" s="68">
        <f t="shared" si="24"/>
        <v>0</v>
      </c>
      <c r="M125" s="3"/>
      <c r="N125" s="69">
        <f t="shared" si="8"/>
        <v>0</v>
      </c>
      <c r="P125" s="65">
        <f>Oct!B54</f>
        <v>0</v>
      </c>
      <c r="Q125" s="23">
        <f t="shared" ref="Q125:Q132" si="25">C54</f>
        <v>0</v>
      </c>
      <c r="R125" s="23">
        <f t="shared" ref="R125:S131" si="26">E54</f>
        <v>0</v>
      </c>
      <c r="S125" s="23">
        <f t="shared" si="26"/>
        <v>0</v>
      </c>
      <c r="T125" s="668"/>
    </row>
    <row r="126" spans="8:20">
      <c r="H126" s="65">
        <f t="shared" si="19"/>
        <v>0</v>
      </c>
      <c r="I126" s="1">
        <f t="shared" si="20"/>
        <v>0</v>
      </c>
      <c r="J126" s="23">
        <f t="shared" si="21"/>
        <v>0</v>
      </c>
      <c r="K126" s="23">
        <f t="shared" si="22"/>
        <v>0</v>
      </c>
      <c r="L126" s="68">
        <f t="shared" si="24"/>
        <v>0</v>
      </c>
      <c r="M126" s="3"/>
      <c r="N126" s="69">
        <f t="shared" si="8"/>
        <v>0</v>
      </c>
      <c r="P126" s="65">
        <f>Oct!B55</f>
        <v>0</v>
      </c>
      <c r="Q126" s="23">
        <f t="shared" si="25"/>
        <v>0</v>
      </c>
      <c r="R126" s="23">
        <f t="shared" si="26"/>
        <v>0</v>
      </c>
      <c r="S126" s="23">
        <f t="shared" si="26"/>
        <v>0</v>
      </c>
      <c r="T126" s="668">
        <f>S127-R126</f>
        <v>0</v>
      </c>
    </row>
    <row r="127" spans="8:20">
      <c r="H127" s="65">
        <f t="shared" si="19"/>
        <v>0</v>
      </c>
      <c r="I127" s="1">
        <f t="shared" si="20"/>
        <v>0</v>
      </c>
      <c r="J127" s="23">
        <f t="shared" si="21"/>
        <v>0</v>
      </c>
      <c r="K127" s="23">
        <f t="shared" si="22"/>
        <v>0</v>
      </c>
      <c r="L127" s="68">
        <f t="shared" ref="L127:L136" si="27">K127-J127</f>
        <v>0</v>
      </c>
      <c r="M127" s="3"/>
      <c r="N127" s="69">
        <f t="shared" si="8"/>
        <v>0</v>
      </c>
      <c r="P127" s="65">
        <f>Oct!B56</f>
        <v>0</v>
      </c>
      <c r="Q127" s="23">
        <f t="shared" si="25"/>
        <v>0</v>
      </c>
      <c r="R127" s="23">
        <f t="shared" si="26"/>
        <v>0</v>
      </c>
      <c r="S127" s="23">
        <f t="shared" si="26"/>
        <v>0</v>
      </c>
      <c r="T127" s="668"/>
    </row>
    <row r="128" spans="8:20">
      <c r="H128" s="65">
        <f t="shared" ref="H128:H136" si="28">B57</f>
        <v>0</v>
      </c>
      <c r="I128" s="1">
        <f t="shared" ref="I128:I136" si="29">C57</f>
        <v>0</v>
      </c>
      <c r="J128" s="23">
        <f t="shared" si="21"/>
        <v>0</v>
      </c>
      <c r="K128" s="23">
        <f t="shared" si="22"/>
        <v>0</v>
      </c>
      <c r="L128" s="68">
        <f t="shared" si="27"/>
        <v>0</v>
      </c>
      <c r="M128" s="3"/>
      <c r="N128" s="69">
        <f t="shared" si="8"/>
        <v>0</v>
      </c>
      <c r="P128" s="65">
        <f>Oct!B57</f>
        <v>0</v>
      </c>
      <c r="Q128" s="23">
        <f t="shared" si="25"/>
        <v>0</v>
      </c>
      <c r="R128" s="23">
        <f t="shared" si="26"/>
        <v>0</v>
      </c>
      <c r="S128" s="23">
        <f t="shared" si="26"/>
        <v>0</v>
      </c>
      <c r="T128" s="668">
        <f>S130-R128</f>
        <v>0</v>
      </c>
    </row>
    <row r="129" spans="8:20">
      <c r="H129" s="65">
        <f t="shared" si="28"/>
        <v>0</v>
      </c>
      <c r="I129" s="1">
        <f t="shared" si="29"/>
        <v>0</v>
      </c>
      <c r="J129" s="23">
        <f t="shared" si="21"/>
        <v>0</v>
      </c>
      <c r="K129" s="23">
        <f t="shared" si="22"/>
        <v>0</v>
      </c>
      <c r="L129" s="68">
        <f t="shared" si="27"/>
        <v>0</v>
      </c>
      <c r="M129" s="3"/>
      <c r="N129" s="69">
        <f t="shared" si="8"/>
        <v>0</v>
      </c>
      <c r="P129" s="65">
        <f>Oct!B58</f>
        <v>0</v>
      </c>
      <c r="Q129" s="23">
        <f t="shared" si="25"/>
        <v>0</v>
      </c>
      <c r="R129" s="23">
        <f t="shared" si="26"/>
        <v>0</v>
      </c>
      <c r="S129" s="23">
        <f t="shared" si="26"/>
        <v>0</v>
      </c>
      <c r="T129" s="668"/>
    </row>
    <row r="130" spans="8:20">
      <c r="H130" s="65">
        <f t="shared" si="28"/>
        <v>0</v>
      </c>
      <c r="I130" s="1">
        <f t="shared" si="29"/>
        <v>0</v>
      </c>
      <c r="J130" s="23">
        <f t="shared" si="21"/>
        <v>0</v>
      </c>
      <c r="K130" s="23">
        <f t="shared" si="22"/>
        <v>0</v>
      </c>
      <c r="L130" s="68">
        <f t="shared" si="27"/>
        <v>0</v>
      </c>
      <c r="M130" s="3"/>
      <c r="N130" s="69">
        <f t="shared" si="8"/>
        <v>0</v>
      </c>
      <c r="P130" s="65">
        <f>Oct!B59</f>
        <v>0</v>
      </c>
      <c r="Q130" s="23">
        <f t="shared" si="25"/>
        <v>0</v>
      </c>
      <c r="R130" s="23">
        <f t="shared" si="26"/>
        <v>0</v>
      </c>
      <c r="S130" s="23">
        <f t="shared" si="26"/>
        <v>0</v>
      </c>
      <c r="T130" s="668"/>
    </row>
    <row r="131" spans="8:20">
      <c r="H131" s="65">
        <f t="shared" si="28"/>
        <v>0</v>
      </c>
      <c r="I131" s="1">
        <f t="shared" si="29"/>
        <v>0</v>
      </c>
      <c r="J131" s="23">
        <f t="shared" si="21"/>
        <v>0</v>
      </c>
      <c r="K131" s="23">
        <f t="shared" si="22"/>
        <v>0</v>
      </c>
      <c r="L131" s="68">
        <f t="shared" si="27"/>
        <v>0</v>
      </c>
      <c r="M131" s="3"/>
      <c r="N131" s="69">
        <f t="shared" si="8"/>
        <v>0</v>
      </c>
      <c r="P131" s="65">
        <f>Oct!B60</f>
        <v>0</v>
      </c>
      <c r="Q131" s="23">
        <f t="shared" si="25"/>
        <v>0</v>
      </c>
      <c r="R131" s="23">
        <f t="shared" si="26"/>
        <v>0</v>
      </c>
      <c r="S131" s="23">
        <f t="shared" si="26"/>
        <v>0</v>
      </c>
      <c r="T131" s="135"/>
    </row>
    <row r="132" spans="8:20">
      <c r="H132" s="65">
        <f t="shared" si="28"/>
        <v>0</v>
      </c>
      <c r="I132" s="1">
        <f t="shared" si="29"/>
        <v>0</v>
      </c>
      <c r="J132" s="23">
        <f t="shared" si="21"/>
        <v>0</v>
      </c>
      <c r="K132" s="23">
        <f t="shared" si="22"/>
        <v>0</v>
      </c>
      <c r="L132" s="68">
        <f t="shared" si="27"/>
        <v>0</v>
      </c>
      <c r="N132" s="69">
        <f t="shared" si="8"/>
        <v>0</v>
      </c>
      <c r="P132" s="65">
        <f>Oct!B61</f>
        <v>0</v>
      </c>
      <c r="Q132" s="23">
        <f t="shared" si="25"/>
        <v>0</v>
      </c>
      <c r="S132" s="23"/>
      <c r="T132" s="135"/>
    </row>
    <row r="133" spans="8:20">
      <c r="H133" s="65">
        <f t="shared" si="28"/>
        <v>0</v>
      </c>
      <c r="I133" s="1">
        <f t="shared" si="29"/>
        <v>0</v>
      </c>
      <c r="J133" s="23">
        <f t="shared" si="21"/>
        <v>0</v>
      </c>
      <c r="K133" s="23">
        <f t="shared" si="22"/>
        <v>0</v>
      </c>
      <c r="L133" s="68">
        <f t="shared" si="27"/>
        <v>0</v>
      </c>
      <c r="N133" s="69">
        <f t="shared" si="8"/>
        <v>0</v>
      </c>
      <c r="T133" s="135"/>
    </row>
    <row r="134" spans="8:20">
      <c r="H134" s="65">
        <f t="shared" si="28"/>
        <v>0</v>
      </c>
      <c r="I134" s="1">
        <f t="shared" si="29"/>
        <v>0</v>
      </c>
      <c r="J134" s="23">
        <f t="shared" si="21"/>
        <v>0</v>
      </c>
      <c r="K134" s="23">
        <f t="shared" si="22"/>
        <v>0</v>
      </c>
      <c r="L134" s="68">
        <f t="shared" si="27"/>
        <v>0</v>
      </c>
      <c r="N134" s="69">
        <f t="shared" si="8"/>
        <v>0</v>
      </c>
    </row>
    <row r="135" spans="8:20">
      <c r="H135" s="65">
        <f t="shared" si="28"/>
        <v>0</v>
      </c>
      <c r="I135" s="1">
        <f t="shared" si="29"/>
        <v>0</v>
      </c>
      <c r="J135" s="23">
        <f t="shared" si="21"/>
        <v>0</v>
      </c>
      <c r="K135" s="23">
        <f t="shared" si="22"/>
        <v>0</v>
      </c>
      <c r="L135" s="68">
        <f t="shared" si="27"/>
        <v>0</v>
      </c>
      <c r="N135" s="69">
        <f t="shared" ref="N135:N136" si="30">M135-(H64+K64+L64+M64+N64+AA64+AB64+Z64+AC64)</f>
        <v>0</v>
      </c>
    </row>
    <row r="136" spans="8:20">
      <c r="H136" s="65">
        <f t="shared" si="28"/>
        <v>0</v>
      </c>
      <c r="I136" s="1">
        <f t="shared" si="29"/>
        <v>0</v>
      </c>
      <c r="J136" s="23">
        <f t="shared" si="21"/>
        <v>0</v>
      </c>
      <c r="K136" s="23">
        <f t="shared" si="22"/>
        <v>0</v>
      </c>
      <c r="L136" s="68">
        <f t="shared" si="27"/>
        <v>0</v>
      </c>
      <c r="N136" s="69">
        <f t="shared" si="30"/>
        <v>0</v>
      </c>
    </row>
  </sheetData>
  <mergeCells count="58">
    <mergeCell ref="T126:T127"/>
    <mergeCell ref="B2:AE2"/>
    <mergeCell ref="H4:AE4"/>
    <mergeCell ref="E4:E7"/>
    <mergeCell ref="F4:F7"/>
    <mergeCell ref="G4:G7"/>
    <mergeCell ref="H5:H7"/>
    <mergeCell ref="I5:I7"/>
    <mergeCell ref="J5:J7"/>
    <mergeCell ref="K5:K7"/>
    <mergeCell ref="L5:L7"/>
    <mergeCell ref="M5:M7"/>
    <mergeCell ref="N5:N7"/>
    <mergeCell ref="AD5:AD7"/>
    <mergeCell ref="M79:M80"/>
    <mergeCell ref="H77:N77"/>
    <mergeCell ref="U5:U7"/>
    <mergeCell ref="AA5:AA7"/>
    <mergeCell ref="AB5:AB7"/>
    <mergeCell ref="R5:R7"/>
    <mergeCell ref="S5:S7"/>
    <mergeCell ref="T5:T7"/>
    <mergeCell ref="X5:X7"/>
    <mergeCell ref="AL4:AV4"/>
    <mergeCell ref="V5:V7"/>
    <mergeCell ref="W5:W7"/>
    <mergeCell ref="Z5:Z7"/>
    <mergeCell ref="AE5:AE7"/>
    <mergeCell ref="AC5:AC7"/>
    <mergeCell ref="Y5:Y7"/>
    <mergeCell ref="T82:T84"/>
    <mergeCell ref="T96:T97"/>
    <mergeCell ref="T92:T93"/>
    <mergeCell ref="T88:T89"/>
    <mergeCell ref="A4:A7"/>
    <mergeCell ref="B4:B7"/>
    <mergeCell ref="C4:C7"/>
    <mergeCell ref="D4:D7"/>
    <mergeCell ref="L79:L80"/>
    <mergeCell ref="Q5:Q7"/>
    <mergeCell ref="P5:P7"/>
    <mergeCell ref="O5:O7"/>
    <mergeCell ref="T128:T130"/>
    <mergeCell ref="T102:T103"/>
    <mergeCell ref="T99:T101"/>
    <mergeCell ref="T79:T81"/>
    <mergeCell ref="P77:T77"/>
    <mergeCell ref="T85:T87"/>
    <mergeCell ref="T124:T125"/>
    <mergeCell ref="T121:T123"/>
    <mergeCell ref="T118:T120"/>
    <mergeCell ref="T116:T117"/>
    <mergeCell ref="T112:T114"/>
    <mergeCell ref="T110:T111"/>
    <mergeCell ref="T106:T109"/>
    <mergeCell ref="T104:T105"/>
    <mergeCell ref="T94:T95"/>
    <mergeCell ref="T90:T91"/>
  </mergeCells>
  <conditionalFormatting sqref="D8 D72:D73 G72:G73">
    <cfRule type="cellIs" dxfId="8" priority="1" stopIfTrue="1" operator="greaterThan">
      <formula>$E$3</formula>
    </cfRule>
  </conditionalFormatting>
  <conditionalFormatting sqref="G8 G10 G12 G14 G16 G18 G20 G22 G24 G26 G28 G30 G32 G34 G36 G38 G40 G42 G44 G46 G48 G50 G52 G54 G56:G60 F58 G62 G64 G66 G70">
    <cfRule type="cellIs" dxfId="7" priority="3" stopIfTrue="1" operator="greaterThan">
      <formula>$E$3</formula>
    </cfRule>
  </conditionalFormatting>
  <pageMargins left="0.75" right="0.75" top="1" bottom="1" header="0.5" footer="0.5"/>
  <pageSetup scale="37" fitToHeight="2" orientation="landscape"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5"/>
  <dimension ref="B3:M27"/>
  <sheetViews>
    <sheetView zoomScale="91" zoomScaleNormal="91" workbookViewId="0">
      <selection activeCell="S25" sqref="S25"/>
    </sheetView>
  </sheetViews>
  <sheetFormatPr defaultColWidth="9" defaultRowHeight="12.75"/>
  <cols>
    <col min="2" max="2" width="21.42578125" customWidth="1"/>
    <col min="3" max="3" width="12" customWidth="1"/>
    <col min="4" max="4" width="14.42578125" customWidth="1"/>
    <col min="5" max="5" width="10.42578125" customWidth="1"/>
    <col min="6" max="6" width="18.5703125" customWidth="1"/>
    <col min="7" max="7" width="15.5703125" customWidth="1"/>
    <col min="8" max="8" width="11.5703125" customWidth="1"/>
    <col min="10" max="10" width="14.85546875" customWidth="1"/>
    <col min="12" max="12" width="13.140625" customWidth="1"/>
    <col min="13" max="13" width="11.85546875" customWidth="1"/>
  </cols>
  <sheetData>
    <row r="3" spans="2:13" ht="15.75">
      <c r="B3" s="637" t="s">
        <v>442</v>
      </c>
      <c r="C3" s="637"/>
      <c r="D3" s="637"/>
      <c r="E3" s="637"/>
      <c r="F3" s="637" t="s">
        <v>43</v>
      </c>
      <c r="G3" s="637"/>
      <c r="H3" s="637"/>
      <c r="J3" s="637" t="s">
        <v>478</v>
      </c>
      <c r="K3" s="637"/>
      <c r="L3" s="637"/>
      <c r="M3" s="637"/>
    </row>
    <row r="4" spans="2:13" ht="38.25">
      <c r="B4" s="304" t="s">
        <v>71</v>
      </c>
      <c r="C4" s="304" t="s">
        <v>443</v>
      </c>
      <c r="D4" s="305" t="s">
        <v>55</v>
      </c>
      <c r="E4" s="304" t="s">
        <v>444</v>
      </c>
      <c r="F4" s="306" t="s">
        <v>71</v>
      </c>
      <c r="G4" s="306" t="s">
        <v>445</v>
      </c>
      <c r="H4" s="307" t="s">
        <v>446</v>
      </c>
      <c r="J4" s="304" t="s">
        <v>71</v>
      </c>
      <c r="K4" s="304" t="s">
        <v>443</v>
      </c>
      <c r="L4" s="305" t="s">
        <v>55</v>
      </c>
      <c r="M4" s="304" t="s">
        <v>444</v>
      </c>
    </row>
    <row r="5" spans="2:13">
      <c r="B5" s="304" t="s">
        <v>8</v>
      </c>
      <c r="C5" s="308">
        <f t="shared" ref="C5:C26" si="0">E5/$E$27</f>
        <v>0.16886390073671967</v>
      </c>
      <c r="D5" s="308">
        <f>SUM($C$5:C5)</f>
        <v>0.16886390073671967</v>
      </c>
      <c r="E5" s="309">
        <f>VLOOKUP(B5,'2 weeks Downtime Trend'!B$5:R$27,17,FALSE)</f>
        <v>871</v>
      </c>
      <c r="F5" s="310" t="str">
        <f>VLOOKUP($B5,'Pareto Data'!$C$77:$E$98,1,FALSE)</f>
        <v>Product Delay</v>
      </c>
      <c r="G5" s="311">
        <f>VLOOKUP($F5,'Pareto Data'!$C$77:$E$98,2,FALSE)</f>
        <v>6.6588614078735536E-2</v>
      </c>
      <c r="H5" s="311">
        <f>VLOOKUP($F5,'Pareto Data'!$C$77:$E$98,3,FALSE)</f>
        <v>0.17577442802087906</v>
      </c>
      <c r="J5" s="304" t="str">
        <f>'2 weeks Downtime Trend'!T6</f>
        <v>Change Over</v>
      </c>
      <c r="K5" s="308">
        <f t="shared" ref="K5:K20" si="1">M5/$E$27</f>
        <v>8.0651415277239236E-2</v>
      </c>
      <c r="L5" s="308">
        <f>SUM($C$5:K5)</f>
        <v>871.66074225885018</v>
      </c>
      <c r="M5" s="592">
        <f>'2 weeks Downtime Trend'!AB6</f>
        <v>416</v>
      </c>
    </row>
    <row r="6" spans="2:13">
      <c r="B6" s="312" t="s">
        <v>7</v>
      </c>
      <c r="C6" s="308">
        <f t="shared" si="0"/>
        <v>0.13280341217526173</v>
      </c>
      <c r="D6" s="308">
        <f>SUM($C$5:C6)</f>
        <v>0.3016673129119814</v>
      </c>
      <c r="E6" s="309">
        <f>VLOOKUP(B6,'2 weeks Downtime Trend'!B$5:R$27,17,FALSE)</f>
        <v>685</v>
      </c>
      <c r="F6" s="310" t="str">
        <f>VLOOKUP($B6,'Pareto Data'!$C$77:$E$98,1,FALSE)</f>
        <v>Change Over</v>
      </c>
      <c r="G6" s="311">
        <f>VLOOKUP($F6,'Pareto Data'!$C$77:$E$98,2,FALSE)</f>
        <v>0.10470754670959558</v>
      </c>
      <c r="H6" s="311">
        <f>VLOOKUP($F6,'Pareto Data'!$C$77:$E$98,3,FALSE)</f>
        <v>0.10918581394214351</v>
      </c>
      <c r="J6" s="304" t="str">
        <f>'2 weeks Downtime Trend'!T16</f>
        <v>Pasteuriser</v>
      </c>
      <c r="K6" s="308">
        <f t="shared" si="1"/>
        <v>2.5979061651803026E-2</v>
      </c>
      <c r="L6" s="308">
        <f>SUM($C$5:K6)</f>
        <v>1557.3350854062408</v>
      </c>
      <c r="M6" s="592">
        <f>'2 weeks Downtime Trend'!AB16</f>
        <v>134</v>
      </c>
    </row>
    <row r="7" spans="2:13">
      <c r="B7" s="312" t="s">
        <v>24</v>
      </c>
      <c r="C7" s="308">
        <f t="shared" si="0"/>
        <v>0.1316401706087631</v>
      </c>
      <c r="D7" s="308">
        <f>SUM($C$5:C7)</f>
        <v>0.4333074835207445</v>
      </c>
      <c r="E7" s="309">
        <f>VLOOKUP(B7,'2 weeks Downtime Trend'!B$5:R$27,17,FALSE)</f>
        <v>679</v>
      </c>
      <c r="F7" s="310" t="str">
        <f>VLOOKUP($B7,'Pareto Data'!$C$77:$E$98,1,FALSE)</f>
        <v>Other Explained</v>
      </c>
      <c r="G7" s="311">
        <f>VLOOKUP($F7,'Pareto Data'!$C$77:$E$98,2,FALSE)</f>
        <v>0.14673886531050293</v>
      </c>
      <c r="H7" s="311">
        <f>VLOOKUP($F7,'Pareto Data'!$C$77:$E$98,3,FALSE)</f>
        <v>0.9673057222303526</v>
      </c>
      <c r="J7" s="304" t="str">
        <f>'2 weeks Downtime Trend'!T20</f>
        <v>Packer</v>
      </c>
      <c r="K7" s="308">
        <f t="shared" si="1"/>
        <v>2.462194649088794E-2</v>
      </c>
      <c r="L7" s="308">
        <f>SUM($C$5:K7)</f>
        <v>2238.0386995944018</v>
      </c>
      <c r="M7" s="592">
        <f>'2 weeks Downtime Trend'!AB20</f>
        <v>127</v>
      </c>
    </row>
    <row r="8" spans="2:13">
      <c r="B8" s="312" t="s">
        <v>16</v>
      </c>
      <c r="C8" s="308">
        <f t="shared" si="0"/>
        <v>0.10721209771229158</v>
      </c>
      <c r="D8" s="308">
        <f>SUM($C$5:C8)</f>
        <v>0.54051958123303612</v>
      </c>
      <c r="E8" s="309">
        <f>VLOOKUP(B8,'2 weeks Downtime Trend'!B$5:R$27,17,FALSE)</f>
        <v>553</v>
      </c>
      <c r="F8" s="310" t="str">
        <f>VLOOKUP($B8,'Pareto Data'!$C$77:$E$98,1,FALSE)</f>
        <v>Filler</v>
      </c>
      <c r="G8" s="311">
        <f>VLOOKUP($F8,'Pareto Data'!$C$77:$E$98,2,FALSE)</f>
        <v>6.4920240011707875E-2</v>
      </c>
      <c r="H8" s="311">
        <f>VLOOKUP($F8,'Pareto Data'!$C$77:$E$98,3,FALSE)</f>
        <v>0.51470803453827008</v>
      </c>
      <c r="J8" s="304" t="str">
        <f>'2 weeks Downtime Trend'!T12</f>
        <v>Uncaser</v>
      </c>
      <c r="K8" s="308">
        <f t="shared" si="1"/>
        <v>1.9193485847227607E-2</v>
      </c>
      <c r="L8" s="308">
        <f>SUM($C$5:K8)</f>
        <v>2792.2852530337445</v>
      </c>
      <c r="M8" s="592">
        <f>'2 weeks Downtime Trend'!AB12</f>
        <v>99</v>
      </c>
    </row>
    <row r="9" spans="2:13">
      <c r="B9" s="312" t="s">
        <v>14</v>
      </c>
      <c r="C9" s="308">
        <f t="shared" si="0"/>
        <v>6.591702210158977E-2</v>
      </c>
      <c r="D9" s="308">
        <f>SUM($C$5:C9)</f>
        <v>0.6064366033346259</v>
      </c>
      <c r="E9" s="309">
        <f>VLOOKUP(B9,'2 weeks Downtime Trend'!B$5:R$27,17,FALSE)</f>
        <v>340</v>
      </c>
      <c r="F9" s="310" t="str">
        <f>VLOOKUP($B9,'Pareto Data'!$C$77:$E$98,1,FALSE)</f>
        <v>Washer</v>
      </c>
      <c r="G9" s="311">
        <f>VLOOKUP($F9,'Pareto Data'!$C$77:$E$98,2,FALSE)</f>
        <v>0.13493341138592124</v>
      </c>
      <c r="H9" s="311">
        <f>VLOOKUP($F9,'Pareto Data'!$C$77:$E$98,3,FALSE)</f>
        <v>0.38333577247670614</v>
      </c>
      <c r="J9" s="304" t="str">
        <f>'2 weeks Downtime Trend'!T15</f>
        <v>Filler</v>
      </c>
      <c r="K9" s="308">
        <f t="shared" si="1"/>
        <v>1.7836370686312525E-2</v>
      </c>
      <c r="L9" s="308">
        <f>SUM($C$5:K9)</f>
        <v>3133.4937122137299</v>
      </c>
      <c r="M9" s="592">
        <f>'2 weeks Downtime Trend'!AB15</f>
        <v>92</v>
      </c>
    </row>
    <row r="10" spans="2:13">
      <c r="B10" s="304" t="s">
        <v>17</v>
      </c>
      <c r="C10" s="308">
        <f t="shared" si="0"/>
        <v>5.9131446297014348E-2</v>
      </c>
      <c r="D10" s="308">
        <f>SUM($C$5:C10)</f>
        <v>0.66556804963164029</v>
      </c>
      <c r="E10" s="309">
        <f>VLOOKUP(B10,'2 weeks Downtime Trend'!B$5:R$27,17,FALSE)</f>
        <v>305</v>
      </c>
      <c r="F10" s="310" t="str">
        <f>VLOOKUP($B10,'Pareto Data'!$C$77:$E$98,1,FALSE)</f>
        <v>Pasteuriser</v>
      </c>
      <c r="G10" s="311">
        <f>VLOOKUP($F10,'Pareto Data'!$C$77:$E$98,2,FALSE)</f>
        <v>7.8803844089955583E-2</v>
      </c>
      <c r="H10" s="311">
        <f>VLOOKUP($F10,'Pareto Data'!$C$77:$E$98,3,FALSE)</f>
        <v>0.59351187862822563</v>
      </c>
      <c r="J10" s="304" t="str">
        <f>'2 weeks Downtime Trend'!T17</f>
        <v>Labeller</v>
      </c>
      <c r="K10" s="308">
        <f t="shared" si="1"/>
        <v>1.6091508336564558E-2</v>
      </c>
      <c r="L10" s="308">
        <f>SUM($C$5:K10)</f>
        <v>3439.9068189407135</v>
      </c>
      <c r="M10" s="592">
        <f>'2 weeks Downtime Trend'!AB17</f>
        <v>83</v>
      </c>
    </row>
    <row r="11" spans="2:13">
      <c r="B11" s="304" t="s">
        <v>22</v>
      </c>
      <c r="C11" s="308">
        <f t="shared" si="0"/>
        <v>5.3315238464521131E-2</v>
      </c>
      <c r="D11" s="308">
        <f>SUM($C$5:C11)</f>
        <v>0.71888328809616142</v>
      </c>
      <c r="E11" s="309">
        <f>VLOOKUP(B11,'2 weeks Downtime Trend'!B$5:R$27,17,FALSE)</f>
        <v>275</v>
      </c>
      <c r="F11" s="310" t="str">
        <f>VLOOKUP($B11,'Pareto Data'!$C$77:$E$98,1,FALSE)</f>
        <v>Carton Errector</v>
      </c>
      <c r="G11" s="311">
        <f>VLOOKUP($F11,'Pareto Data'!$C$77:$E$98,2,FALSE)</f>
        <v>2.12790867847212E-2</v>
      </c>
      <c r="H11" s="311">
        <f>VLOOKUP($F11,'Pareto Data'!$C$77:$E$98,3,FALSE)</f>
        <v>0.81972779159959008</v>
      </c>
      <c r="J11" s="304" t="str">
        <f>'2 weeks Downtime Trend'!T23</f>
        <v>Other Explained</v>
      </c>
      <c r="K11" s="308">
        <f t="shared" si="1"/>
        <v>1.5703761147731678E-2</v>
      </c>
      <c r="L11" s="308">
        <f>SUM($C$5:K11)</f>
        <v>3716.5357281068063</v>
      </c>
      <c r="M11" s="592">
        <f>'2 weeks Downtime Trend'!AB23</f>
        <v>81</v>
      </c>
    </row>
    <row r="12" spans="2:13">
      <c r="B12" s="304" t="s">
        <v>15</v>
      </c>
      <c r="C12" s="308">
        <f t="shared" si="0"/>
        <v>5.0019387359441642E-2</v>
      </c>
      <c r="D12" s="308">
        <f>SUM($C$5:C12)</f>
        <v>0.76890267545560309</v>
      </c>
      <c r="E12" s="309">
        <f>VLOOKUP(B12,'2 weeks Downtime Trend'!B$5:R$27,17,FALSE)</f>
        <v>258</v>
      </c>
      <c r="F12" s="310" t="str">
        <f>VLOOKUP($B12,'Pareto Data'!$C$77:$E$98,1,FALSE)</f>
        <v>EBI</v>
      </c>
      <c r="G12" s="311">
        <f>VLOOKUP($F12,'Pareto Data'!$C$77:$E$98,2,FALSE)</f>
        <v>6.6452022049856077E-2</v>
      </c>
      <c r="H12" s="311">
        <f>VLOOKUP($F12,'Pareto Data'!$C$77:$E$98,3,FALSE)</f>
        <v>0.4497877945265622</v>
      </c>
      <c r="J12" s="304" t="str">
        <f>'2 weeks Downtime Trend'!T25</f>
        <v>Bottle Supply</v>
      </c>
      <c r="K12" s="308">
        <f t="shared" si="1"/>
        <v>1.5703761147731678E-2</v>
      </c>
      <c r="L12" s="308">
        <f>SUM($C$5:K12)</f>
        <v>3975.8865937473452</v>
      </c>
      <c r="M12" s="592">
        <f>'2 weeks Downtime Trend'!AB25</f>
        <v>81</v>
      </c>
    </row>
    <row r="13" spans="2:13">
      <c r="B13" s="312" t="s">
        <v>21</v>
      </c>
      <c r="C13" s="308">
        <f t="shared" si="0"/>
        <v>4.7692904226444358E-2</v>
      </c>
      <c r="D13" s="308">
        <f>SUM($C$5:C13)</f>
        <v>0.81659557968204743</v>
      </c>
      <c r="E13" s="309">
        <f>VLOOKUP(B13,'2 weeks Downtime Trend'!B$5:R$27,17,FALSE)</f>
        <v>246</v>
      </c>
      <c r="F13" s="310" t="str">
        <f>VLOOKUP($B13,'Pareto Data'!$C$77:$E$98,1,FALSE)</f>
        <v>Packer</v>
      </c>
      <c r="G13" s="311">
        <f>VLOOKUP($F13,'Pareto Data'!$C$77:$E$98,2,FALSE)</f>
        <v>2.5240255622225472E-2</v>
      </c>
      <c r="H13" s="311">
        <f>VLOOKUP($F13,'Pareto Data'!$C$77:$E$98,3,FALSE)</f>
        <v>0.79844870481486885</v>
      </c>
      <c r="J13" s="304" t="str">
        <f>'2 weeks Downtime Trend'!T19</f>
        <v>Conveyors</v>
      </c>
      <c r="K13" s="308">
        <f t="shared" si="1"/>
        <v>1.1050794881737108E-2</v>
      </c>
      <c r="L13" s="308">
        <f>SUM($C$5:K13)</f>
        <v>4223.5856219865736</v>
      </c>
      <c r="M13" s="592">
        <f>'2 weeks Downtime Trend'!AB19</f>
        <v>57</v>
      </c>
    </row>
    <row r="14" spans="2:13">
      <c r="B14" s="312" t="s">
        <v>26</v>
      </c>
      <c r="C14" s="308">
        <f t="shared" si="0"/>
        <v>3.5478867778208606E-2</v>
      </c>
      <c r="D14" s="308">
        <f>SUM($C$5:C14)</f>
        <v>0.85207444746025607</v>
      </c>
      <c r="E14" s="309">
        <f>VLOOKUP(B14,'2 weeks Downtime Trend'!B$5:R$27,17,FALSE)</f>
        <v>183</v>
      </c>
      <c r="F14" s="310" t="str">
        <f>VLOOKUP($B14,'Pareto Data'!$C$77:$E$98,1,FALSE)</f>
        <v>Bottle Supply</v>
      </c>
      <c r="G14" s="311">
        <f>VLOOKUP($F14,'Pareto Data'!$C$77:$E$98,2,FALSE)</f>
        <v>2.8235523684082147E-2</v>
      </c>
      <c r="H14" s="311">
        <f>VLOOKUP($F14,'Pareto Data'!$C$77:$E$98,3,FALSE)</f>
        <v>0.99726815942241076</v>
      </c>
      <c r="J14" s="304" t="str">
        <f>'2 weeks Downtime Trend'!T8</f>
        <v>Low Air Pressure</v>
      </c>
      <c r="K14" s="308">
        <f t="shared" si="1"/>
        <v>9.8875533152384641E-3</v>
      </c>
      <c r="L14" s="308">
        <f>SUM($C$5:K14)</f>
        <v>4408.508566538233</v>
      </c>
      <c r="M14" s="592">
        <f>'2 weeks Downtime Trend'!AB8</f>
        <v>51</v>
      </c>
    </row>
    <row r="15" spans="2:13">
      <c r="B15" s="304" t="s">
        <v>20</v>
      </c>
      <c r="C15" s="308">
        <f t="shared" si="0"/>
        <v>3.3734005428460646E-2</v>
      </c>
      <c r="D15" s="308">
        <f>SUM($C$5:C15)</f>
        <v>0.88580845288871668</v>
      </c>
      <c r="E15" s="309">
        <f>VLOOKUP(B15,'2 weeks Downtime Trend'!B$5:R$27,17,FALSE)</f>
        <v>174</v>
      </c>
      <c r="F15" s="310" t="str">
        <f>VLOOKUP($B15,'Pareto Data'!$C$77:$E$98,1,FALSE)</f>
        <v>Conveyors</v>
      </c>
      <c r="G15" s="311">
        <f>VLOOKUP($F15,'Pareto Data'!$C$77:$E$98,2,FALSE)</f>
        <v>0.12778184301673251</v>
      </c>
      <c r="H15" s="311">
        <f>VLOOKUP($F15,'Pareto Data'!$C$77:$E$98,3,FALSE)</f>
        <v>0.77320844919264342</v>
      </c>
      <c r="J15" s="304" t="str">
        <f>'2 weeks Downtime Trend'!T21</f>
        <v>Carton Errector</v>
      </c>
      <c r="K15" s="308">
        <f t="shared" si="1"/>
        <v>8.3365645599069414E-3</v>
      </c>
      <c r="L15" s="308">
        <f>SUM($C$5:K15)</f>
        <v>4584.3374358533192</v>
      </c>
      <c r="M15" s="592">
        <f>'2 weeks Downtime Trend'!AB21</f>
        <v>43</v>
      </c>
    </row>
    <row r="16" spans="2:13">
      <c r="B16" s="312" t="s">
        <v>13</v>
      </c>
      <c r="C16" s="308">
        <f t="shared" si="0"/>
        <v>3.2376890267545561E-2</v>
      </c>
      <c r="D16" s="308">
        <f>SUM($C$5:C16)</f>
        <v>0.91818534315626221</v>
      </c>
      <c r="E16" s="309">
        <f>VLOOKUP(B16,'2 weeks Downtime Trend'!B$5:R$27,17,FALSE)</f>
        <v>167</v>
      </c>
      <c r="F16" s="310" t="str">
        <f>VLOOKUP($B16,'Pareto Data'!$C$77:$E$98,1,FALSE)</f>
        <v>Uncaser</v>
      </c>
      <c r="G16" s="311">
        <f>VLOOKUP($F16,'Pareto Data'!$C$77:$E$98,2,FALSE)</f>
        <v>5.0558563832382067E-2</v>
      </c>
      <c r="H16" s="311">
        <f>VLOOKUP($F16,'Pareto Data'!$C$77:$E$98,3,FALSE)</f>
        <v>0.2484023610907849</v>
      </c>
      <c r="J16" s="304" t="str">
        <f>'2 weeks Downtime Trend'!T13</f>
        <v>Washer</v>
      </c>
      <c r="K16" s="308">
        <f t="shared" si="1"/>
        <v>7.1733229934082977E-3</v>
      </c>
      <c r="L16" s="308">
        <f>SUM($C$5:K16)</f>
        <v>4752.5941323346588</v>
      </c>
      <c r="M16" s="592">
        <f>'2 weeks Downtime Trend'!AB13</f>
        <v>37</v>
      </c>
    </row>
    <row r="17" spans="2:13">
      <c r="B17" s="304" t="s">
        <v>19</v>
      </c>
      <c r="C17" s="308">
        <f t="shared" si="0"/>
        <v>3.1407522295463355E-2</v>
      </c>
      <c r="D17" s="308">
        <f>SUM($C$5:C17)</f>
        <v>0.94959286545172561</v>
      </c>
      <c r="E17" s="309">
        <f>VLOOKUP(B17,'2 weeks Downtime Trend'!B$5:R$27,17,FALSE)</f>
        <v>162</v>
      </c>
      <c r="F17" s="310" t="str">
        <f>VLOOKUP($B17,'Pareto Data'!$C$77:$E$98,1,FALSE)</f>
        <v>Videojet (Coder)</v>
      </c>
      <c r="G17" s="311">
        <f>VLOOKUP($F17,'Pareto Data'!$C$77:$E$98,2,FALSE)</f>
        <v>1.5142202058637005E-2</v>
      </c>
      <c r="H17" s="311">
        <f>VLOOKUP($F17,'Pareto Data'!$C$77:$E$98,3,FALSE)</f>
        <v>0.64542660617591097</v>
      </c>
      <c r="J17" s="304" t="str">
        <f>'2 weeks Downtime Trend'!T14</f>
        <v>EBI</v>
      </c>
      <c r="K17" s="308">
        <f t="shared" si="1"/>
        <v>6.9794493989918573E-3</v>
      </c>
      <c r="L17" s="308">
        <f>SUM($C$5:K17)</f>
        <v>4916.242680980039</v>
      </c>
      <c r="M17" s="592">
        <f>'2 weeks Downtime Trend'!AB14</f>
        <v>36</v>
      </c>
    </row>
    <row r="18" spans="2:13">
      <c r="B18" s="304" t="s">
        <v>18</v>
      </c>
      <c r="C18" s="308">
        <f t="shared" si="0"/>
        <v>2.6754556029468787E-2</v>
      </c>
      <c r="D18" s="308">
        <f>SUM($C$5:C18)</f>
        <v>0.97634742148119436</v>
      </c>
      <c r="E18" s="309">
        <f>VLOOKUP(B18,'2 weeks Downtime Trend'!B$5:R$27,17,FALSE)</f>
        <v>138</v>
      </c>
      <c r="F18" s="310" t="str">
        <f>VLOOKUP($B18,'Pareto Data'!$C$77:$E$98,1,FALSE)</f>
        <v>Labeller</v>
      </c>
      <c r="G18" s="311">
        <f>VLOOKUP($F18,'Pareto Data'!$C$77:$E$98,2,FALSE)</f>
        <v>3.6772525489048247E-2</v>
      </c>
      <c r="H18" s="311">
        <f>VLOOKUP($F18,'Pareto Data'!$C$77:$E$98,3,FALSE)</f>
        <v>0.63028440411727393</v>
      </c>
      <c r="J18" s="304" t="str">
        <f>'2 weeks Downtime Trend'!T7</f>
        <v>Product Delay</v>
      </c>
      <c r="K18" s="308">
        <f t="shared" si="1"/>
        <v>3.4897246994959287E-3</v>
      </c>
      <c r="L18" s="308">
        <f>SUM($C$5:K18)</f>
        <v>5055.9163296118559</v>
      </c>
      <c r="M18" s="592">
        <f>'2 weeks Downtime Trend'!AB7</f>
        <v>18</v>
      </c>
    </row>
    <row r="19" spans="2:13">
      <c r="B19" s="304" t="s">
        <v>9</v>
      </c>
      <c r="C19" s="308">
        <f t="shared" si="0"/>
        <v>9.8875533152384641E-3</v>
      </c>
      <c r="D19" s="308">
        <f>SUM($C$5:C19)</f>
        <v>0.98623497479643285</v>
      </c>
      <c r="E19" s="309">
        <f>VLOOKUP(B19,'2 weeks Downtime Trend'!B$5:R$27,17,FALSE)</f>
        <v>51</v>
      </c>
      <c r="F19" s="310" t="str">
        <f>VLOOKUP($B19,'Pareto Data'!$C$77:$E$98,1,FALSE)</f>
        <v>Low Air Pressure</v>
      </c>
      <c r="G19" s="311">
        <f>VLOOKUP($F19,'Pareto Data'!$C$77:$E$98,2,FALSE)</f>
        <v>5.2783062588418932E-3</v>
      </c>
      <c r="H19" s="311">
        <f>VLOOKUP($F19,'Pareto Data'!$C$77:$E$98,3,FALSE)</f>
        <v>0.18105273427972096</v>
      </c>
      <c r="J19" s="304" t="str">
        <f>'2 weeks Downtime Trend'!T18</f>
        <v>Videojet (Coder)</v>
      </c>
      <c r="K19" s="308">
        <f t="shared" si="1"/>
        <v>3.1019775106630476E-3</v>
      </c>
      <c r="L19" s="308">
        <f>SUM($C$5:K19)</f>
        <v>5108.1018851580166</v>
      </c>
      <c r="M19" s="592">
        <f>'2 weeks Downtime Trend'!AB18</f>
        <v>16</v>
      </c>
    </row>
    <row r="20" spans="2:13">
      <c r="B20" s="312" t="s">
        <v>23</v>
      </c>
      <c r="C20" s="308">
        <f t="shared" si="0"/>
        <v>5.2345870492438926E-3</v>
      </c>
      <c r="D20" s="308">
        <f>SUM($C$5:C20)</f>
        <v>0.99146956184567669</v>
      </c>
      <c r="E20" s="309">
        <f>VLOOKUP(B20,'2 weeks Downtime Trend'!B$5:R$27,17,FALSE)</f>
        <v>27</v>
      </c>
      <c r="F20" s="310" t="str">
        <f>VLOOKUP($B20,'Pareto Data'!$C$77:$E$98,1,FALSE)</f>
        <v>Crate Rinser</v>
      </c>
      <c r="G20" s="311">
        <f>VLOOKUP($F20,'Pareto Data'!$C$77:$E$98,2,FALSE)</f>
        <v>8.3906532025952458E-4</v>
      </c>
      <c r="H20" s="311">
        <f>VLOOKUP($F20,'Pareto Data'!$C$77:$E$98,3,FALSE)</f>
        <v>0.82056685691984965</v>
      </c>
      <c r="J20" s="304" t="str">
        <f>'2 weeks Downtime Trend'!T24</f>
        <v>Other Unexplained</v>
      </c>
      <c r="K20" s="308">
        <f t="shared" si="1"/>
        <v>5.8162078324932144E-4</v>
      </c>
      <c r="L20" s="308">
        <f>SUM($C$5:K20)</f>
        <v>5136.9205768499342</v>
      </c>
      <c r="M20" s="592">
        <f>'2 weeks Downtime Trend'!AB24</f>
        <v>3</v>
      </c>
    </row>
    <row r="21" spans="2:13">
      <c r="B21" s="304" t="s">
        <v>6</v>
      </c>
      <c r="C21" s="308">
        <f t="shared" si="0"/>
        <v>4.6529662659945716E-3</v>
      </c>
      <c r="D21" s="308">
        <f>SUM($C$5:C21)</f>
        <v>0.99612252811167123</v>
      </c>
      <c r="E21" s="309">
        <f>VLOOKUP(B21,'2 weeks Downtime Trend'!B$5:R$27,17,FALSE)</f>
        <v>24</v>
      </c>
      <c r="F21" s="310" t="str">
        <f>VLOOKUP($B21,'Pareto Data'!$C$77:$E$98,1,FALSE)</f>
        <v>Operator Errors</v>
      </c>
      <c r="G21" s="311">
        <f>VLOOKUP($F21,'Pareto Data'!$C$77:$E$98,2,FALSE)</f>
        <v>4.4782672325479281E-3</v>
      </c>
      <c r="H21" s="311">
        <f>VLOOKUP($F21,'Pareto Data'!$C$77:$E$98,3,FALSE)</f>
        <v>4.4782672325479281E-3</v>
      </c>
      <c r="J21" s="304" t="str">
        <f>'2 weeks Downtime Trend'!T5</f>
        <v>Operator Errors</v>
      </c>
      <c r="K21" s="308">
        <f>M21/$M$27</f>
        <v>0</v>
      </c>
      <c r="L21" s="308">
        <f>SUM($C$5:K21)</f>
        <v>5161.9303088787756</v>
      </c>
      <c r="M21" s="592">
        <f>'2 weeks Downtime Trend'!AB5</f>
        <v>0</v>
      </c>
    </row>
    <row r="22" spans="2:13">
      <c r="B22" s="312" t="s">
        <v>61</v>
      </c>
      <c r="C22" s="308">
        <f t="shared" si="0"/>
        <v>3.2958511050794883E-3</v>
      </c>
      <c r="D22" s="308">
        <f>SUM($C$5:C22)</f>
        <v>0.9994183792167507</v>
      </c>
      <c r="E22" s="309">
        <f>VLOOKUP(B22,'2 weeks Downtime Trend'!B$5:R$27,17,FALSE)</f>
        <v>17</v>
      </c>
      <c r="F22" s="310" t="str">
        <f>VLOOKUP($B22,'Pareto Data'!$C$77:$E$98,1,FALSE)</f>
        <v>Low CO2 Pressure</v>
      </c>
      <c r="G22" s="311">
        <f>VLOOKUP($F22,'Pareto Data'!$C$77:$E$98,2,FALSE)</f>
        <v>5.8637006683252826E-3</v>
      </c>
      <c r="H22" s="311">
        <f>VLOOKUP($F22,'Pareto Data'!$C$77:$E$98,3,FALSE)</f>
        <v>0.18691643494804625</v>
      </c>
      <c r="J22" s="304" t="str">
        <f>'2 weeks Downtime Trend'!T9</f>
        <v>Low CO2 Pressure</v>
      </c>
      <c r="K22" s="308">
        <f>M22/$E$27</f>
        <v>0</v>
      </c>
      <c r="L22" s="308">
        <f>SUM($C$5:K22)</f>
        <v>5180.125803244714</v>
      </c>
      <c r="M22" s="592">
        <f>'2 weeks Downtime Trend'!AB9</f>
        <v>0</v>
      </c>
    </row>
    <row r="23" spans="2:13">
      <c r="B23" s="304" t="s">
        <v>25</v>
      </c>
      <c r="C23" s="308">
        <f t="shared" si="0"/>
        <v>5.8162078324932144E-4</v>
      </c>
      <c r="D23" s="308">
        <f>SUM($C$5:C23)</f>
        <v>1</v>
      </c>
      <c r="E23" s="309">
        <f>VLOOKUP(B23,'2 weeks Downtime Trend'!B$5:R$27,17,FALSE)</f>
        <v>3</v>
      </c>
      <c r="F23" s="310" t="str">
        <f>VLOOKUP($B23,'Pareto Data'!$C$77:$E$98,1,FALSE)</f>
        <v>Other Unexplained</v>
      </c>
      <c r="G23" s="311">
        <f>VLOOKUP($F23,'Pareto Data'!$C$77:$E$98,2,FALSE)</f>
        <v>1.7269135079759981E-3</v>
      </c>
      <c r="H23" s="311">
        <f>VLOOKUP($F23,'Pareto Data'!$C$77:$E$98,3,FALSE)</f>
        <v>0.96903263573832865</v>
      </c>
      <c r="J23" s="304" t="str">
        <f>'2 weeks Downtime Trend'!T22</f>
        <v>Crate Rinser</v>
      </c>
      <c r="K23" s="308">
        <f>M23/$E$27</f>
        <v>0</v>
      </c>
      <c r="L23" s="308">
        <f>SUM($C$5:K23)</f>
        <v>5185.0971444147435</v>
      </c>
      <c r="M23" s="592">
        <f>'2 weeks Downtime Trend'!AB22</f>
        <v>0</v>
      </c>
    </row>
    <row r="24" spans="2:13">
      <c r="B24" s="312" t="s">
        <v>12</v>
      </c>
      <c r="C24" s="308">
        <f t="shared" si="0"/>
        <v>0</v>
      </c>
      <c r="D24" s="308">
        <f>SUM($C$5:C24)</f>
        <v>1</v>
      </c>
      <c r="E24" s="309">
        <f>VLOOKUP(B24,'2 weeks Downtime Trend'!B$5:R$27,17,FALSE)</f>
        <v>0</v>
      </c>
      <c r="F24" s="310" t="str">
        <f>VLOOKUP($B24,'Pareto Data'!$C$77:$E$98,1,FALSE)</f>
        <v>Low Steam Pressure</v>
      </c>
      <c r="G24" s="311">
        <f>VLOOKUP($F24,'Pareto Data'!$C$77:$E$98,2,FALSE)</f>
        <v>6.751548856041757E-3</v>
      </c>
      <c r="H24" s="311">
        <f>VLOOKUP($F24,'Pareto Data'!$C$77:$E$98,3,FALSE)</f>
        <v>0.19784379725840284</v>
      </c>
      <c r="J24" s="304" t="str">
        <f>'2 weeks Downtime Trend'!T11</f>
        <v>Low Steam Pressure</v>
      </c>
      <c r="K24" s="308">
        <f>M24/$E$27</f>
        <v>0</v>
      </c>
      <c r="L24" s="308">
        <f>SUM($C$5:K24)</f>
        <v>5186.3017397608583</v>
      </c>
      <c r="M24" s="592">
        <f>'2 weeks Downtime Trend'!AB11</f>
        <v>0</v>
      </c>
    </row>
    <row r="25" spans="2:13">
      <c r="B25" s="312" t="s">
        <v>11</v>
      </c>
      <c r="C25" s="308">
        <f t="shared" si="0"/>
        <v>0</v>
      </c>
      <c r="D25" s="308">
        <f>SUM($C$5:C25)</f>
        <v>1</v>
      </c>
      <c r="E25" s="309">
        <f>VLOOKUP(B25,'2 weeks Downtime Trend'!B$5:R$27,17,FALSE)</f>
        <v>0</v>
      </c>
      <c r="F25" s="310" t="str">
        <f>VLOOKUP($B25,'Pareto Data'!$C$77:$E$98,1,FALSE)</f>
        <v>Low Water Pressure</v>
      </c>
      <c r="G25" s="311">
        <f>VLOOKUP($F25,'Pareto Data'!$C$77:$E$98,2,FALSE)</f>
        <v>4.175813454314844E-3</v>
      </c>
      <c r="H25" s="311">
        <f>VLOOKUP($F25,'Pareto Data'!$C$77:$E$98,3,FALSE)</f>
        <v>0.19109224840236108</v>
      </c>
      <c r="J25" s="304" t="str">
        <f>'2 weeks Downtime Trend'!T10</f>
        <v>Low Water Pressure</v>
      </c>
      <c r="K25" s="308">
        <f>M25/$E$27</f>
        <v>0</v>
      </c>
      <c r="L25" s="308">
        <f>SUM($C$5:K25)</f>
        <v>5187.4970078227143</v>
      </c>
      <c r="M25" s="592">
        <f>'2 weeks Downtime Trend'!AB10</f>
        <v>0</v>
      </c>
    </row>
    <row r="26" spans="2:13">
      <c r="B26" s="312" t="s">
        <v>27</v>
      </c>
      <c r="C26" s="308">
        <f t="shared" si="0"/>
        <v>0</v>
      </c>
      <c r="D26" s="308">
        <f>SUM($C$5:C26)</f>
        <v>1</v>
      </c>
      <c r="E26" s="309">
        <f>VLOOKUP(B26,'2 weeks Downtime Trend'!B$5:R$27,17,FALSE)</f>
        <v>0</v>
      </c>
      <c r="F26" s="310" t="str">
        <f>VLOOKUP($B26,'Pareto Data'!$C$77:$E$98,1,FALSE)</f>
        <v>Space Availability</v>
      </c>
      <c r="G26" s="311">
        <f>VLOOKUP($F26,'Pareto Data'!$C$77:$E$98,2,FALSE)</f>
        <v>2.7318405775891507E-3</v>
      </c>
      <c r="H26" s="311">
        <f>VLOOKUP($F26,'Pareto Data'!$C$77:$E$98,3,FALSE)</f>
        <v>0.99999999999999989</v>
      </c>
      <c r="J26" s="304" t="str">
        <f>'2 weeks Downtime Trend'!T26</f>
        <v>Space Availability</v>
      </c>
      <c r="K26" s="308">
        <f>M26/$E$27</f>
        <v>0</v>
      </c>
      <c r="L26" s="308">
        <f>SUM($C$5:K26)</f>
        <v>5189.4997396632916</v>
      </c>
      <c r="M26" s="592">
        <f>'2 weeks Downtime Trend'!AB26</f>
        <v>0</v>
      </c>
    </row>
    <row r="27" spans="2:13">
      <c r="B27" s="313" t="s">
        <v>173</v>
      </c>
      <c r="C27" s="314"/>
      <c r="D27" s="314"/>
      <c r="E27" s="313">
        <f>SUM(E5:E26)</f>
        <v>5158</v>
      </c>
      <c r="J27" s="313" t="s">
        <v>173</v>
      </c>
      <c r="K27" s="314"/>
      <c r="L27" s="314"/>
      <c r="M27" s="313">
        <f>SUM(M5:M26)</f>
        <v>1374</v>
      </c>
    </row>
  </sheetData>
  <sortState xmlns:xlrd2="http://schemas.microsoft.com/office/spreadsheetml/2017/richdata2" ref="J5:M26">
    <sortCondition descending="1" ref="M5:M26"/>
  </sortState>
  <mergeCells count="3">
    <mergeCell ref="B3:E3"/>
    <mergeCell ref="F3:H3"/>
    <mergeCell ref="J3:M3"/>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pageSetUpPr fitToPage="1"/>
  </sheetPr>
  <dimension ref="A1:AC54"/>
  <sheetViews>
    <sheetView showGridLines="0" zoomScale="70" zoomScaleNormal="70" workbookViewId="0">
      <pane xSplit="4" ySplit="4" topLeftCell="E5" activePane="bottomRight" state="frozen"/>
      <selection pane="topRight"/>
      <selection pane="bottomLeft"/>
      <selection pane="bottomRight" activeCell="Q5" sqref="Q5:Q26"/>
    </sheetView>
  </sheetViews>
  <sheetFormatPr defaultColWidth="9" defaultRowHeight="12.75"/>
  <cols>
    <col min="1" max="1" width="1.5703125" customWidth="1"/>
    <col min="3" max="3" width="9.5703125" customWidth="1"/>
    <col min="4" max="4" width="25.140625" customWidth="1"/>
    <col min="5" max="5" width="13.140625" customWidth="1"/>
    <col min="6" max="17" width="12.5703125" customWidth="1"/>
    <col min="18" max="18" width="8.85546875" style="271" customWidth="1"/>
    <col min="23" max="23" width="10" bestFit="1" customWidth="1"/>
    <col min="25" max="25" width="9.42578125" customWidth="1"/>
    <col min="27" max="27" width="10.5703125" customWidth="1"/>
    <col min="28" max="28" width="11.85546875" customWidth="1"/>
  </cols>
  <sheetData>
    <row r="1" spans="1:29" ht="4.5" customHeight="1"/>
    <row r="2" spans="1:29" ht="5.25" customHeight="1">
      <c r="A2" s="703" t="s">
        <v>447</v>
      </c>
      <c r="B2" s="703"/>
      <c r="C2" s="703"/>
      <c r="D2" s="703"/>
    </row>
    <row r="3" spans="1:29" ht="8.25" customHeight="1" thickBot="1">
      <c r="A3" s="703"/>
      <c r="B3" s="703"/>
      <c r="C3" s="703"/>
      <c r="D3" s="703"/>
    </row>
    <row r="4" spans="1:29" ht="16.5" thickBot="1">
      <c r="D4" s="272" t="s">
        <v>477</v>
      </c>
      <c r="E4" s="273">
        <v>46279</v>
      </c>
      <c r="F4" s="273">
        <v>46280</v>
      </c>
      <c r="G4" s="273">
        <v>46281</v>
      </c>
      <c r="H4" s="273">
        <v>46282</v>
      </c>
      <c r="I4" s="273">
        <v>46283</v>
      </c>
      <c r="J4" s="273">
        <v>46286</v>
      </c>
      <c r="K4" s="273">
        <v>46287</v>
      </c>
      <c r="L4" s="273">
        <v>46288</v>
      </c>
      <c r="M4" s="273">
        <v>46289</v>
      </c>
      <c r="N4" s="273">
        <v>46290</v>
      </c>
      <c r="O4" s="273">
        <v>46293</v>
      </c>
      <c r="P4" s="273">
        <v>46294</v>
      </c>
      <c r="Q4" s="273">
        <v>46295</v>
      </c>
      <c r="R4" s="301" t="s">
        <v>403</v>
      </c>
      <c r="T4" s="704" t="s">
        <v>476</v>
      </c>
      <c r="U4" s="704"/>
      <c r="V4" s="705"/>
      <c r="W4" s="273">
        <f>M4</f>
        <v>46289</v>
      </c>
      <c r="X4" s="273">
        <f t="shared" ref="X4:AA5" si="0">N4</f>
        <v>46290</v>
      </c>
      <c r="Y4" s="273">
        <f t="shared" si="0"/>
        <v>46293</v>
      </c>
      <c r="Z4" s="273">
        <f t="shared" si="0"/>
        <v>46294</v>
      </c>
      <c r="AA4" s="273">
        <f t="shared" si="0"/>
        <v>46295</v>
      </c>
      <c r="AB4" s="301" t="s">
        <v>403</v>
      </c>
    </row>
    <row r="5" spans="1:29" ht="14.85" customHeight="1">
      <c r="B5" s="274" t="s">
        <v>6</v>
      </c>
      <c r="C5" s="275"/>
      <c r="D5" s="276"/>
      <c r="E5" s="277"/>
      <c r="F5" s="277"/>
      <c r="G5" s="277"/>
      <c r="H5" s="277">
        <v>5</v>
      </c>
      <c r="I5" s="277"/>
      <c r="J5" s="277">
        <v>17</v>
      </c>
      <c r="K5" s="277">
        <v>2</v>
      </c>
      <c r="L5" s="277"/>
      <c r="M5" s="277"/>
      <c r="N5" s="277"/>
      <c r="O5" s="277"/>
      <c r="P5" s="277"/>
      <c r="Q5" s="277"/>
      <c r="R5" s="302">
        <f>((((SUM(E5:Q5)))))</f>
        <v>24</v>
      </c>
      <c r="T5" s="274" t="str">
        <f>B5</f>
        <v>Operator Errors</v>
      </c>
      <c r="U5" s="275"/>
      <c r="V5" s="276"/>
      <c r="W5" s="277">
        <f>M5</f>
        <v>0</v>
      </c>
      <c r="X5" s="277">
        <f t="shared" si="0"/>
        <v>0</v>
      </c>
      <c r="Y5" s="277">
        <f t="shared" si="0"/>
        <v>0</v>
      </c>
      <c r="Z5" s="277">
        <f t="shared" si="0"/>
        <v>0</v>
      </c>
      <c r="AA5" s="277">
        <f t="shared" si="0"/>
        <v>0</v>
      </c>
      <c r="AB5" s="302">
        <f t="shared" ref="AB5:AB19" si="1">(((SUM(W5:AA5))))</f>
        <v>0</v>
      </c>
    </row>
    <row r="6" spans="1:29" ht="14.85" customHeight="1">
      <c r="B6" s="278" t="s">
        <v>7</v>
      </c>
      <c r="C6" s="279"/>
      <c r="D6" s="280"/>
      <c r="E6" s="281">
        <v>50</v>
      </c>
      <c r="F6" s="281">
        <v>14</v>
      </c>
      <c r="G6" s="281">
        <v>60</v>
      </c>
      <c r="H6" s="281">
        <v>60</v>
      </c>
      <c r="I6" s="281">
        <v>38</v>
      </c>
      <c r="J6" s="281">
        <v>16</v>
      </c>
      <c r="K6" s="281"/>
      <c r="L6" s="281">
        <v>31</v>
      </c>
      <c r="M6" s="281"/>
      <c r="N6" s="281">
        <v>103</v>
      </c>
      <c r="O6" s="281"/>
      <c r="P6" s="281">
        <v>114</v>
      </c>
      <c r="Q6" s="281">
        <v>199</v>
      </c>
      <c r="R6" s="302">
        <f t="shared" ref="R6:R17" si="2">(((SUM(E6:Q6))))</f>
        <v>685</v>
      </c>
      <c r="T6" s="278" t="str">
        <f t="shared" ref="T6:T26" si="3">B6</f>
        <v>Change Over</v>
      </c>
      <c r="U6" s="279"/>
      <c r="V6" s="280"/>
      <c r="W6" s="281">
        <f t="shared" ref="W6:W26" si="4">M6</f>
        <v>0</v>
      </c>
      <c r="X6" s="281">
        <f t="shared" ref="X6:X26" si="5">N6</f>
        <v>103</v>
      </c>
      <c r="Y6" s="281">
        <f t="shared" ref="Y6:Y26" si="6">O6</f>
        <v>0</v>
      </c>
      <c r="Z6" s="281">
        <f t="shared" ref="Z6:Z26" si="7">P6</f>
        <v>114</v>
      </c>
      <c r="AA6" s="281">
        <f t="shared" ref="AA6:AA26" si="8">Q6</f>
        <v>199</v>
      </c>
      <c r="AB6" s="302">
        <f t="shared" si="1"/>
        <v>416</v>
      </c>
    </row>
    <row r="7" spans="1:29" ht="14.85" customHeight="1">
      <c r="B7" s="282" t="s">
        <v>8</v>
      </c>
      <c r="C7" s="283"/>
      <c r="D7" s="284"/>
      <c r="E7" s="285">
        <v>3</v>
      </c>
      <c r="F7" s="285">
        <v>53</v>
      </c>
      <c r="G7" s="285">
        <v>755</v>
      </c>
      <c r="H7" s="285">
        <v>11</v>
      </c>
      <c r="I7" s="285">
        <v>5</v>
      </c>
      <c r="J7" s="285">
        <v>4</v>
      </c>
      <c r="K7" s="285">
        <v>4</v>
      </c>
      <c r="L7" s="285">
        <v>18</v>
      </c>
      <c r="M7" s="285">
        <v>1</v>
      </c>
      <c r="N7" s="285"/>
      <c r="O7" s="285"/>
      <c r="P7" s="285">
        <v>11</v>
      </c>
      <c r="Q7" s="285">
        <v>6</v>
      </c>
      <c r="R7" s="302">
        <f t="shared" si="2"/>
        <v>871</v>
      </c>
      <c r="T7" s="282" t="str">
        <f t="shared" si="3"/>
        <v>Product Delay</v>
      </c>
      <c r="U7" s="283"/>
      <c r="V7" s="284"/>
      <c r="W7" s="285">
        <f t="shared" si="4"/>
        <v>1</v>
      </c>
      <c r="X7" s="285">
        <f t="shared" si="5"/>
        <v>0</v>
      </c>
      <c r="Y7" s="285">
        <f t="shared" si="6"/>
        <v>0</v>
      </c>
      <c r="Z7" s="285">
        <f t="shared" si="7"/>
        <v>11</v>
      </c>
      <c r="AA7" s="285">
        <f t="shared" si="8"/>
        <v>6</v>
      </c>
      <c r="AB7" s="302">
        <f t="shared" si="1"/>
        <v>18</v>
      </c>
    </row>
    <row r="8" spans="1:29" ht="14.85" customHeight="1">
      <c r="B8" s="278" t="s">
        <v>9</v>
      </c>
      <c r="C8" s="279"/>
      <c r="D8" s="280"/>
      <c r="E8" s="281"/>
      <c r="F8" s="281"/>
      <c r="G8" s="281"/>
      <c r="H8" s="281"/>
      <c r="I8" s="281"/>
      <c r="J8" s="281"/>
      <c r="K8" s="281"/>
      <c r="L8" s="281"/>
      <c r="M8" s="281"/>
      <c r="N8" s="281"/>
      <c r="O8" s="281"/>
      <c r="P8" s="281">
        <v>51</v>
      </c>
      <c r="Q8" s="281"/>
      <c r="R8" s="302">
        <f t="shared" si="2"/>
        <v>51</v>
      </c>
      <c r="T8" s="278" t="str">
        <f t="shared" si="3"/>
        <v>Low Air Pressure</v>
      </c>
      <c r="U8" s="279"/>
      <c r="V8" s="280"/>
      <c r="W8" s="281">
        <f t="shared" si="4"/>
        <v>0</v>
      </c>
      <c r="X8" s="281">
        <f t="shared" si="5"/>
        <v>0</v>
      </c>
      <c r="Y8" s="281">
        <f t="shared" si="6"/>
        <v>0</v>
      </c>
      <c r="Z8" s="281">
        <f t="shared" si="7"/>
        <v>51</v>
      </c>
      <c r="AA8" s="281">
        <f t="shared" si="8"/>
        <v>0</v>
      </c>
      <c r="AB8" s="302">
        <f t="shared" si="1"/>
        <v>51</v>
      </c>
    </row>
    <row r="9" spans="1:29" ht="16.5" customHeight="1">
      <c r="B9" s="282" t="s">
        <v>61</v>
      </c>
      <c r="C9" s="283"/>
      <c r="D9" s="284"/>
      <c r="E9" s="285"/>
      <c r="F9" s="285"/>
      <c r="G9" s="285">
        <v>14</v>
      </c>
      <c r="H9" s="285"/>
      <c r="I9" s="285">
        <v>3</v>
      </c>
      <c r="J9" s="285"/>
      <c r="K9" s="285"/>
      <c r="L9" s="285"/>
      <c r="M9" s="285"/>
      <c r="N9" s="285"/>
      <c r="O9" s="285"/>
      <c r="P9" s="285"/>
      <c r="Q9" s="285"/>
      <c r="R9" s="302">
        <f t="shared" si="2"/>
        <v>17</v>
      </c>
      <c r="T9" s="282" t="str">
        <f t="shared" si="3"/>
        <v>Low CO2 Pressure</v>
      </c>
      <c r="U9" s="283"/>
      <c r="V9" s="284"/>
      <c r="W9" s="285">
        <f t="shared" si="4"/>
        <v>0</v>
      </c>
      <c r="X9" s="285">
        <f t="shared" si="5"/>
        <v>0</v>
      </c>
      <c r="Y9" s="285">
        <f t="shared" si="6"/>
        <v>0</v>
      </c>
      <c r="Z9" s="285">
        <f t="shared" si="7"/>
        <v>0</v>
      </c>
      <c r="AA9" s="285">
        <f t="shared" si="8"/>
        <v>0</v>
      </c>
      <c r="AB9" s="302">
        <f t="shared" si="1"/>
        <v>0</v>
      </c>
    </row>
    <row r="10" spans="1:29" ht="14.85" customHeight="1">
      <c r="B10" s="278" t="s">
        <v>11</v>
      </c>
      <c r="C10" s="279"/>
      <c r="D10" s="280"/>
      <c r="E10" s="281"/>
      <c r="F10" s="281"/>
      <c r="G10" s="281"/>
      <c r="H10" s="281"/>
      <c r="I10" s="281"/>
      <c r="J10" s="281"/>
      <c r="K10" s="281"/>
      <c r="L10" s="281"/>
      <c r="M10" s="281"/>
      <c r="N10" s="281"/>
      <c r="O10" s="281"/>
      <c r="P10" s="281"/>
      <c r="Q10" s="281"/>
      <c r="R10" s="302">
        <f t="shared" si="2"/>
        <v>0</v>
      </c>
      <c r="T10" s="278" t="str">
        <f t="shared" si="3"/>
        <v>Low Water Pressure</v>
      </c>
      <c r="U10" s="279"/>
      <c r="V10" s="280"/>
      <c r="W10" s="281">
        <f t="shared" si="4"/>
        <v>0</v>
      </c>
      <c r="X10" s="281">
        <f t="shared" si="5"/>
        <v>0</v>
      </c>
      <c r="Y10" s="281">
        <f t="shared" si="6"/>
        <v>0</v>
      </c>
      <c r="Z10" s="281">
        <f t="shared" si="7"/>
        <v>0</v>
      </c>
      <c r="AA10" s="281">
        <f t="shared" si="8"/>
        <v>0</v>
      </c>
      <c r="AB10" s="302">
        <f t="shared" si="1"/>
        <v>0</v>
      </c>
    </row>
    <row r="11" spans="1:29" ht="14.85" customHeight="1">
      <c r="B11" s="282" t="s">
        <v>12</v>
      </c>
      <c r="C11" s="283"/>
      <c r="D11" s="284"/>
      <c r="E11" s="285"/>
      <c r="F11" s="285"/>
      <c r="G11" s="285"/>
      <c r="H11" s="285"/>
      <c r="I11" s="285"/>
      <c r="J11" s="285"/>
      <c r="K11" s="285"/>
      <c r="L11" s="285"/>
      <c r="M11" s="285"/>
      <c r="N11" s="285"/>
      <c r="O11" s="285"/>
      <c r="P11" s="285"/>
      <c r="Q11" s="285"/>
      <c r="R11" s="302">
        <f t="shared" si="2"/>
        <v>0</v>
      </c>
      <c r="T11" s="282" t="str">
        <f t="shared" si="3"/>
        <v>Low Steam Pressure</v>
      </c>
      <c r="U11" s="283"/>
      <c r="V11" s="284"/>
      <c r="W11" s="285">
        <f t="shared" si="4"/>
        <v>0</v>
      </c>
      <c r="X11" s="285">
        <f t="shared" si="5"/>
        <v>0</v>
      </c>
      <c r="Y11" s="285">
        <f t="shared" si="6"/>
        <v>0</v>
      </c>
      <c r="Z11" s="285">
        <f t="shared" si="7"/>
        <v>0</v>
      </c>
      <c r="AA11" s="285">
        <f t="shared" si="8"/>
        <v>0</v>
      </c>
      <c r="AB11" s="302">
        <f t="shared" si="1"/>
        <v>0</v>
      </c>
    </row>
    <row r="12" spans="1:29" ht="14.85" customHeight="1">
      <c r="B12" s="278" t="s">
        <v>13</v>
      </c>
      <c r="C12" s="279"/>
      <c r="D12" s="280"/>
      <c r="E12" s="281">
        <v>11</v>
      </c>
      <c r="F12" s="281">
        <v>35</v>
      </c>
      <c r="G12" s="281">
        <v>3</v>
      </c>
      <c r="H12" s="281">
        <v>6</v>
      </c>
      <c r="I12" s="281">
        <v>13</v>
      </c>
      <c r="J12" s="281">
        <v>0</v>
      </c>
      <c r="K12" s="281">
        <v>0</v>
      </c>
      <c r="L12" s="281">
        <v>0</v>
      </c>
      <c r="M12" s="281">
        <v>7</v>
      </c>
      <c r="N12" s="281">
        <v>30</v>
      </c>
      <c r="O12" s="281">
        <v>57</v>
      </c>
      <c r="P12" s="281">
        <v>5</v>
      </c>
      <c r="Q12" s="281">
        <v>0</v>
      </c>
      <c r="R12" s="302">
        <f t="shared" si="2"/>
        <v>167</v>
      </c>
      <c r="T12" s="278" t="str">
        <f t="shared" si="3"/>
        <v>Uncaser</v>
      </c>
      <c r="U12" s="279"/>
      <c r="V12" s="280"/>
      <c r="W12" s="281">
        <f t="shared" si="4"/>
        <v>7</v>
      </c>
      <c r="X12" s="281">
        <f t="shared" si="5"/>
        <v>30</v>
      </c>
      <c r="Y12" s="281">
        <f t="shared" si="6"/>
        <v>57</v>
      </c>
      <c r="Z12" s="281">
        <f t="shared" si="7"/>
        <v>5</v>
      </c>
      <c r="AA12" s="281">
        <f t="shared" si="8"/>
        <v>0</v>
      </c>
      <c r="AB12" s="302">
        <f t="shared" si="1"/>
        <v>99</v>
      </c>
    </row>
    <row r="13" spans="1:29" ht="14.85" customHeight="1">
      <c r="B13" s="282" t="s">
        <v>14</v>
      </c>
      <c r="C13" s="283"/>
      <c r="D13" s="284"/>
      <c r="E13" s="285">
        <v>20</v>
      </c>
      <c r="F13" s="285">
        <v>36</v>
      </c>
      <c r="G13" s="285">
        <v>3</v>
      </c>
      <c r="H13" s="285">
        <v>29</v>
      </c>
      <c r="I13" s="285">
        <v>6</v>
      </c>
      <c r="J13" s="285">
        <v>155</v>
      </c>
      <c r="K13" s="285">
        <v>45</v>
      </c>
      <c r="L13" s="285">
        <v>9</v>
      </c>
      <c r="M13" s="285">
        <v>7</v>
      </c>
      <c r="N13" s="285">
        <v>0</v>
      </c>
      <c r="O13" s="285">
        <v>6</v>
      </c>
      <c r="P13" s="285">
        <v>14</v>
      </c>
      <c r="Q13" s="285">
        <v>10</v>
      </c>
      <c r="R13" s="302">
        <f t="shared" si="2"/>
        <v>340</v>
      </c>
      <c r="T13" s="282" t="str">
        <f t="shared" si="3"/>
        <v>Washer</v>
      </c>
      <c r="U13" s="283"/>
      <c r="V13" s="284"/>
      <c r="W13" s="285">
        <f t="shared" si="4"/>
        <v>7</v>
      </c>
      <c r="X13" s="285">
        <f t="shared" si="5"/>
        <v>0</v>
      </c>
      <c r="Y13" s="285">
        <f t="shared" si="6"/>
        <v>6</v>
      </c>
      <c r="Z13" s="285">
        <f t="shared" si="7"/>
        <v>14</v>
      </c>
      <c r="AA13" s="285">
        <f t="shared" si="8"/>
        <v>10</v>
      </c>
      <c r="AB13" s="302">
        <f t="shared" si="1"/>
        <v>37</v>
      </c>
    </row>
    <row r="14" spans="1:29" ht="14.85" customHeight="1">
      <c r="B14" s="278" t="s">
        <v>15</v>
      </c>
      <c r="C14" s="279"/>
      <c r="D14" s="280"/>
      <c r="E14" s="281">
        <v>17</v>
      </c>
      <c r="F14" s="281">
        <v>2</v>
      </c>
      <c r="G14" s="281">
        <v>4</v>
      </c>
      <c r="H14" s="281">
        <v>171</v>
      </c>
      <c r="I14" s="281">
        <v>13</v>
      </c>
      <c r="J14" s="281">
        <v>5</v>
      </c>
      <c r="K14" s="281">
        <v>6</v>
      </c>
      <c r="L14" s="281">
        <v>4</v>
      </c>
      <c r="M14" s="281">
        <v>14</v>
      </c>
      <c r="N14" s="281">
        <v>0</v>
      </c>
      <c r="O14" s="281">
        <v>0</v>
      </c>
      <c r="P14" s="281">
        <v>11</v>
      </c>
      <c r="Q14" s="281">
        <v>11</v>
      </c>
      <c r="R14" s="302">
        <f t="shared" si="2"/>
        <v>258</v>
      </c>
      <c r="T14" s="278" t="str">
        <f t="shared" si="3"/>
        <v>EBI</v>
      </c>
      <c r="U14" s="279"/>
      <c r="V14" s="280"/>
      <c r="W14" s="281">
        <f t="shared" si="4"/>
        <v>14</v>
      </c>
      <c r="X14" s="281">
        <f t="shared" si="5"/>
        <v>0</v>
      </c>
      <c r="Y14" s="281">
        <f t="shared" si="6"/>
        <v>0</v>
      </c>
      <c r="Z14" s="281">
        <f t="shared" si="7"/>
        <v>11</v>
      </c>
      <c r="AA14" s="281">
        <f t="shared" si="8"/>
        <v>11</v>
      </c>
      <c r="AB14" s="302">
        <f t="shared" si="1"/>
        <v>36</v>
      </c>
      <c r="AC14" s="589"/>
    </row>
    <row r="15" spans="1:29" ht="14.85" customHeight="1">
      <c r="B15" s="282" t="s">
        <v>16</v>
      </c>
      <c r="C15" s="283"/>
      <c r="D15" s="284"/>
      <c r="E15" s="285">
        <v>133</v>
      </c>
      <c r="F15" s="285">
        <v>66</v>
      </c>
      <c r="G15" s="285">
        <v>50</v>
      </c>
      <c r="H15" s="285">
        <v>29</v>
      </c>
      <c r="I15" s="285">
        <v>109</v>
      </c>
      <c r="J15" s="285">
        <v>42</v>
      </c>
      <c r="K15" s="285">
        <v>28</v>
      </c>
      <c r="L15" s="285">
        <v>4</v>
      </c>
      <c r="M15" s="285">
        <v>64</v>
      </c>
      <c r="N15" s="285">
        <v>1</v>
      </c>
      <c r="O15" s="285">
        <v>15</v>
      </c>
      <c r="P15" s="285">
        <v>9</v>
      </c>
      <c r="Q15" s="285">
        <v>3</v>
      </c>
      <c r="R15" s="302">
        <f t="shared" si="2"/>
        <v>553</v>
      </c>
      <c r="T15" s="282" t="str">
        <f t="shared" si="3"/>
        <v>Filler</v>
      </c>
      <c r="U15" s="283"/>
      <c r="V15" s="284"/>
      <c r="W15" s="285">
        <f t="shared" si="4"/>
        <v>64</v>
      </c>
      <c r="X15" s="285">
        <f t="shared" si="5"/>
        <v>1</v>
      </c>
      <c r="Y15" s="285">
        <f t="shared" si="6"/>
        <v>15</v>
      </c>
      <c r="Z15" s="285">
        <f t="shared" si="7"/>
        <v>9</v>
      </c>
      <c r="AA15" s="285">
        <f t="shared" si="8"/>
        <v>3</v>
      </c>
      <c r="AB15" s="302">
        <f t="shared" si="1"/>
        <v>92</v>
      </c>
    </row>
    <row r="16" spans="1:29" ht="14.85" customHeight="1">
      <c r="B16" s="278" t="s">
        <v>17</v>
      </c>
      <c r="C16" s="279"/>
      <c r="D16" s="280"/>
      <c r="E16" s="281">
        <v>69</v>
      </c>
      <c r="F16" s="281">
        <v>0</v>
      </c>
      <c r="G16" s="281">
        <v>0</v>
      </c>
      <c r="H16" s="281">
        <v>35</v>
      </c>
      <c r="I16" s="281">
        <v>55</v>
      </c>
      <c r="J16" s="281">
        <v>7</v>
      </c>
      <c r="K16" s="281">
        <v>0</v>
      </c>
      <c r="L16" s="281">
        <v>5</v>
      </c>
      <c r="M16" s="281">
        <v>19</v>
      </c>
      <c r="N16" s="281">
        <v>0</v>
      </c>
      <c r="O16" s="281">
        <v>65</v>
      </c>
      <c r="P16" s="281">
        <v>12</v>
      </c>
      <c r="Q16" s="281">
        <v>38</v>
      </c>
      <c r="R16" s="302">
        <f t="shared" si="2"/>
        <v>305</v>
      </c>
      <c r="T16" s="278" t="str">
        <f t="shared" si="3"/>
        <v>Pasteuriser</v>
      </c>
      <c r="U16" s="279"/>
      <c r="V16" s="280"/>
      <c r="W16" s="281">
        <f t="shared" si="4"/>
        <v>19</v>
      </c>
      <c r="X16" s="281">
        <f t="shared" si="5"/>
        <v>0</v>
      </c>
      <c r="Y16" s="281">
        <f t="shared" si="6"/>
        <v>65</v>
      </c>
      <c r="Z16" s="281">
        <f t="shared" si="7"/>
        <v>12</v>
      </c>
      <c r="AA16" s="281">
        <f t="shared" si="8"/>
        <v>38</v>
      </c>
      <c r="AB16" s="302">
        <f t="shared" si="1"/>
        <v>134</v>
      </c>
    </row>
    <row r="17" spans="2:29" ht="14.85" customHeight="1">
      <c r="B17" s="282" t="s">
        <v>18</v>
      </c>
      <c r="C17" s="283"/>
      <c r="D17" s="284"/>
      <c r="E17" s="285">
        <v>0</v>
      </c>
      <c r="F17" s="285">
        <v>6</v>
      </c>
      <c r="G17" s="285">
        <v>0</v>
      </c>
      <c r="H17" s="285">
        <v>19</v>
      </c>
      <c r="I17" s="285">
        <v>13</v>
      </c>
      <c r="J17" s="285">
        <v>4</v>
      </c>
      <c r="K17" s="285">
        <v>0</v>
      </c>
      <c r="L17" s="285">
        <v>13</v>
      </c>
      <c r="M17" s="285">
        <v>14</v>
      </c>
      <c r="N17" s="285">
        <v>18</v>
      </c>
      <c r="O17" s="285">
        <v>32</v>
      </c>
      <c r="P17" s="285">
        <v>9</v>
      </c>
      <c r="Q17" s="285">
        <v>10</v>
      </c>
      <c r="R17" s="302">
        <f t="shared" si="2"/>
        <v>138</v>
      </c>
      <c r="T17" s="282" t="str">
        <f t="shared" si="3"/>
        <v>Labeller</v>
      </c>
      <c r="U17" s="283"/>
      <c r="V17" s="284"/>
      <c r="W17" s="285">
        <f t="shared" si="4"/>
        <v>14</v>
      </c>
      <c r="X17" s="285">
        <f t="shared" si="5"/>
        <v>18</v>
      </c>
      <c r="Y17" s="285">
        <f t="shared" si="6"/>
        <v>32</v>
      </c>
      <c r="Z17" s="285">
        <f t="shared" si="7"/>
        <v>9</v>
      </c>
      <c r="AA17" s="285">
        <f t="shared" si="8"/>
        <v>10</v>
      </c>
      <c r="AB17" s="302">
        <f t="shared" si="1"/>
        <v>83</v>
      </c>
    </row>
    <row r="18" spans="2:29" ht="14.85" customHeight="1">
      <c r="B18" s="278" t="s">
        <v>19</v>
      </c>
      <c r="C18" s="279"/>
      <c r="D18" s="280"/>
      <c r="E18" s="281">
        <v>0</v>
      </c>
      <c r="F18" s="281">
        <v>20</v>
      </c>
      <c r="G18" s="281">
        <v>0</v>
      </c>
      <c r="H18" s="281">
        <v>103</v>
      </c>
      <c r="I18" s="281">
        <v>4</v>
      </c>
      <c r="J18" s="281">
        <v>0</v>
      </c>
      <c r="K18" s="281">
        <v>0</v>
      </c>
      <c r="L18" s="281">
        <v>19</v>
      </c>
      <c r="M18" s="281">
        <v>0</v>
      </c>
      <c r="N18" s="281">
        <v>0</v>
      </c>
      <c r="O18" s="281">
        <v>0</v>
      </c>
      <c r="P18" s="281">
        <v>6</v>
      </c>
      <c r="Q18" s="281">
        <v>10</v>
      </c>
      <c r="R18" s="302">
        <f t="shared" ref="R18:R26" si="9">(((SUM(E18:Q18))))</f>
        <v>162</v>
      </c>
      <c r="T18" s="278" t="str">
        <f t="shared" si="3"/>
        <v>Videojet (Coder)</v>
      </c>
      <c r="U18" s="279"/>
      <c r="V18" s="280"/>
      <c r="W18" s="281">
        <f t="shared" si="4"/>
        <v>0</v>
      </c>
      <c r="X18" s="281">
        <f t="shared" si="5"/>
        <v>0</v>
      </c>
      <c r="Y18" s="281">
        <f t="shared" si="6"/>
        <v>0</v>
      </c>
      <c r="Z18" s="281">
        <f t="shared" si="7"/>
        <v>6</v>
      </c>
      <c r="AA18" s="281">
        <f t="shared" si="8"/>
        <v>10</v>
      </c>
      <c r="AB18" s="302">
        <f t="shared" si="1"/>
        <v>16</v>
      </c>
    </row>
    <row r="19" spans="2:29" ht="14.85" customHeight="1">
      <c r="B19" s="282" t="s">
        <v>20</v>
      </c>
      <c r="C19" s="283"/>
      <c r="D19" s="284"/>
      <c r="E19" s="285">
        <v>28</v>
      </c>
      <c r="F19" s="285">
        <v>25</v>
      </c>
      <c r="G19" s="285">
        <v>4</v>
      </c>
      <c r="H19" s="285">
        <v>9</v>
      </c>
      <c r="I19" s="285">
        <v>23</v>
      </c>
      <c r="J19" s="285">
        <v>2</v>
      </c>
      <c r="K19" s="285">
        <v>11</v>
      </c>
      <c r="L19" s="285">
        <v>15</v>
      </c>
      <c r="M19" s="285">
        <v>5</v>
      </c>
      <c r="N19" s="285">
        <v>11</v>
      </c>
      <c r="O19" s="285">
        <v>31</v>
      </c>
      <c r="P19" s="285">
        <v>7</v>
      </c>
      <c r="Q19" s="285">
        <v>3</v>
      </c>
      <c r="R19" s="302">
        <f t="shared" si="9"/>
        <v>174</v>
      </c>
      <c r="T19" s="282" t="str">
        <f t="shared" si="3"/>
        <v>Conveyors</v>
      </c>
      <c r="U19" s="283"/>
      <c r="V19" s="284"/>
      <c r="W19" s="285">
        <f t="shared" si="4"/>
        <v>5</v>
      </c>
      <c r="X19" s="285">
        <f t="shared" si="5"/>
        <v>11</v>
      </c>
      <c r="Y19" s="285">
        <f t="shared" si="6"/>
        <v>31</v>
      </c>
      <c r="Z19" s="285">
        <f t="shared" si="7"/>
        <v>7</v>
      </c>
      <c r="AA19" s="285">
        <f t="shared" si="8"/>
        <v>3</v>
      </c>
      <c r="AB19" s="302">
        <f t="shared" si="1"/>
        <v>57</v>
      </c>
    </row>
    <row r="20" spans="2:29" ht="14.85" customHeight="1">
      <c r="B20" s="278" t="s">
        <v>21</v>
      </c>
      <c r="C20" s="279"/>
      <c r="D20" s="280"/>
      <c r="E20" s="281">
        <v>0</v>
      </c>
      <c r="F20" s="281">
        <v>2</v>
      </c>
      <c r="G20" s="281">
        <v>0</v>
      </c>
      <c r="H20" s="281">
        <v>13</v>
      </c>
      <c r="I20" s="281">
        <v>8</v>
      </c>
      <c r="J20" s="281">
        <v>0</v>
      </c>
      <c r="K20" s="281">
        <v>0</v>
      </c>
      <c r="L20" s="281">
        <v>96</v>
      </c>
      <c r="M20" s="281">
        <v>4</v>
      </c>
      <c r="N20" s="281">
        <v>16</v>
      </c>
      <c r="O20" s="281">
        <v>102</v>
      </c>
      <c r="P20" s="281">
        <v>3</v>
      </c>
      <c r="Q20" s="281">
        <v>2</v>
      </c>
      <c r="R20" s="302">
        <f t="shared" si="9"/>
        <v>246</v>
      </c>
      <c r="T20" s="278" t="str">
        <f t="shared" si="3"/>
        <v>Packer</v>
      </c>
      <c r="U20" s="279"/>
      <c r="V20" s="280"/>
      <c r="W20" s="281">
        <f t="shared" si="4"/>
        <v>4</v>
      </c>
      <c r="X20" s="281">
        <f t="shared" si="5"/>
        <v>16</v>
      </c>
      <c r="Y20" s="281">
        <f t="shared" si="6"/>
        <v>102</v>
      </c>
      <c r="Z20" s="281">
        <f t="shared" si="7"/>
        <v>3</v>
      </c>
      <c r="AA20" s="281">
        <f t="shared" si="8"/>
        <v>2</v>
      </c>
      <c r="AB20" s="302">
        <f>((((SUM(W20:AA20)))))</f>
        <v>127</v>
      </c>
    </row>
    <row r="21" spans="2:29" ht="14.85" customHeight="1">
      <c r="B21" s="282" t="s">
        <v>22</v>
      </c>
      <c r="C21" s="283"/>
      <c r="D21" s="284"/>
      <c r="E21" s="285">
        <v>0</v>
      </c>
      <c r="F21" s="285">
        <v>0</v>
      </c>
      <c r="G21" s="285">
        <v>14</v>
      </c>
      <c r="H21" s="285">
        <v>213</v>
      </c>
      <c r="I21" s="285">
        <v>0</v>
      </c>
      <c r="J21" s="285">
        <v>5</v>
      </c>
      <c r="K21" s="285">
        <v>0</v>
      </c>
      <c r="L21" s="285">
        <v>0</v>
      </c>
      <c r="M21" s="285">
        <v>43</v>
      </c>
      <c r="N21" s="285">
        <v>0</v>
      </c>
      <c r="O21" s="285">
        <v>0</v>
      </c>
      <c r="P21" s="285">
        <v>0</v>
      </c>
      <c r="Q21" s="285">
        <v>0</v>
      </c>
      <c r="R21" s="302">
        <f t="shared" si="9"/>
        <v>275</v>
      </c>
      <c r="T21" s="282" t="str">
        <f t="shared" si="3"/>
        <v>Carton Errector</v>
      </c>
      <c r="U21" s="283"/>
      <c r="V21" s="284"/>
      <c r="W21" s="285">
        <f t="shared" si="4"/>
        <v>43</v>
      </c>
      <c r="X21" s="285">
        <f t="shared" si="5"/>
        <v>0</v>
      </c>
      <c r="Y21" s="285">
        <f t="shared" si="6"/>
        <v>0</v>
      </c>
      <c r="Z21" s="285">
        <f t="shared" si="7"/>
        <v>0</v>
      </c>
      <c r="AA21" s="285">
        <f t="shared" si="8"/>
        <v>0</v>
      </c>
      <c r="AB21" s="302">
        <f t="shared" ref="AB21:AB26" si="10">(((SUM(W21:AA21))))</f>
        <v>43</v>
      </c>
    </row>
    <row r="22" spans="2:29" ht="14.85" customHeight="1">
      <c r="B22" s="278" t="s">
        <v>23</v>
      </c>
      <c r="C22" s="279"/>
      <c r="D22" s="280"/>
      <c r="E22" s="281"/>
      <c r="F22" s="281">
        <v>27</v>
      </c>
      <c r="G22" s="281"/>
      <c r="H22" s="281"/>
      <c r="I22" s="281"/>
      <c r="J22" s="281"/>
      <c r="K22" s="281"/>
      <c r="L22" s="281"/>
      <c r="M22" s="281"/>
      <c r="N22" s="281"/>
      <c r="O22" s="281"/>
      <c r="P22" s="281"/>
      <c r="Q22" s="281"/>
      <c r="R22" s="302">
        <f t="shared" si="9"/>
        <v>27</v>
      </c>
      <c r="T22" s="278" t="str">
        <f t="shared" si="3"/>
        <v>Crate Rinser</v>
      </c>
      <c r="U22" s="279"/>
      <c r="V22" s="280"/>
      <c r="W22" s="281">
        <f t="shared" si="4"/>
        <v>0</v>
      </c>
      <c r="X22" s="281">
        <f t="shared" si="5"/>
        <v>0</v>
      </c>
      <c r="Y22" s="281">
        <f t="shared" si="6"/>
        <v>0</v>
      </c>
      <c r="Z22" s="281">
        <f t="shared" si="7"/>
        <v>0</v>
      </c>
      <c r="AA22" s="281">
        <f t="shared" si="8"/>
        <v>0</v>
      </c>
      <c r="AB22" s="302">
        <f t="shared" si="10"/>
        <v>0</v>
      </c>
    </row>
    <row r="23" spans="2:29" ht="14.85" customHeight="1">
      <c r="B23" s="282" t="s">
        <v>24</v>
      </c>
      <c r="C23" s="283"/>
      <c r="D23" s="284"/>
      <c r="E23" s="285">
        <v>137</v>
      </c>
      <c r="F23" s="285">
        <v>87</v>
      </c>
      <c r="G23" s="285">
        <v>88</v>
      </c>
      <c r="H23" s="285">
        <v>68</v>
      </c>
      <c r="I23" s="285">
        <v>110</v>
      </c>
      <c r="J23" s="285"/>
      <c r="K23" s="285">
        <v>60</v>
      </c>
      <c r="L23" s="285">
        <v>48</v>
      </c>
      <c r="M23" s="285">
        <v>2</v>
      </c>
      <c r="N23" s="285">
        <v>17</v>
      </c>
      <c r="O23" s="285">
        <v>14</v>
      </c>
      <c r="P23" s="285">
        <v>10</v>
      </c>
      <c r="Q23" s="285">
        <v>38</v>
      </c>
      <c r="R23" s="302">
        <f t="shared" si="9"/>
        <v>679</v>
      </c>
      <c r="T23" s="282" t="str">
        <f t="shared" si="3"/>
        <v>Other Explained</v>
      </c>
      <c r="U23" s="283"/>
      <c r="V23" s="284"/>
      <c r="W23" s="285">
        <f t="shared" si="4"/>
        <v>2</v>
      </c>
      <c r="X23" s="285">
        <f t="shared" si="5"/>
        <v>17</v>
      </c>
      <c r="Y23" s="285">
        <f t="shared" si="6"/>
        <v>14</v>
      </c>
      <c r="Z23" s="285">
        <f t="shared" si="7"/>
        <v>10</v>
      </c>
      <c r="AA23" s="285">
        <f t="shared" si="8"/>
        <v>38</v>
      </c>
      <c r="AB23" s="302">
        <f t="shared" si="10"/>
        <v>81</v>
      </c>
    </row>
    <row r="24" spans="2:29" ht="14.85" customHeight="1">
      <c r="B24" s="278" t="s">
        <v>25</v>
      </c>
      <c r="C24" s="279"/>
      <c r="D24" s="280"/>
      <c r="E24" s="281"/>
      <c r="F24" s="281"/>
      <c r="G24" s="281"/>
      <c r="H24" s="281"/>
      <c r="I24" s="281"/>
      <c r="J24" s="281"/>
      <c r="K24" s="281"/>
      <c r="L24" s="281"/>
      <c r="M24" s="281"/>
      <c r="N24" s="281"/>
      <c r="O24" s="281"/>
      <c r="P24" s="281">
        <v>3</v>
      </c>
      <c r="Q24" s="281"/>
      <c r="R24" s="302">
        <f t="shared" si="9"/>
        <v>3</v>
      </c>
      <c r="T24" s="278" t="str">
        <f t="shared" si="3"/>
        <v>Other Unexplained</v>
      </c>
      <c r="U24" s="279"/>
      <c r="V24" s="280"/>
      <c r="W24" s="281">
        <f t="shared" si="4"/>
        <v>0</v>
      </c>
      <c r="X24" s="281">
        <f t="shared" si="5"/>
        <v>0</v>
      </c>
      <c r="Y24" s="281">
        <f t="shared" si="6"/>
        <v>0</v>
      </c>
      <c r="Z24" s="281">
        <f t="shared" si="7"/>
        <v>3</v>
      </c>
      <c r="AA24" s="281">
        <f t="shared" si="8"/>
        <v>0</v>
      </c>
      <c r="AB24" s="302">
        <f t="shared" si="10"/>
        <v>3</v>
      </c>
    </row>
    <row r="25" spans="2:29" ht="14.85" customHeight="1">
      <c r="B25" s="282" t="s">
        <v>26</v>
      </c>
      <c r="C25" s="283"/>
      <c r="D25" s="284"/>
      <c r="E25" s="285"/>
      <c r="F25" s="285">
        <v>14</v>
      </c>
      <c r="G25" s="285">
        <v>65</v>
      </c>
      <c r="H25" s="285">
        <v>4</v>
      </c>
      <c r="I25" s="285">
        <v>3</v>
      </c>
      <c r="J25" s="285">
        <v>10</v>
      </c>
      <c r="K25" s="285">
        <v>2</v>
      </c>
      <c r="L25" s="285">
        <v>4</v>
      </c>
      <c r="M25" s="285">
        <v>28</v>
      </c>
      <c r="N25" s="285">
        <v>34</v>
      </c>
      <c r="O25" s="285">
        <v>4</v>
      </c>
      <c r="P25" s="285">
        <v>11</v>
      </c>
      <c r="Q25" s="285">
        <v>4</v>
      </c>
      <c r="R25" s="302">
        <f t="shared" si="9"/>
        <v>183</v>
      </c>
      <c r="T25" s="282" t="str">
        <f t="shared" si="3"/>
        <v>Bottle Supply</v>
      </c>
      <c r="U25" s="283"/>
      <c r="V25" s="284"/>
      <c r="W25" s="285">
        <f t="shared" si="4"/>
        <v>28</v>
      </c>
      <c r="X25" s="285">
        <f t="shared" si="5"/>
        <v>34</v>
      </c>
      <c r="Y25" s="285">
        <f t="shared" si="6"/>
        <v>4</v>
      </c>
      <c r="Z25" s="285">
        <f t="shared" si="7"/>
        <v>11</v>
      </c>
      <c r="AA25" s="285">
        <f t="shared" si="8"/>
        <v>4</v>
      </c>
      <c r="AB25" s="302">
        <f t="shared" si="10"/>
        <v>81</v>
      </c>
    </row>
    <row r="26" spans="2:29" ht="14.85" customHeight="1" thickBot="1">
      <c r="B26" s="278" t="s">
        <v>27</v>
      </c>
      <c r="C26" s="279"/>
      <c r="D26" s="280"/>
      <c r="E26" s="281"/>
      <c r="F26" s="281"/>
      <c r="G26" s="281"/>
      <c r="H26" s="281"/>
      <c r="I26" s="281"/>
      <c r="J26" s="281"/>
      <c r="K26" s="281"/>
      <c r="L26" s="281"/>
      <c r="M26" s="281"/>
      <c r="N26" s="281"/>
      <c r="O26" s="281"/>
      <c r="P26" s="281"/>
      <c r="Q26" s="281"/>
      <c r="R26" s="302">
        <f t="shared" si="9"/>
        <v>0</v>
      </c>
      <c r="T26" s="278" t="str">
        <f t="shared" si="3"/>
        <v>Space Availability</v>
      </c>
      <c r="U26" s="279"/>
      <c r="V26" s="280"/>
      <c r="W26" s="281">
        <f t="shared" si="4"/>
        <v>0</v>
      </c>
      <c r="X26" s="281">
        <f t="shared" si="5"/>
        <v>0</v>
      </c>
      <c r="Y26" s="281">
        <f t="shared" si="6"/>
        <v>0</v>
      </c>
      <c r="Z26" s="281">
        <f t="shared" si="7"/>
        <v>0</v>
      </c>
      <c r="AA26" s="281">
        <f t="shared" si="8"/>
        <v>0</v>
      </c>
      <c r="AB26" s="302">
        <f t="shared" si="10"/>
        <v>0</v>
      </c>
    </row>
    <row r="27" spans="2:29" ht="16.350000000000001" customHeight="1" thickBot="1">
      <c r="B27" s="700" t="s">
        <v>448</v>
      </c>
      <c r="C27" s="701"/>
      <c r="D27" s="702"/>
      <c r="E27" s="286">
        <f t="shared" ref="E27:L27" si="11">(SUM(E5:E26))</f>
        <v>468</v>
      </c>
      <c r="F27" s="286">
        <f t="shared" si="11"/>
        <v>387</v>
      </c>
      <c r="G27" s="286">
        <f t="shared" si="11"/>
        <v>1060</v>
      </c>
      <c r="H27" s="286">
        <f t="shared" si="11"/>
        <v>775</v>
      </c>
      <c r="I27" s="286">
        <f t="shared" si="11"/>
        <v>403</v>
      </c>
      <c r="J27" s="286">
        <f t="shared" si="11"/>
        <v>267</v>
      </c>
      <c r="K27" s="286">
        <f t="shared" si="11"/>
        <v>158</v>
      </c>
      <c r="L27" s="286">
        <f t="shared" si="11"/>
        <v>266</v>
      </c>
      <c r="M27" s="286">
        <f>(SUM(M5:M26))</f>
        <v>208</v>
      </c>
      <c r="N27" s="286">
        <f>(SUM(N5:N26))</f>
        <v>230</v>
      </c>
      <c r="O27" s="286">
        <f>(SUM(O5:O26))</f>
        <v>326</v>
      </c>
      <c r="P27" s="286">
        <f>(SUM(P5:P26))</f>
        <v>276</v>
      </c>
      <c r="Q27" s="286">
        <f>(SUM(Q5:Q26))</f>
        <v>334</v>
      </c>
      <c r="R27" s="303">
        <f>SUM(R5:R26)</f>
        <v>5158</v>
      </c>
      <c r="T27" s="700" t="s">
        <v>448</v>
      </c>
      <c r="U27" s="701"/>
      <c r="V27" s="702"/>
      <c r="W27" s="286">
        <f>(SUM(W5:W26))</f>
        <v>208</v>
      </c>
      <c r="X27" s="286">
        <f>(SUM(X5:X26))</f>
        <v>230</v>
      </c>
      <c r="Y27" s="286">
        <f t="shared" ref="Y27:AA27" si="12">(SUM(Y5:Y26))</f>
        <v>326</v>
      </c>
      <c r="Z27" s="286">
        <f t="shared" si="12"/>
        <v>276</v>
      </c>
      <c r="AA27" s="286">
        <f t="shared" si="12"/>
        <v>334</v>
      </c>
      <c r="AB27" s="303">
        <f>SUM(AB5:AB26)</f>
        <v>1374</v>
      </c>
    </row>
    <row r="28" spans="2:29" ht="15.75">
      <c r="B28" s="287"/>
      <c r="C28" s="287"/>
      <c r="D28" s="287"/>
      <c r="E28" s="288"/>
      <c r="F28" s="288"/>
      <c r="G28" s="288"/>
      <c r="H28" s="288"/>
      <c r="I28" s="288"/>
      <c r="J28" s="288"/>
      <c r="K28" s="288"/>
      <c r="L28" s="288"/>
      <c r="M28" s="288"/>
      <c r="N28" s="288"/>
      <c r="O28" s="288"/>
      <c r="P28" s="288"/>
      <c r="Q28" s="288"/>
    </row>
    <row r="30" spans="2:29" ht="13.5" thickBot="1"/>
    <row r="31" spans="2:29" ht="60.75" thickBot="1">
      <c r="I31" s="289" t="s">
        <v>449</v>
      </c>
      <c r="J31" s="290"/>
      <c r="K31" s="291" t="s">
        <v>450</v>
      </c>
      <c r="L31" s="291" t="s">
        <v>451</v>
      </c>
      <c r="Z31" s="289" t="s">
        <v>449</v>
      </c>
      <c r="AA31" s="290"/>
      <c r="AB31" s="291" t="s">
        <v>450</v>
      </c>
      <c r="AC31" s="291" t="s">
        <v>451</v>
      </c>
    </row>
    <row r="32" spans="2:29" ht="13.5" thickBot="1">
      <c r="I32" s="292" t="str">
        <f>'Data Sheet'!B5</f>
        <v>Product Delay</v>
      </c>
      <c r="J32" s="293"/>
      <c r="K32" s="294">
        <f>'Data Sheet'!E5</f>
        <v>871</v>
      </c>
      <c r="L32" s="295">
        <f>K32/$K$54</f>
        <v>0.16886390073671967</v>
      </c>
      <c r="Z32" s="292" t="str">
        <f>'Data Sheet'!J5</f>
        <v>Change Over</v>
      </c>
      <c r="AA32" s="293"/>
      <c r="AB32" s="591">
        <f>'Data Sheet'!M5</f>
        <v>416</v>
      </c>
      <c r="AC32" s="295">
        <f>AB32/$K$54</f>
        <v>8.0651415277239236E-2</v>
      </c>
    </row>
    <row r="33" spans="9:29" ht="13.5" thickBot="1">
      <c r="I33" s="292" t="str">
        <f>'Data Sheet'!B6</f>
        <v>Change Over</v>
      </c>
      <c r="J33" s="296"/>
      <c r="K33" s="294">
        <f>'Data Sheet'!E6</f>
        <v>685</v>
      </c>
      <c r="L33" s="295">
        <f t="shared" ref="L33:L53" si="13">K33/$K$54</f>
        <v>0.13280341217526173</v>
      </c>
      <c r="Z33" s="292" t="str">
        <f>'Data Sheet'!J6</f>
        <v>Pasteuriser</v>
      </c>
      <c r="AA33" s="296"/>
      <c r="AB33" s="591">
        <f>'Data Sheet'!M6</f>
        <v>134</v>
      </c>
      <c r="AC33" s="295">
        <f t="shared" ref="AC33:AC53" si="14">AB33/$K$54</f>
        <v>2.5979061651803026E-2</v>
      </c>
    </row>
    <row r="34" spans="9:29" ht="13.5" thickBot="1">
      <c r="I34" s="292" t="str">
        <f>'Data Sheet'!B7</f>
        <v>Other Explained</v>
      </c>
      <c r="J34" s="297"/>
      <c r="K34" s="294">
        <f>'Data Sheet'!E7</f>
        <v>679</v>
      </c>
      <c r="L34" s="295">
        <f t="shared" si="13"/>
        <v>0.1316401706087631</v>
      </c>
      <c r="Z34" s="292" t="str">
        <f>'Data Sheet'!J7</f>
        <v>Packer</v>
      </c>
      <c r="AA34" s="297"/>
      <c r="AB34" s="591">
        <f>'Data Sheet'!M7</f>
        <v>127</v>
      </c>
      <c r="AC34" s="295">
        <f t="shared" si="14"/>
        <v>2.462194649088794E-2</v>
      </c>
    </row>
    <row r="35" spans="9:29" ht="13.5" thickBot="1">
      <c r="I35" s="292" t="str">
        <f>'Data Sheet'!B8</f>
        <v>Filler</v>
      </c>
      <c r="J35" s="296"/>
      <c r="K35" s="294">
        <f>'Data Sheet'!E8</f>
        <v>553</v>
      </c>
      <c r="L35" s="295">
        <f t="shared" si="13"/>
        <v>0.10721209771229158</v>
      </c>
      <c r="Z35" s="292" t="str">
        <f>'Data Sheet'!J8</f>
        <v>Uncaser</v>
      </c>
      <c r="AA35" s="296"/>
      <c r="AB35" s="591">
        <f>'Data Sheet'!M8</f>
        <v>99</v>
      </c>
      <c r="AC35" s="295">
        <f t="shared" si="14"/>
        <v>1.9193485847227607E-2</v>
      </c>
    </row>
    <row r="36" spans="9:29" ht="13.5" thickBot="1">
      <c r="I36" s="292" t="str">
        <f>'Data Sheet'!B9</f>
        <v>Washer</v>
      </c>
      <c r="J36" s="293"/>
      <c r="K36" s="294">
        <f>'Data Sheet'!E9</f>
        <v>340</v>
      </c>
      <c r="L36" s="295">
        <f t="shared" si="13"/>
        <v>6.591702210158977E-2</v>
      </c>
      <c r="Z36" s="292" t="str">
        <f>'Data Sheet'!J9</f>
        <v>Filler</v>
      </c>
      <c r="AA36" s="293"/>
      <c r="AB36" s="591">
        <f>'Data Sheet'!M9</f>
        <v>92</v>
      </c>
      <c r="AC36" s="295">
        <f t="shared" si="14"/>
        <v>1.7836370686312525E-2</v>
      </c>
    </row>
    <row r="37" spans="9:29" ht="13.5" thickBot="1">
      <c r="I37" s="292" t="str">
        <f>'Data Sheet'!B10</f>
        <v>Pasteuriser</v>
      </c>
      <c r="J37" s="296"/>
      <c r="K37" s="294">
        <f>'Data Sheet'!E10</f>
        <v>305</v>
      </c>
      <c r="L37" s="295">
        <f t="shared" si="13"/>
        <v>5.9131446297014348E-2</v>
      </c>
      <c r="Z37" s="292" t="str">
        <f>'Data Sheet'!J10</f>
        <v>Labeller</v>
      </c>
      <c r="AA37" s="296"/>
      <c r="AB37" s="591">
        <f>'Data Sheet'!M10</f>
        <v>83</v>
      </c>
      <c r="AC37" s="295">
        <f t="shared" si="14"/>
        <v>1.6091508336564558E-2</v>
      </c>
    </row>
    <row r="38" spans="9:29" ht="15.75" customHeight="1" thickBot="1">
      <c r="I38" s="292" t="str">
        <f>'Data Sheet'!B11</f>
        <v>Carton Errector</v>
      </c>
      <c r="J38" s="297"/>
      <c r="K38" s="294">
        <f>'Data Sheet'!E11</f>
        <v>275</v>
      </c>
      <c r="L38" s="295">
        <f t="shared" si="13"/>
        <v>5.3315238464521131E-2</v>
      </c>
      <c r="Z38" s="292" t="str">
        <f>'Data Sheet'!J11</f>
        <v>Other Explained</v>
      </c>
      <c r="AA38" s="297"/>
      <c r="AB38" s="591">
        <f>'Data Sheet'!M11</f>
        <v>81</v>
      </c>
      <c r="AC38" s="295">
        <f t="shared" si="14"/>
        <v>1.5703761147731678E-2</v>
      </c>
    </row>
    <row r="39" spans="9:29" ht="13.5" thickBot="1">
      <c r="I39" s="292" t="str">
        <f>'Data Sheet'!B12</f>
        <v>EBI</v>
      </c>
      <c r="J39" s="298"/>
      <c r="K39" s="294">
        <f>'Data Sheet'!E12</f>
        <v>258</v>
      </c>
      <c r="L39" s="295">
        <f t="shared" si="13"/>
        <v>5.0019387359441642E-2</v>
      </c>
      <c r="Z39" s="292" t="str">
        <f>'Data Sheet'!J12</f>
        <v>Bottle Supply</v>
      </c>
      <c r="AA39" s="298"/>
      <c r="AB39" s="591">
        <f>'Data Sheet'!M12</f>
        <v>81</v>
      </c>
      <c r="AC39" s="295">
        <f t="shared" si="14"/>
        <v>1.5703761147731678E-2</v>
      </c>
    </row>
    <row r="40" spans="9:29" ht="13.5" thickBot="1">
      <c r="I40" s="292" t="str">
        <f>'Data Sheet'!B13</f>
        <v>Packer</v>
      </c>
      <c r="J40" s="293"/>
      <c r="K40" s="294">
        <f>'Data Sheet'!E13</f>
        <v>246</v>
      </c>
      <c r="L40" s="295">
        <f t="shared" si="13"/>
        <v>4.7692904226444358E-2</v>
      </c>
      <c r="Z40" s="292" t="str">
        <f>'Data Sheet'!J13</f>
        <v>Conveyors</v>
      </c>
      <c r="AA40" s="293"/>
      <c r="AB40" s="591">
        <f>'Data Sheet'!M13</f>
        <v>57</v>
      </c>
      <c r="AC40" s="295">
        <f t="shared" si="14"/>
        <v>1.1050794881737108E-2</v>
      </c>
    </row>
    <row r="41" spans="9:29" ht="13.5" thickBot="1">
      <c r="I41" s="292" t="str">
        <f>'Data Sheet'!B14</f>
        <v>Bottle Supply</v>
      </c>
      <c r="J41" s="296"/>
      <c r="K41" s="294">
        <f>'Data Sheet'!E14</f>
        <v>183</v>
      </c>
      <c r="L41" s="295">
        <f t="shared" si="13"/>
        <v>3.5478867778208606E-2</v>
      </c>
      <c r="Z41" s="292" t="str">
        <f>'Data Sheet'!J14</f>
        <v>Low Air Pressure</v>
      </c>
      <c r="AA41" s="296"/>
      <c r="AB41" s="591">
        <f>'Data Sheet'!M14</f>
        <v>51</v>
      </c>
      <c r="AC41" s="295">
        <f t="shared" si="14"/>
        <v>9.8875533152384641E-3</v>
      </c>
    </row>
    <row r="42" spans="9:29" ht="13.5" thickBot="1">
      <c r="I42" s="292" t="str">
        <f>'Data Sheet'!B15</f>
        <v>Conveyors</v>
      </c>
      <c r="J42" s="293"/>
      <c r="K42" s="294">
        <f>'Data Sheet'!E15</f>
        <v>174</v>
      </c>
      <c r="L42" s="295">
        <f t="shared" si="13"/>
        <v>3.3734005428460646E-2</v>
      </c>
      <c r="Z42" s="292" t="str">
        <f>'Data Sheet'!J15</f>
        <v>Carton Errector</v>
      </c>
      <c r="AA42" s="293"/>
      <c r="AB42" s="591">
        <f>'Data Sheet'!M15</f>
        <v>43</v>
      </c>
      <c r="AC42" s="295">
        <f t="shared" si="14"/>
        <v>8.3365645599069414E-3</v>
      </c>
    </row>
    <row r="43" spans="9:29" ht="13.5" thickBot="1">
      <c r="I43" s="292" t="str">
        <f>'Data Sheet'!B16</f>
        <v>Uncaser</v>
      </c>
      <c r="J43" s="296"/>
      <c r="K43" s="294">
        <f>'Data Sheet'!E16</f>
        <v>167</v>
      </c>
      <c r="L43" s="295">
        <f t="shared" si="13"/>
        <v>3.2376890267545561E-2</v>
      </c>
      <c r="Z43" s="292" t="str">
        <f>'Data Sheet'!J16</f>
        <v>Washer</v>
      </c>
      <c r="AA43" s="296"/>
      <c r="AB43" s="591">
        <f>'Data Sheet'!M16</f>
        <v>37</v>
      </c>
      <c r="AC43" s="295">
        <f t="shared" si="14"/>
        <v>7.1733229934082977E-3</v>
      </c>
    </row>
    <row r="44" spans="9:29" ht="13.5" thickBot="1">
      <c r="I44" s="292" t="str">
        <f>'Data Sheet'!B17</f>
        <v>Videojet (Coder)</v>
      </c>
      <c r="J44" s="297"/>
      <c r="K44" s="294">
        <f>'Data Sheet'!E17</f>
        <v>162</v>
      </c>
      <c r="L44" s="295">
        <f t="shared" si="13"/>
        <v>3.1407522295463355E-2</v>
      </c>
      <c r="Z44" s="292" t="str">
        <f>'Data Sheet'!J17</f>
        <v>EBI</v>
      </c>
      <c r="AA44" s="297"/>
      <c r="AB44" s="591">
        <f>'Data Sheet'!M17</f>
        <v>36</v>
      </c>
      <c r="AC44" s="295">
        <f t="shared" si="14"/>
        <v>6.9794493989918573E-3</v>
      </c>
    </row>
    <row r="45" spans="9:29" ht="13.5" thickBot="1">
      <c r="I45" s="292" t="str">
        <f>'Data Sheet'!B18</f>
        <v>Labeller</v>
      </c>
      <c r="J45" s="298"/>
      <c r="K45" s="294">
        <f>'Data Sheet'!E18</f>
        <v>138</v>
      </c>
      <c r="L45" s="295">
        <f t="shared" si="13"/>
        <v>2.6754556029468787E-2</v>
      </c>
      <c r="Z45" s="292" t="str">
        <f>'Data Sheet'!J18</f>
        <v>Product Delay</v>
      </c>
      <c r="AA45" s="298"/>
      <c r="AB45" s="591">
        <f>'Data Sheet'!M18</f>
        <v>18</v>
      </c>
      <c r="AC45" s="295">
        <f t="shared" si="14"/>
        <v>3.4897246994959287E-3</v>
      </c>
    </row>
    <row r="46" spans="9:29" ht="12.75" customHeight="1" thickBot="1">
      <c r="I46" s="292" t="str">
        <f>'Data Sheet'!B19</f>
        <v>Low Air Pressure</v>
      </c>
      <c r="J46" s="297"/>
      <c r="K46" s="294">
        <f>'Data Sheet'!E19</f>
        <v>51</v>
      </c>
      <c r="L46" s="295">
        <f t="shared" si="13"/>
        <v>9.8875533152384641E-3</v>
      </c>
      <c r="Z46" s="292" t="str">
        <f>'Data Sheet'!J19</f>
        <v>Videojet (Coder)</v>
      </c>
      <c r="AA46" s="297"/>
      <c r="AB46" s="591">
        <f>'Data Sheet'!M19</f>
        <v>16</v>
      </c>
      <c r="AC46" s="295">
        <f t="shared" si="14"/>
        <v>3.1019775106630476E-3</v>
      </c>
    </row>
    <row r="47" spans="9:29" ht="13.5" thickBot="1">
      <c r="I47" s="292" t="str">
        <f>'Data Sheet'!B20</f>
        <v>Crate Rinser</v>
      </c>
      <c r="J47" s="298"/>
      <c r="K47" s="294">
        <f>'Data Sheet'!E20</f>
        <v>27</v>
      </c>
      <c r="L47" s="295">
        <f t="shared" si="13"/>
        <v>5.2345870492438926E-3</v>
      </c>
      <c r="Z47" s="292" t="str">
        <f>'Data Sheet'!J20</f>
        <v>Other Unexplained</v>
      </c>
      <c r="AA47" s="298"/>
      <c r="AB47" s="591">
        <f>'Data Sheet'!M20</f>
        <v>3</v>
      </c>
      <c r="AC47" s="295">
        <f t="shared" si="14"/>
        <v>5.8162078324932144E-4</v>
      </c>
    </row>
    <row r="48" spans="9:29" ht="13.5" thickBot="1">
      <c r="I48" s="292" t="str">
        <f>'Data Sheet'!B21</f>
        <v>Operator Errors</v>
      </c>
      <c r="J48" s="297"/>
      <c r="K48" s="294">
        <f>'Data Sheet'!E21</f>
        <v>24</v>
      </c>
      <c r="L48" s="295">
        <f t="shared" si="13"/>
        <v>4.6529662659945716E-3</v>
      </c>
      <c r="Z48" s="292" t="str">
        <f>'Data Sheet'!J21</f>
        <v>Operator Errors</v>
      </c>
      <c r="AA48" s="297"/>
      <c r="AB48" s="591">
        <f>'Data Sheet'!M21</f>
        <v>0</v>
      </c>
      <c r="AC48" s="295">
        <f t="shared" si="14"/>
        <v>0</v>
      </c>
    </row>
    <row r="49" spans="9:29" ht="13.5" thickBot="1">
      <c r="I49" s="292" t="str">
        <f>'Data Sheet'!B22</f>
        <v>Low CO2 Pressure</v>
      </c>
      <c r="J49" s="298"/>
      <c r="K49" s="294">
        <f>'Data Sheet'!E22</f>
        <v>17</v>
      </c>
      <c r="L49" s="295">
        <f t="shared" si="13"/>
        <v>3.2958511050794883E-3</v>
      </c>
      <c r="Z49" s="292" t="str">
        <f>'Data Sheet'!J22</f>
        <v>Low CO2 Pressure</v>
      </c>
      <c r="AA49" s="298"/>
      <c r="AB49" s="591">
        <f>'Data Sheet'!M22</f>
        <v>0</v>
      </c>
      <c r="AC49" s="295">
        <f t="shared" si="14"/>
        <v>0</v>
      </c>
    </row>
    <row r="50" spans="9:29" ht="13.5" thickBot="1">
      <c r="I50" s="292" t="str">
        <f>'Data Sheet'!B23</f>
        <v>Other Unexplained</v>
      </c>
      <c r="J50" s="293"/>
      <c r="K50" s="294">
        <f>'Data Sheet'!E23</f>
        <v>3</v>
      </c>
      <c r="L50" s="295">
        <f t="shared" si="13"/>
        <v>5.8162078324932144E-4</v>
      </c>
      <c r="Z50" s="292" t="str">
        <f>'Data Sheet'!J23</f>
        <v>Crate Rinser</v>
      </c>
      <c r="AA50" s="293"/>
      <c r="AB50" s="591">
        <f>'Data Sheet'!M23</f>
        <v>0</v>
      </c>
      <c r="AC50" s="295">
        <f t="shared" si="14"/>
        <v>0</v>
      </c>
    </row>
    <row r="51" spans="9:29" ht="13.5" thickBot="1">
      <c r="I51" s="292" t="str">
        <f>'Data Sheet'!B24</f>
        <v>Low Steam Pressure</v>
      </c>
      <c r="J51" s="298"/>
      <c r="K51" s="294">
        <f>'Data Sheet'!E24</f>
        <v>0</v>
      </c>
      <c r="L51" s="295">
        <f t="shared" si="13"/>
        <v>0</v>
      </c>
      <c r="Z51" s="292" t="str">
        <f>'Data Sheet'!J24</f>
        <v>Low Steam Pressure</v>
      </c>
      <c r="AA51" s="298"/>
      <c r="AB51" s="591">
        <f>'Data Sheet'!M24</f>
        <v>0</v>
      </c>
      <c r="AC51" s="295">
        <f t="shared" si="14"/>
        <v>0</v>
      </c>
    </row>
    <row r="52" spans="9:29" ht="13.5" thickBot="1">
      <c r="I52" s="292" t="str">
        <f>'Data Sheet'!B25</f>
        <v>Low Water Pressure</v>
      </c>
      <c r="J52" s="299"/>
      <c r="K52" s="294">
        <f>'Data Sheet'!E25</f>
        <v>0</v>
      </c>
      <c r="L52" s="295">
        <f t="shared" si="13"/>
        <v>0</v>
      </c>
      <c r="Z52" s="292" t="str">
        <f>'Data Sheet'!J25</f>
        <v>Low Water Pressure</v>
      </c>
      <c r="AA52" s="299"/>
      <c r="AB52" s="591">
        <f>'Data Sheet'!M25</f>
        <v>0</v>
      </c>
      <c r="AC52" s="295">
        <f t="shared" si="14"/>
        <v>0</v>
      </c>
    </row>
    <row r="53" spans="9:29">
      <c r="I53" s="292" t="str">
        <f>'Data Sheet'!B26</f>
        <v>Space Availability</v>
      </c>
      <c r="J53" s="293"/>
      <c r="K53" s="294">
        <f>'Data Sheet'!E26</f>
        <v>0</v>
      </c>
      <c r="L53" s="295">
        <f t="shared" si="13"/>
        <v>0</v>
      </c>
      <c r="Z53" s="292" t="str">
        <f>'Data Sheet'!J26</f>
        <v>Space Availability</v>
      </c>
      <c r="AA53" s="293"/>
      <c r="AB53" s="591">
        <f>'Data Sheet'!M26</f>
        <v>0</v>
      </c>
      <c r="AC53" s="295">
        <f t="shared" si="14"/>
        <v>0</v>
      </c>
    </row>
    <row r="54" spans="9:29" ht="15">
      <c r="I54" s="699" t="s">
        <v>403</v>
      </c>
      <c r="J54" s="699"/>
      <c r="K54" s="300">
        <f>SUM(K32:K53)</f>
        <v>5158</v>
      </c>
      <c r="Z54" s="699" t="s">
        <v>403</v>
      </c>
      <c r="AA54" s="699"/>
      <c r="AB54" s="300">
        <f>SUM(AB32:AB53)</f>
        <v>1374</v>
      </c>
    </row>
  </sheetData>
  <sortState xmlns:xlrd2="http://schemas.microsoft.com/office/spreadsheetml/2017/richdata2" ref="T5:AB26">
    <sortCondition descending="1" ref="AB5:AB26"/>
  </sortState>
  <mergeCells count="6">
    <mergeCell ref="Z54:AA54"/>
    <mergeCell ref="B27:D27"/>
    <mergeCell ref="I54:J54"/>
    <mergeCell ref="A2:D3"/>
    <mergeCell ref="T27:V27"/>
    <mergeCell ref="T4:V4"/>
  </mergeCells>
  <pageMargins left="0.7" right="0.7" top="0.75" bottom="0.75" header="0.3" footer="0.3"/>
  <pageSetup paperSize="5" scale="49" fitToHeight="0" orientation="landscape"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5">
    <tabColor rgb="FF00B050"/>
    <pageSetUpPr fitToPage="1"/>
  </sheetPr>
  <dimension ref="A1:AY126"/>
  <sheetViews>
    <sheetView showZeros="0" topLeftCell="H1" zoomScale="80" zoomScaleNormal="80" workbookViewId="0">
      <pane ySplit="7" topLeftCell="A68" activePane="bottomLeft" state="frozen"/>
      <selection pane="bottomLeft" activeCell="T70" sqref="T70"/>
    </sheetView>
  </sheetViews>
  <sheetFormatPr defaultColWidth="9" defaultRowHeight="12.75"/>
  <cols>
    <col min="1" max="1" width="8.5703125" style="3" customWidth="1"/>
    <col min="2" max="2" width="9.42578125" style="3" customWidth="1"/>
    <col min="3" max="3" width="60.85546875" customWidth="1"/>
    <col min="4" max="4" width="12.5703125" customWidth="1"/>
    <col min="5" max="5" width="11.5703125" customWidth="1"/>
    <col min="6" max="6" width="12.42578125" customWidth="1"/>
    <col min="7" max="7" width="11.42578125" customWidth="1"/>
    <col min="8" max="8" width="12.42578125" customWidth="1"/>
    <col min="9" max="9" width="19.42578125" customWidth="1"/>
    <col min="10" max="10" width="13" customWidth="1"/>
    <col min="11" max="11" width="12.85546875" customWidth="1"/>
    <col min="12" max="12" width="13.5703125" customWidth="1"/>
    <col min="13" max="13" width="13.42578125" customWidth="1"/>
    <col min="14" max="14" width="13.140625" customWidth="1"/>
    <col min="15" max="15" width="12.140625" customWidth="1"/>
    <col min="16" max="16" width="10.5703125" customWidth="1"/>
    <col min="17" max="17" width="17.5703125" customWidth="1"/>
    <col min="18" max="18" width="9.42578125" customWidth="1"/>
    <col min="19" max="19" width="10.5703125" customWidth="1"/>
    <col min="20" max="20" width="12.5703125" customWidth="1"/>
    <col min="21" max="21" width="13.5703125" customWidth="1"/>
    <col min="22" max="22" width="16.140625" customWidth="1"/>
    <col min="23" max="23" width="10.42578125" customWidth="1"/>
    <col min="24" max="24" width="12.42578125" customWidth="1"/>
    <col min="25" max="25" width="12" customWidth="1"/>
    <col min="26" max="26" width="13.42578125" customWidth="1"/>
    <col min="27" max="27" width="17.140625" customWidth="1"/>
    <col min="28" max="29" width="15.42578125" customWidth="1"/>
    <col min="30" max="30" width="13.42578125" customWidth="1"/>
    <col min="31" max="32" width="14.42578125" customWidth="1"/>
  </cols>
  <sheetData>
    <row r="1" spans="1:50">
      <c r="I1" s="3"/>
    </row>
    <row r="2" spans="1:50" ht="16.5">
      <c r="A2" s="195"/>
      <c r="B2" s="706" t="s">
        <v>466</v>
      </c>
      <c r="C2" s="706"/>
      <c r="D2" s="706"/>
      <c r="E2" s="706"/>
      <c r="F2" s="706"/>
      <c r="G2" s="706"/>
      <c r="H2" s="706" t="s">
        <v>410</v>
      </c>
      <c r="I2" s="706"/>
      <c r="J2" s="706"/>
      <c r="K2" s="706"/>
      <c r="L2" s="706"/>
      <c r="M2" s="706"/>
      <c r="N2" s="706"/>
      <c r="O2" s="706"/>
      <c r="P2" s="706"/>
      <c r="Q2" s="706"/>
      <c r="R2" s="706"/>
      <c r="S2" s="706"/>
      <c r="T2" s="706"/>
      <c r="U2" s="706"/>
      <c r="V2" s="706"/>
      <c r="W2" s="706"/>
      <c r="X2" s="706"/>
      <c r="Y2" s="706"/>
      <c r="Z2" s="706"/>
      <c r="AA2" s="706"/>
      <c r="AB2" s="706"/>
      <c r="AC2" s="706"/>
      <c r="AD2" s="706"/>
      <c r="AE2" s="706"/>
      <c r="AF2" s="194"/>
      <c r="AM2" s="50"/>
    </row>
    <row r="3" spans="1:50" ht="7.5" customHeight="1">
      <c r="A3" s="195"/>
      <c r="B3" s="195"/>
      <c r="C3" s="194"/>
      <c r="D3" s="197">
        <v>0.29166666666666702</v>
      </c>
      <c r="E3" s="197">
        <v>0.33333333333333298</v>
      </c>
      <c r="F3" s="194"/>
      <c r="G3" s="194"/>
      <c r="H3" s="198"/>
      <c r="I3" s="195"/>
      <c r="J3" s="194"/>
      <c r="K3" s="194"/>
      <c r="L3" s="194"/>
      <c r="M3" s="194"/>
      <c r="N3" s="194"/>
      <c r="O3" s="194"/>
      <c r="P3" s="194"/>
      <c r="Q3" s="194"/>
      <c r="R3" s="194"/>
      <c r="S3" s="195"/>
      <c r="T3" s="194"/>
      <c r="U3" s="194"/>
      <c r="V3" s="194"/>
      <c r="W3" s="194"/>
      <c r="X3" s="194"/>
      <c r="Y3" s="194"/>
      <c r="Z3" s="194"/>
      <c r="AA3" s="194"/>
      <c r="AB3" s="194"/>
      <c r="AC3" s="194"/>
      <c r="AD3" s="194"/>
      <c r="AE3" s="194"/>
      <c r="AF3" s="194"/>
      <c r="AM3" s="6"/>
    </row>
    <row r="4" spans="1:50" s="193" customFormat="1" ht="12.75" customHeight="1">
      <c r="A4" s="735" t="s">
        <v>411</v>
      </c>
      <c r="B4" s="737" t="s">
        <v>81</v>
      </c>
      <c r="C4" s="737" t="s">
        <v>412</v>
      </c>
      <c r="D4" s="715" t="s">
        <v>413</v>
      </c>
      <c r="E4" s="715" t="s">
        <v>414</v>
      </c>
      <c r="F4" s="715" t="s">
        <v>415</v>
      </c>
      <c r="G4" s="716" t="s">
        <v>416</v>
      </c>
      <c r="H4" s="707" t="s">
        <v>417</v>
      </c>
      <c r="I4" s="708"/>
      <c r="J4" s="708"/>
      <c r="K4" s="708"/>
      <c r="L4" s="708"/>
      <c r="M4" s="708"/>
      <c r="N4" s="708"/>
      <c r="O4" s="708"/>
      <c r="P4" s="708"/>
      <c r="Q4" s="708"/>
      <c r="R4" s="708"/>
      <c r="S4" s="708"/>
      <c r="T4" s="708"/>
      <c r="U4" s="708"/>
      <c r="V4" s="708"/>
      <c r="W4" s="708"/>
      <c r="X4" s="708"/>
      <c r="Y4" s="708"/>
      <c r="Z4" s="708"/>
      <c r="AA4" s="708"/>
      <c r="AB4" s="726" t="s">
        <v>56</v>
      </c>
      <c r="AC4" s="227"/>
      <c r="AD4" s="228"/>
      <c r="AE4" s="229"/>
      <c r="AF4" s="230"/>
      <c r="AK4" s="245"/>
      <c r="AL4" s="723"/>
      <c r="AM4" s="723"/>
      <c r="AN4" s="723"/>
      <c r="AO4" s="723"/>
      <c r="AP4" s="723"/>
      <c r="AQ4" s="723"/>
      <c r="AR4" s="723"/>
      <c r="AS4" s="723"/>
      <c r="AT4" s="723"/>
      <c r="AU4" s="723"/>
      <c r="AV4" s="723"/>
    </row>
    <row r="5" spans="1:50" s="193" customFormat="1" ht="12.75" customHeight="1">
      <c r="A5" s="736"/>
      <c r="B5" s="738"/>
      <c r="C5" s="738"/>
      <c r="D5" s="710"/>
      <c r="E5" s="710"/>
      <c r="F5" s="710"/>
      <c r="G5" s="717"/>
      <c r="H5" s="719" t="s">
        <v>6</v>
      </c>
      <c r="I5" s="712" t="s">
        <v>7</v>
      </c>
      <c r="J5" s="712" t="s">
        <v>8</v>
      </c>
      <c r="K5" s="712" t="s">
        <v>9</v>
      </c>
      <c r="L5" s="712" t="s">
        <v>452</v>
      </c>
      <c r="M5" s="712" t="s">
        <v>11</v>
      </c>
      <c r="N5" s="714" t="s">
        <v>12</v>
      </c>
      <c r="O5" s="710" t="s">
        <v>13</v>
      </c>
      <c r="P5" s="710" t="s">
        <v>14</v>
      </c>
      <c r="Q5" s="710" t="s">
        <v>15</v>
      </c>
      <c r="R5" s="710" t="s">
        <v>16</v>
      </c>
      <c r="S5" s="710" t="s">
        <v>419</v>
      </c>
      <c r="T5" s="710" t="s">
        <v>18</v>
      </c>
      <c r="U5" s="710" t="s">
        <v>420</v>
      </c>
      <c r="V5" s="710" t="s">
        <v>20</v>
      </c>
      <c r="W5" s="710" t="s">
        <v>21</v>
      </c>
      <c r="X5" s="710" t="s">
        <v>22</v>
      </c>
      <c r="Y5" s="710" t="s">
        <v>421</v>
      </c>
      <c r="Z5" s="712" t="s">
        <v>24</v>
      </c>
      <c r="AA5" s="724" t="s">
        <v>25</v>
      </c>
      <c r="AB5" s="726"/>
      <c r="AC5" s="728" t="s">
        <v>27</v>
      </c>
      <c r="AD5" s="730" t="s">
        <v>422</v>
      </c>
      <c r="AE5" s="732" t="s">
        <v>423</v>
      </c>
      <c r="AF5" s="231" t="s">
        <v>424</v>
      </c>
      <c r="AH5" s="246"/>
      <c r="AI5" s="246"/>
      <c r="AJ5" s="246"/>
      <c r="AK5" s="246"/>
      <c r="AL5" s="246"/>
      <c r="AM5" s="247"/>
      <c r="AN5" s="246"/>
      <c r="AO5" s="246"/>
      <c r="AP5" s="246"/>
      <c r="AQ5" s="246"/>
      <c r="AR5" s="246"/>
      <c r="AS5" s="246"/>
      <c r="AT5" s="246"/>
      <c r="AU5" s="246"/>
      <c r="AV5" s="246"/>
      <c r="AW5" s="246"/>
      <c r="AX5" s="246"/>
    </row>
    <row r="6" spans="1:50" s="193" customFormat="1" ht="12.75" customHeight="1">
      <c r="A6" s="736"/>
      <c r="B6" s="738"/>
      <c r="C6" s="738"/>
      <c r="D6" s="710"/>
      <c r="E6" s="710"/>
      <c r="F6" s="710"/>
      <c r="G6" s="717"/>
      <c r="H6" s="719"/>
      <c r="I6" s="712"/>
      <c r="J6" s="712"/>
      <c r="K6" s="712"/>
      <c r="L6" s="712"/>
      <c r="M6" s="712"/>
      <c r="N6" s="712"/>
      <c r="O6" s="710"/>
      <c r="P6" s="710"/>
      <c r="Q6" s="710"/>
      <c r="R6" s="710"/>
      <c r="S6" s="710"/>
      <c r="T6" s="710"/>
      <c r="U6" s="710"/>
      <c r="V6" s="710"/>
      <c r="W6" s="710"/>
      <c r="X6" s="710"/>
      <c r="Y6" s="710"/>
      <c r="Z6" s="712"/>
      <c r="AA6" s="724"/>
      <c r="AB6" s="726"/>
      <c r="AC6" s="728"/>
      <c r="AD6" s="730"/>
      <c r="AE6" s="733"/>
      <c r="AF6" s="231" t="s">
        <v>425</v>
      </c>
      <c r="AH6" s="246"/>
      <c r="AI6" s="246"/>
      <c r="AJ6" s="246"/>
      <c r="AK6" s="246"/>
      <c r="AL6" s="246"/>
      <c r="AM6" s="246"/>
      <c r="AN6" s="245"/>
      <c r="AO6" s="245"/>
      <c r="AP6" s="245"/>
      <c r="AQ6" s="245"/>
      <c r="AR6" s="245"/>
      <c r="AS6" s="245"/>
      <c r="AT6" s="245"/>
      <c r="AU6" s="246"/>
      <c r="AV6" s="245"/>
      <c r="AW6" s="246"/>
      <c r="AX6" s="246"/>
    </row>
    <row r="7" spans="1:50" s="193" customFormat="1" ht="32.25" customHeight="1">
      <c r="A7" s="736"/>
      <c r="B7" s="739"/>
      <c r="C7" s="739"/>
      <c r="D7" s="711"/>
      <c r="E7" s="711"/>
      <c r="F7" s="711"/>
      <c r="G7" s="718"/>
      <c r="H7" s="720"/>
      <c r="I7" s="713"/>
      <c r="J7" s="713"/>
      <c r="K7" s="713"/>
      <c r="L7" s="713"/>
      <c r="M7" s="713"/>
      <c r="N7" s="713"/>
      <c r="O7" s="711"/>
      <c r="P7" s="711"/>
      <c r="Q7" s="711"/>
      <c r="R7" s="711"/>
      <c r="S7" s="711"/>
      <c r="T7" s="711"/>
      <c r="U7" s="711"/>
      <c r="V7" s="711"/>
      <c r="W7" s="711"/>
      <c r="X7" s="711"/>
      <c r="Y7" s="711"/>
      <c r="Z7" s="713"/>
      <c r="AA7" s="725"/>
      <c r="AB7" s="727"/>
      <c r="AC7" s="729"/>
      <c r="AD7" s="731"/>
      <c r="AE7" s="734"/>
      <c r="AF7" s="232" t="s">
        <v>426</v>
      </c>
      <c r="AH7" s="246"/>
      <c r="AI7" s="246"/>
      <c r="AJ7" s="246"/>
      <c r="AK7" s="246"/>
      <c r="AL7" s="246"/>
      <c r="AM7" s="246"/>
      <c r="AN7" s="246"/>
      <c r="AO7" s="246"/>
      <c r="AP7" s="246"/>
      <c r="AQ7" s="246"/>
      <c r="AR7" s="246"/>
      <c r="AS7" s="246"/>
      <c r="AT7" s="246"/>
      <c r="AU7" s="246"/>
      <c r="AV7" s="246"/>
      <c r="AW7" s="246"/>
      <c r="AX7" s="246"/>
    </row>
    <row r="8" spans="1:50" s="194" customFormat="1" ht="16.5">
      <c r="A8" s="196">
        <f>[5]January_2026!$C8</f>
        <v>1</v>
      </c>
      <c r="B8" s="199">
        <f>[5]January_2026!$B8</f>
        <v>46024</v>
      </c>
      <c r="C8" s="200" t="s">
        <v>464</v>
      </c>
      <c r="D8" s="525">
        <v>0.29166666666666669</v>
      </c>
      <c r="E8" s="206">
        <v>0.38541666666666669</v>
      </c>
      <c r="F8" s="206">
        <v>0.7944444444444444</v>
      </c>
      <c r="G8" s="112">
        <v>0.82638888888888884</v>
      </c>
      <c r="H8" s="201"/>
      <c r="I8" s="218"/>
      <c r="J8" s="219">
        <f>5+8</f>
        <v>13</v>
      </c>
      <c r="K8" s="218"/>
      <c r="L8" s="195"/>
      <c r="M8" s="218"/>
      <c r="N8" s="218"/>
      <c r="O8" s="195">
        <f>'Uncaser Downtime Detail '!AG7</f>
        <v>0</v>
      </c>
      <c r="P8" s="218">
        <f>'Washer Downtime Detail'!BH8</f>
        <v>136</v>
      </c>
      <c r="Q8" s="218">
        <f>'EBI Downtime Detail'!AI6</f>
        <v>11</v>
      </c>
      <c r="R8" s="195">
        <f>'Filler Downtime Detail'!AK5</f>
        <v>34</v>
      </c>
      <c r="S8" s="218">
        <f>'Pasteurizer Downtime Detail'!$Z5</f>
        <v>0</v>
      </c>
      <c r="T8" s="218">
        <f>'Labeler Downtime Detail'!AN6</f>
        <v>0</v>
      </c>
      <c r="U8" s="195">
        <f>'Videojet Downtime Detail '!O5</f>
        <v>0</v>
      </c>
      <c r="V8" s="218">
        <f>'Conveyor Downtime (new)'!AV6</f>
        <v>5</v>
      </c>
      <c r="W8" s="218">
        <f>'Packer Downtime Detail  '!AD7</f>
        <v>0</v>
      </c>
      <c r="X8" s="218">
        <f>'Carton Errector-sealer Detail'!P6</f>
        <v>0</v>
      </c>
      <c r="Y8" s="218"/>
      <c r="Z8" s="233">
        <f>60</f>
        <v>60</v>
      </c>
      <c r="AA8" s="234">
        <f>4+3</f>
        <v>7</v>
      </c>
      <c r="AB8" s="218">
        <f>10</f>
        <v>10</v>
      </c>
      <c r="AC8" s="222"/>
      <c r="AD8" s="235">
        <f>SUM(H8:AC8)</f>
        <v>276</v>
      </c>
      <c r="AE8" s="236">
        <f>G8-D8</f>
        <v>0.5347222222222221</v>
      </c>
      <c r="AH8" s="195"/>
      <c r="AI8" s="217"/>
      <c r="AJ8" s="217"/>
      <c r="AK8" s="248"/>
      <c r="AL8" s="195"/>
      <c r="AM8" s="195"/>
      <c r="AN8" s="195"/>
      <c r="AO8" s="195"/>
      <c r="AP8" s="195"/>
      <c r="AQ8" s="195"/>
      <c r="AR8" s="195"/>
      <c r="AS8" s="195"/>
      <c r="AT8" s="195"/>
      <c r="AU8" s="195"/>
      <c r="AV8" s="195"/>
      <c r="AW8" s="195"/>
      <c r="AX8" s="195"/>
    </row>
    <row r="9" spans="1:50" ht="16.5">
      <c r="A9" s="196">
        <f>[5]January_2026!$C9</f>
        <v>2</v>
      </c>
      <c r="B9" s="199">
        <f>[5]January_2026!$B9</f>
        <v>46027</v>
      </c>
      <c r="C9" s="200" t="str">
        <f>[5]January_2026!$D9</f>
        <v>CARIB AMBER</v>
      </c>
      <c r="D9" s="110">
        <v>1.0416666666666667</v>
      </c>
      <c r="E9" s="206">
        <v>1.0763888888888888</v>
      </c>
      <c r="F9" s="206">
        <v>1.1875</v>
      </c>
      <c r="G9" s="515">
        <v>2</v>
      </c>
      <c r="H9" s="202"/>
      <c r="I9" s="220"/>
      <c r="J9" s="221">
        <v>38</v>
      </c>
      <c r="K9" s="220"/>
      <c r="L9" s="220"/>
      <c r="M9" s="220"/>
      <c r="N9" s="220"/>
      <c r="O9" s="220">
        <f>'Uncaser Downtime Detail '!AG8</f>
        <v>0</v>
      </c>
      <c r="P9" s="220">
        <f>'Washer Downtime Detail'!BH9</f>
        <v>0</v>
      </c>
      <c r="Q9" s="220">
        <f>'EBI Downtime Detail'!AI7</f>
        <v>0</v>
      </c>
      <c r="R9" s="220">
        <f>'Filler Downtime Detail'!AK6</f>
        <v>0</v>
      </c>
      <c r="S9" s="220">
        <f>'Pasteurizer Downtime Detail'!$Z6</f>
        <v>0</v>
      </c>
      <c r="T9" s="220">
        <f>'Labeler Downtime Detail'!AN7</f>
        <v>0</v>
      </c>
      <c r="U9" s="220">
        <f>'Videojet Downtime Detail '!O6</f>
        <v>0</v>
      </c>
      <c r="V9" s="220">
        <f>'Conveyor Downtime (new)'!AV7</f>
        <v>1320</v>
      </c>
      <c r="W9" s="220">
        <f>'Packer Downtime Detail  '!AD8</f>
        <v>0</v>
      </c>
      <c r="X9" s="220"/>
      <c r="Y9" s="221"/>
      <c r="Z9" s="220"/>
      <c r="AA9" s="237"/>
      <c r="AB9" s="238"/>
      <c r="AC9" s="238"/>
      <c r="AD9" s="235">
        <f>SUM(H9:AC9)</f>
        <v>1358</v>
      </c>
      <c r="AE9" s="236">
        <f>G9-D9</f>
        <v>0.95833333333333326</v>
      </c>
      <c r="AF9" s="194"/>
      <c r="AH9" s="3"/>
      <c r="AI9" s="23"/>
      <c r="AJ9" s="23"/>
      <c r="AK9" s="54"/>
      <c r="AL9" s="3"/>
      <c r="AM9" s="3"/>
      <c r="AN9" s="3"/>
      <c r="AO9" s="3"/>
      <c r="AP9" s="3"/>
      <c r="AQ9" s="3"/>
      <c r="AR9" s="3"/>
      <c r="AS9" s="3"/>
      <c r="AT9" s="3"/>
      <c r="AU9" s="3"/>
      <c r="AV9" s="3"/>
      <c r="AW9" s="3"/>
      <c r="AX9" s="3"/>
    </row>
    <row r="10" spans="1:50" s="497" customFormat="1" ht="16.5">
      <c r="A10" s="196">
        <f>[5]January_2026!$C10</f>
        <v>0</v>
      </c>
      <c r="B10" s="527">
        <f>[5]January_2026!$B10</f>
        <v>46028</v>
      </c>
      <c r="C10" s="528" t="str">
        <f>[5]January_2026!$D10</f>
        <v>EBI/FILLER COMMUNICATION BREAKDOWN</v>
      </c>
      <c r="D10" s="529">
        <v>1</v>
      </c>
      <c r="E10" s="530"/>
      <c r="F10" s="530"/>
      <c r="G10" s="531">
        <v>2.03125</v>
      </c>
      <c r="H10" s="532"/>
      <c r="I10" s="533"/>
      <c r="J10" s="534"/>
      <c r="K10" s="535"/>
      <c r="L10" s="535"/>
      <c r="M10" s="535"/>
      <c r="N10" s="535"/>
      <c r="O10" s="535">
        <f>'Uncaser Downtime Detail '!AG9</f>
        <v>0</v>
      </c>
      <c r="P10" s="535">
        <f>'Washer Downtime Detail'!BH10</f>
        <v>0</v>
      </c>
      <c r="Q10" s="535">
        <f>'EBI Downtime Detail'!AI8</f>
        <v>0</v>
      </c>
      <c r="R10" s="535">
        <f>'Filler Downtime Detail'!AK7</f>
        <v>0</v>
      </c>
      <c r="S10" s="535">
        <f>'Pasteurizer Downtime Detail'!$Z7</f>
        <v>0</v>
      </c>
      <c r="T10" s="535">
        <f>'Labeler Downtime Detail'!AN8</f>
        <v>0</v>
      </c>
      <c r="U10" s="535">
        <f>'Videojet Downtime Detail '!O7</f>
        <v>0</v>
      </c>
      <c r="V10" s="535">
        <f>'Conveyor Downtime (new)'!AV8</f>
        <v>1440</v>
      </c>
      <c r="W10" s="535">
        <f>'Packer Downtime Detail  '!AD9</f>
        <v>0</v>
      </c>
      <c r="X10" s="533"/>
      <c r="Y10" s="533"/>
      <c r="Z10" s="536"/>
      <c r="AA10" s="537"/>
      <c r="AB10" s="535"/>
      <c r="AC10" s="535"/>
      <c r="AD10" s="538">
        <f t="shared" ref="AD10:AD53" si="0">SUM(H10:AC10)</f>
        <v>1440</v>
      </c>
      <c r="AE10" s="539">
        <f>G10-D10</f>
        <v>1.03125</v>
      </c>
      <c r="AF10" s="540"/>
      <c r="AH10" s="498"/>
      <c r="AI10" s="504"/>
      <c r="AJ10" s="504"/>
      <c r="AK10" s="505"/>
      <c r="AL10" s="498"/>
      <c r="AM10" s="498"/>
      <c r="AN10" s="498"/>
      <c r="AO10" s="498"/>
      <c r="AP10" s="498"/>
      <c r="AQ10" s="498"/>
      <c r="AR10" s="498"/>
      <c r="AS10" s="498"/>
      <c r="AT10" s="498"/>
      <c r="AU10" s="498"/>
      <c r="AV10" s="498"/>
      <c r="AW10" s="498"/>
      <c r="AX10" s="498"/>
    </row>
    <row r="11" spans="1:50" s="497" customFormat="1" ht="16.5">
      <c r="A11" s="196">
        <f>[5]January_2026!$C11</f>
        <v>0</v>
      </c>
      <c r="B11" s="527">
        <f>[5]January_2026!$B11</f>
        <v>46029</v>
      </c>
      <c r="C11" s="528" t="str">
        <f>[5]January_2026!$D11</f>
        <v>EBI/FILLER COMMUNICATION BREAKDOWN</v>
      </c>
      <c r="D11" s="529">
        <v>1</v>
      </c>
      <c r="E11" s="530"/>
      <c r="F11" s="530"/>
      <c r="G11" s="531">
        <v>2.03125</v>
      </c>
      <c r="H11" s="532"/>
      <c r="I11" s="533"/>
      <c r="J11" s="534"/>
      <c r="K11" s="535"/>
      <c r="L11" s="535"/>
      <c r="M11" s="535"/>
      <c r="N11" s="535"/>
      <c r="O11" s="535">
        <f>'Uncaser Downtime Detail '!AG10</f>
        <v>0</v>
      </c>
      <c r="P11" s="535">
        <f>'Washer Downtime Detail'!BH11</f>
        <v>0</v>
      </c>
      <c r="Q11" s="535">
        <f>'EBI Downtime Detail'!AI9</f>
        <v>0</v>
      </c>
      <c r="R11" s="535">
        <f>'Filler Downtime Detail'!AK8</f>
        <v>0</v>
      </c>
      <c r="S11" s="535">
        <f>'Pasteurizer Downtime Detail'!$Z8</f>
        <v>0</v>
      </c>
      <c r="T11" s="535">
        <f>'Labeler Downtime Detail'!AN9</f>
        <v>0</v>
      </c>
      <c r="U11" s="535">
        <f>'Videojet Downtime Detail '!O8</f>
        <v>0</v>
      </c>
      <c r="V11" s="535">
        <f>'Conveyor Downtime (new)'!AV9</f>
        <v>1440</v>
      </c>
      <c r="W11" s="535">
        <f>'Packer Downtime Detail  '!AD10</f>
        <v>0</v>
      </c>
      <c r="X11" s="533"/>
      <c r="Y11" s="533"/>
      <c r="Z11" s="536"/>
      <c r="AA11" s="537"/>
      <c r="AB11" s="535"/>
      <c r="AC11" s="535"/>
      <c r="AD11" s="538">
        <f t="shared" si="0"/>
        <v>1440</v>
      </c>
      <c r="AE11" s="539">
        <f>G11-D11</f>
        <v>1.03125</v>
      </c>
      <c r="AF11" s="540"/>
      <c r="AH11" s="498"/>
      <c r="AI11" s="504"/>
      <c r="AJ11" s="504"/>
      <c r="AK11" s="505"/>
      <c r="AL11" s="498"/>
      <c r="AM11" s="498"/>
      <c r="AN11" s="498"/>
      <c r="AO11" s="498"/>
      <c r="AP11" s="498"/>
      <c r="AQ11" s="498"/>
      <c r="AR11" s="498"/>
      <c r="AS11" s="498"/>
      <c r="AT11" s="498"/>
      <c r="AU11" s="498"/>
      <c r="AV11" s="498"/>
      <c r="AW11" s="498"/>
      <c r="AX11" s="498"/>
    </row>
    <row r="12" spans="1:50" ht="16.5">
      <c r="A12" s="196">
        <f>[5]January_2026!$C12</f>
        <v>3</v>
      </c>
      <c r="B12" s="199">
        <f>[5]January_2026!$B12</f>
        <v>46030</v>
      </c>
      <c r="C12" s="200" t="str">
        <f>[5]January_2026!$D12</f>
        <v>CARIB AMBER</v>
      </c>
      <c r="D12" s="203">
        <v>1</v>
      </c>
      <c r="E12" s="111">
        <v>1.8097222222222222</v>
      </c>
      <c r="F12" s="111">
        <v>2</v>
      </c>
      <c r="G12" s="112">
        <v>2.0375000000000001</v>
      </c>
      <c r="H12" s="201"/>
      <c r="I12" s="218"/>
      <c r="J12" s="219"/>
      <c r="K12" s="222"/>
      <c r="L12" s="222"/>
      <c r="M12" s="222"/>
      <c r="N12" s="222"/>
      <c r="O12" s="222">
        <f>'Uncaser Downtime Detail '!AG11</f>
        <v>0</v>
      </c>
      <c r="P12" s="222">
        <f>'Washer Downtime Detail'!BH12</f>
        <v>24</v>
      </c>
      <c r="Q12" s="222">
        <f>'EBI Downtime Detail'!AI10</f>
        <v>12</v>
      </c>
      <c r="R12" s="222">
        <f>'Filler Downtime Detail'!AK9</f>
        <v>1</v>
      </c>
      <c r="S12" s="222">
        <f>'Pasteurizer Downtime Detail'!$Z9</f>
        <v>0</v>
      </c>
      <c r="T12" s="222">
        <f>'Labeler Downtime Detail'!AN10</f>
        <v>7</v>
      </c>
      <c r="U12" s="222">
        <f>'Videojet Downtime Detail '!O9</f>
        <v>0</v>
      </c>
      <c r="V12" s="222">
        <f>'Conveyor Downtime (new)'!AV10</f>
        <v>1217</v>
      </c>
      <c r="W12" s="222">
        <f>'Packer Downtime Detail  '!AD11</f>
        <v>0</v>
      </c>
      <c r="X12" s="218"/>
      <c r="Y12" s="218"/>
      <c r="Z12" s="233">
        <v>3</v>
      </c>
      <c r="AA12" s="234"/>
      <c r="AB12" s="222"/>
      <c r="AC12" s="222"/>
      <c r="AD12" s="235">
        <f t="shared" si="0"/>
        <v>1264</v>
      </c>
      <c r="AE12" s="236">
        <f>G12-D12</f>
        <v>1.0375000000000001</v>
      </c>
      <c r="AF12" s="194"/>
      <c r="AH12" s="3"/>
      <c r="AI12" s="23"/>
      <c r="AJ12" s="23"/>
      <c r="AK12" s="54"/>
      <c r="AL12" s="3"/>
      <c r="AM12" s="3"/>
      <c r="AN12" s="3"/>
      <c r="AO12" s="3"/>
      <c r="AP12" s="3"/>
      <c r="AQ12" s="3"/>
      <c r="AR12" s="3"/>
      <c r="AS12" s="3"/>
      <c r="AT12" s="3"/>
      <c r="AU12" s="3"/>
      <c r="AV12" s="3"/>
      <c r="AW12" s="3"/>
      <c r="AX12" s="3"/>
    </row>
    <row r="13" spans="1:50" ht="16.5">
      <c r="A13" s="196">
        <f>[5]January_2026!$C13</f>
        <v>4</v>
      </c>
      <c r="B13" s="199">
        <f>[5]January_2026!$B13</f>
        <v>46031</v>
      </c>
      <c r="C13" s="200" t="str">
        <f>[5]January_2026!$D13</f>
        <v>CARIB AMBER</v>
      </c>
      <c r="D13" s="709">
        <v>1</v>
      </c>
      <c r="E13" s="111">
        <v>1.0104166666666667</v>
      </c>
      <c r="F13" s="111">
        <v>1.5347222222222223</v>
      </c>
      <c r="G13" s="112">
        <v>1.5645833333333334</v>
      </c>
      <c r="H13" s="202"/>
      <c r="I13" s="220"/>
      <c r="J13" s="221"/>
      <c r="K13" s="220"/>
      <c r="L13" s="220"/>
      <c r="M13" s="220"/>
      <c r="N13" s="220"/>
      <c r="O13" s="220">
        <f>'Uncaser Downtime Detail '!AG12</f>
        <v>0</v>
      </c>
      <c r="P13" s="220">
        <f>'Washer Downtime Detail'!BH13</f>
        <v>8</v>
      </c>
      <c r="Q13" s="220">
        <f>'EBI Downtime Detail'!AI11</f>
        <v>59</v>
      </c>
      <c r="R13" s="220">
        <f>'Filler Downtime Detail'!AK10</f>
        <v>1</v>
      </c>
      <c r="S13" s="220">
        <f>'Pasteurizer Downtime Detail'!$Z10</f>
        <v>0</v>
      </c>
      <c r="T13" s="220">
        <f>'Labeler Downtime Detail'!AN11</f>
        <v>19</v>
      </c>
      <c r="U13" s="220">
        <f>'Videojet Downtime Detail '!O10</f>
        <v>0</v>
      </c>
      <c r="V13" s="220">
        <f>'Conveyor Downtime (new)'!AV11</f>
        <v>87</v>
      </c>
      <c r="W13" s="220">
        <f>'Packer Downtime Detail  '!AD12</f>
        <v>8</v>
      </c>
      <c r="X13" s="220"/>
      <c r="Y13" s="221"/>
      <c r="Z13" s="220">
        <f>15+30+10</f>
        <v>55</v>
      </c>
      <c r="AA13" s="237"/>
      <c r="AB13" s="238">
        <f>15+6+3+7+6+13+7+4+6</f>
        <v>67</v>
      </c>
      <c r="AC13" s="238"/>
      <c r="AD13" s="235">
        <f t="shared" si="0"/>
        <v>304</v>
      </c>
      <c r="AE13" s="669">
        <f>G14-D13</f>
        <v>0.86944444444444446</v>
      </c>
      <c r="AF13" s="194"/>
      <c r="AH13" s="3"/>
      <c r="AI13" s="23"/>
      <c r="AJ13" s="23"/>
      <c r="AK13" s="54"/>
      <c r="AL13" s="3"/>
      <c r="AM13" s="3"/>
      <c r="AN13" s="3"/>
      <c r="AO13" s="3"/>
      <c r="AP13" s="3"/>
      <c r="AQ13" s="3"/>
      <c r="AR13" s="3"/>
      <c r="AS13" s="3"/>
      <c r="AT13" s="3"/>
      <c r="AU13" s="3"/>
      <c r="AV13" s="3"/>
      <c r="AW13" s="3"/>
      <c r="AX13" s="3"/>
    </row>
    <row r="14" spans="1:50" ht="16.5">
      <c r="A14" s="196">
        <f>[5]January_2026!$C14</f>
        <v>4</v>
      </c>
      <c r="B14" s="199">
        <f>[5]January_2026!$B14</f>
        <v>46031</v>
      </c>
      <c r="C14" s="200" t="str">
        <f>[5]January_2026!$D14</f>
        <v>STAR MALT</v>
      </c>
      <c r="D14" s="709"/>
      <c r="E14" s="111">
        <v>1.5555555555555556</v>
      </c>
      <c r="F14" s="111">
        <v>1.8333333333333333</v>
      </c>
      <c r="G14" s="112">
        <v>1.8694444444444445</v>
      </c>
      <c r="H14" s="201">
        <v>5</v>
      </c>
      <c r="I14" s="218">
        <f>5+13</f>
        <v>18</v>
      </c>
      <c r="J14" s="219"/>
      <c r="K14" s="218"/>
      <c r="L14" s="218"/>
      <c r="M14" s="218"/>
      <c r="N14" s="218"/>
      <c r="O14" s="218">
        <f>'Uncaser Downtime Detail '!AG13</f>
        <v>9</v>
      </c>
      <c r="P14" s="218">
        <f>'Washer Downtime Detail'!BH14</f>
        <v>8</v>
      </c>
      <c r="Q14" s="218">
        <f>'EBI Downtime Detail'!AI12</f>
        <v>0</v>
      </c>
      <c r="R14" s="218">
        <f>'Filler Downtime Detail'!AK11</f>
        <v>0</v>
      </c>
      <c r="S14" s="218">
        <f>'Pasteurizer Downtime Detail'!$Z11</f>
        <v>0</v>
      </c>
      <c r="T14" s="218">
        <f>'Labeler Downtime Detail'!AN12</f>
        <v>27</v>
      </c>
      <c r="U14" s="218">
        <f>'Videojet Downtime Detail '!O11</f>
        <v>0</v>
      </c>
      <c r="V14" s="218">
        <f>'Conveyor Downtime (new)'!AV12</f>
        <v>4</v>
      </c>
      <c r="W14" s="218">
        <f>'Packer Downtime Detail  '!AD13</f>
        <v>11</v>
      </c>
      <c r="X14" s="218"/>
      <c r="Y14" s="239"/>
      <c r="Z14" s="233">
        <f>2+4+3</f>
        <v>9</v>
      </c>
      <c r="AB14" s="233">
        <f>10+15+3+11+2+4</f>
        <v>45</v>
      </c>
      <c r="AC14" s="218"/>
      <c r="AD14" s="235">
        <f t="shared" si="0"/>
        <v>136</v>
      </c>
      <c r="AE14" s="669"/>
      <c r="AF14" s="194"/>
      <c r="AH14" s="3"/>
      <c r="AI14" s="23"/>
      <c r="AJ14" s="23"/>
      <c r="AK14" s="54"/>
      <c r="AL14" s="3"/>
      <c r="AM14" s="3"/>
      <c r="AN14" s="3"/>
      <c r="AO14" s="3"/>
      <c r="AP14" s="3"/>
      <c r="AQ14" s="3"/>
      <c r="AR14" s="3"/>
      <c r="AS14" s="3"/>
      <c r="AT14" s="3"/>
      <c r="AU14" s="3"/>
      <c r="AV14" s="3"/>
      <c r="AW14" s="3"/>
      <c r="AX14" s="3"/>
    </row>
    <row r="15" spans="1:50" ht="16.5">
      <c r="A15" s="196">
        <f>[5]January_2026!$C15</f>
        <v>5</v>
      </c>
      <c r="B15" s="199">
        <f>[5]January_2026!$B15</f>
        <v>46032</v>
      </c>
      <c r="C15" s="200" t="str">
        <f>[5]January_2026!$D15</f>
        <v>STAR MALT</v>
      </c>
      <c r="D15" s="203">
        <v>0.29166666666666669</v>
      </c>
      <c r="E15" s="111">
        <v>0.35069444444444442</v>
      </c>
      <c r="F15" s="111">
        <v>0.60416666666666663</v>
      </c>
      <c r="G15" s="112">
        <v>0.63194444444444442</v>
      </c>
      <c r="H15" s="202"/>
      <c r="I15" s="220"/>
      <c r="J15" s="221"/>
      <c r="K15" s="220"/>
      <c r="L15" s="220"/>
      <c r="M15" s="220"/>
      <c r="N15" s="220"/>
      <c r="O15" s="220">
        <f>'Uncaser Downtime Detail '!AG14</f>
        <v>0</v>
      </c>
      <c r="P15" s="220">
        <f>'Washer Downtime Detail'!BH15</f>
        <v>23</v>
      </c>
      <c r="Q15" s="220">
        <f>'EBI Downtime Detail'!AI13</f>
        <v>21</v>
      </c>
      <c r="R15" s="220">
        <f>'Filler Downtime Detail'!AK12</f>
        <v>14</v>
      </c>
      <c r="S15" s="220">
        <f>'Pasteurizer Downtime Detail'!$Z12</f>
        <v>0</v>
      </c>
      <c r="T15" s="220">
        <f>'Labeler Downtime Detail'!AN13</f>
        <v>0</v>
      </c>
      <c r="U15" s="220">
        <f>'Videojet Downtime Detail '!O12</f>
        <v>0</v>
      </c>
      <c r="V15" s="220">
        <f>'Conveyor Downtime (new)'!AV13</f>
        <v>15</v>
      </c>
      <c r="W15" s="220">
        <f>'Packer Downtime Detail  '!AD14</f>
        <v>0</v>
      </c>
      <c r="X15" s="220"/>
      <c r="Y15" s="221"/>
      <c r="Z15" s="220">
        <f>5+25</f>
        <v>30</v>
      </c>
      <c r="AA15" s="237"/>
      <c r="AB15" s="238">
        <f>4</f>
        <v>4</v>
      </c>
      <c r="AC15" s="238"/>
      <c r="AD15" s="235">
        <f t="shared" si="0"/>
        <v>107</v>
      </c>
      <c r="AE15" s="236">
        <f>G15-D15</f>
        <v>0.34027777777777773</v>
      </c>
      <c r="AF15" s="194"/>
      <c r="AH15" s="3"/>
      <c r="AI15" s="23"/>
      <c r="AJ15" s="23"/>
      <c r="AK15" s="54"/>
      <c r="AL15" s="3"/>
      <c r="AM15" s="3"/>
      <c r="AN15" s="3"/>
      <c r="AO15" s="3"/>
      <c r="AP15" s="3"/>
      <c r="AQ15" s="3"/>
      <c r="AR15" s="3"/>
      <c r="AS15" s="3"/>
      <c r="AT15" s="3"/>
      <c r="AU15" s="3"/>
      <c r="AV15" s="3"/>
      <c r="AW15" s="3"/>
      <c r="AX15" s="3"/>
    </row>
    <row r="16" spans="1:50" ht="17.25" customHeight="1">
      <c r="A16" s="196">
        <f>[5]January_2026!$C16</f>
        <v>6</v>
      </c>
      <c r="B16" s="199">
        <f>[5]January_2026!$B16</f>
        <v>46034</v>
      </c>
      <c r="C16" s="200" t="str">
        <f>[5]January_2026!$D16</f>
        <v>VITA MALT ( CLASSIC)</v>
      </c>
      <c r="D16" s="709">
        <v>4.1666666666666664E-2</v>
      </c>
      <c r="E16" s="111">
        <v>0.13541666666666666</v>
      </c>
      <c r="F16" s="111">
        <v>0.46527777777777779</v>
      </c>
      <c r="G16" s="112">
        <v>0.49305555555555558</v>
      </c>
      <c r="H16" s="201"/>
      <c r="I16" s="218"/>
      <c r="J16" s="219">
        <v>4</v>
      </c>
      <c r="K16" s="218"/>
      <c r="L16" s="218"/>
      <c r="M16" s="218"/>
      <c r="N16" s="218"/>
      <c r="O16" s="218">
        <f>'Uncaser Downtime Detail '!AG15</f>
        <v>27</v>
      </c>
      <c r="P16" s="218">
        <f>'Washer Downtime Detail'!BH16</f>
        <v>25</v>
      </c>
      <c r="Q16" s="218">
        <f>'EBI Downtime Detail'!AI14</f>
        <v>9</v>
      </c>
      <c r="R16" s="218">
        <f>'Filler Downtime Detail'!AK13</f>
        <v>8</v>
      </c>
      <c r="S16" s="218">
        <f>'Pasteurizer Downtime Detail'!$Z13</f>
        <v>0</v>
      </c>
      <c r="T16" s="218">
        <f>'Labeler Downtime Detail'!AN14</f>
        <v>0</v>
      </c>
      <c r="U16" s="218">
        <f>'Videojet Downtime Detail '!O13</f>
        <v>0</v>
      </c>
      <c r="V16" s="218">
        <f>'Conveyor Downtime (new)'!AV14</f>
        <v>22</v>
      </c>
      <c r="W16" s="218">
        <f>'Packer Downtime Detail  '!AD15</f>
        <v>0</v>
      </c>
      <c r="X16" s="218"/>
      <c r="Y16" s="239"/>
      <c r="Z16" s="222">
        <f>10+60+15</f>
        <v>85</v>
      </c>
      <c r="AA16" s="234">
        <f>6+3+2</f>
        <v>11</v>
      </c>
      <c r="AB16" s="222"/>
      <c r="AC16" s="222"/>
      <c r="AD16" s="235">
        <f t="shared" si="0"/>
        <v>191</v>
      </c>
      <c r="AE16" s="669">
        <f>G18-D16</f>
        <v>1.0138888888888888</v>
      </c>
      <c r="AF16" s="194"/>
      <c r="AH16" s="3"/>
      <c r="AI16" s="23"/>
      <c r="AJ16" s="23"/>
      <c r="AK16" s="54"/>
      <c r="AL16" s="3"/>
      <c r="AM16" s="3"/>
      <c r="AN16" s="3"/>
      <c r="AO16" s="3"/>
      <c r="AP16" s="3"/>
      <c r="AQ16" s="3"/>
      <c r="AR16" s="3"/>
      <c r="AS16" s="3"/>
      <c r="AT16" s="3"/>
      <c r="AU16" s="3"/>
      <c r="AV16" s="3"/>
      <c r="AW16" s="3"/>
      <c r="AX16" s="3"/>
    </row>
    <row r="17" spans="1:50" ht="16.5">
      <c r="A17" s="196">
        <f>[5]January_2026!$C17</f>
        <v>6</v>
      </c>
      <c r="B17" s="199">
        <f>[5]January_2026!$B17</f>
        <v>46034</v>
      </c>
      <c r="C17" s="200" t="str">
        <f>[5]January_2026!$D17</f>
        <v>STAR MALT</v>
      </c>
      <c r="D17" s="709"/>
      <c r="E17" s="111">
        <v>0.59583333333333333</v>
      </c>
      <c r="F17" s="111">
        <v>0.8520833333333333</v>
      </c>
      <c r="G17" s="112">
        <v>0.87847222222222221</v>
      </c>
      <c r="H17" s="202"/>
      <c r="I17" s="220">
        <f>188</f>
        <v>188</v>
      </c>
      <c r="J17" s="221"/>
      <c r="K17" s="220"/>
      <c r="L17" s="220"/>
      <c r="M17" s="220"/>
      <c r="N17" s="220"/>
      <c r="O17" s="220">
        <f>'Uncaser Downtime Detail '!AG16</f>
        <v>34</v>
      </c>
      <c r="P17" s="220">
        <f>'Washer Downtime Detail'!BH17</f>
        <v>26</v>
      </c>
      <c r="Q17" s="220">
        <f>'EBI Downtime Detail'!AI15</f>
        <v>0</v>
      </c>
      <c r="R17" s="220">
        <f>'Filler Downtime Detail'!AK14</f>
        <v>1</v>
      </c>
      <c r="S17" s="220">
        <f>'Pasteurizer Downtime Detail'!$Z14</f>
        <v>0</v>
      </c>
      <c r="T17" s="220">
        <f>'Labeler Downtime Detail'!AN15</f>
        <v>0</v>
      </c>
      <c r="U17" s="220">
        <f>'Videojet Downtime Detail '!O14</f>
        <v>0</v>
      </c>
      <c r="V17" s="220">
        <f>'Conveyor Downtime (new)'!AV15</f>
        <v>16</v>
      </c>
      <c r="W17" s="220">
        <f>'Packer Downtime Detail  '!AD16</f>
        <v>8</v>
      </c>
      <c r="X17" s="220"/>
      <c r="Y17" s="221"/>
      <c r="Z17" s="220"/>
      <c r="AA17" s="237"/>
      <c r="AB17" s="238"/>
      <c r="AC17" s="238"/>
      <c r="AD17" s="235">
        <f t="shared" si="0"/>
        <v>273</v>
      </c>
      <c r="AE17" s="669"/>
      <c r="AF17" s="194"/>
      <c r="AH17" s="3"/>
      <c r="AI17" s="23"/>
      <c r="AJ17" s="23"/>
      <c r="AK17" s="54"/>
      <c r="AL17" s="3"/>
      <c r="AM17" s="3"/>
      <c r="AN17" s="3"/>
      <c r="AO17" s="3"/>
      <c r="AP17" s="3"/>
      <c r="AQ17" s="3"/>
      <c r="AR17" s="3"/>
      <c r="AS17" s="3"/>
      <c r="AT17" s="3"/>
      <c r="AU17" s="3"/>
      <c r="AV17" s="3"/>
      <c r="AW17" s="3"/>
      <c r="AX17" s="3"/>
    </row>
    <row r="18" spans="1:50" ht="16.5">
      <c r="A18" s="196">
        <f>[5]January_2026!$C18</f>
        <v>6</v>
      </c>
      <c r="B18" s="199">
        <f>[5]January_2026!$B18</f>
        <v>46034</v>
      </c>
      <c r="C18" s="200" t="str">
        <f>[5]January_2026!$D18</f>
        <v>STAG</v>
      </c>
      <c r="D18" s="709"/>
      <c r="E18" s="111">
        <v>0.91666666666666663</v>
      </c>
      <c r="F18" s="111">
        <v>1</v>
      </c>
      <c r="G18" s="112">
        <v>1.0555555555555556</v>
      </c>
      <c r="H18" s="201">
        <v>29</v>
      </c>
      <c r="I18" s="218">
        <f>43+7</f>
        <v>50</v>
      </c>
      <c r="J18" s="219">
        <f>10</f>
        <v>10</v>
      </c>
      <c r="K18" s="218"/>
      <c r="L18" s="218"/>
      <c r="M18" s="218"/>
      <c r="N18" s="218"/>
      <c r="O18" s="218">
        <f>'Uncaser Downtime Detail '!AG17</f>
        <v>0</v>
      </c>
      <c r="P18" s="218">
        <f>'Washer Downtime Detail'!BH18</f>
        <v>11</v>
      </c>
      <c r="Q18" s="218">
        <f>'EBI Downtime Detail'!AI16</f>
        <v>0</v>
      </c>
      <c r="R18" s="218">
        <f>'Filler Downtime Detail'!AK15</f>
        <v>0</v>
      </c>
      <c r="S18" s="218">
        <f>'Pasteurizer Downtime Detail'!$Z15</f>
        <v>0</v>
      </c>
      <c r="T18" s="218">
        <f>'Labeler Downtime Detail'!AN16</f>
        <v>6</v>
      </c>
      <c r="U18" s="218">
        <f>'Videojet Downtime Detail '!O15</f>
        <v>0</v>
      </c>
      <c r="V18" s="218">
        <f>'Conveyor Downtime (new)'!AV16</f>
        <v>5</v>
      </c>
      <c r="W18" s="218">
        <f>'Packer Downtime Detail  '!AD17</f>
        <v>0</v>
      </c>
      <c r="X18" s="218"/>
      <c r="Y18" s="239"/>
      <c r="Z18" s="233">
        <f>3</f>
        <v>3</v>
      </c>
      <c r="AA18" s="234"/>
      <c r="AB18" s="222"/>
      <c r="AC18" s="222"/>
      <c r="AD18" s="235">
        <f t="shared" si="0"/>
        <v>114</v>
      </c>
      <c r="AE18" s="669"/>
      <c r="AF18" s="194"/>
      <c r="AH18" s="3"/>
      <c r="AI18" s="23"/>
      <c r="AJ18" s="23"/>
      <c r="AK18" s="54"/>
      <c r="AL18" s="3"/>
      <c r="AM18" s="3"/>
      <c r="AN18" s="3"/>
      <c r="AO18" s="3"/>
      <c r="AP18" s="3"/>
      <c r="AQ18" s="3"/>
      <c r="AR18" s="3"/>
      <c r="AS18" s="3"/>
      <c r="AT18" s="3"/>
      <c r="AU18" s="3"/>
      <c r="AV18" s="3"/>
      <c r="AW18" s="3"/>
      <c r="AX18" s="3"/>
    </row>
    <row r="19" spans="1:50" ht="16.5">
      <c r="A19" s="196">
        <f>[5]January_2026!$C19</f>
        <v>7</v>
      </c>
      <c r="B19" s="199">
        <f>[5]January_2026!$B19</f>
        <v>46035</v>
      </c>
      <c r="C19" s="200" t="str">
        <f>[5]January_2026!$D19</f>
        <v>STAG</v>
      </c>
      <c r="D19" s="709">
        <v>1</v>
      </c>
      <c r="E19" s="111">
        <v>1.0104166666666667</v>
      </c>
      <c r="F19" s="111">
        <v>1.6388888888888888</v>
      </c>
      <c r="G19" s="112">
        <v>1.7131944444444445</v>
      </c>
      <c r="H19" s="202">
        <v>2</v>
      </c>
      <c r="I19" s="220"/>
      <c r="J19" s="221"/>
      <c r="K19" s="220"/>
      <c r="L19" s="220"/>
      <c r="M19" s="220"/>
      <c r="N19" s="220"/>
      <c r="O19" s="220">
        <f>'Uncaser Downtime Detail '!AG18</f>
        <v>17</v>
      </c>
      <c r="P19" s="220">
        <f>'Washer Downtime Detail'!BH19</f>
        <v>62</v>
      </c>
      <c r="Q19" s="220">
        <f>'EBI Downtime Detail'!AI17</f>
        <v>3</v>
      </c>
      <c r="R19" s="220">
        <f>'Filler Downtime Detail'!AK16</f>
        <v>22</v>
      </c>
      <c r="S19" s="220">
        <f>'Pasteurizer Downtime Detail'!$Z16</f>
        <v>0</v>
      </c>
      <c r="T19" s="220">
        <f>'Labeler Downtime Detail'!AN17</f>
        <v>0</v>
      </c>
      <c r="U19" s="220">
        <f>'Videojet Downtime Detail '!O16</f>
        <v>0</v>
      </c>
      <c r="V19" s="220">
        <f>'Conveyor Downtime (new)'!AV17</f>
        <v>125</v>
      </c>
      <c r="W19" s="220">
        <f>'Packer Downtime Detail  '!AD18</f>
        <v>0</v>
      </c>
      <c r="X19" s="220"/>
      <c r="Y19" s="221"/>
      <c r="Z19" s="220">
        <f>15+5+5+3+8</f>
        <v>36</v>
      </c>
      <c r="AA19" s="237">
        <f>2+2+2</f>
        <v>6</v>
      </c>
      <c r="AB19" s="238"/>
      <c r="AC19" s="238"/>
      <c r="AD19" s="235">
        <f t="shared" si="0"/>
        <v>273</v>
      </c>
      <c r="AE19" s="669">
        <f>G20-D19</f>
        <v>1.03125</v>
      </c>
      <c r="AF19" s="194"/>
      <c r="AH19" s="3"/>
      <c r="AI19" s="23"/>
      <c r="AJ19" s="23"/>
      <c r="AK19" s="54"/>
      <c r="AL19" s="3"/>
      <c r="AM19" s="3"/>
      <c r="AN19" s="3"/>
      <c r="AO19" s="3"/>
      <c r="AP19" s="3"/>
      <c r="AQ19" s="3"/>
      <c r="AR19" s="3"/>
      <c r="AS19" s="3"/>
      <c r="AT19" s="3"/>
      <c r="AU19" s="3"/>
      <c r="AV19" s="3"/>
      <c r="AW19" s="3"/>
      <c r="AX19" s="3"/>
    </row>
    <row r="20" spans="1:50" ht="16.5">
      <c r="A20" s="196">
        <f>[5]January_2026!$C20</f>
        <v>7</v>
      </c>
      <c r="B20" s="199">
        <f>[5]January_2026!$B20</f>
        <v>46035</v>
      </c>
      <c r="C20" s="200" t="str">
        <f>[5]January_2026!$D20</f>
        <v>CARIB AMBER</v>
      </c>
      <c r="D20" s="709"/>
      <c r="E20" s="111">
        <v>1.6493055555555556</v>
      </c>
      <c r="F20" s="111">
        <v>2</v>
      </c>
      <c r="G20" s="112">
        <v>2.03125</v>
      </c>
      <c r="H20" s="201">
        <f>5</f>
        <v>5</v>
      </c>
      <c r="I20" s="218">
        <f>4+26</f>
        <v>30</v>
      </c>
      <c r="J20" s="219">
        <f>4</f>
        <v>4</v>
      </c>
      <c r="K20" s="218"/>
      <c r="L20" s="218"/>
      <c r="M20" s="218"/>
      <c r="N20" s="218"/>
      <c r="O20" s="195">
        <f>'Uncaser Downtime Detail '!AG19</f>
        <v>2</v>
      </c>
      <c r="P20" s="218">
        <f>'Washer Downtime Detail'!BH20</f>
        <v>18</v>
      </c>
      <c r="Q20" s="218">
        <f>'EBI Downtime Detail'!AI18</f>
        <v>7</v>
      </c>
      <c r="R20" s="195">
        <f>'Filler Downtime Detail'!AK17</f>
        <v>2</v>
      </c>
      <c r="S20" s="218">
        <f>'Pasteurizer Downtime Detail'!$Z17</f>
        <v>0</v>
      </c>
      <c r="T20" s="218">
        <f>'Labeler Downtime Detail'!AN18</f>
        <v>53</v>
      </c>
      <c r="U20" s="195">
        <f>'Videojet Downtime Detail '!O17</f>
        <v>0</v>
      </c>
      <c r="V20" s="218">
        <f>'Conveyor Downtime (new)'!AV18</f>
        <v>53</v>
      </c>
      <c r="W20" s="218">
        <f>'Packer Downtime Detail  '!AD19</f>
        <v>7</v>
      </c>
      <c r="X20" s="218"/>
      <c r="Y20" s="239"/>
      <c r="Z20" s="233"/>
      <c r="AA20" s="234"/>
      <c r="AB20" s="222"/>
      <c r="AC20" s="222"/>
      <c r="AD20" s="235">
        <f t="shared" si="0"/>
        <v>181</v>
      </c>
      <c r="AE20" s="669"/>
      <c r="AF20" s="194"/>
      <c r="AH20" s="3"/>
      <c r="AI20" s="23"/>
      <c r="AJ20" s="23"/>
      <c r="AK20" s="54"/>
      <c r="AL20" s="3"/>
      <c r="AM20" s="3"/>
      <c r="AN20" s="3"/>
      <c r="AO20" s="3"/>
      <c r="AP20" s="3"/>
      <c r="AQ20" s="3"/>
      <c r="AR20" s="3"/>
      <c r="AS20" s="3"/>
      <c r="AT20" s="3"/>
      <c r="AU20" s="3"/>
      <c r="AV20" s="3"/>
      <c r="AW20" s="3"/>
      <c r="AX20" s="3"/>
    </row>
    <row r="21" spans="1:50" ht="16.5">
      <c r="A21" s="196">
        <f>[5]January_2026!$C21</f>
        <v>8</v>
      </c>
      <c r="B21" s="199">
        <f>[5]January_2026!$B21</f>
        <v>46036</v>
      </c>
      <c r="C21" s="200" t="str">
        <f>[5]January_2026!$D21</f>
        <v>CARIB AMBER</v>
      </c>
      <c r="D21" s="709">
        <v>1</v>
      </c>
      <c r="E21" s="111">
        <v>1.0083333333333333</v>
      </c>
      <c r="F21" s="111">
        <v>1.2118055555555556</v>
      </c>
      <c r="G21" s="112">
        <v>1.2527777777777778</v>
      </c>
      <c r="H21" s="202"/>
      <c r="I21" s="220"/>
      <c r="J21" s="221"/>
      <c r="K21" s="220"/>
      <c r="L21" s="220"/>
      <c r="M21" s="220"/>
      <c r="N21" s="220"/>
      <c r="O21" s="220">
        <f>'Uncaser Downtime Detail '!AG20</f>
        <v>0</v>
      </c>
      <c r="P21" s="220">
        <f>'Washer Downtime Detail'!BH21</f>
        <v>13</v>
      </c>
      <c r="Q21" s="220">
        <f>'EBI Downtime Detail'!AI19</f>
        <v>0</v>
      </c>
      <c r="R21" s="220">
        <f>'Filler Downtime Detail'!AK18</f>
        <v>6</v>
      </c>
      <c r="S21" s="220">
        <f>'Pasteurizer Downtime Detail'!$Z18</f>
        <v>0</v>
      </c>
      <c r="T21" s="220">
        <f>'Labeler Downtime Detail'!AN19</f>
        <v>0</v>
      </c>
      <c r="U21" s="220">
        <f>'Videojet Downtime Detail '!O18</f>
        <v>0</v>
      </c>
      <c r="V21" s="220">
        <f>'Conveyor Downtime (new)'!AV19</f>
        <v>7</v>
      </c>
      <c r="W21" s="220">
        <f>'Packer Downtime Detail  '!AD20</f>
        <v>0</v>
      </c>
      <c r="X21" s="220"/>
      <c r="Y21" s="221"/>
      <c r="Z21" s="220">
        <f>12+2</f>
        <v>14</v>
      </c>
      <c r="AA21" s="237"/>
      <c r="AB21" s="238">
        <f>11+4</f>
        <v>15</v>
      </c>
      <c r="AC21" s="238"/>
      <c r="AD21" s="235">
        <f t="shared" si="0"/>
        <v>55</v>
      </c>
      <c r="AE21" s="669">
        <f>G22-D21</f>
        <v>1.0083333333333333</v>
      </c>
      <c r="AF21" s="194"/>
      <c r="AH21" s="3"/>
      <c r="AI21" s="23"/>
      <c r="AJ21" s="23"/>
      <c r="AK21" s="54"/>
      <c r="AL21" s="3"/>
      <c r="AM21" s="3"/>
      <c r="AN21" s="3"/>
      <c r="AO21" s="3"/>
      <c r="AP21" s="3"/>
      <c r="AQ21" s="3"/>
      <c r="AR21" s="3"/>
      <c r="AS21" s="3"/>
      <c r="AT21" s="3"/>
      <c r="AU21" s="3"/>
      <c r="AV21" s="3"/>
      <c r="AW21" s="3"/>
      <c r="AX21" s="3"/>
    </row>
    <row r="22" spans="1:50" ht="16.5">
      <c r="A22" s="196">
        <f>[5]January_2026!$C22</f>
        <v>8</v>
      </c>
      <c r="B22" s="199">
        <f>[5]January_2026!$B22</f>
        <v>46036</v>
      </c>
      <c r="C22" s="200" t="str">
        <f>[5]January_2026!$D22</f>
        <v>STAG</v>
      </c>
      <c r="D22" s="709"/>
      <c r="E22" s="111">
        <v>1.2208333333333334</v>
      </c>
      <c r="F22" s="111">
        <v>1.9819444444444445</v>
      </c>
      <c r="G22" s="112">
        <v>2.0083333333333333</v>
      </c>
      <c r="H22" s="201"/>
      <c r="I22" s="218">
        <f>13+3</f>
        <v>16</v>
      </c>
      <c r="J22" s="219">
        <f>9+5+60+25+18+14</f>
        <v>131</v>
      </c>
      <c r="K22" s="218"/>
      <c r="L22" s="218"/>
      <c r="M22" s="218"/>
      <c r="N22" s="218"/>
      <c r="O22" s="222">
        <f>'Uncaser Downtime Detail '!AG21</f>
        <v>32</v>
      </c>
      <c r="P22" s="222">
        <f>'Washer Downtime Detail'!BH22</f>
        <v>66</v>
      </c>
      <c r="Q22" s="222">
        <f>'EBI Downtime Detail'!AI20</f>
        <v>17</v>
      </c>
      <c r="R22" s="222">
        <f>'Filler Downtime Detail'!AK19</f>
        <v>13</v>
      </c>
      <c r="S22" s="222">
        <f>'Pasteurizer Downtime Detail'!$Z19</f>
        <v>16</v>
      </c>
      <c r="T22" s="222">
        <f>'Labeler Downtime Detail'!AN20</f>
        <v>11</v>
      </c>
      <c r="U22" s="222">
        <f>'Videojet Downtime Detail '!O19</f>
        <v>0</v>
      </c>
      <c r="V22" s="222">
        <f>'Conveyor Downtime (new)'!AV20</f>
        <v>47</v>
      </c>
      <c r="W22" s="222">
        <f>'Packer Downtime Detail  '!AD21</f>
        <v>0</v>
      </c>
      <c r="X22" s="218"/>
      <c r="Y22" s="239"/>
      <c r="Z22" s="233">
        <f>4+12</f>
        <v>16</v>
      </c>
      <c r="AA22" s="234"/>
      <c r="AB22" s="222">
        <v>16</v>
      </c>
      <c r="AC22" s="222"/>
      <c r="AD22" s="235">
        <f t="shared" si="0"/>
        <v>381</v>
      </c>
      <c r="AE22" s="669"/>
      <c r="AF22" s="194"/>
      <c r="AH22" s="3"/>
      <c r="AI22" s="23"/>
      <c r="AJ22" s="23"/>
      <c r="AK22" s="54"/>
      <c r="AL22" s="3"/>
      <c r="AM22" s="3"/>
      <c r="AN22" s="3"/>
      <c r="AO22" s="3"/>
      <c r="AP22" s="3"/>
      <c r="AQ22" s="3"/>
      <c r="AR22" s="3"/>
      <c r="AS22" s="3"/>
      <c r="AT22" s="3"/>
      <c r="AU22" s="3"/>
      <c r="AV22" s="3"/>
      <c r="AW22" s="3"/>
      <c r="AX22" s="3"/>
    </row>
    <row r="23" spans="1:50" ht="16.5">
      <c r="A23" s="196">
        <f>[5]January_2026!$C23</f>
        <v>9</v>
      </c>
      <c r="B23" s="199">
        <f>[5]January_2026!$B23</f>
        <v>46037</v>
      </c>
      <c r="C23" s="200" t="str">
        <f>[5]January_2026!$D23</f>
        <v>MACKESON</v>
      </c>
      <c r="D23" s="709">
        <v>1</v>
      </c>
      <c r="E23" s="111">
        <v>1.0222222222222221</v>
      </c>
      <c r="F23" s="111">
        <v>1.7104166666666667</v>
      </c>
      <c r="G23" s="112">
        <v>1.7347222222222223</v>
      </c>
      <c r="H23" s="202"/>
      <c r="I23" s="220">
        <v>6</v>
      </c>
      <c r="J23" s="221">
        <f>20+6</f>
        <v>26</v>
      </c>
      <c r="K23" s="220"/>
      <c r="L23" s="220"/>
      <c r="M23" s="220"/>
      <c r="N23" s="220"/>
      <c r="O23" s="220">
        <f>'Uncaser Downtime Detail '!AG22</f>
        <v>0</v>
      </c>
      <c r="P23" s="220">
        <f>'Washer Downtime Detail'!BH23</f>
        <v>115</v>
      </c>
      <c r="Q23" s="220">
        <f>'EBI Downtime Detail'!AI21</f>
        <v>36</v>
      </c>
      <c r="R23" s="220">
        <f>'Filler Downtime Detail'!AK20</f>
        <v>12</v>
      </c>
      <c r="S23" s="220">
        <f>'Pasteurizer Downtime Detail'!$Z20</f>
        <v>26</v>
      </c>
      <c r="T23" s="220">
        <f>'Labeler Downtime Detail'!AN21</f>
        <v>0</v>
      </c>
      <c r="U23" s="220">
        <f>'Videojet Downtime Detail '!O20</f>
        <v>0</v>
      </c>
      <c r="V23" s="220">
        <f>'Conveyor Downtime (new)'!AV21</f>
        <v>8</v>
      </c>
      <c r="W23" s="220">
        <f>'Packer Downtime Detail  '!AD22</f>
        <v>29</v>
      </c>
      <c r="X23" s="220"/>
      <c r="Y23" s="221"/>
      <c r="Z23" s="220">
        <f>10</f>
        <v>10</v>
      </c>
      <c r="AA23" s="237"/>
      <c r="AB23" s="238"/>
      <c r="AC23" s="238"/>
      <c r="AD23" s="235">
        <f t="shared" si="0"/>
        <v>268</v>
      </c>
      <c r="AE23" s="669">
        <f>G24-D23</f>
        <v>1.0277777777777777</v>
      </c>
      <c r="AF23" s="194"/>
      <c r="AH23" s="3"/>
      <c r="AI23" s="23"/>
      <c r="AJ23" s="23"/>
      <c r="AK23" s="54"/>
      <c r="AL23" s="3"/>
      <c r="AM23" s="3"/>
      <c r="AN23" s="3"/>
      <c r="AO23" s="3"/>
      <c r="AP23" s="3"/>
      <c r="AQ23" s="3"/>
      <c r="AR23" s="3"/>
      <c r="AS23" s="3"/>
      <c r="AT23" s="3"/>
      <c r="AU23" s="3"/>
      <c r="AV23" s="3"/>
      <c r="AW23" s="3"/>
      <c r="AX23" s="3"/>
    </row>
    <row r="24" spans="1:50" ht="16.5">
      <c r="A24" s="196">
        <f>[5]January_2026!$C24</f>
        <v>9</v>
      </c>
      <c r="B24" s="199">
        <f>[5]January_2026!$B24</f>
        <v>46037</v>
      </c>
      <c r="C24" s="200" t="str">
        <f>[5]January_2026!$D24</f>
        <v>SHANDY SORREL (LOC)</v>
      </c>
      <c r="D24" s="709"/>
      <c r="E24" s="111">
        <v>1.7749999999999999</v>
      </c>
      <c r="F24" s="111">
        <v>1.9569444444444444</v>
      </c>
      <c r="G24" s="112">
        <v>2.0277777777777777</v>
      </c>
      <c r="H24" s="201"/>
      <c r="I24" s="218">
        <f>54+13</f>
        <v>67</v>
      </c>
      <c r="J24" s="219"/>
      <c r="K24" s="222"/>
      <c r="L24" s="222"/>
      <c r="M24" s="222"/>
      <c r="N24" s="222"/>
      <c r="O24" s="222">
        <f>'Uncaser Downtime Detail '!AG23</f>
        <v>0</v>
      </c>
      <c r="P24" s="222">
        <f>'Washer Downtime Detail'!BH24</f>
        <v>50</v>
      </c>
      <c r="Q24" s="222">
        <f>'EBI Downtime Detail'!AI22</f>
        <v>2</v>
      </c>
      <c r="R24" s="222">
        <f>'Filler Downtime Detail'!AK21</f>
        <v>15</v>
      </c>
      <c r="S24" s="222">
        <f>'Pasteurizer Downtime Detail'!$Z21</f>
        <v>0</v>
      </c>
      <c r="T24" s="222">
        <f>'Labeler Downtime Detail'!AN22</f>
        <v>0</v>
      </c>
      <c r="U24" s="222">
        <f>'Videojet Downtime Detail '!O21</f>
        <v>0</v>
      </c>
      <c r="V24" s="222">
        <f>'Conveyor Downtime (new)'!AV22</f>
        <v>2</v>
      </c>
      <c r="W24" s="222">
        <f>'Packer Downtime Detail  '!AD23</f>
        <v>0</v>
      </c>
      <c r="X24" s="218"/>
      <c r="Y24" s="222"/>
      <c r="Z24" s="233">
        <v>22</v>
      </c>
      <c r="AA24" s="234"/>
      <c r="AB24" s="222">
        <f>10</f>
        <v>10</v>
      </c>
      <c r="AC24" s="222"/>
      <c r="AD24" s="235">
        <f t="shared" si="0"/>
        <v>168</v>
      </c>
      <c r="AE24" s="669"/>
      <c r="AF24" s="194"/>
      <c r="AG24">
        <f>8+36+30+15</f>
        <v>89</v>
      </c>
      <c r="AH24" s="3"/>
      <c r="AI24" s="23"/>
      <c r="AJ24" s="23"/>
      <c r="AK24" s="54"/>
      <c r="AL24" s="3"/>
      <c r="AM24" s="3"/>
      <c r="AN24" s="3"/>
      <c r="AO24" s="3"/>
      <c r="AP24" s="3"/>
      <c r="AQ24" s="3"/>
      <c r="AR24" s="3"/>
      <c r="AS24" s="3"/>
      <c r="AT24" s="3"/>
      <c r="AU24" s="3"/>
      <c r="AV24" s="3"/>
      <c r="AW24" s="3"/>
      <c r="AX24" s="3"/>
    </row>
    <row r="25" spans="1:50" ht="16.5">
      <c r="A25" s="196">
        <f>[5]January_2026!$C25</f>
        <v>10</v>
      </c>
      <c r="B25" s="199">
        <f>[5]January_2026!$B25</f>
        <v>46038</v>
      </c>
      <c r="C25" s="200" t="str">
        <f>[5]January_2026!$D25</f>
        <v>TING( GREEN)</v>
      </c>
      <c r="D25" s="709">
        <v>1</v>
      </c>
      <c r="E25" s="111">
        <v>1.0208333333333333</v>
      </c>
      <c r="F25" s="111">
        <v>1.2430555555555556</v>
      </c>
      <c r="G25" s="112">
        <v>1.5340277777777778</v>
      </c>
      <c r="H25" s="202"/>
      <c r="I25" s="220">
        <v>60</v>
      </c>
      <c r="J25" s="221"/>
      <c r="K25" s="220"/>
      <c r="L25" s="220"/>
      <c r="M25" s="220">
        <f>9</f>
        <v>9</v>
      </c>
      <c r="N25" s="220"/>
      <c r="O25" s="220">
        <f>'Uncaser Downtime Detail '!AG24</f>
        <v>8</v>
      </c>
      <c r="P25" s="220">
        <f>'Washer Downtime Detail'!BH25</f>
        <v>6</v>
      </c>
      <c r="Q25" s="220">
        <f>'EBI Downtime Detail'!AI23</f>
        <v>19</v>
      </c>
      <c r="R25" s="220">
        <f>'Filler Downtime Detail'!AK22</f>
        <v>8</v>
      </c>
      <c r="S25" s="220">
        <f>'Pasteurizer Downtime Detail'!$Z22</f>
        <v>30</v>
      </c>
      <c r="T25" s="220">
        <f>'Labeler Downtime Detail'!AN23</f>
        <v>8</v>
      </c>
      <c r="U25" s="220">
        <f>'Videojet Downtime Detail '!O22</f>
        <v>0</v>
      </c>
      <c r="V25" s="220">
        <f>'Conveyor Downtime (new)'!AV23</f>
        <v>4</v>
      </c>
      <c r="W25" s="220">
        <f>'Packer Downtime Detail  '!AD24</f>
        <v>0</v>
      </c>
      <c r="X25" s="220"/>
      <c r="Y25" s="221"/>
      <c r="Z25" s="220">
        <f>36</f>
        <v>36</v>
      </c>
      <c r="AA25" s="237"/>
      <c r="AB25" s="238"/>
      <c r="AC25" s="238"/>
      <c r="AD25" s="235">
        <f t="shared" si="0"/>
        <v>188</v>
      </c>
      <c r="AE25" s="669">
        <f>G26-D25</f>
        <v>0.86250000000000004</v>
      </c>
      <c r="AF25" s="194"/>
      <c r="AH25" s="3"/>
      <c r="AI25" s="23"/>
      <c r="AJ25" s="23"/>
      <c r="AK25" s="54"/>
      <c r="AL25" s="3"/>
      <c r="AM25" s="3"/>
      <c r="AN25" s="3"/>
      <c r="AO25" s="3"/>
      <c r="AP25" s="3"/>
      <c r="AQ25" s="3"/>
      <c r="AR25" s="3"/>
      <c r="AS25" s="3"/>
      <c r="AT25" s="3"/>
      <c r="AU25" s="3"/>
      <c r="AV25" s="3"/>
      <c r="AW25" s="3"/>
      <c r="AX25" s="3"/>
    </row>
    <row r="26" spans="1:50" ht="16.5">
      <c r="A26" s="196">
        <f>[5]January_2026!$C26</f>
        <v>11</v>
      </c>
      <c r="B26" s="199">
        <f>[5]January_2026!$B26</f>
        <v>46038</v>
      </c>
      <c r="C26" s="200" t="str">
        <f>[5]January_2026!$D26</f>
        <v>CARIB AMBER</v>
      </c>
      <c r="D26" s="709"/>
      <c r="E26" s="111">
        <v>1.3097222222222222</v>
      </c>
      <c r="F26" s="111">
        <v>1.825</v>
      </c>
      <c r="G26" s="112">
        <v>1.8625</v>
      </c>
      <c r="H26" s="201"/>
      <c r="I26" s="218">
        <f>10+50</f>
        <v>60</v>
      </c>
      <c r="J26" s="219"/>
      <c r="K26" s="222"/>
      <c r="L26" s="222"/>
      <c r="M26" s="222"/>
      <c r="N26" s="222"/>
      <c r="O26" s="218">
        <f>'Uncaser Downtime Detail '!AG25</f>
        <v>12</v>
      </c>
      <c r="P26" s="218">
        <f>'Washer Downtime Detail'!BH26</f>
        <v>98</v>
      </c>
      <c r="Q26" s="218">
        <f>'EBI Downtime Detail'!AI24</f>
        <v>21</v>
      </c>
      <c r="R26" s="218">
        <f>'Filler Downtime Detail'!AK23</f>
        <v>8</v>
      </c>
      <c r="S26" s="218">
        <f>'Pasteurizer Downtime Detail'!$Z23</f>
        <v>2</v>
      </c>
      <c r="T26" s="218">
        <f>'Labeler Downtime Detail'!AN24</f>
        <v>16</v>
      </c>
      <c r="U26" s="218">
        <f>'Videojet Downtime Detail '!O23</f>
        <v>0</v>
      </c>
      <c r="V26" s="218">
        <f>'Conveyor Downtime (new)'!AV24</f>
        <v>14</v>
      </c>
      <c r="W26" s="218">
        <f>'Packer Downtime Detail  '!AD25</f>
        <v>0</v>
      </c>
      <c r="X26" s="218"/>
      <c r="Y26" s="222"/>
      <c r="Z26" s="233"/>
      <c r="AA26" s="234">
        <f>11</f>
        <v>11</v>
      </c>
      <c r="AB26" s="222"/>
      <c r="AC26" s="222"/>
      <c r="AD26" s="235">
        <f t="shared" si="0"/>
        <v>242</v>
      </c>
      <c r="AE26" s="669"/>
      <c r="AF26" s="194"/>
      <c r="AH26" s="3"/>
      <c r="AI26" s="23"/>
      <c r="AJ26" s="23"/>
      <c r="AK26" s="54"/>
      <c r="AL26" s="3"/>
      <c r="AM26" s="3"/>
      <c r="AN26" s="3"/>
      <c r="AO26" s="3"/>
      <c r="AP26" s="3"/>
      <c r="AQ26" s="3"/>
      <c r="AR26" s="3"/>
      <c r="AS26" s="3"/>
      <c r="AT26" s="3"/>
      <c r="AU26" s="3"/>
      <c r="AV26" s="3"/>
      <c r="AW26" s="3"/>
      <c r="AX26" s="3"/>
    </row>
    <row r="27" spans="1:50" ht="18.75" customHeight="1">
      <c r="A27" s="196">
        <f>[5]January_2026!$C27</f>
        <v>12</v>
      </c>
      <c r="B27" s="199">
        <f>[5]January_2026!$B27</f>
        <v>46041</v>
      </c>
      <c r="C27" s="200" t="str">
        <f>[5]January_2026!$D27</f>
        <v>CARIB AMBER</v>
      </c>
      <c r="D27" s="709">
        <v>1.0402777777777779</v>
      </c>
      <c r="E27" s="111">
        <v>1.1076388888888888</v>
      </c>
      <c r="F27" s="111">
        <v>1.648611111111111</v>
      </c>
      <c r="G27" s="112">
        <v>1.8125</v>
      </c>
      <c r="H27" s="202">
        <f>2+4+2</f>
        <v>8</v>
      </c>
      <c r="I27" s="220"/>
      <c r="J27" s="221">
        <f>22</f>
        <v>22</v>
      </c>
      <c r="K27" s="220"/>
      <c r="L27" s="220"/>
      <c r="M27" s="220"/>
      <c r="N27" s="220"/>
      <c r="O27" s="220">
        <f>'Uncaser Downtime Detail '!AG26</f>
        <v>49</v>
      </c>
      <c r="P27" s="220">
        <f>'Washer Downtime Detail'!BH27</f>
        <v>57</v>
      </c>
      <c r="Q27" s="220">
        <f>'EBI Downtime Detail'!AI25</f>
        <v>19</v>
      </c>
      <c r="R27" s="220">
        <f>'Filler Downtime Detail'!AK24</f>
        <v>10</v>
      </c>
      <c r="S27" s="220">
        <f>'Pasteurizer Downtime Detail'!$Z24</f>
        <v>0</v>
      </c>
      <c r="T27" s="220">
        <f>'Labeler Downtime Detail'!AN25</f>
        <v>5</v>
      </c>
      <c r="U27" s="220">
        <f>'Videojet Downtime Detail '!O24</f>
        <v>3</v>
      </c>
      <c r="V27" s="220">
        <f>'Conveyor Downtime (new)'!AV25</f>
        <v>38</v>
      </c>
      <c r="W27" s="220">
        <f>'Packer Downtime Detail  '!AD26</f>
        <v>0</v>
      </c>
      <c r="X27" s="220"/>
      <c r="Y27" s="221"/>
      <c r="Z27" s="220">
        <f>25+30</f>
        <v>55</v>
      </c>
      <c r="AA27" s="237">
        <f>8+2+3</f>
        <v>13</v>
      </c>
      <c r="AB27" s="238"/>
      <c r="AC27" s="238"/>
      <c r="AD27" s="235">
        <f t="shared" si="0"/>
        <v>279</v>
      </c>
      <c r="AE27" s="669">
        <f>G28-D27</f>
        <v>1.0020833333333332</v>
      </c>
      <c r="AF27" s="194"/>
      <c r="AH27" s="3"/>
      <c r="AI27" s="23"/>
      <c r="AJ27" s="23"/>
      <c r="AK27" s="54"/>
      <c r="AL27" s="3"/>
      <c r="AM27" s="3"/>
      <c r="AN27" s="3"/>
      <c r="AO27" s="3"/>
      <c r="AP27" s="3"/>
      <c r="AQ27" s="3"/>
      <c r="AR27" s="3"/>
      <c r="AS27" s="3"/>
      <c r="AT27" s="3"/>
      <c r="AU27" s="3"/>
      <c r="AV27" s="3"/>
      <c r="AW27" s="3"/>
      <c r="AX27" s="3"/>
    </row>
    <row r="28" spans="1:50" s="1" customFormat="1" ht="16.5">
      <c r="A28" s="196">
        <f>[5]January_2026!$C28</f>
        <v>12</v>
      </c>
      <c r="B28" s="199">
        <f>[5]January_2026!$B28</f>
        <v>46041</v>
      </c>
      <c r="C28" s="200" t="str">
        <f>[5]January_2026!$D28</f>
        <v>STAG</v>
      </c>
      <c r="D28" s="709"/>
      <c r="E28" s="111">
        <v>1.7951388888888888</v>
      </c>
      <c r="F28" s="111">
        <v>2</v>
      </c>
      <c r="G28" s="112">
        <v>2.0423611111111111</v>
      </c>
      <c r="H28" s="201"/>
      <c r="I28" s="218">
        <f>19+5</f>
        <v>24</v>
      </c>
      <c r="J28" s="219"/>
      <c r="K28" s="222"/>
      <c r="L28" s="222"/>
      <c r="M28" s="222"/>
      <c r="N28" s="222"/>
      <c r="O28" s="218">
        <f>'Uncaser Downtime Detail '!AG27</f>
        <v>2</v>
      </c>
      <c r="P28" s="218">
        <f>'Washer Downtime Detail'!BH28</f>
        <v>42</v>
      </c>
      <c r="Q28" s="218">
        <f>'EBI Downtime Detail'!AI26</f>
        <v>2</v>
      </c>
      <c r="R28" s="218">
        <f>'Filler Downtime Detail'!AK25</f>
        <v>1</v>
      </c>
      <c r="S28" s="218">
        <f>'Pasteurizer Downtime Detail'!$Z25</f>
        <v>0</v>
      </c>
      <c r="T28" s="218">
        <f>'Labeler Downtime Detail'!AN26</f>
        <v>9</v>
      </c>
      <c r="U28" s="218">
        <f>'Videojet Downtime Detail '!O25</f>
        <v>0</v>
      </c>
      <c r="V28" s="218">
        <f>'Conveyor Downtime (new)'!AV26</f>
        <v>6</v>
      </c>
      <c r="W28" s="218">
        <f>'Packer Downtime Detail  '!AD27</f>
        <v>0</v>
      </c>
      <c r="X28" s="194"/>
      <c r="Y28" s="222"/>
      <c r="Z28" s="233"/>
      <c r="AA28" s="234"/>
      <c r="AB28" s="222"/>
      <c r="AC28" s="222"/>
      <c r="AD28" s="235">
        <f t="shared" si="0"/>
        <v>86</v>
      </c>
      <c r="AE28" s="669"/>
      <c r="AF28" s="214"/>
      <c r="AI28" s="4"/>
      <c r="AJ28" s="4"/>
      <c r="AK28" s="53"/>
    </row>
    <row r="29" spans="1:50" ht="16.5">
      <c r="A29" s="196">
        <f>[5]January_2026!$C29</f>
        <v>13</v>
      </c>
      <c r="B29" s="199">
        <f>[5]January_2026!$B29</f>
        <v>46042</v>
      </c>
      <c r="C29" s="200" t="str">
        <f>[5]January_2026!$D29</f>
        <v>STAG</v>
      </c>
      <c r="D29" s="709">
        <v>1</v>
      </c>
      <c r="E29" s="111">
        <v>1.0034722222222223</v>
      </c>
      <c r="F29" s="111">
        <v>1.4131944444444444</v>
      </c>
      <c r="G29" s="112"/>
      <c r="H29" s="202">
        <v>2</v>
      </c>
      <c r="I29" s="220"/>
      <c r="J29" s="221"/>
      <c r="K29" s="220"/>
      <c r="L29" s="220"/>
      <c r="M29" s="220"/>
      <c r="N29" s="220"/>
      <c r="O29" s="220">
        <f>'Uncaser Downtime Detail '!AG28</f>
        <v>4</v>
      </c>
      <c r="P29" s="220">
        <f>'Washer Downtime Detail'!BH29</f>
        <v>6</v>
      </c>
      <c r="Q29" s="220">
        <f>'EBI Downtime Detail'!AI27</f>
        <v>11</v>
      </c>
      <c r="R29" s="220">
        <f>'Filler Downtime Detail'!AK26</f>
        <v>69</v>
      </c>
      <c r="S29" s="220">
        <f>'Pasteurizer Downtime Detail'!$Z26</f>
        <v>6</v>
      </c>
      <c r="T29" s="220">
        <f>'Labeler Downtime Detail'!AN27</f>
        <v>3</v>
      </c>
      <c r="U29" s="220">
        <f>'Videojet Downtime Detail '!O26</f>
        <v>18</v>
      </c>
      <c r="V29" s="220">
        <f>'Conveyor Downtime (new)'!AV27</f>
        <v>28</v>
      </c>
      <c r="W29" s="220">
        <f>'Packer Downtime Detail  '!AD28</f>
        <v>0</v>
      </c>
      <c r="X29" s="220"/>
      <c r="Y29" s="221"/>
      <c r="Z29" s="220"/>
      <c r="AA29" s="237"/>
      <c r="AB29" s="238"/>
      <c r="AC29" s="238"/>
      <c r="AD29" s="235">
        <f t="shared" si="0"/>
        <v>147</v>
      </c>
      <c r="AE29" s="669">
        <f>G30-D29</f>
        <v>0.90277777777777768</v>
      </c>
      <c r="AF29" s="194"/>
      <c r="AH29" s="3"/>
      <c r="AI29" s="23"/>
      <c r="AJ29" s="23"/>
      <c r="AK29" s="54"/>
      <c r="AL29" s="3"/>
      <c r="AM29" s="3"/>
      <c r="AN29" s="3"/>
      <c r="AO29" s="3"/>
      <c r="AP29" s="3"/>
      <c r="AQ29" s="3"/>
      <c r="AR29" s="3"/>
      <c r="AS29" s="3"/>
      <c r="AT29" s="3"/>
      <c r="AU29" s="3"/>
      <c r="AV29" s="3"/>
      <c r="AW29" s="3"/>
      <c r="AX29" s="3"/>
    </row>
    <row r="30" spans="1:50" ht="16.5">
      <c r="A30" s="196">
        <f>[5]January_2026!$C30</f>
        <v>13</v>
      </c>
      <c r="B30" s="199">
        <f>[5]January_2026!$B30</f>
        <v>46042</v>
      </c>
      <c r="C30" s="200" t="str">
        <f>[5]January_2026!$D30</f>
        <v>GINSENG UP (ORG)</v>
      </c>
      <c r="D30" s="709"/>
      <c r="E30" s="111">
        <v>1.4659722222222222</v>
      </c>
      <c r="F30" s="111">
        <v>1.8631944444444444</v>
      </c>
      <c r="G30" s="112">
        <v>1.9027777777777777</v>
      </c>
      <c r="H30" s="201"/>
      <c r="I30" s="218">
        <f>5+60+11</f>
        <v>76</v>
      </c>
      <c r="J30" s="219"/>
      <c r="K30" s="222"/>
      <c r="L30" s="222"/>
      <c r="M30" s="222"/>
      <c r="N30" s="218"/>
      <c r="O30" s="218">
        <f>'Uncaser Downtime Detail '!AG29</f>
        <v>2</v>
      </c>
      <c r="P30" s="218">
        <f>'Washer Downtime Detail'!BH30</f>
        <v>39</v>
      </c>
      <c r="Q30" s="218">
        <f>'EBI Downtime Detail'!AI28</f>
        <v>28</v>
      </c>
      <c r="R30" s="218">
        <f>'Filler Downtime Detail'!AK27</f>
        <v>5</v>
      </c>
      <c r="S30" s="218">
        <f>'Pasteurizer Downtime Detail'!$Z27</f>
        <v>9</v>
      </c>
      <c r="T30" s="218">
        <f>'Labeler Downtime Detail'!AN28</f>
        <v>17</v>
      </c>
      <c r="U30" s="218">
        <f>'Videojet Downtime Detail '!O27</f>
        <v>4</v>
      </c>
      <c r="V30" s="218">
        <f>'Conveyor Downtime (new)'!AV28</f>
        <v>4</v>
      </c>
      <c r="W30" s="218">
        <f>'Packer Downtime Detail  '!AD29</f>
        <v>0</v>
      </c>
      <c r="X30" s="218"/>
      <c r="Y30" s="222"/>
      <c r="Z30" s="233"/>
      <c r="AA30" s="234"/>
      <c r="AB30" s="222"/>
      <c r="AC30" s="222"/>
      <c r="AD30" s="235">
        <f t="shared" si="0"/>
        <v>184</v>
      </c>
      <c r="AE30" s="669"/>
      <c r="AF30" s="194"/>
      <c r="AH30" s="3"/>
      <c r="AI30" s="23"/>
      <c r="AJ30" s="23"/>
      <c r="AK30" s="54"/>
      <c r="AL30" s="3"/>
      <c r="AM30" s="3"/>
      <c r="AN30" s="3"/>
      <c r="AO30" s="3"/>
      <c r="AP30" s="3"/>
      <c r="AQ30" s="3"/>
      <c r="AR30" s="3"/>
      <c r="AS30" s="3"/>
      <c r="AT30" s="3"/>
      <c r="AU30" s="3"/>
      <c r="AV30" s="3"/>
      <c r="AW30" s="3"/>
      <c r="AX30" s="3"/>
    </row>
    <row r="31" spans="1:50" ht="16.5">
      <c r="A31" s="196">
        <f>[5]January_2026!$C31</f>
        <v>14</v>
      </c>
      <c r="B31" s="199">
        <f>[5]January_2026!$B31</f>
        <v>46043</v>
      </c>
      <c r="C31" s="200" t="str">
        <f>[5]January_2026!$D31</f>
        <v>SODA WATER</v>
      </c>
      <c r="D31" s="709">
        <v>1</v>
      </c>
      <c r="E31" s="111">
        <v>1.1111111111111112</v>
      </c>
      <c r="F31" s="111">
        <v>1.1618055555555555</v>
      </c>
      <c r="G31" s="112">
        <v>1.1875</v>
      </c>
      <c r="H31" s="202"/>
      <c r="I31" s="220">
        <f>36+60+25+20+15+4+24</f>
        <v>184</v>
      </c>
      <c r="J31" s="221"/>
      <c r="K31" s="220"/>
      <c r="L31" s="220"/>
      <c r="M31" s="220">
        <f>11</f>
        <v>11</v>
      </c>
      <c r="N31" s="220"/>
      <c r="O31" s="220">
        <f>'Uncaser Downtime Detail '!AG30</f>
        <v>0</v>
      </c>
      <c r="P31" s="220">
        <f>'Washer Downtime Detail'!BH31</f>
        <v>4</v>
      </c>
      <c r="Q31" s="220">
        <f>'EBI Downtime Detail'!AI29</f>
        <v>0</v>
      </c>
      <c r="R31" s="220">
        <f>'Filler Downtime Detail'!AK28</f>
        <v>0</v>
      </c>
      <c r="S31" s="220">
        <f>'Pasteurizer Downtime Detail'!$Z28</f>
        <v>0</v>
      </c>
      <c r="T31" s="220">
        <f>'Labeler Downtime Detail'!AN29</f>
        <v>0</v>
      </c>
      <c r="U31" s="220">
        <f>'Videojet Downtime Detail '!O28</f>
        <v>0</v>
      </c>
      <c r="V31" s="220">
        <f>'Conveyor Downtime (new)'!AV29</f>
        <v>0</v>
      </c>
      <c r="W31" s="220">
        <f>'Packer Downtime Detail  '!AD30</f>
        <v>0</v>
      </c>
      <c r="X31" s="220"/>
      <c r="Y31" s="221"/>
      <c r="Z31" s="220"/>
      <c r="AA31" s="237"/>
      <c r="AB31" s="238"/>
      <c r="AC31" s="238"/>
      <c r="AD31" s="235">
        <f t="shared" si="0"/>
        <v>199</v>
      </c>
      <c r="AE31" s="669">
        <f>+G34-D31</f>
        <v>1.0055555555555555</v>
      </c>
      <c r="AF31" s="194"/>
      <c r="AH31" s="3"/>
      <c r="AI31" s="23"/>
      <c r="AJ31" s="23"/>
      <c r="AK31" s="54"/>
      <c r="AL31" s="3"/>
      <c r="AM31" s="3"/>
      <c r="AN31" s="3"/>
      <c r="AO31" s="3"/>
      <c r="AP31" s="3"/>
      <c r="AQ31" s="3"/>
      <c r="AR31" s="3"/>
      <c r="AS31" s="3"/>
      <c r="AT31" s="3"/>
      <c r="AU31" s="3"/>
      <c r="AV31" s="3"/>
      <c r="AW31" s="3"/>
      <c r="AX31" s="3"/>
    </row>
    <row r="32" spans="1:50" ht="16.5">
      <c r="A32" s="196">
        <f>[5]January_2026!$C32</f>
        <v>14</v>
      </c>
      <c r="B32" s="199">
        <f>[5]January_2026!$B32</f>
        <v>46043</v>
      </c>
      <c r="C32" s="200" t="str">
        <f>[5]January_2026!$D32</f>
        <v>KOLA CHAMP J.COOL</v>
      </c>
      <c r="D32" s="709"/>
      <c r="E32" s="111">
        <v>1.1701388888888888</v>
      </c>
      <c r="F32" s="111">
        <v>1.5506944444444444</v>
      </c>
      <c r="G32" s="112">
        <v>1.5833333333333333</v>
      </c>
      <c r="H32" s="201"/>
      <c r="I32" s="218">
        <f>12</f>
        <v>12</v>
      </c>
      <c r="J32" s="219"/>
      <c r="K32" s="222"/>
      <c r="L32" s="222"/>
      <c r="M32" s="222"/>
      <c r="N32" s="222"/>
      <c r="O32" s="195">
        <f>'Uncaser Downtime Detail '!AG31</f>
        <v>204</v>
      </c>
      <c r="P32" s="218">
        <f>'Washer Downtime Detail'!BH32</f>
        <v>2</v>
      </c>
      <c r="Q32" s="218">
        <f>'EBI Downtime Detail'!AI30</f>
        <v>6</v>
      </c>
      <c r="R32" s="195">
        <f>'Filler Downtime Detail'!AK29</f>
        <v>0</v>
      </c>
      <c r="S32" s="218">
        <f>'Pasteurizer Downtime Detail'!$Z29</f>
        <v>0</v>
      </c>
      <c r="T32" s="218">
        <f>'Labeler Downtime Detail'!AN30</f>
        <v>0</v>
      </c>
      <c r="U32" s="195">
        <f>'Videojet Downtime Detail '!O29</f>
        <v>0</v>
      </c>
      <c r="V32" s="218">
        <f>'Conveyor Downtime (new)'!AV30</f>
        <v>0</v>
      </c>
      <c r="W32" s="218">
        <f>'Packer Downtime Detail  '!AD31</f>
        <v>0</v>
      </c>
      <c r="X32" s="218"/>
      <c r="Y32" s="222"/>
      <c r="Z32" s="233">
        <f>30+36</f>
        <v>66</v>
      </c>
      <c r="AA32" s="234"/>
      <c r="AB32" s="222">
        <f>3</f>
        <v>3</v>
      </c>
      <c r="AC32" s="222"/>
      <c r="AD32" s="235">
        <f t="shared" si="0"/>
        <v>293</v>
      </c>
      <c r="AE32" s="669"/>
      <c r="AF32" s="194"/>
      <c r="AH32" s="3"/>
      <c r="AI32" s="23"/>
      <c r="AJ32" s="23"/>
      <c r="AK32" s="54"/>
      <c r="AL32" s="3"/>
      <c r="AM32" s="3"/>
      <c r="AN32" s="3"/>
      <c r="AO32" s="3"/>
      <c r="AP32" s="3"/>
      <c r="AQ32" s="3"/>
      <c r="AR32" s="3"/>
      <c r="AS32" s="3"/>
      <c r="AT32" s="3"/>
      <c r="AU32" s="3"/>
      <c r="AV32" s="3"/>
      <c r="AW32" s="3"/>
      <c r="AX32" s="3"/>
    </row>
    <row r="33" spans="1:50" ht="16.5">
      <c r="A33" s="196">
        <f>[5]January_2026!$C33</f>
        <v>14</v>
      </c>
      <c r="B33" s="199">
        <f>[5]January_2026!$B33</f>
        <v>46043</v>
      </c>
      <c r="C33" s="200" t="str">
        <f>[5]January_2026!$D33</f>
        <v xml:space="preserve">CREAM SODA </v>
      </c>
      <c r="D33" s="709"/>
      <c r="E33" s="111">
        <v>1.5722222222222222</v>
      </c>
      <c r="F33" s="111">
        <v>1.8354166666666667</v>
      </c>
      <c r="G33" s="112"/>
      <c r="H33" s="202"/>
      <c r="I33" s="220">
        <f>31</f>
        <v>31</v>
      </c>
      <c r="J33" s="221"/>
      <c r="K33" s="220"/>
      <c r="L33" s="220"/>
      <c r="M33" s="220">
        <f>4+57</f>
        <v>61</v>
      </c>
      <c r="N33" s="220"/>
      <c r="O33" s="220">
        <f>'Uncaser Downtime Detail '!AG32</f>
        <v>8</v>
      </c>
      <c r="P33" s="220">
        <f>'Washer Downtime Detail'!BH33</f>
        <v>12</v>
      </c>
      <c r="Q33" s="220">
        <f>'EBI Downtime Detail'!AI31</f>
        <v>8</v>
      </c>
      <c r="R33" s="220">
        <f>'Filler Downtime Detail'!AK30</f>
        <v>0</v>
      </c>
      <c r="S33" s="220">
        <f>'Pasteurizer Downtime Detail'!$Z30</f>
        <v>0</v>
      </c>
      <c r="T33" s="220">
        <f>'Labeler Downtime Detail'!AN31</f>
        <v>0</v>
      </c>
      <c r="U33" s="220">
        <f>'Videojet Downtime Detail '!O30</f>
        <v>33</v>
      </c>
      <c r="V33" s="220">
        <f>'Conveyor Downtime (new)'!AV31</f>
        <v>2</v>
      </c>
      <c r="W33" s="220">
        <f>'Packer Downtime Detail  '!AD32</f>
        <v>0</v>
      </c>
      <c r="X33" s="220"/>
      <c r="Y33" s="221"/>
      <c r="Z33" s="220">
        <f>15+25+4+8+5+5</f>
        <v>62</v>
      </c>
      <c r="AA33" s="237">
        <v>3</v>
      </c>
      <c r="AB33" s="238">
        <f>2+2</f>
        <v>4</v>
      </c>
      <c r="AC33" s="238"/>
      <c r="AD33" s="235">
        <f t="shared" si="0"/>
        <v>224</v>
      </c>
      <c r="AE33" s="669"/>
      <c r="AF33" s="194"/>
      <c r="AH33" s="3"/>
      <c r="AI33" s="23"/>
      <c r="AJ33" s="23"/>
      <c r="AK33" s="54"/>
      <c r="AL33" s="3"/>
      <c r="AM33" s="3"/>
      <c r="AN33" s="3"/>
      <c r="AO33" s="3"/>
      <c r="AP33" s="3"/>
      <c r="AQ33" s="3"/>
      <c r="AR33" s="3"/>
      <c r="AS33" s="3"/>
      <c r="AT33" s="3"/>
      <c r="AU33" s="3"/>
      <c r="AV33" s="3"/>
      <c r="AW33" s="3"/>
      <c r="AX33" s="3"/>
    </row>
    <row r="34" spans="1:50" ht="16.5">
      <c r="A34" s="558">
        <f>[5]January_2026!$C34</f>
        <v>14</v>
      </c>
      <c r="B34" s="199">
        <f>[5]January_2026!$B34</f>
        <v>46043</v>
      </c>
      <c r="C34" s="200" t="str">
        <f>[5]January_2026!$D34</f>
        <v>BANANA</v>
      </c>
      <c r="D34" s="709"/>
      <c r="E34" s="111">
        <v>1.8784722222222223</v>
      </c>
      <c r="F34" s="110">
        <v>2</v>
      </c>
      <c r="G34" s="112">
        <v>2.0055555555555555</v>
      </c>
      <c r="H34" s="201"/>
      <c r="I34" s="218">
        <v>62</v>
      </c>
      <c r="J34" s="219"/>
      <c r="K34" s="222"/>
      <c r="L34" s="222"/>
      <c r="M34" s="222"/>
      <c r="N34" s="222"/>
      <c r="O34" s="222">
        <f>'Uncaser Downtime Detail '!AG33</f>
        <v>0</v>
      </c>
      <c r="P34" s="222">
        <f>'Washer Downtime Detail'!BH34</f>
        <v>0</v>
      </c>
      <c r="Q34" s="222">
        <f>'EBI Downtime Detail'!AI32</f>
        <v>0</v>
      </c>
      <c r="R34" s="222">
        <f>'Filler Downtime Detail'!AK31</f>
        <v>0</v>
      </c>
      <c r="S34" s="222">
        <f>'Pasteurizer Downtime Detail'!$Z31</f>
        <v>0</v>
      </c>
      <c r="T34" s="222">
        <f>'Labeler Downtime Detail'!AN32</f>
        <v>0</v>
      </c>
      <c r="U34" s="222">
        <f>'Videojet Downtime Detail '!O31</f>
        <v>0</v>
      </c>
      <c r="V34" s="222">
        <f>'Conveyor Downtime (new)'!AV32</f>
        <v>0</v>
      </c>
      <c r="W34" s="222">
        <f>'Packer Downtime Detail  '!AD33</f>
        <v>0</v>
      </c>
      <c r="X34" s="218"/>
      <c r="Y34" s="222"/>
      <c r="Z34" s="233">
        <v>85</v>
      </c>
      <c r="AA34" s="234"/>
      <c r="AB34" s="222"/>
      <c r="AC34" s="222"/>
      <c r="AD34" s="235">
        <f t="shared" si="0"/>
        <v>147</v>
      </c>
      <c r="AE34" s="669"/>
      <c r="AF34" s="194"/>
      <c r="AH34" s="3"/>
      <c r="AI34" s="23"/>
      <c r="AJ34" s="23"/>
      <c r="AK34" s="54"/>
      <c r="AL34" s="3"/>
      <c r="AM34" s="3"/>
      <c r="AN34" s="3"/>
      <c r="AO34" s="3"/>
      <c r="AP34" s="3"/>
      <c r="AQ34" s="3"/>
      <c r="AR34" s="3"/>
      <c r="AS34" s="3"/>
      <c r="AT34" s="3"/>
      <c r="AU34" s="3"/>
      <c r="AV34" s="3"/>
      <c r="AW34" s="3"/>
      <c r="AX34" s="3"/>
    </row>
    <row r="35" spans="1:50" s="552" customFormat="1" ht="16.5">
      <c r="A35" s="196">
        <f>[5]January_2026!$C35</f>
        <v>15</v>
      </c>
      <c r="B35" s="541">
        <f>[5]January_2026!$B35</f>
        <v>46044</v>
      </c>
      <c r="C35" s="542" t="str">
        <f>[5]January_2026!$D35</f>
        <v>NO PRODUCTION- LOW WATER PRESSURE</v>
      </c>
      <c r="D35" s="556">
        <v>1</v>
      </c>
      <c r="E35" s="543"/>
      <c r="F35" s="543"/>
      <c r="G35" s="544">
        <v>2</v>
      </c>
      <c r="H35" s="545"/>
      <c r="I35" s="546"/>
      <c r="J35" s="547"/>
      <c r="K35" s="546"/>
      <c r="L35" s="546"/>
      <c r="M35" s="546"/>
      <c r="N35" s="546"/>
      <c r="O35" s="546">
        <f>'Uncaser Downtime Detail '!AG34</f>
        <v>0</v>
      </c>
      <c r="P35" s="546">
        <f>'Washer Downtime Detail'!BH35</f>
        <v>0</v>
      </c>
      <c r="Q35" s="546">
        <f>'EBI Downtime Detail'!AI33</f>
        <v>0</v>
      </c>
      <c r="R35" s="546">
        <f>'Filler Downtime Detail'!AK32</f>
        <v>0</v>
      </c>
      <c r="S35" s="546">
        <f>'Pasteurizer Downtime Detail'!$Z32</f>
        <v>0</v>
      </c>
      <c r="T35" s="546">
        <f>'Labeler Downtime Detail'!AN33</f>
        <v>0</v>
      </c>
      <c r="U35" s="546">
        <f>'Videojet Downtime Detail '!O32</f>
        <v>0</v>
      </c>
      <c r="V35" s="546">
        <f>'Conveyor Downtime (new)'!AV33</f>
        <v>0</v>
      </c>
      <c r="W35" s="546">
        <f>'Packer Downtime Detail  '!AD34</f>
        <v>0</v>
      </c>
      <c r="X35" s="546"/>
      <c r="Y35" s="547"/>
      <c r="Z35" s="546">
        <v>1440</v>
      </c>
      <c r="AA35" s="548"/>
      <c r="AB35" s="549"/>
      <c r="AC35" s="549"/>
      <c r="AD35" s="550">
        <f t="shared" si="0"/>
        <v>1440</v>
      </c>
      <c r="AE35" s="557">
        <f>G35-D35</f>
        <v>1</v>
      </c>
      <c r="AF35" s="551"/>
      <c r="AH35" s="553"/>
      <c r="AI35" s="554"/>
      <c r="AJ35" s="554"/>
      <c r="AK35" s="555"/>
      <c r="AL35" s="553"/>
      <c r="AM35" s="553"/>
      <c r="AN35" s="553"/>
      <c r="AO35" s="553"/>
      <c r="AP35" s="553"/>
      <c r="AQ35" s="553"/>
      <c r="AR35" s="553"/>
      <c r="AS35" s="553"/>
      <c r="AT35" s="553"/>
      <c r="AU35" s="553"/>
      <c r="AV35" s="553"/>
      <c r="AW35" s="553"/>
      <c r="AX35" s="553"/>
    </row>
    <row r="36" spans="1:50" ht="16.5">
      <c r="A36" s="196">
        <f>[5]January_2026!$C36</f>
        <v>16</v>
      </c>
      <c r="B36" s="199">
        <f>[5]January_2026!$B36</f>
        <v>46045</v>
      </c>
      <c r="C36" s="200" t="str">
        <f>[5]January_2026!$D36</f>
        <v>BANANA J.COOL</v>
      </c>
      <c r="D36" s="709">
        <v>1</v>
      </c>
      <c r="E36" s="111">
        <v>1.2763888888888888</v>
      </c>
      <c r="F36" s="111">
        <v>1.2805555555555554</v>
      </c>
      <c r="G36" s="112"/>
      <c r="H36" s="201"/>
      <c r="I36" s="218"/>
      <c r="J36" s="219">
        <v>29</v>
      </c>
      <c r="K36" s="218"/>
      <c r="L36" s="218"/>
      <c r="M36" s="218"/>
      <c r="N36" s="218"/>
      <c r="O36" s="222">
        <f>'Uncaser Downtime Detail '!AG35</f>
        <v>0</v>
      </c>
      <c r="P36" s="222">
        <f>'Washer Downtime Detail'!BH36</f>
        <v>0</v>
      </c>
      <c r="Q36" s="222">
        <f>'EBI Downtime Detail'!AI34</f>
        <v>0</v>
      </c>
      <c r="R36" s="222">
        <f>'Filler Downtime Detail'!AK33</f>
        <v>0</v>
      </c>
      <c r="S36" s="222">
        <f>'Pasteurizer Downtime Detail'!$Z33</f>
        <v>0</v>
      </c>
      <c r="T36" s="222">
        <f>'Labeler Downtime Detail'!AN34</f>
        <v>0</v>
      </c>
      <c r="U36" s="222">
        <f>'Videojet Downtime Detail '!O33</f>
        <v>0</v>
      </c>
      <c r="V36" s="222">
        <f>'Conveyor Downtime (new)'!AV34</f>
        <v>0</v>
      </c>
      <c r="W36" s="222">
        <f>'Packer Downtime Detail  '!AD35</f>
        <v>0</v>
      </c>
      <c r="X36" s="218"/>
      <c r="Y36" s="218"/>
      <c r="Z36" s="233">
        <f>9+360</f>
        <v>369</v>
      </c>
      <c r="AA36" s="234"/>
      <c r="AB36" s="222"/>
      <c r="AC36" s="222"/>
      <c r="AD36" s="235">
        <f t="shared" si="0"/>
        <v>398</v>
      </c>
      <c r="AE36" s="669">
        <f>+G39-D36</f>
        <v>0.8798611111111112</v>
      </c>
      <c r="AF36" s="194"/>
      <c r="AH36" s="3"/>
      <c r="AI36" s="23"/>
      <c r="AJ36" s="23"/>
      <c r="AK36" s="54"/>
      <c r="AL36" s="3"/>
      <c r="AM36" s="3"/>
      <c r="AN36" s="3"/>
      <c r="AO36" s="3"/>
      <c r="AP36" s="3"/>
      <c r="AQ36" s="3"/>
      <c r="AR36" s="3"/>
      <c r="AS36" s="3"/>
      <c r="AT36" s="3"/>
      <c r="AU36" s="3"/>
      <c r="AV36" s="3"/>
      <c r="AW36" s="3"/>
      <c r="AX36" s="3"/>
    </row>
    <row r="37" spans="1:50" ht="16.5">
      <c r="A37" s="196">
        <f>[5]January_2026!$C37</f>
        <v>16</v>
      </c>
      <c r="B37" s="199">
        <f>[5]January_2026!$B37</f>
        <v>46045</v>
      </c>
      <c r="C37" s="200" t="str">
        <f>[5]January_2026!$D37</f>
        <v>j COOL GINGER</v>
      </c>
      <c r="D37" s="709"/>
      <c r="E37" s="111">
        <v>1.3111111111111111</v>
      </c>
      <c r="F37" s="111">
        <v>1.6145833333333333</v>
      </c>
      <c r="G37" s="112"/>
      <c r="H37" s="202"/>
      <c r="I37" s="220">
        <f>20</f>
        <v>20</v>
      </c>
      <c r="J37" s="221">
        <f>8+26+6+12+32+6+39</f>
        <v>129</v>
      </c>
      <c r="K37" s="220"/>
      <c r="L37" s="220"/>
      <c r="M37" s="220"/>
      <c r="N37" s="220"/>
      <c r="O37" s="220">
        <f>'Uncaser Downtime Detail '!AG36</f>
        <v>2</v>
      </c>
      <c r="P37" s="220">
        <f>'Washer Downtime Detail'!BH37</f>
        <v>47</v>
      </c>
      <c r="Q37" s="220">
        <f>'EBI Downtime Detail'!AI35</f>
        <v>28</v>
      </c>
      <c r="R37" s="220">
        <f>'Filler Downtime Detail'!AK34</f>
        <v>0</v>
      </c>
      <c r="S37" s="220">
        <f>'Pasteurizer Downtime Detail'!$Z34</f>
        <v>0</v>
      </c>
      <c r="T37" s="220">
        <f>'Labeler Downtime Detail'!AN35</f>
        <v>0</v>
      </c>
      <c r="U37" s="220">
        <f>'Videojet Downtime Detail '!O34</f>
        <v>0</v>
      </c>
      <c r="V37" s="220">
        <f>'Conveyor Downtime (new)'!AV35</f>
        <v>3</v>
      </c>
      <c r="W37" s="220">
        <f>'Packer Downtime Detail  '!AD36</f>
        <v>0</v>
      </c>
      <c r="X37" s="220"/>
      <c r="Y37" s="221"/>
      <c r="Z37" s="220"/>
      <c r="AA37" s="237"/>
      <c r="AB37" s="238">
        <f>5</f>
        <v>5</v>
      </c>
      <c r="AC37" s="238"/>
      <c r="AD37" s="235">
        <f t="shared" si="0"/>
        <v>234</v>
      </c>
      <c r="AE37" s="669"/>
      <c r="AF37" s="194"/>
      <c r="AH37" s="3"/>
      <c r="AI37" s="23"/>
      <c r="AJ37" s="23"/>
      <c r="AK37" s="54"/>
      <c r="AL37" s="3"/>
      <c r="AM37" s="3"/>
      <c r="AN37" s="3"/>
      <c r="AO37" s="3"/>
      <c r="AP37" s="3"/>
      <c r="AQ37" s="3"/>
      <c r="AR37" s="3"/>
      <c r="AS37" s="3"/>
      <c r="AT37" s="3"/>
      <c r="AU37" s="3"/>
      <c r="AV37" s="3"/>
      <c r="AW37" s="3"/>
      <c r="AX37" s="3"/>
    </row>
    <row r="38" spans="1:50" ht="16.5">
      <c r="A38" s="196">
        <f>[5]January_2026!$C38</f>
        <v>16</v>
      </c>
      <c r="B38" s="199">
        <f>[5]January_2026!$B38</f>
        <v>46045</v>
      </c>
      <c r="C38" s="200" t="str">
        <f>[5]January_2026!$D38</f>
        <v xml:space="preserve">J COOL GRAPE </v>
      </c>
      <c r="D38" s="709"/>
      <c r="E38" s="111">
        <v>1.6347222222222222</v>
      </c>
      <c r="F38" s="111">
        <v>1.7680555555555555</v>
      </c>
      <c r="G38" s="112"/>
      <c r="H38" s="201"/>
      <c r="I38" s="218">
        <v>29</v>
      </c>
      <c r="J38" s="219"/>
      <c r="K38" s="222"/>
      <c r="L38" s="222">
        <f>3+13</f>
        <v>16</v>
      </c>
      <c r="M38" s="222"/>
      <c r="N38" s="222"/>
      <c r="O38" s="222">
        <f>'Uncaser Downtime Detail '!AG37</f>
        <v>5</v>
      </c>
      <c r="P38" s="222">
        <f>'Washer Downtime Detail'!BH38</f>
        <v>7</v>
      </c>
      <c r="Q38" s="222">
        <f>'EBI Downtime Detail'!AI36</f>
        <v>3</v>
      </c>
      <c r="R38" s="222">
        <f>'Filler Downtime Detail'!AK35</f>
        <v>1</v>
      </c>
      <c r="S38" s="222">
        <f>'Pasteurizer Downtime Detail'!$Z35</f>
        <v>0</v>
      </c>
      <c r="T38" s="222">
        <f>'Labeler Downtime Detail'!AN36</f>
        <v>0</v>
      </c>
      <c r="U38" s="222">
        <f>'Videojet Downtime Detail '!O35</f>
        <v>0</v>
      </c>
      <c r="V38" s="222">
        <f>'Conveyor Downtime (new)'!AV36</f>
        <v>0</v>
      </c>
      <c r="W38" s="222">
        <f>'Packer Downtime Detail  '!AD37</f>
        <v>0</v>
      </c>
      <c r="X38" s="218"/>
      <c r="Y38" s="222"/>
      <c r="Z38" s="233">
        <f>2+4</f>
        <v>6</v>
      </c>
      <c r="AA38" s="234"/>
      <c r="AB38" s="222">
        <v>6</v>
      </c>
      <c r="AC38" s="222"/>
      <c r="AD38" s="235">
        <f t="shared" si="0"/>
        <v>73</v>
      </c>
      <c r="AE38" s="669"/>
      <c r="AF38" s="194"/>
      <c r="AH38" s="3"/>
      <c r="AI38" s="23"/>
      <c r="AJ38" s="23"/>
      <c r="AK38" s="54"/>
      <c r="AL38" s="3"/>
      <c r="AM38" s="3"/>
      <c r="AN38" s="3"/>
      <c r="AO38" s="3"/>
      <c r="AP38" s="3"/>
      <c r="AQ38" s="3"/>
      <c r="AR38" s="3"/>
      <c r="AS38" s="3"/>
      <c r="AT38" s="3"/>
      <c r="AU38" s="3"/>
      <c r="AV38" s="3"/>
      <c r="AW38" s="3"/>
      <c r="AX38" s="3"/>
    </row>
    <row r="39" spans="1:50" ht="16.5">
      <c r="A39" s="196">
        <f>[5]January_2026!$C39</f>
        <v>16</v>
      </c>
      <c r="B39" s="199">
        <f>[5]January_2026!$B39</f>
        <v>46045</v>
      </c>
      <c r="C39" s="200" t="str">
        <f>[5]January_2026!$D39</f>
        <v>J COOL SORREL</v>
      </c>
      <c r="D39" s="709"/>
      <c r="E39" s="111">
        <v>1.7826388888888889</v>
      </c>
      <c r="F39" s="111">
        <v>1.8479166666666667</v>
      </c>
      <c r="G39" s="112">
        <v>1.8798611111111112</v>
      </c>
      <c r="H39" s="202"/>
      <c r="I39" s="220">
        <v>21</v>
      </c>
      <c r="J39" s="221"/>
      <c r="K39" s="220"/>
      <c r="L39" s="220"/>
      <c r="M39" s="220"/>
      <c r="N39" s="220"/>
      <c r="O39" s="220">
        <f>'Uncaser Downtime Detail '!AG38</f>
        <v>0</v>
      </c>
      <c r="P39" s="220">
        <f>'Washer Downtime Detail'!BH39</f>
        <v>0</v>
      </c>
      <c r="Q39" s="220">
        <f>'EBI Downtime Detail'!AI37</f>
        <v>0</v>
      </c>
      <c r="R39" s="220">
        <f>'Filler Downtime Detail'!AK36</f>
        <v>5</v>
      </c>
      <c r="S39" s="220">
        <f>'Pasteurizer Downtime Detail'!$Z36</f>
        <v>0</v>
      </c>
      <c r="T39" s="220">
        <f>'Labeler Downtime Detail'!AN37</f>
        <v>0</v>
      </c>
      <c r="U39" s="220">
        <f>'Videojet Downtime Detail '!O36</f>
        <v>0</v>
      </c>
      <c r="V39" s="220">
        <f>'Conveyor Downtime (new)'!AV37</f>
        <v>0</v>
      </c>
      <c r="W39" s="220">
        <f>'Packer Downtime Detail  '!AD38</f>
        <v>0</v>
      </c>
      <c r="X39" s="220"/>
      <c r="Y39" s="221"/>
      <c r="Z39" s="220">
        <f>3</f>
        <v>3</v>
      </c>
      <c r="AA39" s="237"/>
      <c r="AB39" s="238"/>
      <c r="AC39" s="238"/>
      <c r="AD39" s="235">
        <f t="shared" si="0"/>
        <v>29</v>
      </c>
      <c r="AE39" s="669"/>
      <c r="AF39" s="194"/>
      <c r="AH39" s="3"/>
      <c r="AI39" s="23"/>
      <c r="AJ39" s="23"/>
      <c r="AK39" s="54"/>
      <c r="AL39" s="3"/>
      <c r="AM39" s="3"/>
      <c r="AN39" s="3"/>
      <c r="AO39" s="3"/>
      <c r="AP39" s="3"/>
      <c r="AQ39" s="3"/>
      <c r="AR39" s="3"/>
      <c r="AS39" s="3"/>
      <c r="AT39" s="3"/>
      <c r="AU39" s="3"/>
      <c r="AV39" s="3"/>
      <c r="AW39" s="3"/>
      <c r="AX39" s="3"/>
    </row>
    <row r="40" spans="1:50" ht="16.5">
      <c r="A40" s="196">
        <f>[5]January_2026!$C40</f>
        <v>17</v>
      </c>
      <c r="B40" s="199">
        <f>[5]January_2026!$B40</f>
        <v>46048</v>
      </c>
      <c r="C40" s="200" t="str">
        <f>[5]January_2026!$D40</f>
        <v>J COOL SORREL</v>
      </c>
      <c r="D40" s="709">
        <v>1</v>
      </c>
      <c r="E40" s="111">
        <v>1.0729166666666667</v>
      </c>
      <c r="F40" s="111">
        <v>1.1361111111111111</v>
      </c>
      <c r="G40" s="112">
        <v>1.1666666666666667</v>
      </c>
      <c r="H40" s="201"/>
      <c r="I40" s="218"/>
      <c r="J40" s="219"/>
      <c r="K40" s="222"/>
      <c r="L40" s="222"/>
      <c r="M40" s="222"/>
      <c r="N40" s="222"/>
      <c r="O40" s="222">
        <f>'Uncaser Downtime Detail '!AG39</f>
        <v>0</v>
      </c>
      <c r="P40" s="222">
        <f>'Washer Downtime Detail'!BH40</f>
        <v>0</v>
      </c>
      <c r="Q40" s="222">
        <f>'EBI Downtime Detail'!AI38</f>
        <v>2</v>
      </c>
      <c r="R40" s="222">
        <f>'Filler Downtime Detail'!AK37</f>
        <v>0</v>
      </c>
      <c r="S40" s="222">
        <f>'Pasteurizer Downtime Detail'!$Z37</f>
        <v>0</v>
      </c>
      <c r="T40" s="222">
        <f>'Labeler Downtime Detail'!AN38</f>
        <v>0</v>
      </c>
      <c r="U40" s="222">
        <f>'Videojet Downtime Detail '!O37</f>
        <v>0</v>
      </c>
      <c r="V40" s="222">
        <f>'Conveyor Downtime (new)'!AV38</f>
        <v>2</v>
      </c>
      <c r="W40" s="222">
        <f>'Packer Downtime Detail  '!AD39</f>
        <v>0</v>
      </c>
      <c r="X40" s="218"/>
      <c r="Y40" s="222"/>
      <c r="Z40" s="233">
        <v>45</v>
      </c>
      <c r="AA40" s="234"/>
      <c r="AB40" s="222"/>
      <c r="AC40" s="222"/>
      <c r="AD40" s="235">
        <f t="shared" si="0"/>
        <v>49</v>
      </c>
      <c r="AE40" s="669">
        <f>G41-D40</f>
        <v>1.0277777777777777</v>
      </c>
      <c r="AF40" s="194"/>
      <c r="AH40" s="3"/>
      <c r="AI40" s="23"/>
      <c r="AJ40" s="23"/>
      <c r="AK40" s="54"/>
      <c r="AL40" s="3"/>
      <c r="AM40" s="3"/>
      <c r="AN40" s="3"/>
      <c r="AO40" s="3"/>
      <c r="AP40" s="3"/>
      <c r="AQ40" s="3"/>
      <c r="AR40" s="3"/>
      <c r="AS40" s="3"/>
      <c r="AT40" s="3"/>
      <c r="AU40" s="3"/>
      <c r="AV40" s="3"/>
      <c r="AW40" s="3"/>
      <c r="AX40" s="3"/>
    </row>
    <row r="41" spans="1:50" ht="16.5">
      <c r="A41" s="196">
        <f>[5]January_2026!$C41</f>
        <v>17</v>
      </c>
      <c r="B41" s="199">
        <f>[5]January_2026!$B41</f>
        <v>46048</v>
      </c>
      <c r="C41" s="200" t="str">
        <f>[5]January_2026!$D41</f>
        <v>CARIB AMBER</v>
      </c>
      <c r="D41" s="709"/>
      <c r="E41" s="111">
        <v>1.2256944444444444</v>
      </c>
      <c r="F41" s="111">
        <v>2</v>
      </c>
      <c r="G41" s="112">
        <v>2.0277777777777777</v>
      </c>
      <c r="H41" s="202"/>
      <c r="I41" s="220">
        <v>32</v>
      </c>
      <c r="J41" s="221"/>
      <c r="K41" s="220"/>
      <c r="L41" s="220"/>
      <c r="M41" s="220"/>
      <c r="N41" s="220"/>
      <c r="O41" s="220">
        <f>'Uncaser Downtime Detail '!AG40</f>
        <v>14</v>
      </c>
      <c r="P41" s="220">
        <f>'Washer Downtime Detail'!BH41</f>
        <v>120</v>
      </c>
      <c r="Q41" s="220">
        <f>'EBI Downtime Detail'!AI39</f>
        <v>0</v>
      </c>
      <c r="R41" s="220">
        <f>'Filler Downtime Detail'!AK38</f>
        <v>0</v>
      </c>
      <c r="S41" s="220">
        <f>'Pasteurizer Downtime Detail'!$Z38</f>
        <v>776</v>
      </c>
      <c r="T41" s="220">
        <f>'Labeler Downtime Detail'!AN39</f>
        <v>0</v>
      </c>
      <c r="U41" s="220">
        <f>'Videojet Downtime Detail '!O38</f>
        <v>0</v>
      </c>
      <c r="V41" s="220">
        <f>'Conveyor Downtime (new)'!AV39</f>
        <v>13</v>
      </c>
      <c r="W41" s="220">
        <f>'Packer Downtime Detail  '!AD40</f>
        <v>0</v>
      </c>
      <c r="X41" s="220"/>
      <c r="Y41" s="221"/>
      <c r="Z41" s="220"/>
      <c r="AA41" s="237"/>
      <c r="AB41" s="238"/>
      <c r="AC41" s="238"/>
      <c r="AD41" s="235">
        <f t="shared" si="0"/>
        <v>955</v>
      </c>
      <c r="AE41" s="669"/>
      <c r="AF41" s="194"/>
      <c r="AH41" s="3"/>
      <c r="AI41" s="23"/>
      <c r="AJ41" s="23"/>
      <c r="AK41" s="54"/>
      <c r="AL41" s="3"/>
      <c r="AM41" s="3"/>
      <c r="AN41" s="3"/>
      <c r="AO41" s="3"/>
      <c r="AP41" s="3"/>
      <c r="AQ41" s="3"/>
      <c r="AR41" s="3"/>
      <c r="AS41" s="3"/>
      <c r="AT41" s="3"/>
      <c r="AU41" s="3"/>
      <c r="AV41" s="3"/>
      <c r="AW41" s="3"/>
      <c r="AX41" s="3"/>
    </row>
    <row r="42" spans="1:50" ht="16.5">
      <c r="A42" s="196">
        <f>[5]January_2026!$C42</f>
        <v>18</v>
      </c>
      <c r="B42" s="199">
        <f>[5]January_2026!$B42</f>
        <v>46049</v>
      </c>
      <c r="C42" s="200" t="str">
        <f>[5]January_2026!$D42</f>
        <v>CARIB AMBER</v>
      </c>
      <c r="D42" s="709">
        <v>1</v>
      </c>
      <c r="E42" s="111">
        <v>1.0034722222222223</v>
      </c>
      <c r="F42" s="111">
        <v>1.6875</v>
      </c>
      <c r="G42" s="112">
        <v>1.7708333333333333</v>
      </c>
      <c r="H42" s="201"/>
      <c r="I42" s="218"/>
      <c r="J42" s="219"/>
      <c r="K42" s="218"/>
      <c r="L42" s="218"/>
      <c r="M42" s="218"/>
      <c r="N42" s="218"/>
      <c r="O42" s="218">
        <f>'Uncaser Downtime Detail '!AG41</f>
        <v>30</v>
      </c>
      <c r="P42" s="218">
        <f>'Washer Downtime Detail'!BH42</f>
        <v>84</v>
      </c>
      <c r="Q42" s="218">
        <f>'EBI Downtime Detail'!AI40</f>
        <v>6</v>
      </c>
      <c r="R42" s="218">
        <f>'Filler Downtime Detail'!AK39</f>
        <v>10</v>
      </c>
      <c r="S42" s="218">
        <f>'Pasteurizer Downtime Detail'!$Z39</f>
        <v>0</v>
      </c>
      <c r="T42" s="218">
        <f>'Labeler Downtime Detail'!AN40</f>
        <v>14</v>
      </c>
      <c r="U42" s="218">
        <f>'Videojet Downtime Detail '!O39</f>
        <v>0</v>
      </c>
      <c r="V42" s="218">
        <f>'Conveyor Downtime (new)'!AV40</f>
        <v>14</v>
      </c>
      <c r="W42" s="218">
        <f>'Packer Downtime Detail  '!AD41</f>
        <v>0</v>
      </c>
      <c r="X42" s="218"/>
      <c r="Y42" s="222"/>
      <c r="Z42" s="233">
        <f>5+8</f>
        <v>13</v>
      </c>
      <c r="AA42" s="234"/>
      <c r="AB42" s="222">
        <f>14+4</f>
        <v>18</v>
      </c>
      <c r="AC42" s="222"/>
      <c r="AD42" s="235">
        <f t="shared" si="0"/>
        <v>189</v>
      </c>
      <c r="AE42" s="669">
        <f>G43-D42</f>
        <v>1.0291666666666668</v>
      </c>
      <c r="AF42" s="194"/>
      <c r="AH42" s="3"/>
      <c r="AI42" s="23"/>
      <c r="AJ42" s="23"/>
      <c r="AK42" s="54"/>
      <c r="AL42" s="3"/>
      <c r="AM42" s="3"/>
      <c r="AN42" s="3"/>
      <c r="AO42" s="3"/>
      <c r="AP42" s="3"/>
      <c r="AQ42" s="3"/>
      <c r="AR42" s="3"/>
      <c r="AS42" s="3"/>
      <c r="AT42" s="3"/>
      <c r="AU42" s="3"/>
      <c r="AV42" s="3"/>
      <c r="AW42" s="3"/>
      <c r="AX42" s="3"/>
    </row>
    <row r="43" spans="1:50" ht="16.5">
      <c r="A43" s="196">
        <f>[5]January_2026!$C43</f>
        <v>18</v>
      </c>
      <c r="B43" s="199">
        <f>[5]January_2026!$B43</f>
        <v>46049</v>
      </c>
      <c r="C43" s="200" t="str">
        <f>[5]January_2026!$D43</f>
        <v>CIDER PEARSECCO (EXPORT)</v>
      </c>
      <c r="D43" s="709"/>
      <c r="E43" s="111">
        <v>1.84375</v>
      </c>
      <c r="F43" s="111">
        <v>2</v>
      </c>
      <c r="G43" s="112">
        <v>2.0291666666666668</v>
      </c>
      <c r="H43" s="202"/>
      <c r="I43" s="220">
        <f>30+30</f>
        <v>60</v>
      </c>
      <c r="J43" s="221">
        <f>30+60+60+15</f>
        <v>165</v>
      </c>
      <c r="K43" s="220"/>
      <c r="L43" s="220"/>
      <c r="M43" s="220"/>
      <c r="N43" s="220"/>
      <c r="O43" s="220">
        <f>'Uncaser Downtime Detail '!AG42</f>
        <v>10</v>
      </c>
      <c r="P43" s="220">
        <f>'Washer Downtime Detail'!BH43</f>
        <v>3</v>
      </c>
      <c r="Q43" s="220">
        <f>'EBI Downtime Detail'!AI41</f>
        <v>0</v>
      </c>
      <c r="R43" s="220">
        <f>'Filler Downtime Detail'!AK40</f>
        <v>0</v>
      </c>
      <c r="S43" s="220">
        <f>'Pasteurizer Downtime Detail'!$Z40</f>
        <v>0</v>
      </c>
      <c r="T43" s="220">
        <f>'Labeler Downtime Detail'!AN41</f>
        <v>0</v>
      </c>
      <c r="U43" s="220">
        <f>'Videojet Downtime Detail '!O40</f>
        <v>0</v>
      </c>
      <c r="V43" s="220">
        <f>'Conveyor Downtime (new)'!AV41</f>
        <v>6</v>
      </c>
      <c r="W43" s="220">
        <f>'Packer Downtime Detail  '!AD42</f>
        <v>3</v>
      </c>
      <c r="X43" s="220"/>
      <c r="Y43" s="221"/>
      <c r="Z43" s="220">
        <f>3</f>
        <v>3</v>
      </c>
      <c r="AA43" s="237"/>
      <c r="AB43" s="238">
        <f>4+4+3+4+3</f>
        <v>18</v>
      </c>
      <c r="AC43" s="238"/>
      <c r="AD43" s="235">
        <f t="shared" si="0"/>
        <v>268</v>
      </c>
      <c r="AE43" s="669"/>
      <c r="AF43" s="194"/>
      <c r="AH43" s="3"/>
      <c r="AI43" s="23"/>
      <c r="AJ43" s="23"/>
      <c r="AK43" s="54"/>
      <c r="AL43" s="3"/>
      <c r="AM43" s="3"/>
      <c r="AN43" s="3"/>
      <c r="AO43" s="3"/>
      <c r="AP43" s="3"/>
      <c r="AQ43" s="3"/>
      <c r="AR43" s="3"/>
      <c r="AS43" s="3"/>
      <c r="AT43" s="3"/>
      <c r="AU43" s="3"/>
      <c r="AV43" s="3"/>
      <c r="AW43" s="3"/>
      <c r="AX43" s="3"/>
    </row>
    <row r="44" spans="1:50" ht="16.5">
      <c r="A44" s="196">
        <f>[5]January_2026!$C44</f>
        <v>19</v>
      </c>
      <c r="B44" s="199">
        <f>[5]January_2026!$B44</f>
        <v>46050</v>
      </c>
      <c r="C44" s="200" t="str">
        <f>[5]January_2026!$D44</f>
        <v>CIDER PEARSECCO</v>
      </c>
      <c r="D44" s="709">
        <v>1</v>
      </c>
      <c r="E44" s="111">
        <v>1.0034722222222223</v>
      </c>
      <c r="F44" s="111">
        <v>1.28125</v>
      </c>
      <c r="G44" s="112">
        <v>0.3263888888888889</v>
      </c>
      <c r="H44" s="201"/>
      <c r="I44" s="218"/>
      <c r="J44" s="219"/>
      <c r="K44" s="222"/>
      <c r="M44" s="222"/>
      <c r="N44" s="222"/>
      <c r="O44" s="222">
        <f>'Uncaser Downtime Detail '!AG43</f>
        <v>17</v>
      </c>
      <c r="P44" s="222">
        <f>'Washer Downtime Detail'!BH44</f>
        <v>7</v>
      </c>
      <c r="Q44" s="222">
        <f>'EBI Downtime Detail'!AI42</f>
        <v>4</v>
      </c>
      <c r="R44" s="222">
        <f>'Filler Downtime Detail'!AK41</f>
        <v>1</v>
      </c>
      <c r="S44" s="222">
        <f>'Pasteurizer Downtime Detail'!$Z41</f>
        <v>0</v>
      </c>
      <c r="T44" s="222">
        <f>'Labeler Downtime Detail'!AN42</f>
        <v>0</v>
      </c>
      <c r="U44" s="222">
        <f>'Videojet Downtime Detail '!O41</f>
        <v>57</v>
      </c>
      <c r="V44" s="222">
        <f>'Conveyor Downtime (new)'!AV42</f>
        <v>28</v>
      </c>
      <c r="W44" s="222">
        <f>'Packer Downtime Detail  '!AD43</f>
        <v>7</v>
      </c>
      <c r="X44" s="218"/>
      <c r="Y44" s="222"/>
      <c r="Z44" s="233"/>
      <c r="AA44" s="234"/>
      <c r="AB44" s="222"/>
      <c r="AC44" s="222"/>
      <c r="AD44" s="235">
        <f t="shared" si="0"/>
        <v>121</v>
      </c>
      <c r="AE44" s="669">
        <f>G46-D44</f>
        <v>1.0291666666666668</v>
      </c>
      <c r="AF44" s="194"/>
      <c r="AH44" s="3"/>
      <c r="AI44" s="23"/>
      <c r="AJ44" s="23"/>
      <c r="AK44" s="54"/>
      <c r="AL44" s="3"/>
      <c r="AM44" s="3"/>
      <c r="AN44" s="3"/>
      <c r="AO44" s="3"/>
      <c r="AP44" s="3"/>
      <c r="AQ44" s="3"/>
      <c r="AR44" s="3"/>
      <c r="AS44" s="3"/>
      <c r="AT44" s="3"/>
      <c r="AU44" s="3"/>
      <c r="AV44" s="3"/>
      <c r="AW44" s="3"/>
      <c r="AX44" s="3"/>
    </row>
    <row r="45" spans="1:50" ht="16.5">
      <c r="A45" s="196">
        <f>[5]January_2026!$C45</f>
        <v>19</v>
      </c>
      <c r="B45" s="199">
        <f>[5]January_2026!$B45</f>
        <v>46050</v>
      </c>
      <c r="C45" s="200" t="s">
        <v>470</v>
      </c>
      <c r="D45" s="709"/>
      <c r="E45" s="111">
        <v>1.2965277777777777</v>
      </c>
      <c r="F45" s="111">
        <v>1.7013888888888888</v>
      </c>
      <c r="G45" s="112">
        <v>1.8291666666666666</v>
      </c>
      <c r="H45" s="202">
        <v>3</v>
      </c>
      <c r="I45" s="220">
        <f>20+15</f>
        <v>35</v>
      </c>
      <c r="J45" s="221"/>
      <c r="K45" s="220"/>
      <c r="L45" s="220"/>
      <c r="M45" s="220"/>
      <c r="N45" s="220"/>
      <c r="O45" s="220">
        <f>'Uncaser Downtime Detail '!AG44</f>
        <v>31</v>
      </c>
      <c r="P45" s="220">
        <f>'Washer Downtime Detail'!BH45</f>
        <v>20</v>
      </c>
      <c r="Q45" s="220">
        <f>'EBI Downtime Detail'!AI43</f>
        <v>26</v>
      </c>
      <c r="R45" s="220">
        <f>'Filler Downtime Detail'!AK42</f>
        <v>1</v>
      </c>
      <c r="S45" s="220">
        <f>'Pasteurizer Downtime Detail'!$Z42</f>
        <v>0</v>
      </c>
      <c r="T45" s="220">
        <f>'Labeler Downtime Detail'!AN43</f>
        <v>3</v>
      </c>
      <c r="U45" s="220">
        <f>'Videojet Downtime Detail '!O42</f>
        <v>0</v>
      </c>
      <c r="V45" s="220">
        <f>'Conveyor Downtime (new)'!AV43</f>
        <v>41</v>
      </c>
      <c r="W45" s="220">
        <f>'Packer Downtime Detail  '!AD44</f>
        <v>0</v>
      </c>
      <c r="X45" s="220"/>
      <c r="Y45" s="221"/>
      <c r="Z45" s="220">
        <f>6</f>
        <v>6</v>
      </c>
      <c r="AA45" s="237"/>
      <c r="AB45" s="238">
        <f>15+6+6+10+4+7+2</f>
        <v>50</v>
      </c>
      <c r="AC45" s="238"/>
      <c r="AD45" s="235">
        <f t="shared" si="0"/>
        <v>216</v>
      </c>
      <c r="AE45" s="669"/>
      <c r="AF45" s="194"/>
      <c r="AH45" s="3"/>
      <c r="AI45" s="23"/>
      <c r="AJ45" s="23"/>
      <c r="AK45" s="54"/>
      <c r="AL45" s="3"/>
      <c r="AM45" s="3"/>
      <c r="AN45" s="3"/>
      <c r="AO45" s="3"/>
      <c r="AP45" s="3"/>
      <c r="AQ45" s="3"/>
      <c r="AR45" s="3"/>
      <c r="AS45" s="3"/>
      <c r="AT45" s="3"/>
      <c r="AU45" s="3"/>
      <c r="AV45" s="3"/>
      <c r="AW45" s="3"/>
      <c r="AX45" s="3"/>
    </row>
    <row r="46" spans="1:50" ht="16.5">
      <c r="A46" s="196">
        <f>[5]January_2026!$C47</f>
        <v>19</v>
      </c>
      <c r="B46" s="199">
        <f>[5]January_2026!$B47</f>
        <v>46050</v>
      </c>
      <c r="C46" s="200" t="str">
        <f>[5]January_2026!$D47</f>
        <v>VITA MALT ( CLASSIC)</v>
      </c>
      <c r="D46" s="709"/>
      <c r="E46" s="111">
        <v>1.7916666666666667</v>
      </c>
      <c r="F46" s="111">
        <v>2</v>
      </c>
      <c r="G46" s="112">
        <v>2.0291666666666668</v>
      </c>
      <c r="H46" s="201">
        <v>2</v>
      </c>
      <c r="I46" s="218">
        <f>10+60+50</f>
        <v>120</v>
      </c>
      <c r="J46" s="219"/>
      <c r="K46" s="222"/>
      <c r="L46" s="222"/>
      <c r="M46" s="222"/>
      <c r="N46" s="222"/>
      <c r="O46" s="222">
        <f>'Uncaser Downtime Detail '!AG45</f>
        <v>0</v>
      </c>
      <c r="P46" s="222">
        <f>'Washer Downtime Detail'!BH46</f>
        <v>0</v>
      </c>
      <c r="Q46" s="222">
        <f>'EBI Downtime Detail'!AI44</f>
        <v>32</v>
      </c>
      <c r="R46" s="222">
        <f>'Filler Downtime Detail'!AK43</f>
        <v>15</v>
      </c>
      <c r="S46" s="222">
        <f>'Pasteurizer Downtime Detail'!$Z43</f>
        <v>0</v>
      </c>
      <c r="T46" s="222">
        <f>'Labeler Downtime Detail'!AN44</f>
        <v>0</v>
      </c>
      <c r="U46" s="222">
        <f>'Videojet Downtime Detail '!O43</f>
        <v>0</v>
      </c>
      <c r="V46" s="222">
        <f>'Conveyor Downtime (new)'!AV44</f>
        <v>2</v>
      </c>
      <c r="W46" s="222">
        <f>'Packer Downtime Detail  '!AD45</f>
        <v>0</v>
      </c>
      <c r="X46" s="218"/>
      <c r="Y46" s="218"/>
      <c r="Z46" s="233"/>
      <c r="AA46" s="234"/>
      <c r="AB46" s="222">
        <v>2</v>
      </c>
      <c r="AC46" s="222"/>
      <c r="AD46" s="235">
        <f t="shared" si="0"/>
        <v>173</v>
      </c>
      <c r="AE46" s="669"/>
      <c r="AF46" s="194"/>
      <c r="AH46" s="3"/>
      <c r="AI46" s="23"/>
      <c r="AJ46" s="23"/>
      <c r="AK46" s="54"/>
      <c r="AL46" s="3"/>
      <c r="AM46" s="3"/>
      <c r="AN46" s="3"/>
      <c r="AO46" s="3"/>
      <c r="AP46" s="3"/>
      <c r="AQ46" s="3"/>
      <c r="AR46" s="3"/>
      <c r="AS46" s="3"/>
      <c r="AT46" s="3"/>
      <c r="AU46" s="3"/>
      <c r="AV46" s="3"/>
      <c r="AW46" s="3"/>
      <c r="AX46" s="3"/>
    </row>
    <row r="47" spans="1:50" ht="16.5">
      <c r="A47" s="196">
        <f>[5]January_2026!$C48</f>
        <v>20</v>
      </c>
      <c r="B47" s="199">
        <f>[5]January_2026!$B48</f>
        <v>46051</v>
      </c>
      <c r="C47" s="200" t="str">
        <f>[5]January_2026!$D48</f>
        <v>VITA MALT ( CLASSIC)</v>
      </c>
      <c r="D47" s="709">
        <v>1</v>
      </c>
      <c r="E47" s="111">
        <v>1.0055555555555555</v>
      </c>
      <c r="F47" s="111">
        <v>1.3680555555555556</v>
      </c>
      <c r="G47" s="112">
        <v>0.39583333333333331</v>
      </c>
      <c r="H47" s="202"/>
      <c r="I47" s="220"/>
      <c r="J47" s="221">
        <v>2</v>
      </c>
      <c r="K47" s="220"/>
      <c r="L47" s="220"/>
      <c r="M47" s="220"/>
      <c r="N47" s="220"/>
      <c r="O47" s="220">
        <f>'Uncaser Downtime Detail '!AG46</f>
        <v>0</v>
      </c>
      <c r="P47" s="220">
        <f>'Washer Downtime Detail'!BH47</f>
        <v>13</v>
      </c>
      <c r="Q47" s="220">
        <f>'EBI Downtime Detail'!AI45</f>
        <v>22</v>
      </c>
      <c r="R47" s="220">
        <f>'Filler Downtime Detail'!AK44</f>
        <v>8</v>
      </c>
      <c r="S47" s="220">
        <f>'Pasteurizer Downtime Detail'!$Z44</f>
        <v>0</v>
      </c>
      <c r="T47" s="220">
        <f>'Labeler Downtime Detail'!AN45</f>
        <v>0</v>
      </c>
      <c r="U47" s="220">
        <f>'Videojet Downtime Detail '!O44</f>
        <v>0</v>
      </c>
      <c r="V47" s="220">
        <f>'Conveyor Downtime (new)'!AV45</f>
        <v>0</v>
      </c>
      <c r="W47" s="220">
        <f>'Packer Downtime Detail  '!AD46</f>
        <v>0</v>
      </c>
      <c r="X47" s="220"/>
      <c r="Y47" s="220"/>
      <c r="Z47" s="220">
        <f>8</f>
        <v>8</v>
      </c>
      <c r="AA47" s="237"/>
      <c r="AB47" s="238">
        <f>2+2+5+4+2+2+1+2+2+1+2</f>
        <v>25</v>
      </c>
      <c r="AC47" s="238"/>
      <c r="AD47" s="235">
        <f t="shared" si="0"/>
        <v>78</v>
      </c>
      <c r="AE47" s="669">
        <f>G50-D47</f>
        <v>1.0326388888888891</v>
      </c>
      <c r="AF47" s="194"/>
      <c r="AH47" s="3"/>
      <c r="AI47" s="23"/>
      <c r="AJ47" s="23"/>
      <c r="AK47" s="54"/>
      <c r="AL47" s="3"/>
      <c r="AM47" s="3"/>
      <c r="AN47" s="3"/>
      <c r="AO47" s="3"/>
      <c r="AP47" s="3"/>
      <c r="AQ47" s="3"/>
      <c r="AR47" s="3"/>
      <c r="AS47" s="3"/>
      <c r="AT47" s="3"/>
      <c r="AU47" s="3"/>
      <c r="AV47" s="3"/>
      <c r="AW47" s="3"/>
      <c r="AX47" s="3"/>
    </row>
    <row r="48" spans="1:50" ht="16.5">
      <c r="A48" s="196">
        <f>[5]January_2026!$C49</f>
        <v>20</v>
      </c>
      <c r="B48" s="199">
        <f>[5]January_2026!$B49</f>
        <v>46051</v>
      </c>
      <c r="C48" s="200" t="str">
        <f>[5]January_2026!$D49</f>
        <v>VITA MALT (GINGER)</v>
      </c>
      <c r="D48" s="709"/>
      <c r="E48" s="111">
        <v>1.375</v>
      </c>
      <c r="F48" s="111">
        <v>1.4597222222222221</v>
      </c>
      <c r="G48" s="112">
        <v>0.49027777777777776</v>
      </c>
      <c r="H48" s="201"/>
      <c r="I48" s="218">
        <f>10</f>
        <v>10</v>
      </c>
      <c r="J48" s="219"/>
      <c r="K48" s="222"/>
      <c r="L48" s="222"/>
      <c r="M48" s="222"/>
      <c r="N48" s="218"/>
      <c r="O48" s="218">
        <f>'Uncaser Downtime Detail '!AG47</f>
        <v>0</v>
      </c>
      <c r="P48" s="218">
        <f>'Washer Downtime Detail'!BH48</f>
        <v>0</v>
      </c>
      <c r="Q48" s="218">
        <f>'EBI Downtime Detail'!AI46</f>
        <v>6</v>
      </c>
      <c r="R48" s="218">
        <f>'Filler Downtime Detail'!AK45</f>
        <v>0</v>
      </c>
      <c r="S48" s="218">
        <f>'Pasteurizer Downtime Detail'!$Z45</f>
        <v>0</v>
      </c>
      <c r="T48" s="218">
        <f>'Labeler Downtime Detail'!AN46</f>
        <v>0</v>
      </c>
      <c r="U48" s="218">
        <f>'Videojet Downtime Detail '!O45</f>
        <v>0</v>
      </c>
      <c r="V48" s="218">
        <f>'Conveyor Downtime (new)'!AV46</f>
        <v>0</v>
      </c>
      <c r="W48" s="218">
        <f>'Packer Downtime Detail  '!AD47</f>
        <v>0</v>
      </c>
      <c r="X48" s="218"/>
      <c r="Y48" s="218"/>
      <c r="Z48" s="233"/>
      <c r="AA48" s="234"/>
      <c r="AB48" s="222">
        <f>8</f>
        <v>8</v>
      </c>
      <c r="AC48" s="222"/>
      <c r="AD48" s="235">
        <f t="shared" si="0"/>
        <v>24</v>
      </c>
      <c r="AE48" s="669"/>
      <c r="AF48" s="194"/>
      <c r="AH48" s="3"/>
      <c r="AI48" s="23"/>
      <c r="AJ48" s="23"/>
      <c r="AK48" s="54"/>
      <c r="AL48" s="3"/>
      <c r="AM48" s="3"/>
      <c r="AN48" s="3"/>
      <c r="AO48" s="3"/>
      <c r="AP48" s="3"/>
      <c r="AQ48" s="3"/>
      <c r="AR48" s="3"/>
      <c r="AS48" s="3"/>
      <c r="AT48" s="3"/>
      <c r="AU48" s="3"/>
      <c r="AV48" s="3"/>
      <c r="AW48" s="3"/>
      <c r="AX48" s="3"/>
    </row>
    <row r="49" spans="1:50" ht="16.5">
      <c r="A49" s="196">
        <f>[5]January_2026!$C50</f>
        <v>20</v>
      </c>
      <c r="B49" s="199">
        <f>[5]January_2026!$B50</f>
        <v>46051</v>
      </c>
      <c r="C49" s="200" t="str">
        <f>[5]January_2026!$D50</f>
        <v>GUINNESS</v>
      </c>
      <c r="D49" s="709"/>
      <c r="E49" s="111">
        <v>1.5347222222222223</v>
      </c>
      <c r="F49" s="111">
        <v>1.8993055555555556</v>
      </c>
      <c r="G49" s="112">
        <v>1.9326388888888888</v>
      </c>
      <c r="H49" s="202">
        <f>50+25</f>
        <v>75</v>
      </c>
      <c r="I49" s="220">
        <f>29</f>
        <v>29</v>
      </c>
      <c r="J49" s="221"/>
      <c r="K49" s="220"/>
      <c r="L49" s="220"/>
      <c r="M49" s="220"/>
      <c r="N49" s="220"/>
      <c r="O49" s="220">
        <f>'Uncaser Downtime Detail '!AG48</f>
        <v>0</v>
      </c>
      <c r="P49" s="220">
        <f>'Washer Downtime Detail'!BH49</f>
        <v>30</v>
      </c>
      <c r="Q49" s="220">
        <f>'EBI Downtime Detail'!AI47</f>
        <v>24</v>
      </c>
      <c r="R49" s="220">
        <f>'Filler Downtime Detail'!AK46</f>
        <v>3</v>
      </c>
      <c r="S49" s="220">
        <f>'Pasteurizer Downtime Detail'!$Z46</f>
        <v>0</v>
      </c>
      <c r="T49" s="220">
        <f>'Labeler Downtime Detail'!AN47</f>
        <v>0</v>
      </c>
      <c r="U49" s="220">
        <f>'Videojet Downtime Detail '!O46</f>
        <v>0</v>
      </c>
      <c r="V49" s="220">
        <f>'Conveyor Downtime (new)'!AV47</f>
        <v>28</v>
      </c>
      <c r="W49" s="220">
        <f>'Packer Downtime Detail  '!AD48</f>
        <v>0</v>
      </c>
      <c r="X49" s="220"/>
      <c r="Y49" s="220"/>
      <c r="Z49" s="220">
        <f>9+6</f>
        <v>15</v>
      </c>
      <c r="AA49" s="237"/>
      <c r="AB49" s="238"/>
      <c r="AC49" s="238"/>
      <c r="AD49" s="235">
        <f t="shared" si="0"/>
        <v>204</v>
      </c>
      <c r="AE49" s="669"/>
      <c r="AF49" s="194"/>
      <c r="AH49" s="3"/>
      <c r="AI49" s="23"/>
      <c r="AJ49" s="23"/>
      <c r="AK49" s="54"/>
      <c r="AL49" s="3"/>
      <c r="AM49" s="3"/>
      <c r="AN49" s="3"/>
      <c r="AO49" s="3"/>
      <c r="AP49" s="3"/>
      <c r="AQ49" s="3"/>
      <c r="AR49" s="3"/>
      <c r="AS49" s="3"/>
      <c r="AT49" s="3"/>
      <c r="AU49" s="3"/>
      <c r="AV49" s="3"/>
      <c r="AW49" s="3"/>
      <c r="AX49" s="3"/>
    </row>
    <row r="50" spans="1:50" ht="16.5">
      <c r="A50" s="196">
        <f>[5]January_2026!$C51</f>
        <v>20</v>
      </c>
      <c r="B50" s="199">
        <f>[5]January_2026!$B51</f>
        <v>46051</v>
      </c>
      <c r="C50" s="200" t="str">
        <f>[5]January_2026!$D51</f>
        <v>CARIB AMBER</v>
      </c>
      <c r="D50" s="709"/>
      <c r="E50" s="111">
        <v>1.9583333333333333</v>
      </c>
      <c r="F50" s="111">
        <v>2</v>
      </c>
      <c r="G50" s="112">
        <v>2.0326388888888891</v>
      </c>
      <c r="H50" s="201"/>
      <c r="I50" s="218">
        <v>25</v>
      </c>
      <c r="J50" s="219"/>
      <c r="K50" s="222"/>
      <c r="L50" s="222"/>
      <c r="M50" s="222"/>
      <c r="N50" s="222"/>
      <c r="O50" s="222">
        <f>'Uncaser Downtime Detail '!AG49</f>
        <v>6</v>
      </c>
      <c r="P50" s="222">
        <f>'Washer Downtime Detail'!BH50</f>
        <v>38</v>
      </c>
      <c r="Q50" s="222">
        <f>'EBI Downtime Detail'!AI48</f>
        <v>0</v>
      </c>
      <c r="R50" s="222">
        <f>'Filler Downtime Detail'!AK47</f>
        <v>0</v>
      </c>
      <c r="S50" s="222">
        <f>'Pasteurizer Downtime Detail'!$Z47</f>
        <v>0</v>
      </c>
      <c r="T50" s="222">
        <f>'Labeler Downtime Detail'!AN48</f>
        <v>3</v>
      </c>
      <c r="U50" s="222">
        <f>'Videojet Downtime Detail '!O47</f>
        <v>0</v>
      </c>
      <c r="V50" s="222">
        <f>'Conveyor Downtime (new)'!AV48</f>
        <v>0</v>
      </c>
      <c r="W50" s="222">
        <f>'Packer Downtime Detail  '!AD49</f>
        <v>0</v>
      </c>
      <c r="X50" s="218"/>
      <c r="Y50" s="218"/>
      <c r="Z50" s="233"/>
      <c r="AA50" s="234"/>
      <c r="AB50" s="222"/>
      <c r="AC50" s="222"/>
      <c r="AD50" s="235">
        <f t="shared" si="0"/>
        <v>72</v>
      </c>
      <c r="AE50" s="669"/>
      <c r="AF50" s="194"/>
      <c r="AH50" s="3"/>
      <c r="AI50" s="23"/>
      <c r="AJ50" s="23"/>
      <c r="AK50" s="54"/>
      <c r="AL50" s="3"/>
      <c r="AM50" s="3"/>
      <c r="AN50" s="3"/>
      <c r="AO50" s="3"/>
      <c r="AP50" s="3"/>
      <c r="AQ50" s="3"/>
      <c r="AR50" s="3"/>
      <c r="AS50" s="3"/>
      <c r="AT50" s="3"/>
      <c r="AU50" s="3"/>
      <c r="AV50" s="3"/>
      <c r="AW50" s="3"/>
      <c r="AX50" s="3"/>
    </row>
    <row r="51" spans="1:50" ht="16.5">
      <c r="A51" s="196">
        <f>[5]January_2026!$C52</f>
        <v>21</v>
      </c>
      <c r="B51" s="199">
        <f>[5]January_2026!$B52</f>
        <v>46052</v>
      </c>
      <c r="C51" s="200" t="str">
        <f>[5]January_2026!$D52</f>
        <v>CARIB AMBER</v>
      </c>
      <c r="D51" s="709">
        <v>1</v>
      </c>
      <c r="E51" s="111">
        <v>1.0069444444444444</v>
      </c>
      <c r="F51" s="111">
        <v>1.2569444444444444</v>
      </c>
      <c r="G51" s="112">
        <v>1.3013888888888889</v>
      </c>
      <c r="H51" s="202"/>
      <c r="I51" s="220"/>
      <c r="J51" s="221"/>
      <c r="K51" s="220">
        <f>6</f>
        <v>6</v>
      </c>
      <c r="L51" s="220"/>
      <c r="M51" s="220"/>
      <c r="N51" s="220"/>
      <c r="O51" s="220">
        <f>'Uncaser Downtime Detail '!AG50</f>
        <v>26</v>
      </c>
      <c r="P51" s="220">
        <f>'Washer Downtime Detail'!BH51</f>
        <v>3</v>
      </c>
      <c r="Q51" s="220">
        <f>'EBI Downtime Detail'!AI49</f>
        <v>0</v>
      </c>
      <c r="R51" s="220">
        <f>'Filler Downtime Detail'!AK48</f>
        <v>0</v>
      </c>
      <c r="S51" s="220">
        <f>'Pasteurizer Downtime Detail'!$Z48</f>
        <v>0</v>
      </c>
      <c r="T51" s="220">
        <f>'Labeler Downtime Detail'!AN49</f>
        <v>3</v>
      </c>
      <c r="U51" s="220">
        <f>'Videojet Downtime Detail '!O48</f>
        <v>0</v>
      </c>
      <c r="V51" s="220">
        <f>'Conveyor Downtime (new)'!AV49</f>
        <v>3</v>
      </c>
      <c r="W51" s="220">
        <f>'Packer Downtime Detail  '!AD50</f>
        <v>0</v>
      </c>
      <c r="X51" s="220"/>
      <c r="Y51" s="220"/>
      <c r="Z51" s="220">
        <f>10</f>
        <v>10</v>
      </c>
      <c r="AA51" s="237"/>
      <c r="AB51" s="238">
        <f>3+3</f>
        <v>6</v>
      </c>
      <c r="AC51" s="238"/>
      <c r="AD51" s="235">
        <f t="shared" si="0"/>
        <v>57</v>
      </c>
      <c r="AE51" s="669">
        <f>G52-D51</f>
        <v>0.8701388888888888</v>
      </c>
      <c r="AF51" s="194"/>
      <c r="AH51" s="3"/>
      <c r="AI51" s="23"/>
      <c r="AJ51" s="23"/>
      <c r="AK51" s="54"/>
      <c r="AL51" s="3"/>
      <c r="AM51" s="3"/>
      <c r="AN51" s="3"/>
      <c r="AO51" s="3"/>
      <c r="AP51" s="3"/>
      <c r="AQ51" s="3"/>
      <c r="AR51" s="3"/>
      <c r="AS51" s="3"/>
      <c r="AT51" s="3"/>
      <c r="AU51" s="3"/>
      <c r="AV51" s="3"/>
      <c r="AW51" s="3"/>
      <c r="AX51" s="3"/>
    </row>
    <row r="52" spans="1:50" ht="16.5">
      <c r="A52" s="196">
        <f>[5]January_2026!$C53</f>
        <v>21</v>
      </c>
      <c r="B52" s="199">
        <f>[5]January_2026!$B53</f>
        <v>46052</v>
      </c>
      <c r="C52" s="200" t="str">
        <f>[5]January_2026!$D53</f>
        <v>STAG</v>
      </c>
      <c r="D52" s="709"/>
      <c r="E52" s="111">
        <v>1.2986111111111112</v>
      </c>
      <c r="F52" s="111">
        <v>1.8298611111111112</v>
      </c>
      <c r="G52" s="112">
        <v>1.8701388888888888</v>
      </c>
      <c r="H52" s="201"/>
      <c r="I52" s="218">
        <f>20+10</f>
        <v>30</v>
      </c>
      <c r="J52" s="219"/>
      <c r="K52" s="222">
        <v>8</v>
      </c>
      <c r="L52" s="222"/>
      <c r="M52" s="222"/>
      <c r="N52" s="222"/>
      <c r="O52" s="222">
        <f>'Uncaser Downtime Detail '!AG51</f>
        <v>12</v>
      </c>
      <c r="P52" s="222">
        <f>'Washer Downtime Detail'!BH52</f>
        <v>59</v>
      </c>
      <c r="Q52" s="222">
        <f>'EBI Downtime Detail'!AI50</f>
        <v>2</v>
      </c>
      <c r="R52" s="222">
        <f>'Filler Downtime Detail'!AK49</f>
        <v>3</v>
      </c>
      <c r="S52" s="222">
        <f>'Pasteurizer Downtime Detail'!$Z49</f>
        <v>0</v>
      </c>
      <c r="T52" s="222">
        <f>'Labeler Downtime Detail'!AN50</f>
        <v>0</v>
      </c>
      <c r="U52" s="222">
        <f>'Videojet Downtime Detail '!O49</f>
        <v>0</v>
      </c>
      <c r="V52" s="222">
        <f>'Conveyor Downtime (new)'!AV50</f>
        <v>28</v>
      </c>
      <c r="W52" s="222">
        <f>'Packer Downtime Detail  '!AD51</f>
        <v>0</v>
      </c>
      <c r="X52" s="218"/>
      <c r="Y52" s="218"/>
      <c r="Z52" s="233">
        <f>30+15+21+5</f>
        <v>71</v>
      </c>
      <c r="AA52" s="234"/>
      <c r="AB52" s="222">
        <f>5+6</f>
        <v>11</v>
      </c>
      <c r="AC52" s="222"/>
      <c r="AD52" s="235">
        <f t="shared" si="0"/>
        <v>224</v>
      </c>
      <c r="AE52" s="669"/>
      <c r="AF52" s="194"/>
      <c r="AH52" s="3"/>
      <c r="AI52" s="23"/>
      <c r="AJ52" s="23"/>
      <c r="AK52" s="54"/>
      <c r="AL52" s="3"/>
      <c r="AM52" s="3"/>
      <c r="AN52" s="3"/>
      <c r="AO52" s="3"/>
      <c r="AP52" s="3"/>
      <c r="AQ52" s="3"/>
      <c r="AR52" s="3"/>
      <c r="AS52" s="3"/>
      <c r="AT52" s="3"/>
      <c r="AU52" s="3"/>
      <c r="AV52" s="3"/>
      <c r="AW52" s="3"/>
      <c r="AX52" s="3"/>
    </row>
    <row r="53" spans="1:50" ht="16.5">
      <c r="A53" s="196"/>
      <c r="B53" s="199"/>
      <c r="C53" s="200"/>
      <c r="D53" s="204"/>
      <c r="E53" s="111"/>
      <c r="F53" s="111"/>
      <c r="G53" s="112"/>
      <c r="H53" s="202"/>
      <c r="I53" s="220"/>
      <c r="J53" s="221"/>
      <c r="K53" s="220"/>
      <c r="L53" s="220"/>
      <c r="M53" s="220"/>
      <c r="N53" s="220"/>
      <c r="O53" s="220">
        <f>'Uncaser Downtime Detail '!AG52</f>
        <v>0</v>
      </c>
      <c r="P53" s="220">
        <f>'Washer Downtime Detail'!BH53</f>
        <v>0</v>
      </c>
      <c r="Q53" s="220">
        <f>'EBI Downtime Detail'!AI51</f>
        <v>0</v>
      </c>
      <c r="R53" s="220">
        <f>'Filler Downtime Detail'!AK50</f>
        <v>0</v>
      </c>
      <c r="S53" s="220">
        <f>'Pasteurizer Downtime Detail'!$Z50</f>
        <v>0</v>
      </c>
      <c r="T53" s="220">
        <f>'Labeler Downtime Detail'!AN51</f>
        <v>0</v>
      </c>
      <c r="U53" s="220">
        <f>'Videojet Downtime Detail '!O50</f>
        <v>0</v>
      </c>
      <c r="V53" s="220">
        <f>'Conveyor Downtime (new)'!AV51</f>
        <v>0</v>
      </c>
      <c r="W53" s="220">
        <f>'Packer Downtime Detail  '!AD52</f>
        <v>0</v>
      </c>
      <c r="X53" s="220"/>
      <c r="Y53" s="220"/>
      <c r="Z53" s="220"/>
      <c r="AA53" s="237"/>
      <c r="AB53" s="238"/>
      <c r="AC53" s="238"/>
      <c r="AD53" s="235">
        <f t="shared" si="0"/>
        <v>0</v>
      </c>
      <c r="AE53" s="240"/>
      <c r="AF53" s="194"/>
      <c r="AH53" s="3"/>
      <c r="AI53" s="23"/>
      <c r="AJ53" s="23"/>
      <c r="AK53" s="54"/>
      <c r="AL53" s="3"/>
      <c r="AM53" s="3"/>
      <c r="AN53" s="3"/>
      <c r="AO53" s="3"/>
      <c r="AP53" s="3"/>
      <c r="AQ53" s="3"/>
      <c r="AR53" s="3"/>
      <c r="AS53" s="3"/>
      <c r="AT53" s="3"/>
      <c r="AU53" s="3"/>
      <c r="AV53" s="3"/>
      <c r="AW53" s="3"/>
      <c r="AX53" s="3"/>
    </row>
    <row r="54" spans="1:50" ht="16.5">
      <c r="A54" s="196"/>
      <c r="B54" s="199"/>
      <c r="C54" s="200"/>
      <c r="D54" s="204"/>
      <c r="E54" s="111"/>
      <c r="F54" s="111"/>
      <c r="G54" s="112"/>
      <c r="H54" s="201"/>
      <c r="I54" s="218"/>
      <c r="J54" s="219"/>
      <c r="K54" s="222"/>
      <c r="L54" s="222"/>
      <c r="M54" s="222"/>
      <c r="N54" s="218"/>
      <c r="O54" s="218">
        <f>'Uncaser Downtime Detail '!AG53</f>
        <v>0</v>
      </c>
      <c r="P54" s="218">
        <f>'Washer Downtime Detail'!BH54</f>
        <v>0</v>
      </c>
      <c r="Q54" s="218">
        <f>'EBI Downtime Detail'!AI52</f>
        <v>0</v>
      </c>
      <c r="R54" s="218">
        <f>'Filler Downtime Detail'!AK51</f>
        <v>0</v>
      </c>
      <c r="S54" s="218">
        <f>'Pasteurizer Downtime Detail'!$Z51</f>
        <v>0</v>
      </c>
      <c r="T54" s="218">
        <f>'Labeler Downtime Detail'!AN52</f>
        <v>0</v>
      </c>
      <c r="U54" s="218">
        <f>'Videojet Downtime Detail '!O51</f>
        <v>0</v>
      </c>
      <c r="V54" s="218">
        <f>'Conveyor Downtime (new)'!AV52</f>
        <v>0</v>
      </c>
      <c r="W54" s="218">
        <f>'Packer Downtime Detail  '!AD53</f>
        <v>0</v>
      </c>
      <c r="X54" s="218"/>
      <c r="Y54" s="218"/>
      <c r="Z54" s="233"/>
      <c r="AA54" s="234"/>
      <c r="AB54" s="222"/>
      <c r="AC54" s="222"/>
      <c r="AD54" s="235"/>
      <c r="AE54" s="240"/>
      <c r="AF54" s="194"/>
      <c r="AH54" s="3"/>
      <c r="AI54" s="23"/>
      <c r="AJ54" s="23"/>
      <c r="AK54" s="54"/>
      <c r="AL54" s="3"/>
      <c r="AM54" s="3"/>
      <c r="AN54" s="3"/>
      <c r="AO54" s="3"/>
      <c r="AP54" s="3"/>
      <c r="AQ54" s="3"/>
      <c r="AR54" s="3"/>
      <c r="AS54" s="3"/>
      <c r="AT54" s="3"/>
      <c r="AU54" s="3"/>
      <c r="AV54" s="3"/>
      <c r="AW54" s="3"/>
      <c r="AX54" s="3"/>
    </row>
    <row r="55" spans="1:50" ht="16.5">
      <c r="A55" s="196"/>
      <c r="B55" s="199"/>
      <c r="C55" s="200"/>
      <c r="D55" s="204"/>
      <c r="E55" s="111"/>
      <c r="F55" s="111"/>
      <c r="G55" s="112"/>
      <c r="H55" s="202"/>
      <c r="I55" s="220"/>
      <c r="J55" s="221"/>
      <c r="K55" s="220"/>
      <c r="L55" s="220"/>
      <c r="M55" s="220"/>
      <c r="N55" s="220"/>
      <c r="O55" s="220">
        <f>'Uncaser Downtime Detail '!AG54</f>
        <v>0</v>
      </c>
      <c r="P55" s="220">
        <f>'Washer Downtime Detail'!BH55</f>
        <v>0</v>
      </c>
      <c r="Q55" s="220">
        <f>'EBI Downtime Detail'!AI53</f>
        <v>0</v>
      </c>
      <c r="R55" s="220">
        <f>'Filler Downtime Detail'!AK52</f>
        <v>0</v>
      </c>
      <c r="S55" s="220">
        <f>'Pasteurizer Downtime Detail'!$Z52</f>
        <v>0</v>
      </c>
      <c r="T55" s="220">
        <f>'Labeler Downtime Detail'!AN53</f>
        <v>0</v>
      </c>
      <c r="U55" s="220">
        <f>'Videojet Downtime Detail '!O52</f>
        <v>0</v>
      </c>
      <c r="V55" s="220">
        <f>'Conveyor Downtime (new)'!AV53</f>
        <v>0</v>
      </c>
      <c r="W55" s="220">
        <f>'Packer Downtime Detail  '!AD54</f>
        <v>0</v>
      </c>
      <c r="X55" s="220"/>
      <c r="Y55" s="220"/>
      <c r="Z55" s="220"/>
      <c r="AA55" s="237"/>
      <c r="AB55" s="238"/>
      <c r="AC55" s="238"/>
      <c r="AD55" s="235"/>
      <c r="AE55" s="240">
        <f>G56-D55</f>
        <v>0</v>
      </c>
      <c r="AF55" s="194"/>
      <c r="AH55" s="3"/>
      <c r="AI55" s="23"/>
      <c r="AJ55" s="23"/>
      <c r="AK55" s="54"/>
      <c r="AL55" s="3"/>
      <c r="AM55" s="3"/>
      <c r="AN55" s="3"/>
      <c r="AO55" s="3"/>
      <c r="AP55" s="3"/>
      <c r="AQ55" s="3"/>
      <c r="AR55" s="3"/>
      <c r="AS55" s="3"/>
      <c r="AT55" s="3"/>
      <c r="AU55" s="3"/>
      <c r="AV55" s="3"/>
      <c r="AW55" s="3"/>
      <c r="AX55" s="3"/>
    </row>
    <row r="56" spans="1:50" ht="16.5">
      <c r="A56" s="196"/>
      <c r="B56" s="199"/>
      <c r="C56" s="200"/>
      <c r="D56" s="204"/>
      <c r="E56" s="111"/>
      <c r="F56" s="111"/>
      <c r="G56" s="112"/>
      <c r="H56" s="201"/>
      <c r="I56" s="218"/>
      <c r="J56" s="219"/>
      <c r="K56" s="222"/>
      <c r="L56" s="222"/>
      <c r="M56" s="222"/>
      <c r="N56" s="222"/>
      <c r="O56" s="222">
        <f>'Uncaser Downtime Detail '!AG55</f>
        <v>0</v>
      </c>
      <c r="P56" s="222">
        <f>'Washer Downtime Detail'!BH56</f>
        <v>0</v>
      </c>
      <c r="Q56" s="222">
        <f>'EBI Downtime Detail'!AI54</f>
        <v>0</v>
      </c>
      <c r="R56" s="222">
        <f>'Filler Downtime Detail'!AK53</f>
        <v>0</v>
      </c>
      <c r="S56" s="222">
        <f>'Pasteurizer Downtime Detail'!$Z53</f>
        <v>0</v>
      </c>
      <c r="T56" s="222">
        <f>'Labeler Downtime Detail'!AN54</f>
        <v>0</v>
      </c>
      <c r="U56" s="222">
        <f>'Videojet Downtime Detail '!O53</f>
        <v>0</v>
      </c>
      <c r="V56" s="222">
        <f>'Conveyor Downtime (new)'!AV54</f>
        <v>0</v>
      </c>
      <c r="W56" s="222">
        <f>'Packer Downtime Detail  '!AD55</f>
        <v>0</v>
      </c>
      <c r="X56" s="218"/>
      <c r="Y56" s="218"/>
      <c r="Z56" s="233"/>
      <c r="AA56" s="234"/>
      <c r="AB56" s="222"/>
      <c r="AC56" s="222"/>
      <c r="AD56" s="235"/>
      <c r="AE56" s="240"/>
      <c r="AF56" s="194"/>
      <c r="AH56" s="3"/>
      <c r="AI56" s="23"/>
      <c r="AJ56" s="23"/>
      <c r="AK56" s="54"/>
      <c r="AL56" s="3"/>
      <c r="AM56" s="3"/>
      <c r="AN56" s="3"/>
      <c r="AO56" s="3"/>
      <c r="AP56" s="3"/>
      <c r="AQ56" s="3"/>
      <c r="AR56" s="3"/>
      <c r="AS56" s="3"/>
      <c r="AT56" s="3"/>
      <c r="AU56" s="3"/>
      <c r="AV56" s="3"/>
      <c r="AW56" s="3"/>
      <c r="AX56" s="3"/>
    </row>
    <row r="57" spans="1:50" ht="16.5">
      <c r="A57" s="196"/>
      <c r="B57" s="199"/>
      <c r="C57" s="200"/>
      <c r="D57" s="204"/>
      <c r="E57" s="111"/>
      <c r="F57" s="111"/>
      <c r="G57" s="112"/>
      <c r="H57" s="202"/>
      <c r="I57" s="220"/>
      <c r="J57" s="221"/>
      <c r="K57" s="220"/>
      <c r="L57" s="220"/>
      <c r="M57" s="220"/>
      <c r="N57" s="220"/>
      <c r="O57" s="220">
        <f>'Uncaser Downtime Detail '!AG56</f>
        <v>0</v>
      </c>
      <c r="P57" s="220">
        <f>'Washer Downtime Detail'!BH57</f>
        <v>0</v>
      </c>
      <c r="Q57" s="220"/>
      <c r="R57" s="220"/>
      <c r="S57" s="220">
        <f>'Pasteurizer Downtime Detail'!$Z54</f>
        <v>0</v>
      </c>
      <c r="T57" s="220"/>
      <c r="U57" s="220">
        <f>'Videojet Downtime Detail '!O54</f>
        <v>0</v>
      </c>
      <c r="V57" s="220"/>
      <c r="W57" s="220">
        <f>'Packer Downtime Detail  '!AD56</f>
        <v>0</v>
      </c>
      <c r="X57" s="220"/>
      <c r="Y57" s="220"/>
      <c r="Z57" s="220"/>
      <c r="AA57" s="237"/>
      <c r="AB57" s="238"/>
      <c r="AC57" s="238"/>
      <c r="AD57" s="235"/>
      <c r="AE57" s="240">
        <f>G58-D57</f>
        <v>0</v>
      </c>
      <c r="AF57" s="194"/>
      <c r="AH57" s="3"/>
      <c r="AI57" s="23"/>
      <c r="AJ57" s="23"/>
      <c r="AK57" s="54"/>
      <c r="AL57" s="3"/>
      <c r="AM57" s="3"/>
      <c r="AN57" s="3"/>
      <c r="AO57" s="3"/>
      <c r="AP57" s="3"/>
      <c r="AQ57" s="3"/>
      <c r="AR57" s="3"/>
      <c r="AS57" s="3"/>
      <c r="AT57" s="3"/>
      <c r="AU57" s="3"/>
      <c r="AV57" s="3"/>
      <c r="AW57" s="3"/>
      <c r="AX57" s="3"/>
    </row>
    <row r="58" spans="1:50" ht="16.5">
      <c r="A58" s="196"/>
      <c r="B58" s="199"/>
      <c r="C58" s="200"/>
      <c r="D58" s="204"/>
      <c r="E58" s="111"/>
      <c r="F58" s="111"/>
      <c r="G58" s="112"/>
      <c r="H58" s="201"/>
      <c r="I58" s="218"/>
      <c r="J58" s="219"/>
      <c r="K58" s="222"/>
      <c r="L58" s="222"/>
      <c r="M58" s="222"/>
      <c r="N58" s="222"/>
      <c r="O58" s="222"/>
      <c r="P58" s="222"/>
      <c r="Q58" s="222"/>
      <c r="R58" s="222"/>
      <c r="S58" s="222">
        <f>'Pasteurizer Downtime Detail'!$Z55</f>
        <v>0</v>
      </c>
      <c r="T58" s="222"/>
      <c r="U58" s="222"/>
      <c r="V58" s="222"/>
      <c r="W58" s="222">
        <f>'Packer Downtime Detail  '!AD57</f>
        <v>0</v>
      </c>
      <c r="X58" s="218"/>
      <c r="Y58" s="222"/>
      <c r="Z58" s="233"/>
      <c r="AA58" s="234"/>
      <c r="AB58" s="222"/>
      <c r="AC58" s="222"/>
      <c r="AD58" s="235"/>
      <c r="AE58" s="240"/>
      <c r="AF58" s="194"/>
      <c r="AH58" s="3"/>
      <c r="AI58" s="23"/>
      <c r="AJ58" s="23"/>
      <c r="AK58" s="54"/>
      <c r="AL58" s="3"/>
      <c r="AM58" s="3"/>
      <c r="AN58" s="3"/>
      <c r="AO58" s="3"/>
      <c r="AP58" s="3"/>
      <c r="AQ58" s="3"/>
      <c r="AR58" s="3"/>
      <c r="AS58" s="3"/>
      <c r="AT58" s="3"/>
      <c r="AU58" s="3"/>
      <c r="AV58" s="3"/>
      <c r="AW58" s="3"/>
      <c r="AX58" s="3"/>
    </row>
    <row r="59" spans="1:50" ht="16.5">
      <c r="A59" s="196"/>
      <c r="B59" s="199"/>
      <c r="C59" s="200"/>
      <c r="D59" s="204"/>
      <c r="E59" s="111"/>
      <c r="F59" s="111"/>
      <c r="G59" s="112"/>
      <c r="H59" s="202"/>
      <c r="I59" s="220"/>
      <c r="J59" s="221"/>
      <c r="K59" s="220"/>
      <c r="L59" s="220"/>
      <c r="M59" s="220"/>
      <c r="N59" s="220"/>
      <c r="O59" s="220"/>
      <c r="P59" s="220"/>
      <c r="Q59" s="220"/>
      <c r="R59" s="220"/>
      <c r="S59" s="220"/>
      <c r="T59" s="220"/>
      <c r="U59" s="220"/>
      <c r="V59" s="220"/>
      <c r="W59" s="220">
        <f>'Packer Downtime Detail  '!AD58</f>
        <v>0</v>
      </c>
      <c r="X59" s="220"/>
      <c r="Y59" s="221"/>
      <c r="Z59" s="220"/>
      <c r="AA59" s="237"/>
      <c r="AB59" s="238"/>
      <c r="AC59" s="238"/>
      <c r="AD59" s="235"/>
      <c r="AE59" s="240">
        <f>G60-D59</f>
        <v>0</v>
      </c>
      <c r="AF59" s="194"/>
      <c r="AH59" s="3"/>
      <c r="AI59" s="23"/>
      <c r="AJ59" s="23"/>
      <c r="AK59" s="54"/>
      <c r="AL59" s="3"/>
      <c r="AM59" s="3"/>
      <c r="AN59" s="3"/>
      <c r="AO59" s="3"/>
      <c r="AP59" s="3"/>
      <c r="AQ59" s="3"/>
      <c r="AR59" s="3"/>
      <c r="AS59" s="3"/>
      <c r="AT59" s="3"/>
      <c r="AU59" s="3"/>
      <c r="AV59" s="3"/>
      <c r="AW59" s="3"/>
      <c r="AX59" s="3"/>
    </row>
    <row r="60" spans="1:50" ht="16.5">
      <c r="A60" s="196"/>
      <c r="B60" s="199"/>
      <c r="C60" s="200"/>
      <c r="D60" s="205"/>
      <c r="E60" s="206"/>
      <c r="F60" s="206"/>
      <c r="G60" s="207"/>
      <c r="H60" s="201"/>
      <c r="I60" s="218"/>
      <c r="J60" s="219"/>
      <c r="K60" s="222"/>
      <c r="L60" s="222"/>
      <c r="M60" s="222"/>
      <c r="N60" s="222"/>
      <c r="O60" s="218"/>
      <c r="P60" s="218"/>
      <c r="Q60" s="218"/>
      <c r="R60" s="218"/>
      <c r="S60" s="218"/>
      <c r="T60" s="218"/>
      <c r="U60" s="218"/>
      <c r="V60" s="218"/>
      <c r="W60" s="218"/>
      <c r="X60" s="218"/>
      <c r="Y60" s="222"/>
      <c r="Z60" s="233"/>
      <c r="AA60" s="234"/>
      <c r="AB60" s="222"/>
      <c r="AC60" s="222"/>
      <c r="AD60" s="235"/>
      <c r="AE60" s="240"/>
      <c r="AF60" s="194"/>
      <c r="AH60" s="3"/>
      <c r="AI60" s="23"/>
      <c r="AJ60" s="23"/>
      <c r="AK60" s="54"/>
      <c r="AL60" s="3"/>
      <c r="AM60" s="3"/>
      <c r="AN60" s="3"/>
      <c r="AO60" s="3"/>
      <c r="AP60" s="3"/>
      <c r="AQ60" s="3"/>
      <c r="AR60" s="3"/>
      <c r="AS60" s="3"/>
      <c r="AT60" s="3"/>
      <c r="AU60" s="3"/>
      <c r="AV60" s="3"/>
      <c r="AW60" s="3"/>
      <c r="AX60" s="3"/>
    </row>
    <row r="61" spans="1:50" ht="16.5">
      <c r="A61" s="208" t="s">
        <v>427</v>
      </c>
      <c r="B61" s="209"/>
      <c r="C61" s="210"/>
      <c r="D61" s="211"/>
      <c r="E61" s="211"/>
      <c r="F61" s="211"/>
      <c r="G61" s="212">
        <f>SUM(G50:G60)</f>
        <v>5.2041666666666666</v>
      </c>
      <c r="H61" s="209">
        <f>SUM(H8:H60)</f>
        <v>131</v>
      </c>
      <c r="I61" s="223">
        <f>SUM(I8:I60)</f>
        <v>1295</v>
      </c>
      <c r="J61" s="223">
        <f t="shared" ref="J61:AE61" si="1">SUM(J8:J60)</f>
        <v>573</v>
      </c>
      <c r="K61" s="223">
        <f t="shared" si="1"/>
        <v>14</v>
      </c>
      <c r="L61" s="223">
        <f t="shared" si="1"/>
        <v>16</v>
      </c>
      <c r="M61" s="223">
        <f t="shared" si="1"/>
        <v>81</v>
      </c>
      <c r="N61" s="223">
        <f t="shared" si="1"/>
        <v>0</v>
      </c>
      <c r="O61" s="223">
        <f t="shared" si="1"/>
        <v>563</v>
      </c>
      <c r="P61" s="223">
        <f t="shared" si="1"/>
        <v>1282</v>
      </c>
      <c r="Q61" s="223">
        <f t="shared" si="1"/>
        <v>446</v>
      </c>
      <c r="R61" s="223">
        <f t="shared" si="1"/>
        <v>277</v>
      </c>
      <c r="S61" s="223">
        <f t="shared" si="1"/>
        <v>865</v>
      </c>
      <c r="T61" s="223">
        <f t="shared" si="1"/>
        <v>204</v>
      </c>
      <c r="U61" s="223">
        <f t="shared" si="1"/>
        <v>115</v>
      </c>
      <c r="V61" s="223">
        <f t="shared" si="1"/>
        <v>6077</v>
      </c>
      <c r="W61" s="223">
        <f t="shared" si="1"/>
        <v>73</v>
      </c>
      <c r="X61" s="223">
        <f t="shared" si="1"/>
        <v>0</v>
      </c>
      <c r="Y61" s="223">
        <f t="shared" si="1"/>
        <v>0</v>
      </c>
      <c r="Z61" s="223">
        <f t="shared" si="1"/>
        <v>2636</v>
      </c>
      <c r="AA61" s="223">
        <f t="shared" si="1"/>
        <v>51</v>
      </c>
      <c r="AB61" s="223">
        <f t="shared" si="1"/>
        <v>323</v>
      </c>
      <c r="AC61" s="223">
        <f t="shared" si="1"/>
        <v>0</v>
      </c>
      <c r="AD61" s="241">
        <f>SUM(AD8:AD60)</f>
        <v>15022</v>
      </c>
      <c r="AE61" s="242">
        <f t="shared" si="1"/>
        <v>20.525694444444447</v>
      </c>
      <c r="AF61" s="194"/>
      <c r="AH61" s="3"/>
      <c r="AI61" s="3"/>
      <c r="AJ61" s="3"/>
      <c r="AK61" s="3"/>
      <c r="AL61" s="3"/>
      <c r="AM61" s="3"/>
      <c r="AN61" s="3"/>
      <c r="AO61" s="3"/>
      <c r="AP61" s="3"/>
      <c r="AQ61" s="3"/>
      <c r="AR61" s="3"/>
      <c r="AS61" s="3"/>
      <c r="AT61" s="3"/>
      <c r="AU61" s="3"/>
      <c r="AV61" s="3"/>
      <c r="AW61" s="3"/>
      <c r="AX61" s="3"/>
    </row>
    <row r="62" spans="1:50" ht="16.5">
      <c r="A62" s="213" t="s">
        <v>45</v>
      </c>
      <c r="B62" s="214"/>
      <c r="C62" s="195"/>
      <c r="D62" s="195"/>
      <c r="E62" s="195"/>
      <c r="F62" s="195"/>
      <c r="G62" s="195"/>
      <c r="H62" s="215">
        <f>H61/$AD$61</f>
        <v>8.720543203301824E-3</v>
      </c>
      <c r="I62" s="215">
        <f t="shared" ref="I62:AB62" si="2">I61/$AD$61</f>
        <v>8.6206896551724144E-2</v>
      </c>
      <c r="J62" s="215">
        <f t="shared" si="2"/>
        <v>3.8144055385434694E-2</v>
      </c>
      <c r="K62" s="215">
        <f t="shared" si="2"/>
        <v>9.3196644920782849E-4</v>
      </c>
      <c r="L62" s="215">
        <f t="shared" si="2"/>
        <v>1.0651045133803754E-3</v>
      </c>
      <c r="M62" s="215">
        <f t="shared" si="2"/>
        <v>5.3920915989881506E-3</v>
      </c>
      <c r="N62" s="215">
        <f t="shared" si="2"/>
        <v>0</v>
      </c>
      <c r="O62" s="215">
        <f t="shared" si="2"/>
        <v>3.7478365064571958E-2</v>
      </c>
      <c r="P62" s="215">
        <f t="shared" si="2"/>
        <v>8.534149913460258E-2</v>
      </c>
      <c r="Q62" s="215">
        <f t="shared" si="2"/>
        <v>2.9689788310477964E-2</v>
      </c>
      <c r="R62" s="215">
        <f t="shared" si="2"/>
        <v>1.8439621887897752E-2</v>
      </c>
      <c r="S62" s="215">
        <f t="shared" si="2"/>
        <v>5.7582212754626549E-2</v>
      </c>
      <c r="T62" s="215">
        <f t="shared" si="2"/>
        <v>1.3580082545599788E-2</v>
      </c>
      <c r="U62" s="215">
        <f t="shared" si="2"/>
        <v>7.6554386899214486E-3</v>
      </c>
      <c r="V62" s="215">
        <f t="shared" si="2"/>
        <v>0.40454000798828382</v>
      </c>
      <c r="W62" s="215">
        <f t="shared" si="2"/>
        <v>4.8595393422979629E-3</v>
      </c>
      <c r="X62" s="215">
        <f t="shared" si="2"/>
        <v>0</v>
      </c>
      <c r="Y62" s="215">
        <f t="shared" si="2"/>
        <v>0</v>
      </c>
      <c r="Z62" s="215">
        <f t="shared" si="2"/>
        <v>0.17547596857941686</v>
      </c>
      <c r="AA62" s="215">
        <f t="shared" si="2"/>
        <v>3.395020636399947E-3</v>
      </c>
      <c r="AB62" s="215">
        <f t="shared" si="2"/>
        <v>2.1501797363866329E-2</v>
      </c>
      <c r="AC62" s="215"/>
      <c r="AD62" s="195"/>
      <c r="AE62" s="243"/>
      <c r="AF62" s="194"/>
      <c r="AH62" s="3"/>
      <c r="AI62" s="3"/>
      <c r="AJ62" s="3"/>
      <c r="AK62" s="3"/>
      <c r="AL62" s="3"/>
      <c r="AM62" s="3"/>
      <c r="AN62" s="3"/>
      <c r="AO62" s="3"/>
      <c r="AP62" s="3"/>
      <c r="AQ62" s="3"/>
      <c r="AR62" s="3"/>
      <c r="AS62" s="3"/>
      <c r="AT62" s="3"/>
      <c r="AU62" s="3"/>
      <c r="AV62" s="3"/>
      <c r="AW62" s="3"/>
      <c r="AX62" s="3"/>
    </row>
    <row r="63" spans="1:50" ht="16.5">
      <c r="A63" s="213"/>
      <c r="B63" s="214"/>
      <c r="C63" s="195" t="s">
        <v>174</v>
      </c>
      <c r="D63" s="195"/>
      <c r="E63" s="195"/>
      <c r="F63" s="195"/>
      <c r="G63" s="195"/>
      <c r="H63" s="195"/>
      <c r="I63" s="224" t="s">
        <v>428</v>
      </c>
      <c r="J63" s="195"/>
      <c r="K63" s="225"/>
      <c r="L63" s="225"/>
      <c r="M63" s="195"/>
      <c r="N63" s="195"/>
      <c r="O63" s="195"/>
      <c r="P63" s="195"/>
      <c r="Q63" s="195"/>
      <c r="R63" s="195"/>
      <c r="S63" s="195"/>
      <c r="T63" s="195"/>
      <c r="U63" s="195"/>
      <c r="V63" s="195"/>
      <c r="W63" s="195"/>
      <c r="X63" s="195"/>
      <c r="Y63" s="195"/>
      <c r="Z63" s="195"/>
      <c r="AA63" s="195"/>
      <c r="AB63" s="195"/>
      <c r="AC63" s="195"/>
      <c r="AD63" s="195"/>
      <c r="AE63" s="244"/>
      <c r="AF63" s="194"/>
      <c r="AH63" s="3"/>
      <c r="AI63" s="3"/>
      <c r="AJ63" s="3"/>
      <c r="AK63" s="3"/>
      <c r="AL63" s="3"/>
      <c r="AM63" s="3"/>
      <c r="AN63" s="3"/>
      <c r="AO63" s="3"/>
      <c r="AP63" s="3"/>
      <c r="AQ63" s="3"/>
      <c r="AR63" s="3"/>
      <c r="AS63" s="3"/>
      <c r="AT63" s="3"/>
      <c r="AU63" s="3"/>
      <c r="AV63" s="3"/>
      <c r="AW63" s="3"/>
      <c r="AX63" s="3"/>
    </row>
    <row r="64" spans="1:50" s="194" customFormat="1" ht="16.5">
      <c r="A64" s="214"/>
      <c r="B64" s="216"/>
      <c r="C64" s="194" t="s">
        <v>429</v>
      </c>
      <c r="D64" s="194" t="s">
        <v>430</v>
      </c>
      <c r="E64" s="194" t="s">
        <v>431</v>
      </c>
      <c r="F64" s="217"/>
      <c r="G64" s="217"/>
      <c r="H64" s="195"/>
      <c r="I64" s="196">
        <f>COUNT(I8:I60)</f>
        <v>26</v>
      </c>
      <c r="J64" s="195"/>
      <c r="K64" s="226"/>
      <c r="L64" s="226"/>
      <c r="M64" s="226"/>
      <c r="N64" s="226"/>
      <c r="O64" s="226"/>
      <c r="P64" s="226"/>
      <c r="Q64" s="226"/>
      <c r="R64" s="226"/>
      <c r="S64" s="226"/>
      <c r="T64" s="226"/>
      <c r="U64" s="226"/>
      <c r="V64" s="226"/>
      <c r="W64" s="226"/>
      <c r="X64" s="226"/>
      <c r="Y64" s="226"/>
      <c r="Z64" s="226">
        <f>1440+360+85</f>
        <v>1885</v>
      </c>
      <c r="AA64" s="195"/>
      <c r="AB64" s="195"/>
      <c r="AC64" s="195"/>
      <c r="AH64" s="195"/>
      <c r="AI64" s="195"/>
      <c r="AJ64" s="195"/>
      <c r="AK64" s="195"/>
      <c r="AL64" s="195"/>
      <c r="AM64" s="195"/>
      <c r="AN64" s="195"/>
      <c r="AO64" s="195"/>
      <c r="AP64" s="195"/>
      <c r="AQ64" s="195"/>
      <c r="AR64" s="195"/>
      <c r="AS64" s="195"/>
      <c r="AT64" s="195"/>
      <c r="AU64" s="195"/>
      <c r="AV64" s="195"/>
      <c r="AW64" s="195"/>
      <c r="AX64" s="195"/>
    </row>
    <row r="65" spans="1:50" s="194" customFormat="1" ht="16.5">
      <c r="A65" s="214"/>
      <c r="B65" s="216"/>
      <c r="C65" s="226">
        <f>COUNTA(I8:I60)</f>
        <v>26</v>
      </c>
      <c r="D65" s="226">
        <f>COUNTA(C8:C60)</f>
        <v>45</v>
      </c>
      <c r="E65" s="226">
        <f>COUNTA(A8:A60)</f>
        <v>45</v>
      </c>
      <c r="F65" s="217"/>
      <c r="G65" s="217"/>
      <c r="H65" s="195"/>
      <c r="I65" s="214"/>
      <c r="J65" s="195"/>
      <c r="K65" s="226"/>
      <c r="L65" s="226"/>
      <c r="M65" s="226"/>
      <c r="N65" s="226"/>
      <c r="O65" s="226"/>
      <c r="P65" s="226"/>
      <c r="Q65" s="226"/>
      <c r="R65" s="226"/>
      <c r="S65" s="226"/>
      <c r="T65" s="226"/>
      <c r="U65" s="226"/>
      <c r="V65" s="226"/>
      <c r="W65" s="226"/>
      <c r="X65" s="226"/>
      <c r="Y65" s="226"/>
      <c r="Z65" s="226"/>
      <c r="AA65" s="195"/>
      <c r="AB65" s="195"/>
      <c r="AC65" s="195"/>
      <c r="AH65" s="195"/>
      <c r="AI65" s="195"/>
      <c r="AJ65" s="195"/>
      <c r="AK65" s="195"/>
      <c r="AL65" s="195"/>
      <c r="AM65" s="195"/>
      <c r="AN65" s="195"/>
      <c r="AO65" s="195"/>
      <c r="AP65" s="195"/>
      <c r="AQ65" s="195"/>
      <c r="AR65" s="195"/>
      <c r="AS65" s="195"/>
      <c r="AT65" s="195"/>
      <c r="AU65" s="195"/>
      <c r="AV65" s="195"/>
      <c r="AW65" s="195"/>
      <c r="AX65" s="195"/>
    </row>
    <row r="66" spans="1:50" s="194" customFormat="1" ht="16.5">
      <c r="A66" s="214"/>
      <c r="B66" s="216"/>
      <c r="C66" s="226"/>
      <c r="D66" s="249"/>
      <c r="E66" s="249"/>
      <c r="F66" s="226"/>
      <c r="G66" s="217"/>
      <c r="H66" s="195"/>
      <c r="I66" s="214"/>
      <c r="J66" s="195"/>
      <c r="K66" s="226"/>
      <c r="L66" s="226"/>
      <c r="M66" s="226"/>
      <c r="N66" s="226"/>
      <c r="O66" s="226"/>
      <c r="P66" s="226"/>
      <c r="Q66" s="226"/>
      <c r="R66" s="226"/>
      <c r="S66" s="226"/>
      <c r="T66" s="226"/>
      <c r="U66" s="226"/>
      <c r="V66" s="226"/>
      <c r="W66" s="226"/>
      <c r="X66" s="226"/>
      <c r="Y66" s="226"/>
      <c r="Z66" s="226"/>
      <c r="AA66" s="195"/>
      <c r="AB66" s="195"/>
      <c r="AC66" s="195"/>
      <c r="AD66" s="195"/>
      <c r="AH66" s="195"/>
      <c r="AI66" s="195"/>
      <c r="AJ66" s="195"/>
      <c r="AK66" s="195"/>
      <c r="AL66" s="195"/>
      <c r="AM66" s="195"/>
      <c r="AN66" s="195"/>
      <c r="AO66" s="195"/>
      <c r="AP66" s="195"/>
      <c r="AQ66" s="195"/>
      <c r="AR66" s="195"/>
      <c r="AS66" s="195"/>
      <c r="AT66" s="195"/>
      <c r="AU66" s="195"/>
      <c r="AV66" s="195"/>
      <c r="AW66" s="195"/>
    </row>
    <row r="67" spans="1:50" s="194" customFormat="1" ht="16.5">
      <c r="A67" s="196"/>
      <c r="B67" s="196"/>
      <c r="C67" s="250" t="s">
        <v>432</v>
      </c>
      <c r="D67" s="251">
        <f>($D$65/$E$65)</f>
        <v>1</v>
      </c>
      <c r="E67" s="251">
        <f>($D$65/$E$65)*$I$62</f>
        <v>8.6206896551724144E-2</v>
      </c>
      <c r="F67" s="252"/>
      <c r="G67" s="252"/>
      <c r="H67" s="722" t="s">
        <v>433</v>
      </c>
      <c r="I67" s="722"/>
      <c r="J67" s="722"/>
      <c r="K67" s="722"/>
      <c r="L67" s="722"/>
      <c r="M67" s="722"/>
      <c r="N67" s="722"/>
      <c r="O67" s="226"/>
      <c r="P67" s="740" t="s">
        <v>434</v>
      </c>
      <c r="Q67" s="740"/>
      <c r="R67" s="740"/>
      <c r="S67" s="740"/>
      <c r="T67" s="740"/>
      <c r="U67" s="214"/>
      <c r="V67" s="214"/>
      <c r="W67" s="214"/>
      <c r="X67" s="214"/>
      <c r="Y67" s="214"/>
      <c r="Z67" s="214"/>
      <c r="AA67" s="195"/>
      <c r="AB67" s="195"/>
      <c r="AC67" s="195"/>
    </row>
    <row r="68" spans="1:50" s="194" customFormat="1" ht="33">
      <c r="A68" s="214"/>
      <c r="B68" s="214"/>
      <c r="C68" s="195"/>
      <c r="D68" s="214"/>
      <c r="E68" s="195"/>
      <c r="F68" s="195"/>
      <c r="G68" s="214"/>
      <c r="H68" s="253" t="s">
        <v>81</v>
      </c>
      <c r="I68" s="253" t="s">
        <v>435</v>
      </c>
      <c r="J68" s="253" t="s">
        <v>436</v>
      </c>
      <c r="K68" s="253" t="s">
        <v>437</v>
      </c>
      <c r="L68" s="258" t="s">
        <v>438</v>
      </c>
      <c r="M68" s="258" t="s">
        <v>439</v>
      </c>
      <c r="N68" s="258" t="s">
        <v>440</v>
      </c>
      <c r="O68" s="196"/>
      <c r="P68" s="259" t="s">
        <v>81</v>
      </c>
      <c r="Q68" s="259" t="s">
        <v>435</v>
      </c>
      <c r="R68" s="257" t="s">
        <v>436</v>
      </c>
      <c r="S68" s="257" t="s">
        <v>437</v>
      </c>
      <c r="T68" s="267" t="s">
        <v>441</v>
      </c>
      <c r="U68" s="195"/>
      <c r="V68" s="195"/>
      <c r="W68" s="195"/>
      <c r="X68" s="195"/>
      <c r="Y68" s="195"/>
      <c r="Z68" s="195"/>
      <c r="AA68" s="195"/>
      <c r="AB68" s="195"/>
      <c r="AC68" s="195"/>
    </row>
    <row r="69" spans="1:50" s="194" customFormat="1" ht="16.5">
      <c r="A69" s="214"/>
      <c r="B69" s="214"/>
      <c r="C69" s="195"/>
      <c r="D69" s="214"/>
      <c r="E69" s="195"/>
      <c r="F69" s="195"/>
      <c r="G69" s="214"/>
      <c r="H69" s="254">
        <f t="shared" ref="H69:H113" si="3">B8</f>
        <v>46024</v>
      </c>
      <c r="I69" s="214" t="str">
        <f t="shared" ref="I69:I113" si="4">C8</f>
        <v>CARIB AMBER</v>
      </c>
      <c r="J69" s="217">
        <f t="shared" ref="J69:J113" si="5">E8</f>
        <v>0.38541666666666669</v>
      </c>
      <c r="K69" s="217">
        <f t="shared" ref="K69:K113" si="6">F8</f>
        <v>0.7944444444444444</v>
      </c>
      <c r="L69" s="260">
        <f>K69-J69</f>
        <v>0.40902777777777771</v>
      </c>
      <c r="M69" s="195">
        <v>589</v>
      </c>
      <c r="N69" s="261">
        <f>M69-(H8+K8+L8+M8+N8+AA8+AB8+J8+AC8)</f>
        <v>559</v>
      </c>
      <c r="O69" s="195"/>
      <c r="P69" s="254">
        <f>H69</f>
        <v>46024</v>
      </c>
      <c r="Q69" s="268" t="str">
        <f t="shared" ref="Q69:Q107" si="7">C8</f>
        <v>CARIB AMBER</v>
      </c>
      <c r="R69" s="526">
        <v>0.3263888888888889</v>
      </c>
      <c r="S69" s="526">
        <v>0.875</v>
      </c>
      <c r="T69" s="269">
        <f>S69-R69</f>
        <v>0.54861111111111116</v>
      </c>
      <c r="U69" s="195"/>
      <c r="V69" s="195"/>
      <c r="W69" s="195"/>
      <c r="X69" s="195"/>
      <c r="Y69" s="195"/>
      <c r="Z69" s="195"/>
      <c r="AA69" s="195"/>
      <c r="AB69" s="195"/>
      <c r="AC69" s="195"/>
    </row>
    <row r="70" spans="1:50" s="194" customFormat="1" ht="16.5">
      <c r="A70" s="195"/>
      <c r="B70" s="195"/>
      <c r="C70" s="195" t="s">
        <v>43</v>
      </c>
      <c r="D70" s="214"/>
      <c r="G70" s="214"/>
      <c r="H70" s="254">
        <f t="shared" si="3"/>
        <v>46027</v>
      </c>
      <c r="I70" s="214" t="str">
        <f t="shared" si="4"/>
        <v>CARIB AMBER</v>
      </c>
      <c r="J70" s="262">
        <f t="shared" si="5"/>
        <v>1.0763888888888888</v>
      </c>
      <c r="K70" s="263">
        <f t="shared" si="6"/>
        <v>1.1875</v>
      </c>
      <c r="L70" s="236">
        <f t="shared" ref="L70:L110" si="8">K70-J70</f>
        <v>0.11111111111111116</v>
      </c>
      <c r="M70" s="264">
        <v>160</v>
      </c>
      <c r="N70" s="261">
        <f>M70-(H9+K9+L9+M9+N9+AA9+AB9+AC9)</f>
        <v>160</v>
      </c>
      <c r="O70" s="195"/>
      <c r="P70" s="254">
        <f t="shared" ref="P70:P113" si="9">B9</f>
        <v>46027</v>
      </c>
      <c r="Q70" s="268" t="str">
        <f t="shared" si="7"/>
        <v>CARIB AMBER</v>
      </c>
      <c r="R70" s="217">
        <f t="shared" ref="R70" si="10">E9</f>
        <v>1.0763888888888888</v>
      </c>
      <c r="S70" s="526">
        <v>2</v>
      </c>
      <c r="T70" s="269">
        <f>S70-R70</f>
        <v>0.92361111111111116</v>
      </c>
    </row>
    <row r="71" spans="1:50" s="194" customFormat="1" ht="16.5">
      <c r="A71" s="195"/>
      <c r="B71" s="195"/>
      <c r="C71" s="255" t="s">
        <v>429</v>
      </c>
      <c r="D71" s="255" t="s">
        <v>430</v>
      </c>
      <c r="E71" s="255" t="s">
        <v>431</v>
      </c>
      <c r="F71" s="255" t="s">
        <v>453</v>
      </c>
      <c r="G71" s="214"/>
      <c r="H71" s="254">
        <f t="shared" si="3"/>
        <v>46028</v>
      </c>
      <c r="I71" s="214" t="str">
        <f t="shared" si="4"/>
        <v>EBI/FILLER COMMUNICATION BREAKDOWN</v>
      </c>
      <c r="J71" s="262">
        <f t="shared" si="5"/>
        <v>0</v>
      </c>
      <c r="K71" s="263">
        <f t="shared" si="6"/>
        <v>0</v>
      </c>
      <c r="L71" s="236">
        <f t="shared" si="8"/>
        <v>0</v>
      </c>
      <c r="M71" s="264"/>
      <c r="N71" s="261">
        <f t="shared" ref="N71:N121" si="11">M71-(H10+K10+L10+M10+N10+AA10+AB10+J10+AC10)</f>
        <v>0</v>
      </c>
      <c r="P71" s="254">
        <f t="shared" si="9"/>
        <v>46028</v>
      </c>
      <c r="Q71" s="268" t="str">
        <f t="shared" si="7"/>
        <v>EBI/FILLER COMMUNICATION BREAKDOWN</v>
      </c>
      <c r="R71" s="217">
        <f t="shared" ref="R71:S71" si="12">E10</f>
        <v>0</v>
      </c>
      <c r="S71" s="217">
        <f t="shared" si="12"/>
        <v>0</v>
      </c>
      <c r="T71" s="269">
        <f>S71-R71</f>
        <v>0</v>
      </c>
    </row>
    <row r="72" spans="1:50" s="194" customFormat="1" ht="16.5">
      <c r="A72" s="195"/>
      <c r="B72" s="195"/>
      <c r="C72" s="226">
        <f>SUM(Jan!C65)</f>
        <v>26</v>
      </c>
      <c r="D72" s="226">
        <f>SUM(Jan!D65)</f>
        <v>45</v>
      </c>
      <c r="E72" s="226">
        <f>SUM(Jan!E65)</f>
        <v>45</v>
      </c>
      <c r="F72" s="256"/>
      <c r="G72" s="214"/>
      <c r="H72" s="254">
        <f t="shared" si="3"/>
        <v>46029</v>
      </c>
      <c r="I72" s="214" t="str">
        <f t="shared" si="4"/>
        <v>EBI/FILLER COMMUNICATION BREAKDOWN</v>
      </c>
      <c r="J72" s="262">
        <f t="shared" si="5"/>
        <v>0</v>
      </c>
      <c r="K72" s="263">
        <f t="shared" si="6"/>
        <v>0</v>
      </c>
      <c r="L72" s="236">
        <f t="shared" si="8"/>
        <v>0</v>
      </c>
      <c r="M72" s="195"/>
      <c r="N72" s="261">
        <f t="shared" si="11"/>
        <v>0</v>
      </c>
      <c r="P72" s="254">
        <f t="shared" si="9"/>
        <v>46029</v>
      </c>
      <c r="Q72" s="268" t="str">
        <f t="shared" si="7"/>
        <v>EBI/FILLER COMMUNICATION BREAKDOWN</v>
      </c>
      <c r="R72" s="217">
        <f t="shared" ref="R72:S72" si="13">E11</f>
        <v>0</v>
      </c>
      <c r="S72" s="217">
        <f t="shared" si="13"/>
        <v>0</v>
      </c>
      <c r="T72" s="270"/>
    </row>
    <row r="73" spans="1:50" s="194" customFormat="1" ht="16.5">
      <c r="A73" s="195"/>
      <c r="B73" s="195"/>
      <c r="C73" s="226"/>
      <c r="D73" s="249"/>
      <c r="E73" s="249"/>
      <c r="G73" s="214"/>
      <c r="H73" s="254">
        <f t="shared" si="3"/>
        <v>46030</v>
      </c>
      <c r="I73" s="214" t="str">
        <f t="shared" si="4"/>
        <v>CARIB AMBER</v>
      </c>
      <c r="J73" s="217">
        <f t="shared" si="5"/>
        <v>1.8097222222222222</v>
      </c>
      <c r="K73" s="217">
        <f t="shared" si="6"/>
        <v>2</v>
      </c>
      <c r="L73" s="260">
        <f t="shared" si="8"/>
        <v>0.19027777777777777</v>
      </c>
      <c r="M73" s="195">
        <v>274</v>
      </c>
      <c r="N73" s="261">
        <f>M73-(H12+K12+L12+M12+N12+AA12+AB12+J12+AC12+Z12)</f>
        <v>271</v>
      </c>
      <c r="P73" s="254">
        <f t="shared" si="9"/>
        <v>46030</v>
      </c>
      <c r="Q73" s="268" t="str">
        <f t="shared" si="7"/>
        <v>CARIB AMBER</v>
      </c>
      <c r="R73" s="526">
        <v>1</v>
      </c>
      <c r="S73" s="217">
        <f t="shared" ref="S73" si="14">F12</f>
        <v>2</v>
      </c>
      <c r="T73" s="269">
        <f>S73-R73</f>
        <v>1</v>
      </c>
    </row>
    <row r="74" spans="1:50" s="194" customFormat="1" ht="16.5">
      <c r="A74" s="195"/>
      <c r="B74" s="195"/>
      <c r="C74" s="250" t="s">
        <v>432</v>
      </c>
      <c r="D74" s="251">
        <f>($D$72/$E$72)</f>
        <v>1</v>
      </c>
      <c r="E74" s="251">
        <f>($D$72/$E$72)*$F$72</f>
        <v>0</v>
      </c>
      <c r="G74" s="214"/>
      <c r="H74" s="254">
        <f t="shared" si="3"/>
        <v>46031</v>
      </c>
      <c r="I74" s="214" t="str">
        <f t="shared" si="4"/>
        <v>CARIB AMBER</v>
      </c>
      <c r="J74" s="217">
        <f t="shared" si="5"/>
        <v>1.0104166666666667</v>
      </c>
      <c r="K74" s="217">
        <f t="shared" si="6"/>
        <v>1.5347222222222223</v>
      </c>
      <c r="L74" s="260">
        <f t="shared" si="8"/>
        <v>0.52430555555555558</v>
      </c>
      <c r="M74" s="195">
        <v>755</v>
      </c>
      <c r="N74" s="261">
        <f t="shared" ref="N74:N80" si="15">M74-(H13+K13+L13+M13+N13+AA13+AB13+J13+AC13+Z13)</f>
        <v>633</v>
      </c>
      <c r="P74" s="254">
        <f t="shared" si="9"/>
        <v>46031</v>
      </c>
      <c r="Q74" s="268" t="str">
        <f t="shared" si="7"/>
        <v>CARIB AMBER</v>
      </c>
      <c r="R74" s="217">
        <f t="shared" ref="R74:S74" si="16">E13</f>
        <v>1.0104166666666667</v>
      </c>
      <c r="S74" s="217">
        <f t="shared" si="16"/>
        <v>1.5347222222222223</v>
      </c>
      <c r="T74" s="721">
        <f>S75-R74</f>
        <v>0.82291666666666652</v>
      </c>
    </row>
    <row r="75" spans="1:50" s="194" customFormat="1" ht="16.5">
      <c r="A75" s="195"/>
      <c r="B75" s="195"/>
      <c r="D75" s="214"/>
      <c r="G75" s="214"/>
      <c r="H75" s="254">
        <f t="shared" si="3"/>
        <v>46031</v>
      </c>
      <c r="I75" s="214" t="str">
        <f t="shared" si="4"/>
        <v>STAR MALT</v>
      </c>
      <c r="J75" s="217">
        <f t="shared" si="5"/>
        <v>1.5555555555555556</v>
      </c>
      <c r="K75" s="217">
        <f t="shared" si="6"/>
        <v>1.8333333333333333</v>
      </c>
      <c r="L75" s="260">
        <f t="shared" si="8"/>
        <v>0.27777777777777768</v>
      </c>
      <c r="M75" s="195">
        <v>400</v>
      </c>
      <c r="N75" s="261">
        <f t="shared" si="15"/>
        <v>341</v>
      </c>
      <c r="P75" s="254">
        <f t="shared" si="9"/>
        <v>46031</v>
      </c>
      <c r="Q75" s="268" t="str">
        <f t="shared" si="7"/>
        <v>STAR MALT</v>
      </c>
      <c r="R75" s="217">
        <f t="shared" ref="R75:S75" si="17">E14</f>
        <v>1.5555555555555556</v>
      </c>
      <c r="S75" s="217">
        <f t="shared" si="17"/>
        <v>1.8333333333333333</v>
      </c>
      <c r="T75" s="721"/>
    </row>
    <row r="76" spans="1:50" s="194" customFormat="1" ht="16.5">
      <c r="A76" s="195"/>
      <c r="B76" s="195"/>
      <c r="D76" s="214"/>
      <c r="G76" s="214"/>
      <c r="H76" s="254">
        <f t="shared" si="3"/>
        <v>46032</v>
      </c>
      <c r="I76" s="214" t="str">
        <f t="shared" si="4"/>
        <v>STAR MALT</v>
      </c>
      <c r="J76" s="217">
        <f t="shared" si="5"/>
        <v>0.35069444444444442</v>
      </c>
      <c r="K76" s="217">
        <f t="shared" si="6"/>
        <v>0.60416666666666663</v>
      </c>
      <c r="L76" s="260">
        <f t="shared" si="8"/>
        <v>0.25347222222222221</v>
      </c>
      <c r="M76" s="195">
        <v>365</v>
      </c>
      <c r="N76" s="261">
        <f t="shared" si="15"/>
        <v>331</v>
      </c>
      <c r="P76" s="254">
        <f t="shared" si="9"/>
        <v>46032</v>
      </c>
      <c r="Q76" s="268" t="str">
        <f t="shared" si="7"/>
        <v>STAR MALT</v>
      </c>
      <c r="R76" s="526">
        <v>0.3263888888888889</v>
      </c>
      <c r="S76" s="526">
        <f t="shared" ref="S76" si="18">F15</f>
        <v>0.60416666666666663</v>
      </c>
      <c r="T76" s="269">
        <f>S76-R76</f>
        <v>0.27777777777777773</v>
      </c>
    </row>
    <row r="77" spans="1:50" s="194" customFormat="1" ht="16.5">
      <c r="A77" s="195"/>
      <c r="B77" s="195"/>
      <c r="H77" s="254">
        <f t="shared" si="3"/>
        <v>46034</v>
      </c>
      <c r="I77" s="214" t="str">
        <f t="shared" si="4"/>
        <v>VITA MALT ( CLASSIC)</v>
      </c>
      <c r="J77" s="217">
        <f t="shared" si="5"/>
        <v>0.13541666666666666</v>
      </c>
      <c r="K77" s="217">
        <f t="shared" si="6"/>
        <v>0.46527777777777779</v>
      </c>
      <c r="L77" s="260">
        <f t="shared" si="8"/>
        <v>0.32986111111111116</v>
      </c>
      <c r="M77" s="195">
        <v>475</v>
      </c>
      <c r="N77" s="261">
        <f t="shared" si="15"/>
        <v>375</v>
      </c>
      <c r="P77" s="254">
        <f t="shared" si="9"/>
        <v>46034</v>
      </c>
      <c r="Q77" s="268" t="str">
        <f t="shared" si="7"/>
        <v>VITA MALT ( CLASSIC)</v>
      </c>
      <c r="R77" s="526">
        <v>4.1666666666666664E-2</v>
      </c>
      <c r="S77" s="217">
        <f t="shared" ref="S77" si="19">F16</f>
        <v>0.46527777777777779</v>
      </c>
      <c r="T77" s="721">
        <f>S79-R77</f>
        <v>0.95833333333333337</v>
      </c>
    </row>
    <row r="78" spans="1:50" s="194" customFormat="1" ht="16.5">
      <c r="A78" s="195"/>
      <c r="B78" s="195"/>
      <c r="H78" s="254">
        <f t="shared" si="3"/>
        <v>46034</v>
      </c>
      <c r="I78" s="214" t="str">
        <f t="shared" si="4"/>
        <v>STAR MALT</v>
      </c>
      <c r="J78" s="217">
        <f t="shared" si="5"/>
        <v>0.59583333333333333</v>
      </c>
      <c r="K78" s="217">
        <f t="shared" si="6"/>
        <v>0.8520833333333333</v>
      </c>
      <c r="L78" s="260">
        <f t="shared" si="8"/>
        <v>0.25624999999999998</v>
      </c>
      <c r="M78" s="195">
        <v>369</v>
      </c>
      <c r="N78" s="261">
        <f t="shared" si="15"/>
        <v>369</v>
      </c>
      <c r="P78" s="254">
        <f t="shared" si="9"/>
        <v>46034</v>
      </c>
      <c r="Q78" s="268" t="str">
        <f t="shared" si="7"/>
        <v>STAR MALT</v>
      </c>
      <c r="R78" s="217">
        <f t="shared" ref="R78:S78" si="20">E17</f>
        <v>0.59583333333333333</v>
      </c>
      <c r="S78" s="217">
        <f t="shared" si="20"/>
        <v>0.8520833333333333</v>
      </c>
      <c r="T78" s="721"/>
    </row>
    <row r="79" spans="1:50" s="194" customFormat="1" ht="16.5">
      <c r="A79" s="195"/>
      <c r="B79" s="195"/>
      <c r="H79" s="254">
        <f t="shared" si="3"/>
        <v>46034</v>
      </c>
      <c r="I79" s="214" t="str">
        <f t="shared" si="4"/>
        <v>STAG</v>
      </c>
      <c r="J79" s="217">
        <f t="shared" si="5"/>
        <v>0.91666666666666663</v>
      </c>
      <c r="K79" s="217">
        <f t="shared" si="6"/>
        <v>1</v>
      </c>
      <c r="L79" s="260">
        <f t="shared" si="8"/>
        <v>8.333333333333337E-2</v>
      </c>
      <c r="M79" s="195">
        <v>120</v>
      </c>
      <c r="N79" s="261">
        <f t="shared" si="15"/>
        <v>78</v>
      </c>
      <c r="P79" s="254">
        <f t="shared" si="9"/>
        <v>46034</v>
      </c>
      <c r="Q79" s="268" t="str">
        <f t="shared" si="7"/>
        <v>STAG</v>
      </c>
      <c r="R79" s="217">
        <f t="shared" ref="R79:S79" si="21">E18</f>
        <v>0.91666666666666663</v>
      </c>
      <c r="S79" s="217">
        <f t="shared" si="21"/>
        <v>1</v>
      </c>
      <c r="T79" s="721"/>
    </row>
    <row r="80" spans="1:50" s="194" customFormat="1" ht="16.5">
      <c r="A80" s="195"/>
      <c r="B80" s="195"/>
      <c r="H80" s="254">
        <f t="shared" si="3"/>
        <v>46035</v>
      </c>
      <c r="I80" s="214" t="str">
        <f t="shared" si="4"/>
        <v>STAG</v>
      </c>
      <c r="J80" s="217">
        <f t="shared" si="5"/>
        <v>1.0104166666666667</v>
      </c>
      <c r="K80" s="217">
        <f t="shared" si="6"/>
        <v>1.6388888888888888</v>
      </c>
      <c r="L80" s="260">
        <f t="shared" si="8"/>
        <v>0.6284722222222221</v>
      </c>
      <c r="M80" s="195">
        <v>905</v>
      </c>
      <c r="N80" s="261">
        <f t="shared" si="15"/>
        <v>861</v>
      </c>
      <c r="P80" s="254">
        <f t="shared" si="9"/>
        <v>46035</v>
      </c>
      <c r="Q80" s="268" t="str">
        <f t="shared" si="7"/>
        <v>STAG</v>
      </c>
      <c r="R80" s="526">
        <v>1</v>
      </c>
      <c r="S80" s="217">
        <f t="shared" ref="S80" si="22">F19</f>
        <v>1.6388888888888888</v>
      </c>
      <c r="T80" s="721">
        <f>S81-R80</f>
        <v>1</v>
      </c>
    </row>
    <row r="81" spans="1:20" s="194" customFormat="1" ht="16.5">
      <c r="A81" s="195"/>
      <c r="B81" s="195"/>
      <c r="H81" s="254">
        <f t="shared" si="3"/>
        <v>46035</v>
      </c>
      <c r="I81" s="214" t="str">
        <f t="shared" si="4"/>
        <v>CARIB AMBER</v>
      </c>
      <c r="J81" s="217">
        <f t="shared" si="5"/>
        <v>1.6493055555555556</v>
      </c>
      <c r="K81" s="217">
        <f t="shared" si="6"/>
        <v>2</v>
      </c>
      <c r="L81" s="260">
        <f t="shared" si="8"/>
        <v>0.35069444444444442</v>
      </c>
      <c r="M81" s="195">
        <v>505</v>
      </c>
      <c r="N81" s="261">
        <f t="shared" si="11"/>
        <v>496</v>
      </c>
      <c r="P81" s="254">
        <f t="shared" si="9"/>
        <v>46035</v>
      </c>
      <c r="Q81" s="268" t="str">
        <f t="shared" si="7"/>
        <v>CARIB AMBER</v>
      </c>
      <c r="R81" s="217">
        <f t="shared" ref="R81:S81" si="23">E20</f>
        <v>1.6493055555555556</v>
      </c>
      <c r="S81" s="217">
        <f t="shared" si="23"/>
        <v>2</v>
      </c>
      <c r="T81" s="721"/>
    </row>
    <row r="82" spans="1:20" s="194" customFormat="1" ht="16.5">
      <c r="A82" s="195"/>
      <c r="B82" s="195"/>
      <c r="H82" s="254">
        <f t="shared" si="3"/>
        <v>46036</v>
      </c>
      <c r="I82" s="214" t="str">
        <f t="shared" si="4"/>
        <v>CARIB AMBER</v>
      </c>
      <c r="J82" s="217">
        <f t="shared" si="5"/>
        <v>1.0083333333333333</v>
      </c>
      <c r="K82" s="217">
        <f t="shared" si="6"/>
        <v>1.2118055555555556</v>
      </c>
      <c r="L82" s="260">
        <f t="shared" si="8"/>
        <v>0.20347222222222228</v>
      </c>
      <c r="M82" s="195">
        <v>293</v>
      </c>
      <c r="N82" s="261">
        <f t="shared" si="11"/>
        <v>278</v>
      </c>
      <c r="P82" s="254">
        <f t="shared" si="9"/>
        <v>46036</v>
      </c>
      <c r="Q82" s="268" t="str">
        <f t="shared" si="7"/>
        <v>CARIB AMBER</v>
      </c>
      <c r="R82" s="217">
        <f t="shared" ref="R82:S82" si="24">E21</f>
        <v>1.0083333333333333</v>
      </c>
      <c r="S82" s="217">
        <f t="shared" si="24"/>
        <v>1.2118055555555556</v>
      </c>
      <c r="T82" s="721">
        <f>S83-R82</f>
        <v>0.9916666666666667</v>
      </c>
    </row>
    <row r="83" spans="1:20" s="194" customFormat="1" ht="16.5">
      <c r="A83" s="195"/>
      <c r="B83" s="195"/>
      <c r="H83" s="254">
        <f t="shared" si="3"/>
        <v>46036</v>
      </c>
      <c r="I83" s="214" t="str">
        <f t="shared" si="4"/>
        <v>STAG</v>
      </c>
      <c r="J83" s="217">
        <f t="shared" si="5"/>
        <v>1.2208333333333334</v>
      </c>
      <c r="K83" s="217">
        <f t="shared" si="6"/>
        <v>1.9819444444444445</v>
      </c>
      <c r="L83" s="260">
        <f t="shared" si="8"/>
        <v>0.76111111111111107</v>
      </c>
      <c r="M83" s="195">
        <v>1096</v>
      </c>
      <c r="N83" s="261">
        <f t="shared" si="11"/>
        <v>949</v>
      </c>
      <c r="P83" s="254">
        <f t="shared" si="9"/>
        <v>46036</v>
      </c>
      <c r="Q83" s="268" t="str">
        <f t="shared" si="7"/>
        <v>STAG</v>
      </c>
      <c r="R83" s="217">
        <f t="shared" ref="R83" si="25">E22</f>
        <v>1.2208333333333334</v>
      </c>
      <c r="S83" s="526">
        <v>2</v>
      </c>
      <c r="T83" s="721"/>
    </row>
    <row r="84" spans="1:20" s="194" customFormat="1" ht="16.5">
      <c r="A84" s="195"/>
      <c r="B84" s="195"/>
      <c r="H84" s="254">
        <f t="shared" si="3"/>
        <v>46037</v>
      </c>
      <c r="I84" s="214" t="str">
        <f t="shared" si="4"/>
        <v>MACKESON</v>
      </c>
      <c r="J84" s="217">
        <f t="shared" si="5"/>
        <v>1.0222222222222221</v>
      </c>
      <c r="K84" s="217">
        <f t="shared" si="6"/>
        <v>1.7104166666666667</v>
      </c>
      <c r="L84" s="260">
        <f t="shared" si="8"/>
        <v>0.68819444444444455</v>
      </c>
      <c r="M84" s="264">
        <v>991</v>
      </c>
      <c r="N84" s="261">
        <f t="shared" si="11"/>
        <v>965</v>
      </c>
      <c r="P84" s="254">
        <f t="shared" si="9"/>
        <v>46037</v>
      </c>
      <c r="Q84" s="268" t="str">
        <f t="shared" si="7"/>
        <v>MACKESON</v>
      </c>
      <c r="R84" s="217">
        <f t="shared" ref="R84:S84" si="26">E23</f>
        <v>1.0222222222222221</v>
      </c>
      <c r="S84" s="217">
        <f t="shared" si="26"/>
        <v>1.7104166666666667</v>
      </c>
      <c r="T84" s="721">
        <f>S85-R84</f>
        <v>0.97777777777777786</v>
      </c>
    </row>
    <row r="85" spans="1:20" s="194" customFormat="1" ht="16.5">
      <c r="A85" s="195"/>
      <c r="B85" s="195"/>
      <c r="H85" s="254">
        <f t="shared" si="3"/>
        <v>46037</v>
      </c>
      <c r="I85" s="214" t="str">
        <f t="shared" si="4"/>
        <v>SHANDY SORREL (LOC)</v>
      </c>
      <c r="J85" s="217">
        <f t="shared" si="5"/>
        <v>1.7749999999999999</v>
      </c>
      <c r="K85" s="217">
        <f t="shared" si="6"/>
        <v>1.9569444444444444</v>
      </c>
      <c r="L85" s="260">
        <f t="shared" si="8"/>
        <v>0.18194444444444446</v>
      </c>
      <c r="M85" s="264">
        <v>262</v>
      </c>
      <c r="N85" s="261">
        <f t="shared" si="11"/>
        <v>252</v>
      </c>
      <c r="P85" s="254">
        <f t="shared" si="9"/>
        <v>46037</v>
      </c>
      <c r="Q85" s="268" t="str">
        <f t="shared" si="7"/>
        <v>SHANDY SORREL (LOC)</v>
      </c>
      <c r="R85" s="217">
        <f t="shared" ref="R85" si="27">E24</f>
        <v>1.7749999999999999</v>
      </c>
      <c r="S85" s="526">
        <v>2</v>
      </c>
      <c r="T85" s="721"/>
    </row>
    <row r="86" spans="1:20" s="194" customFormat="1" ht="16.5">
      <c r="A86" s="195"/>
      <c r="B86" s="195"/>
      <c r="H86" s="254">
        <f t="shared" si="3"/>
        <v>46038</v>
      </c>
      <c r="I86" s="214" t="str">
        <f t="shared" si="4"/>
        <v>TING( GREEN)</v>
      </c>
      <c r="J86" s="217">
        <f t="shared" si="5"/>
        <v>1.0208333333333333</v>
      </c>
      <c r="K86" s="217">
        <f t="shared" si="6"/>
        <v>1.2430555555555556</v>
      </c>
      <c r="L86" s="260">
        <f t="shared" si="8"/>
        <v>0.22222222222222232</v>
      </c>
      <c r="M86" s="264">
        <v>320</v>
      </c>
      <c r="N86" s="261">
        <f t="shared" si="11"/>
        <v>311</v>
      </c>
      <c r="P86" s="254">
        <f t="shared" si="9"/>
        <v>46038</v>
      </c>
      <c r="Q86" s="268" t="str">
        <f t="shared" si="7"/>
        <v>TING( GREEN)</v>
      </c>
      <c r="R86" s="217">
        <f t="shared" ref="R86:S86" si="28">E25</f>
        <v>1.0208333333333333</v>
      </c>
      <c r="S86" s="217">
        <f t="shared" si="28"/>
        <v>1.2430555555555556</v>
      </c>
      <c r="T86" s="721">
        <f>S87-R86</f>
        <v>0.85416666666666674</v>
      </c>
    </row>
    <row r="87" spans="1:20" s="194" customFormat="1" ht="16.5">
      <c r="A87" s="195"/>
      <c r="B87" s="195"/>
      <c r="H87" s="254">
        <f t="shared" si="3"/>
        <v>46038</v>
      </c>
      <c r="I87" s="214" t="str">
        <f t="shared" si="4"/>
        <v>CARIB AMBER</v>
      </c>
      <c r="J87" s="217">
        <f t="shared" si="5"/>
        <v>1.3097222222222222</v>
      </c>
      <c r="K87" s="217">
        <f t="shared" si="6"/>
        <v>1.825</v>
      </c>
      <c r="L87" s="260">
        <f t="shared" si="8"/>
        <v>0.51527777777777772</v>
      </c>
      <c r="M87" s="264">
        <v>742</v>
      </c>
      <c r="N87" s="261">
        <f t="shared" si="11"/>
        <v>731</v>
      </c>
      <c r="P87" s="254">
        <f t="shared" si="9"/>
        <v>46038</v>
      </c>
      <c r="Q87" s="268" t="str">
        <f t="shared" si="7"/>
        <v>CARIB AMBER</v>
      </c>
      <c r="R87" s="217">
        <f t="shared" ref="R87" si="29">E26</f>
        <v>1.3097222222222222</v>
      </c>
      <c r="S87" s="526">
        <v>1.875</v>
      </c>
      <c r="T87" s="721"/>
    </row>
    <row r="88" spans="1:20" s="194" customFormat="1" ht="16.5">
      <c r="A88" s="195"/>
      <c r="B88" s="195"/>
      <c r="H88" s="254">
        <f t="shared" si="3"/>
        <v>46041</v>
      </c>
      <c r="I88" s="214" t="str">
        <f t="shared" si="4"/>
        <v>CARIB AMBER</v>
      </c>
      <c r="J88" s="217">
        <f t="shared" si="5"/>
        <v>1.1076388888888888</v>
      </c>
      <c r="K88" s="217">
        <f t="shared" si="6"/>
        <v>1.648611111111111</v>
      </c>
      <c r="L88" s="260">
        <f t="shared" si="8"/>
        <v>0.54097222222222219</v>
      </c>
      <c r="M88" s="195">
        <v>779</v>
      </c>
      <c r="N88" s="261">
        <f t="shared" si="11"/>
        <v>736</v>
      </c>
      <c r="P88" s="254">
        <f t="shared" si="9"/>
        <v>46041</v>
      </c>
      <c r="Q88" s="268" t="str">
        <f t="shared" si="7"/>
        <v>CARIB AMBER</v>
      </c>
      <c r="R88" s="526">
        <v>1.0416666666666667</v>
      </c>
      <c r="S88" s="217">
        <f t="shared" ref="S88" si="30">F27</f>
        <v>1.648611111111111</v>
      </c>
      <c r="T88" s="721">
        <f>S89-R88</f>
        <v>0.95833333333333326</v>
      </c>
    </row>
    <row r="89" spans="1:20" s="194" customFormat="1" ht="16.5">
      <c r="A89" s="195"/>
      <c r="B89" s="195"/>
      <c r="H89" s="254">
        <f t="shared" si="3"/>
        <v>46041</v>
      </c>
      <c r="I89" s="214" t="str">
        <f t="shared" si="4"/>
        <v>STAG</v>
      </c>
      <c r="J89" s="217">
        <f t="shared" si="5"/>
        <v>1.7951388888888888</v>
      </c>
      <c r="K89" s="217">
        <f t="shared" si="6"/>
        <v>2</v>
      </c>
      <c r="L89" s="260">
        <f t="shared" si="8"/>
        <v>0.20486111111111116</v>
      </c>
      <c r="M89" s="195">
        <v>295</v>
      </c>
      <c r="N89" s="261">
        <f t="shared" si="11"/>
        <v>295</v>
      </c>
      <c r="P89" s="254">
        <f t="shared" si="9"/>
        <v>46041</v>
      </c>
      <c r="Q89" s="268" t="str">
        <f t="shared" si="7"/>
        <v>STAG</v>
      </c>
      <c r="R89" s="217">
        <f t="shared" ref="R89:S89" si="31">E28</f>
        <v>1.7951388888888888</v>
      </c>
      <c r="S89" s="217">
        <f t="shared" si="31"/>
        <v>2</v>
      </c>
      <c r="T89" s="721"/>
    </row>
    <row r="90" spans="1:20" s="194" customFormat="1" ht="16.5">
      <c r="A90" s="195"/>
      <c r="B90" s="195"/>
      <c r="H90" s="254">
        <f t="shared" si="3"/>
        <v>46042</v>
      </c>
      <c r="I90" s="214" t="str">
        <f t="shared" si="4"/>
        <v>STAG</v>
      </c>
      <c r="J90" s="217">
        <f t="shared" si="5"/>
        <v>1.0034722222222223</v>
      </c>
      <c r="K90" s="217">
        <f t="shared" si="6"/>
        <v>1.4131944444444444</v>
      </c>
      <c r="L90" s="260">
        <f t="shared" si="8"/>
        <v>0.4097222222222221</v>
      </c>
      <c r="M90" s="195">
        <v>590</v>
      </c>
      <c r="N90" s="261">
        <f t="shared" si="11"/>
        <v>588</v>
      </c>
      <c r="P90" s="254">
        <f t="shared" si="9"/>
        <v>46042</v>
      </c>
      <c r="Q90" s="268" t="str">
        <f t="shared" si="7"/>
        <v>STAG</v>
      </c>
      <c r="R90" s="217">
        <f t="shared" ref="R90:S90" si="32">E29</f>
        <v>1.0034722222222223</v>
      </c>
      <c r="S90" s="217">
        <f t="shared" si="32"/>
        <v>1.4131944444444444</v>
      </c>
      <c r="T90" s="721">
        <f>S91-R90</f>
        <v>0.99652777777777768</v>
      </c>
    </row>
    <row r="91" spans="1:20" s="194" customFormat="1" ht="16.5">
      <c r="A91" s="195"/>
      <c r="B91" s="195"/>
      <c r="H91" s="254">
        <f t="shared" si="3"/>
        <v>46042</v>
      </c>
      <c r="I91" s="214" t="str">
        <f t="shared" si="4"/>
        <v>GINSENG UP (ORG)</v>
      </c>
      <c r="J91" s="217">
        <f t="shared" si="5"/>
        <v>1.4659722222222222</v>
      </c>
      <c r="K91" s="217">
        <f t="shared" si="6"/>
        <v>1.8631944444444444</v>
      </c>
      <c r="L91" s="260">
        <f t="shared" si="8"/>
        <v>0.39722222222222214</v>
      </c>
      <c r="M91" s="195">
        <v>572</v>
      </c>
      <c r="N91" s="261">
        <f t="shared" si="11"/>
        <v>572</v>
      </c>
      <c r="P91" s="254">
        <f t="shared" si="9"/>
        <v>46042</v>
      </c>
      <c r="Q91" s="268" t="str">
        <f t="shared" si="7"/>
        <v>GINSENG UP (ORG)</v>
      </c>
      <c r="R91" s="217">
        <f t="shared" ref="R91" si="33">E30</f>
        <v>1.4659722222222222</v>
      </c>
      <c r="S91" s="526">
        <v>2</v>
      </c>
      <c r="T91" s="721"/>
    </row>
    <row r="92" spans="1:20" s="194" customFormat="1" ht="16.5">
      <c r="A92" s="195"/>
      <c r="B92" s="195"/>
      <c r="H92" s="254">
        <f t="shared" si="3"/>
        <v>46043</v>
      </c>
      <c r="I92" s="214" t="str">
        <f t="shared" si="4"/>
        <v>SODA WATER</v>
      </c>
      <c r="J92" s="217">
        <f t="shared" si="5"/>
        <v>1.1111111111111112</v>
      </c>
      <c r="K92" s="217">
        <f t="shared" si="6"/>
        <v>1.1618055555555555</v>
      </c>
      <c r="L92" s="260">
        <f t="shared" si="8"/>
        <v>5.0694444444444375E-2</v>
      </c>
      <c r="M92" s="265">
        <v>73</v>
      </c>
      <c r="N92" s="261">
        <f t="shared" si="11"/>
        <v>62</v>
      </c>
      <c r="O92" s="266"/>
      <c r="P92" s="254">
        <f t="shared" si="9"/>
        <v>46043</v>
      </c>
      <c r="Q92" s="268" t="str">
        <f t="shared" si="7"/>
        <v>SODA WATER</v>
      </c>
      <c r="R92" s="526">
        <v>1</v>
      </c>
      <c r="S92" s="217">
        <f t="shared" ref="S92" si="34">F31</f>
        <v>1.1618055555555555</v>
      </c>
      <c r="T92" s="721">
        <f>S95-R92</f>
        <v>1</v>
      </c>
    </row>
    <row r="93" spans="1:20" s="194" customFormat="1" ht="16.5">
      <c r="A93" s="195"/>
      <c r="B93" s="195"/>
      <c r="F93" s="194" t="s">
        <v>454</v>
      </c>
      <c r="H93" s="254">
        <f t="shared" si="3"/>
        <v>46043</v>
      </c>
      <c r="I93" s="214" t="str">
        <f t="shared" si="4"/>
        <v>KOLA CHAMP J.COOL</v>
      </c>
      <c r="J93" s="217">
        <f t="shared" si="5"/>
        <v>1.1701388888888888</v>
      </c>
      <c r="K93" s="217">
        <f t="shared" si="6"/>
        <v>1.5506944444444444</v>
      </c>
      <c r="L93" s="260">
        <f t="shared" si="8"/>
        <v>0.38055555555555554</v>
      </c>
      <c r="M93" s="265">
        <v>668</v>
      </c>
      <c r="N93" s="261">
        <f t="shared" si="11"/>
        <v>665</v>
      </c>
      <c r="O93" s="266"/>
      <c r="P93" s="254">
        <f t="shared" si="9"/>
        <v>46043</v>
      </c>
      <c r="Q93" s="268" t="str">
        <f t="shared" si="7"/>
        <v>KOLA CHAMP J.COOL</v>
      </c>
      <c r="R93" s="217">
        <f t="shared" ref="R93:S93" si="35">E32</f>
        <v>1.1701388888888888</v>
      </c>
      <c r="S93" s="217">
        <f t="shared" si="35"/>
        <v>1.5506944444444444</v>
      </c>
      <c r="T93" s="721"/>
    </row>
    <row r="94" spans="1:20" s="194" customFormat="1" ht="16.5">
      <c r="A94" s="195"/>
      <c r="B94" s="195"/>
      <c r="H94" s="254">
        <f t="shared" si="3"/>
        <v>46043</v>
      </c>
      <c r="I94" s="214" t="str">
        <f t="shared" si="4"/>
        <v xml:space="preserve">CREAM SODA </v>
      </c>
      <c r="J94" s="217">
        <f t="shared" si="5"/>
        <v>1.5722222222222222</v>
      </c>
      <c r="K94" s="217">
        <f t="shared" si="6"/>
        <v>1.8354166666666667</v>
      </c>
      <c r="L94" s="260">
        <f t="shared" si="8"/>
        <v>0.26319444444444451</v>
      </c>
      <c r="M94" s="222">
        <v>379</v>
      </c>
      <c r="N94" s="261">
        <f t="shared" si="11"/>
        <v>311</v>
      </c>
      <c r="O94" s="266"/>
      <c r="P94" s="254">
        <f t="shared" si="9"/>
        <v>46043</v>
      </c>
      <c r="Q94" s="268" t="str">
        <f t="shared" si="7"/>
        <v xml:space="preserve">CREAM SODA </v>
      </c>
      <c r="R94" s="217">
        <f t="shared" ref="R94:S94" si="36">E33</f>
        <v>1.5722222222222222</v>
      </c>
      <c r="S94" s="217">
        <f t="shared" si="36"/>
        <v>1.8354166666666667</v>
      </c>
      <c r="T94" s="721"/>
    </row>
    <row r="95" spans="1:20" s="194" customFormat="1" ht="16.5">
      <c r="A95" s="195"/>
      <c r="B95" s="195"/>
      <c r="H95" s="254">
        <f t="shared" si="3"/>
        <v>46043</v>
      </c>
      <c r="I95" s="214" t="str">
        <f t="shared" si="4"/>
        <v>BANANA</v>
      </c>
      <c r="J95" s="217">
        <f t="shared" si="5"/>
        <v>1.8784722222222223</v>
      </c>
      <c r="K95" s="217">
        <f t="shared" si="6"/>
        <v>2</v>
      </c>
      <c r="L95" s="260">
        <f t="shared" si="8"/>
        <v>0.12152777777777768</v>
      </c>
      <c r="M95" s="222">
        <v>175</v>
      </c>
      <c r="N95" s="261">
        <f t="shared" si="11"/>
        <v>175</v>
      </c>
      <c r="O95" s="266"/>
      <c r="P95" s="254">
        <f t="shared" si="9"/>
        <v>46043</v>
      </c>
      <c r="Q95" s="268" t="str">
        <f t="shared" si="7"/>
        <v>BANANA</v>
      </c>
      <c r="R95" s="217">
        <f t="shared" ref="R95:S95" si="37">E34</f>
        <v>1.8784722222222223</v>
      </c>
      <c r="S95" s="217">
        <f t="shared" si="37"/>
        <v>2</v>
      </c>
      <c r="T95" s="721"/>
    </row>
    <row r="96" spans="1:20" s="194" customFormat="1" ht="16.5">
      <c r="A96" s="195"/>
      <c r="B96" s="195"/>
      <c r="H96" s="254">
        <f t="shared" si="3"/>
        <v>46044</v>
      </c>
      <c r="I96" s="214" t="str">
        <f t="shared" si="4"/>
        <v>NO PRODUCTION- LOW WATER PRESSURE</v>
      </c>
      <c r="J96" s="217">
        <f t="shared" si="5"/>
        <v>0</v>
      </c>
      <c r="K96" s="217">
        <f t="shared" si="6"/>
        <v>0</v>
      </c>
      <c r="L96" s="260">
        <f t="shared" si="8"/>
        <v>0</v>
      </c>
      <c r="M96" s="222"/>
      <c r="N96" s="261">
        <f t="shared" si="11"/>
        <v>0</v>
      </c>
      <c r="O96" s="266"/>
      <c r="P96" s="254">
        <f t="shared" si="9"/>
        <v>46044</v>
      </c>
      <c r="Q96" s="268" t="str">
        <f t="shared" si="7"/>
        <v>NO PRODUCTION- LOW WATER PRESSURE</v>
      </c>
      <c r="R96" s="217">
        <f t="shared" ref="R96:S96" si="38">E35</f>
        <v>0</v>
      </c>
      <c r="S96" s="217">
        <f t="shared" si="38"/>
        <v>0</v>
      </c>
      <c r="T96" s="270"/>
    </row>
    <row r="97" spans="1:51" s="194" customFormat="1" ht="16.5">
      <c r="A97" s="195"/>
      <c r="B97" s="195"/>
      <c r="H97" s="254">
        <f t="shared" si="3"/>
        <v>46045</v>
      </c>
      <c r="I97" s="214" t="str">
        <f t="shared" si="4"/>
        <v>BANANA J.COOL</v>
      </c>
      <c r="J97" s="217">
        <f t="shared" si="5"/>
        <v>1.2763888888888888</v>
      </c>
      <c r="K97" s="217">
        <f t="shared" si="6"/>
        <v>1.2805555555555554</v>
      </c>
      <c r="L97" s="260">
        <f t="shared" si="8"/>
        <v>4.1666666666666519E-3</v>
      </c>
      <c r="M97" s="222">
        <v>6</v>
      </c>
      <c r="N97" s="261">
        <f>M97-(H36+K36+L36+N36+AA36+AB36+AC36)</f>
        <v>6</v>
      </c>
      <c r="O97" s="266"/>
      <c r="P97" s="254">
        <f t="shared" si="9"/>
        <v>46045</v>
      </c>
      <c r="Q97" s="268" t="str">
        <f t="shared" si="7"/>
        <v>BANANA J.COOL</v>
      </c>
      <c r="R97" s="526">
        <v>1</v>
      </c>
      <c r="S97" s="217">
        <f t="shared" ref="S97" si="39">F36</f>
        <v>1.2805555555555554</v>
      </c>
      <c r="T97" s="721">
        <f>S100-R97</f>
        <v>0.84791666666666665</v>
      </c>
    </row>
    <row r="98" spans="1:51" s="194" customFormat="1" ht="16.5">
      <c r="A98" s="195"/>
      <c r="B98" s="195"/>
      <c r="H98" s="254">
        <f t="shared" si="3"/>
        <v>46045</v>
      </c>
      <c r="I98" s="214" t="str">
        <f t="shared" si="4"/>
        <v>j COOL GINGER</v>
      </c>
      <c r="J98" s="217">
        <f t="shared" si="5"/>
        <v>1.3111111111111111</v>
      </c>
      <c r="K98" s="217">
        <f t="shared" si="6"/>
        <v>1.6145833333333333</v>
      </c>
      <c r="L98" s="260">
        <f t="shared" si="8"/>
        <v>0.30347222222222214</v>
      </c>
      <c r="M98" s="195">
        <v>437</v>
      </c>
      <c r="N98" s="261">
        <f t="shared" si="11"/>
        <v>303</v>
      </c>
      <c r="P98" s="254">
        <f t="shared" si="9"/>
        <v>46045</v>
      </c>
      <c r="Q98" s="268" t="str">
        <f t="shared" si="7"/>
        <v>j COOL GINGER</v>
      </c>
      <c r="R98" s="217">
        <f t="shared" ref="R98:S98" si="40">E37</f>
        <v>1.3111111111111111</v>
      </c>
      <c r="S98" s="217">
        <f t="shared" si="40"/>
        <v>1.6145833333333333</v>
      </c>
      <c r="T98" s="721"/>
    </row>
    <row r="99" spans="1:51" s="194" customFormat="1" ht="16.5">
      <c r="A99" s="195"/>
      <c r="B99" s="195"/>
      <c r="H99" s="254">
        <f t="shared" si="3"/>
        <v>46045</v>
      </c>
      <c r="I99" s="214" t="str">
        <f t="shared" si="4"/>
        <v xml:space="preserve">J COOL GRAPE </v>
      </c>
      <c r="J99" s="217">
        <f t="shared" si="5"/>
        <v>1.6347222222222222</v>
      </c>
      <c r="K99" s="217">
        <f t="shared" si="6"/>
        <v>1.7680555555555555</v>
      </c>
      <c r="L99" s="260">
        <f t="shared" si="8"/>
        <v>0.1333333333333333</v>
      </c>
      <c r="M99" s="195">
        <v>192</v>
      </c>
      <c r="N99" s="261">
        <f t="shared" si="11"/>
        <v>170</v>
      </c>
      <c r="P99" s="254">
        <f t="shared" si="9"/>
        <v>46045</v>
      </c>
      <c r="Q99" s="268" t="str">
        <f t="shared" si="7"/>
        <v xml:space="preserve">J COOL GRAPE </v>
      </c>
      <c r="R99" s="217">
        <f t="shared" ref="R99:S99" si="41">E38</f>
        <v>1.6347222222222222</v>
      </c>
      <c r="S99" s="217">
        <f t="shared" si="41"/>
        <v>1.7680555555555555</v>
      </c>
      <c r="T99" s="721"/>
    </row>
    <row r="100" spans="1:51" s="194" customFormat="1" ht="16.5">
      <c r="A100" s="195"/>
      <c r="B100" s="195"/>
      <c r="H100" s="254">
        <f t="shared" si="3"/>
        <v>46045</v>
      </c>
      <c r="I100" s="214" t="str">
        <f t="shared" si="4"/>
        <v>J COOL SORREL</v>
      </c>
      <c r="J100" s="217">
        <f t="shared" si="5"/>
        <v>1.7826388888888889</v>
      </c>
      <c r="K100" s="217">
        <f t="shared" si="6"/>
        <v>1.8479166666666667</v>
      </c>
      <c r="L100" s="260">
        <f t="shared" si="8"/>
        <v>6.5277777777777768E-2</v>
      </c>
      <c r="M100" s="195">
        <v>94</v>
      </c>
      <c r="N100" s="261">
        <f t="shared" si="11"/>
        <v>94</v>
      </c>
      <c r="P100" s="254">
        <f t="shared" si="9"/>
        <v>46045</v>
      </c>
      <c r="Q100" s="268" t="str">
        <f t="shared" si="7"/>
        <v>J COOL SORREL</v>
      </c>
      <c r="R100" s="217">
        <f t="shared" ref="R100:S100" si="42">E39</f>
        <v>1.7826388888888889</v>
      </c>
      <c r="S100" s="217">
        <f t="shared" si="42"/>
        <v>1.8479166666666667</v>
      </c>
      <c r="T100" s="721"/>
    </row>
    <row r="101" spans="1:51" s="194" customFormat="1" ht="16.5">
      <c r="A101" s="195"/>
      <c r="B101" s="195"/>
      <c r="H101" s="254">
        <f t="shared" si="3"/>
        <v>46048</v>
      </c>
      <c r="I101" s="214" t="str">
        <f t="shared" si="4"/>
        <v>J COOL SORREL</v>
      </c>
      <c r="J101" s="217">
        <f t="shared" si="5"/>
        <v>1.0729166666666667</v>
      </c>
      <c r="K101" s="217">
        <f t="shared" si="6"/>
        <v>1.1361111111111111</v>
      </c>
      <c r="L101" s="260">
        <f t="shared" si="8"/>
        <v>6.3194444444444331E-2</v>
      </c>
      <c r="M101" s="195">
        <v>91</v>
      </c>
      <c r="N101" s="261">
        <f t="shared" si="11"/>
        <v>91</v>
      </c>
      <c r="P101" s="254">
        <f t="shared" si="9"/>
        <v>46048</v>
      </c>
      <c r="Q101" s="268" t="str">
        <f t="shared" si="7"/>
        <v>J COOL SORREL</v>
      </c>
      <c r="R101" s="526">
        <v>1.0416666666666667</v>
      </c>
      <c r="S101" s="217">
        <f t="shared" ref="S101" si="43">F40</f>
        <v>1.1361111111111111</v>
      </c>
      <c r="T101" s="721">
        <f>S102-R101</f>
        <v>0.95833333333333326</v>
      </c>
    </row>
    <row r="102" spans="1:51" s="194" customFormat="1" ht="16.5">
      <c r="A102" s="195"/>
      <c r="B102" s="195"/>
      <c r="H102" s="254">
        <f t="shared" si="3"/>
        <v>46048</v>
      </c>
      <c r="I102" s="214" t="str">
        <f t="shared" si="4"/>
        <v>CARIB AMBER</v>
      </c>
      <c r="J102" s="217">
        <f t="shared" si="5"/>
        <v>1.2256944444444444</v>
      </c>
      <c r="K102" s="217">
        <f t="shared" si="6"/>
        <v>2</v>
      </c>
      <c r="L102" s="260">
        <f t="shared" si="8"/>
        <v>0.77430555555555558</v>
      </c>
      <c r="M102" s="195">
        <v>1115</v>
      </c>
      <c r="N102" s="261">
        <f t="shared" si="11"/>
        <v>1115</v>
      </c>
      <c r="P102" s="254">
        <f t="shared" si="9"/>
        <v>46048</v>
      </c>
      <c r="Q102" s="268" t="str">
        <f t="shared" si="7"/>
        <v>CARIB AMBER</v>
      </c>
      <c r="R102" s="217">
        <f t="shared" ref="R102:S102" si="44">E41</f>
        <v>1.2256944444444444</v>
      </c>
      <c r="S102" s="217">
        <f t="shared" si="44"/>
        <v>2</v>
      </c>
      <c r="T102" s="721"/>
    </row>
    <row r="103" spans="1:51" s="194" customFormat="1" ht="16.5">
      <c r="A103" s="195"/>
      <c r="B103" s="195"/>
      <c r="H103" s="254">
        <f t="shared" si="3"/>
        <v>46049</v>
      </c>
      <c r="I103" s="214" t="str">
        <f t="shared" si="4"/>
        <v>CARIB AMBER</v>
      </c>
      <c r="J103" s="217">
        <f t="shared" si="5"/>
        <v>1.0034722222222223</v>
      </c>
      <c r="K103" s="217">
        <f t="shared" si="6"/>
        <v>1.6875</v>
      </c>
      <c r="L103" s="260">
        <f t="shared" si="8"/>
        <v>0.68402777777777768</v>
      </c>
      <c r="M103" s="195">
        <v>985</v>
      </c>
      <c r="N103" s="261">
        <f t="shared" si="11"/>
        <v>967</v>
      </c>
      <c r="P103" s="254">
        <f t="shared" si="9"/>
        <v>46049</v>
      </c>
      <c r="Q103" s="268" t="str">
        <f t="shared" si="7"/>
        <v>CARIB AMBER</v>
      </c>
      <c r="R103" s="217">
        <f t="shared" ref="R103:S103" si="45">E42</f>
        <v>1.0034722222222223</v>
      </c>
      <c r="S103" s="217">
        <f t="shared" si="45"/>
        <v>1.6875</v>
      </c>
      <c r="T103" s="721">
        <f>S104-R103</f>
        <v>0.99652777777777768</v>
      </c>
    </row>
    <row r="104" spans="1:51" s="194" customFormat="1" ht="16.5">
      <c r="A104" s="195"/>
      <c r="B104" s="195"/>
      <c r="H104" s="254">
        <f t="shared" si="3"/>
        <v>46049</v>
      </c>
      <c r="I104" s="214" t="str">
        <f t="shared" si="4"/>
        <v>CIDER PEARSECCO (EXPORT)</v>
      </c>
      <c r="J104" s="217">
        <f t="shared" si="5"/>
        <v>1.84375</v>
      </c>
      <c r="K104" s="217">
        <f t="shared" si="6"/>
        <v>2</v>
      </c>
      <c r="L104" s="260">
        <f t="shared" si="8"/>
        <v>0.15625</v>
      </c>
      <c r="M104" s="195">
        <v>225</v>
      </c>
      <c r="N104" s="261">
        <f>M104-(H43+K43+L43+M43+N43+AA43+AB43+AC43)</f>
        <v>207</v>
      </c>
      <c r="P104" s="254">
        <f t="shared" si="9"/>
        <v>46049</v>
      </c>
      <c r="Q104" s="268" t="str">
        <f t="shared" si="7"/>
        <v>CIDER PEARSECCO (EXPORT)</v>
      </c>
      <c r="R104" s="217">
        <f t="shared" ref="R104:S104" si="46">E43</f>
        <v>1.84375</v>
      </c>
      <c r="S104" s="217">
        <f t="shared" si="46"/>
        <v>2</v>
      </c>
      <c r="T104" s="721"/>
    </row>
    <row r="105" spans="1:51" ht="16.5">
      <c r="H105" s="254">
        <f t="shared" si="3"/>
        <v>46050</v>
      </c>
      <c r="I105" s="214" t="str">
        <f t="shared" si="4"/>
        <v>CIDER PEARSECCO</v>
      </c>
      <c r="J105" s="217">
        <f t="shared" si="5"/>
        <v>1.0034722222222223</v>
      </c>
      <c r="K105" s="217">
        <f t="shared" si="6"/>
        <v>1.28125</v>
      </c>
      <c r="L105" s="260">
        <f t="shared" si="8"/>
        <v>0.27777777777777768</v>
      </c>
      <c r="M105" s="195">
        <v>400</v>
      </c>
      <c r="N105" s="261">
        <f t="shared" si="11"/>
        <v>400</v>
      </c>
      <c r="P105" s="254">
        <f t="shared" si="9"/>
        <v>46050</v>
      </c>
      <c r="Q105" s="268" t="str">
        <f t="shared" si="7"/>
        <v>CIDER PEARSECCO</v>
      </c>
      <c r="R105" s="217">
        <f t="shared" ref="R105:S105" si="47">E44</f>
        <v>1.0034722222222223</v>
      </c>
      <c r="S105" s="217">
        <f t="shared" si="47"/>
        <v>1.28125</v>
      </c>
      <c r="T105" s="721">
        <f>S107-R105</f>
        <v>0.99652777777777768</v>
      </c>
    </row>
    <row r="106" spans="1:51" ht="16.5">
      <c r="H106" s="254">
        <f t="shared" si="3"/>
        <v>46050</v>
      </c>
      <c r="I106" s="214" t="str">
        <f t="shared" si="4"/>
        <v>CIDER ROSE (EXPORT)/ LOCAL</v>
      </c>
      <c r="J106" s="217">
        <f t="shared" si="5"/>
        <v>1.2965277777777777</v>
      </c>
      <c r="K106" s="217">
        <f t="shared" si="6"/>
        <v>1.7013888888888888</v>
      </c>
      <c r="L106" s="260">
        <f t="shared" si="8"/>
        <v>0.40486111111111112</v>
      </c>
      <c r="M106" s="195">
        <v>583</v>
      </c>
      <c r="N106" s="261">
        <f t="shared" si="11"/>
        <v>530</v>
      </c>
      <c r="P106" s="254">
        <f t="shared" si="9"/>
        <v>46050</v>
      </c>
      <c r="Q106" s="268" t="str">
        <f t="shared" si="7"/>
        <v>CIDER ROSE (EXPORT)/ LOCAL</v>
      </c>
      <c r="R106" s="217">
        <f t="shared" ref="R106:S106" si="48">E45</f>
        <v>1.2965277777777777</v>
      </c>
      <c r="S106" s="217">
        <f t="shared" si="48"/>
        <v>1.7013888888888888</v>
      </c>
      <c r="T106" s="721"/>
    </row>
    <row r="107" spans="1:51" ht="16.5">
      <c r="H107" s="254">
        <f t="shared" si="3"/>
        <v>46050</v>
      </c>
      <c r="I107" s="214" t="str">
        <f t="shared" si="4"/>
        <v>VITA MALT ( CLASSIC)</v>
      </c>
      <c r="J107" s="217">
        <f t="shared" si="5"/>
        <v>1.7916666666666667</v>
      </c>
      <c r="K107" s="217">
        <f t="shared" si="6"/>
        <v>2</v>
      </c>
      <c r="L107" s="260">
        <f t="shared" si="8"/>
        <v>0.20833333333333326</v>
      </c>
      <c r="M107" s="195">
        <v>300</v>
      </c>
      <c r="N107" s="261">
        <f t="shared" si="11"/>
        <v>296</v>
      </c>
      <c r="P107" s="254">
        <f t="shared" si="9"/>
        <v>46050</v>
      </c>
      <c r="Q107" s="268" t="str">
        <f t="shared" si="7"/>
        <v>VITA MALT ( CLASSIC)</v>
      </c>
      <c r="R107" s="217">
        <f t="shared" ref="R107:S107" si="49">E46</f>
        <v>1.7916666666666667</v>
      </c>
      <c r="S107" s="217">
        <f t="shared" si="49"/>
        <v>2</v>
      </c>
      <c r="T107" s="721"/>
    </row>
    <row r="108" spans="1:51" ht="16.5">
      <c r="H108" s="254">
        <f t="shared" si="3"/>
        <v>46051</v>
      </c>
      <c r="I108" s="214" t="str">
        <f t="shared" si="4"/>
        <v>VITA MALT ( CLASSIC)</v>
      </c>
      <c r="J108" s="217">
        <f t="shared" si="5"/>
        <v>1.0055555555555555</v>
      </c>
      <c r="K108" s="217">
        <f t="shared" si="6"/>
        <v>1.3680555555555556</v>
      </c>
      <c r="L108" s="260">
        <f t="shared" si="8"/>
        <v>0.36250000000000004</v>
      </c>
      <c r="M108" s="195">
        <v>522</v>
      </c>
      <c r="N108" s="261">
        <f t="shared" si="11"/>
        <v>495</v>
      </c>
      <c r="P108" s="254">
        <f t="shared" si="9"/>
        <v>46051</v>
      </c>
      <c r="Q108" s="268" t="str">
        <f t="shared" ref="Q108:Q121" si="50">C47</f>
        <v>VITA MALT ( CLASSIC)</v>
      </c>
      <c r="R108" s="217">
        <f t="shared" ref="R108:S108" si="51">E47</f>
        <v>1.0055555555555555</v>
      </c>
      <c r="S108" s="217">
        <f t="shared" si="51"/>
        <v>1.3680555555555556</v>
      </c>
      <c r="T108" s="721">
        <f>S111-R108</f>
        <v>0.99444444444444446</v>
      </c>
    </row>
    <row r="109" spans="1:51" ht="16.5">
      <c r="H109" s="254">
        <f t="shared" si="3"/>
        <v>46051</v>
      </c>
      <c r="I109" s="214" t="str">
        <f t="shared" si="4"/>
        <v>VITA MALT (GINGER)</v>
      </c>
      <c r="J109" s="217">
        <f t="shared" si="5"/>
        <v>1.375</v>
      </c>
      <c r="K109" s="217">
        <f t="shared" si="6"/>
        <v>1.4597222222222221</v>
      </c>
      <c r="L109" s="260">
        <f t="shared" si="8"/>
        <v>8.4722222222222143E-2</v>
      </c>
      <c r="M109" s="195">
        <v>122</v>
      </c>
      <c r="N109" s="261">
        <f t="shared" si="11"/>
        <v>114</v>
      </c>
      <c r="P109" s="254">
        <f t="shared" si="9"/>
        <v>46051</v>
      </c>
      <c r="Q109" s="268" t="str">
        <f t="shared" si="50"/>
        <v>VITA MALT (GINGER)</v>
      </c>
      <c r="R109" s="217">
        <f t="shared" ref="R109:S109" si="52">E48</f>
        <v>1.375</v>
      </c>
      <c r="S109" s="217">
        <f t="shared" si="52"/>
        <v>1.4597222222222221</v>
      </c>
      <c r="T109" s="721"/>
    </row>
    <row r="110" spans="1:51" ht="16.5">
      <c r="H110" s="254">
        <f t="shared" si="3"/>
        <v>46051</v>
      </c>
      <c r="I110" s="214" t="str">
        <f t="shared" si="4"/>
        <v>GUINNESS</v>
      </c>
      <c r="J110" s="217">
        <f t="shared" si="5"/>
        <v>1.5347222222222223</v>
      </c>
      <c r="K110" s="217">
        <f t="shared" si="6"/>
        <v>1.8993055555555556</v>
      </c>
      <c r="L110" s="260">
        <f t="shared" si="8"/>
        <v>0.36458333333333326</v>
      </c>
      <c r="M110" s="195">
        <v>525</v>
      </c>
      <c r="N110" s="261">
        <f>M110-(K49+L49+M49+N49+AA49+AB49+J49+AC49)</f>
        <v>525</v>
      </c>
      <c r="P110" s="254">
        <f t="shared" si="9"/>
        <v>46051</v>
      </c>
      <c r="Q110" s="268" t="str">
        <f t="shared" si="50"/>
        <v>GUINNESS</v>
      </c>
      <c r="R110" s="217">
        <f t="shared" ref="R110:S110" si="53">E49</f>
        <v>1.5347222222222223</v>
      </c>
      <c r="S110" s="217">
        <f t="shared" si="53"/>
        <v>1.8993055555555556</v>
      </c>
      <c r="T110" s="721"/>
    </row>
    <row r="111" spans="1:51" ht="16.5">
      <c r="H111" s="254">
        <f t="shared" si="3"/>
        <v>46051</v>
      </c>
      <c r="I111" s="214" t="str">
        <f t="shared" si="4"/>
        <v>CARIB AMBER</v>
      </c>
      <c r="J111" s="217">
        <f t="shared" si="5"/>
        <v>1.9583333333333333</v>
      </c>
      <c r="K111" s="217">
        <f t="shared" si="6"/>
        <v>2</v>
      </c>
      <c r="L111" s="260">
        <f t="shared" ref="L111:L126" si="54">K111-J111</f>
        <v>4.1666666666666741E-2</v>
      </c>
      <c r="M111" s="195">
        <v>60</v>
      </c>
      <c r="N111" s="261">
        <f t="shared" si="11"/>
        <v>60</v>
      </c>
      <c r="P111" s="254">
        <f t="shared" si="9"/>
        <v>46051</v>
      </c>
      <c r="Q111" s="268" t="str">
        <f t="shared" si="50"/>
        <v>CARIB AMBER</v>
      </c>
      <c r="R111" s="217">
        <f t="shared" ref="R111:S111" si="55">E50</f>
        <v>1.9583333333333333</v>
      </c>
      <c r="S111" s="217">
        <f t="shared" si="55"/>
        <v>2</v>
      </c>
      <c r="T111" s="721"/>
      <c r="AY111" t="s">
        <v>454</v>
      </c>
    </row>
    <row r="112" spans="1:51" ht="16.5">
      <c r="H112" s="254">
        <f t="shared" si="3"/>
        <v>46052</v>
      </c>
      <c r="I112" s="214" t="str">
        <f t="shared" si="4"/>
        <v>CARIB AMBER</v>
      </c>
      <c r="J112" s="217">
        <f t="shared" si="5"/>
        <v>1.0069444444444444</v>
      </c>
      <c r="K112" s="217">
        <f t="shared" si="6"/>
        <v>1.2569444444444444</v>
      </c>
      <c r="L112" s="260">
        <f t="shared" si="54"/>
        <v>0.25</v>
      </c>
      <c r="M112" s="195">
        <v>360</v>
      </c>
      <c r="N112" s="261">
        <f t="shared" si="11"/>
        <v>348</v>
      </c>
      <c r="P112" s="254">
        <f t="shared" si="9"/>
        <v>46052</v>
      </c>
      <c r="Q112" s="268" t="str">
        <f t="shared" si="50"/>
        <v>CARIB AMBER</v>
      </c>
      <c r="R112" s="217">
        <f t="shared" ref="R112:S112" si="56">E51</f>
        <v>1.0069444444444444</v>
      </c>
      <c r="S112" s="217">
        <f t="shared" si="56"/>
        <v>1.2569444444444444</v>
      </c>
      <c r="T112" s="721">
        <f>S113-R112</f>
        <v>0.86805555555555558</v>
      </c>
    </row>
    <row r="113" spans="8:20" ht="17.25" customHeight="1">
      <c r="H113" s="254">
        <f t="shared" si="3"/>
        <v>46052</v>
      </c>
      <c r="I113" s="214" t="str">
        <f t="shared" si="4"/>
        <v>STAG</v>
      </c>
      <c r="J113" s="217">
        <f t="shared" si="5"/>
        <v>1.2986111111111112</v>
      </c>
      <c r="K113" s="217">
        <f t="shared" si="6"/>
        <v>1.8298611111111112</v>
      </c>
      <c r="L113" s="260">
        <f t="shared" si="54"/>
        <v>0.53125</v>
      </c>
      <c r="M113" s="195">
        <v>765</v>
      </c>
      <c r="N113" s="261">
        <f t="shared" si="11"/>
        <v>746</v>
      </c>
      <c r="P113" s="254">
        <f t="shared" si="9"/>
        <v>46052</v>
      </c>
      <c r="Q113" s="268" t="str">
        <f t="shared" si="50"/>
        <v>STAG</v>
      </c>
      <c r="R113" s="217">
        <f t="shared" ref="R113" si="57">E52</f>
        <v>1.2986111111111112</v>
      </c>
      <c r="S113" s="217">
        <v>1.875</v>
      </c>
      <c r="T113" s="721"/>
    </row>
    <row r="114" spans="8:20" ht="17.25" customHeight="1">
      <c r="H114" s="254">
        <f t="shared" ref="H114:H122" si="58">B53</f>
        <v>0</v>
      </c>
      <c r="I114" s="214">
        <f t="shared" ref="I114:I122" si="59">C53</f>
        <v>0</v>
      </c>
      <c r="J114" s="217">
        <f t="shared" ref="J114:K121" si="60">E53</f>
        <v>0</v>
      </c>
      <c r="K114" s="217">
        <f t="shared" si="60"/>
        <v>0</v>
      </c>
      <c r="L114" s="260">
        <f t="shared" si="54"/>
        <v>0</v>
      </c>
      <c r="M114" s="195"/>
      <c r="N114" s="261">
        <f t="shared" si="11"/>
        <v>0</v>
      </c>
      <c r="P114" s="254">
        <f t="shared" ref="P114:P121" si="61">B53</f>
        <v>0</v>
      </c>
      <c r="Q114" s="268">
        <f t="shared" si="50"/>
        <v>0</v>
      </c>
      <c r="R114" s="217">
        <f t="shared" ref="R114:S114" si="62">E53</f>
        <v>0</v>
      </c>
      <c r="S114" s="217">
        <f t="shared" si="62"/>
        <v>0</v>
      </c>
      <c r="T114" s="270"/>
    </row>
    <row r="115" spans="8:20" ht="17.25" customHeight="1">
      <c r="H115" s="254">
        <f t="shared" si="58"/>
        <v>0</v>
      </c>
      <c r="I115" s="214">
        <f t="shared" si="59"/>
        <v>0</v>
      </c>
      <c r="J115" s="217">
        <f t="shared" si="60"/>
        <v>0</v>
      </c>
      <c r="K115" s="217">
        <f t="shared" si="60"/>
        <v>0</v>
      </c>
      <c r="L115" s="260">
        <f t="shared" si="54"/>
        <v>0</v>
      </c>
      <c r="M115" s="195"/>
      <c r="N115" s="261">
        <f t="shared" si="11"/>
        <v>0</v>
      </c>
      <c r="P115" s="254">
        <f t="shared" si="61"/>
        <v>0</v>
      </c>
      <c r="Q115" s="268">
        <f t="shared" si="50"/>
        <v>0</v>
      </c>
      <c r="R115" s="217">
        <f t="shared" ref="R115:S115" si="63">E54</f>
        <v>0</v>
      </c>
      <c r="S115" s="217">
        <f t="shared" si="63"/>
        <v>0</v>
      </c>
      <c r="T115" s="270"/>
    </row>
    <row r="116" spans="8:20" ht="17.25" customHeight="1">
      <c r="H116" s="254">
        <f t="shared" si="58"/>
        <v>0</v>
      </c>
      <c r="I116" s="214">
        <f t="shared" si="59"/>
        <v>0</v>
      </c>
      <c r="J116" s="217">
        <f t="shared" si="60"/>
        <v>0</v>
      </c>
      <c r="K116" s="217">
        <f t="shared" si="60"/>
        <v>0</v>
      </c>
      <c r="L116" s="260">
        <f t="shared" si="54"/>
        <v>0</v>
      </c>
      <c r="M116" s="195"/>
      <c r="N116" s="261">
        <f t="shared" si="11"/>
        <v>0</v>
      </c>
      <c r="P116" s="254">
        <f t="shared" si="61"/>
        <v>0</v>
      </c>
      <c r="Q116" s="268">
        <f t="shared" si="50"/>
        <v>0</v>
      </c>
      <c r="R116" s="217">
        <f t="shared" ref="R116:S116" si="64">E55</f>
        <v>0</v>
      </c>
      <c r="S116" s="217">
        <f t="shared" si="64"/>
        <v>0</v>
      </c>
      <c r="T116" s="270"/>
    </row>
    <row r="117" spans="8:20" ht="16.5">
      <c r="H117" s="254">
        <f t="shared" si="58"/>
        <v>0</v>
      </c>
      <c r="I117" s="214">
        <f t="shared" si="59"/>
        <v>0</v>
      </c>
      <c r="J117" s="217">
        <f t="shared" si="60"/>
        <v>0</v>
      </c>
      <c r="K117" s="217">
        <f t="shared" si="60"/>
        <v>0</v>
      </c>
      <c r="L117" s="260">
        <f t="shared" si="54"/>
        <v>0</v>
      </c>
      <c r="M117" s="195"/>
      <c r="N117" s="261">
        <f t="shared" si="11"/>
        <v>0</v>
      </c>
      <c r="P117" s="254">
        <f t="shared" si="61"/>
        <v>0</v>
      </c>
      <c r="Q117" s="268">
        <f t="shared" si="50"/>
        <v>0</v>
      </c>
      <c r="R117" s="217">
        <f t="shared" ref="R117:S117" si="65">E56</f>
        <v>0</v>
      </c>
      <c r="S117" s="217">
        <f t="shared" si="65"/>
        <v>0</v>
      </c>
      <c r="T117" s="270"/>
    </row>
    <row r="118" spans="8:20" ht="16.5">
      <c r="H118" s="254">
        <f t="shared" si="58"/>
        <v>0</v>
      </c>
      <c r="I118" s="214">
        <f t="shared" si="59"/>
        <v>0</v>
      </c>
      <c r="J118" s="217">
        <f t="shared" si="60"/>
        <v>0</v>
      </c>
      <c r="K118" s="217">
        <f t="shared" si="60"/>
        <v>0</v>
      </c>
      <c r="L118" s="260">
        <f t="shared" si="54"/>
        <v>0</v>
      </c>
      <c r="M118" s="195"/>
      <c r="N118" s="261">
        <f t="shared" si="11"/>
        <v>0</v>
      </c>
      <c r="P118" s="254">
        <f t="shared" si="61"/>
        <v>0</v>
      </c>
      <c r="Q118" s="268">
        <f t="shared" si="50"/>
        <v>0</v>
      </c>
      <c r="R118" s="217">
        <f t="shared" ref="R118:S118" si="66">E57</f>
        <v>0</v>
      </c>
      <c r="S118" s="217">
        <f t="shared" si="66"/>
        <v>0</v>
      </c>
      <c r="T118" s="270"/>
    </row>
    <row r="119" spans="8:20" ht="16.5">
      <c r="H119" s="254">
        <f t="shared" si="58"/>
        <v>0</v>
      </c>
      <c r="I119" s="214">
        <f t="shared" si="59"/>
        <v>0</v>
      </c>
      <c r="J119" s="217">
        <f t="shared" si="60"/>
        <v>0</v>
      </c>
      <c r="K119" s="217">
        <f t="shared" si="60"/>
        <v>0</v>
      </c>
      <c r="L119" s="260">
        <f t="shared" si="54"/>
        <v>0</v>
      </c>
      <c r="M119" s="195"/>
      <c r="N119" s="261">
        <f t="shared" si="11"/>
        <v>0</v>
      </c>
      <c r="P119" s="254">
        <f t="shared" si="61"/>
        <v>0</v>
      </c>
      <c r="Q119" s="268">
        <f t="shared" si="50"/>
        <v>0</v>
      </c>
      <c r="R119" s="217">
        <f t="shared" ref="R119:S119" si="67">E58</f>
        <v>0</v>
      </c>
      <c r="S119" s="217">
        <f t="shared" si="67"/>
        <v>0</v>
      </c>
      <c r="T119" s="270"/>
    </row>
    <row r="120" spans="8:20" ht="16.5">
      <c r="H120" s="254">
        <f t="shared" si="58"/>
        <v>0</v>
      </c>
      <c r="I120" s="214">
        <f t="shared" si="59"/>
        <v>0</v>
      </c>
      <c r="J120" s="217">
        <f t="shared" si="60"/>
        <v>0</v>
      </c>
      <c r="K120" s="217">
        <f t="shared" si="60"/>
        <v>0</v>
      </c>
      <c r="L120" s="260">
        <f t="shared" si="54"/>
        <v>0</v>
      </c>
      <c r="M120" s="195"/>
      <c r="N120" s="261">
        <f t="shared" si="11"/>
        <v>0</v>
      </c>
      <c r="P120" s="254">
        <f t="shared" si="61"/>
        <v>0</v>
      </c>
      <c r="Q120" s="268">
        <f t="shared" si="50"/>
        <v>0</v>
      </c>
      <c r="R120" s="217">
        <f t="shared" ref="R120:S120" si="68">E59</f>
        <v>0</v>
      </c>
      <c r="S120" s="217">
        <f t="shared" si="68"/>
        <v>0</v>
      </c>
      <c r="T120" s="270">
        <f>S121-R120</f>
        <v>0</v>
      </c>
    </row>
    <row r="121" spans="8:20" ht="16.5">
      <c r="H121" s="254">
        <f t="shared" si="58"/>
        <v>0</v>
      </c>
      <c r="I121" s="214">
        <f t="shared" si="59"/>
        <v>0</v>
      </c>
      <c r="J121" s="217">
        <f t="shared" si="60"/>
        <v>0</v>
      </c>
      <c r="K121" s="217">
        <f t="shared" si="60"/>
        <v>0</v>
      </c>
      <c r="L121" s="260">
        <f t="shared" si="54"/>
        <v>0</v>
      </c>
      <c r="M121" s="195"/>
      <c r="N121" s="261">
        <f t="shared" si="11"/>
        <v>0</v>
      </c>
      <c r="P121" s="254">
        <f t="shared" si="61"/>
        <v>0</v>
      </c>
      <c r="Q121" s="268">
        <f t="shared" si="50"/>
        <v>0</v>
      </c>
      <c r="R121" s="217">
        <f t="shared" ref="R121:S121" si="69">E60</f>
        <v>0</v>
      </c>
      <c r="S121" s="217">
        <f t="shared" si="69"/>
        <v>0</v>
      </c>
      <c r="T121" s="270"/>
    </row>
    <row r="122" spans="8:20" ht="16.5">
      <c r="H122" s="254">
        <f t="shared" si="58"/>
        <v>0</v>
      </c>
      <c r="I122" s="214">
        <f t="shared" si="59"/>
        <v>0</v>
      </c>
      <c r="J122" s="217"/>
      <c r="K122" s="217"/>
      <c r="L122" s="260">
        <f t="shared" si="54"/>
        <v>0</v>
      </c>
      <c r="M122" s="195"/>
      <c r="N122" s="261"/>
      <c r="P122" s="254">
        <f>B62</f>
        <v>0</v>
      </c>
      <c r="Q122" s="268"/>
      <c r="R122" s="217"/>
      <c r="S122" s="217"/>
      <c r="T122" s="270">
        <f>S122-R122</f>
        <v>0</v>
      </c>
    </row>
    <row r="123" spans="8:20" ht="16.5">
      <c r="H123" s="254"/>
      <c r="I123" s="214"/>
      <c r="J123" s="217"/>
      <c r="K123" s="217"/>
      <c r="L123" s="260">
        <f t="shared" si="54"/>
        <v>0</v>
      </c>
      <c r="M123" s="195"/>
      <c r="N123" s="261">
        <f>M123-(H63+K63+L63+M63+N63+AA63+AB63+Z63+J63+AC63)</f>
        <v>0</v>
      </c>
      <c r="P123" s="254">
        <f>B63</f>
        <v>0</v>
      </c>
    </row>
    <row r="124" spans="8:20" ht="16.5">
      <c r="H124" s="254"/>
      <c r="I124" s="214"/>
      <c r="J124" s="217"/>
      <c r="K124" s="217"/>
      <c r="L124" s="260">
        <f t="shared" si="54"/>
        <v>0</v>
      </c>
      <c r="M124" s="195"/>
    </row>
    <row r="125" spans="8:20" ht="16.5">
      <c r="J125" s="217"/>
      <c r="K125" s="217"/>
      <c r="L125" s="260">
        <f t="shared" si="54"/>
        <v>0</v>
      </c>
      <c r="M125" s="195"/>
    </row>
    <row r="126" spans="8:20" ht="16.5">
      <c r="L126" s="260">
        <f t="shared" si="54"/>
        <v>0</v>
      </c>
    </row>
  </sheetData>
  <mergeCells count="81">
    <mergeCell ref="AE47:AE50"/>
    <mergeCell ref="AE51:AE52"/>
    <mergeCell ref="AE29:AE30"/>
    <mergeCell ref="AE31:AE34"/>
    <mergeCell ref="AE36:AE39"/>
    <mergeCell ref="AE42:AE43"/>
    <mergeCell ref="AE44:AE46"/>
    <mergeCell ref="AE40:AE41"/>
    <mergeCell ref="K5:K7"/>
    <mergeCell ref="U5:U7"/>
    <mergeCell ref="T86:T87"/>
    <mergeCell ref="T88:T89"/>
    <mergeCell ref="T77:T79"/>
    <mergeCell ref="T82:T83"/>
    <mergeCell ref="T84:T85"/>
    <mergeCell ref="T5:T7"/>
    <mergeCell ref="T80:T81"/>
    <mergeCell ref="T74:T75"/>
    <mergeCell ref="P67:T67"/>
    <mergeCell ref="P5:P7"/>
    <mergeCell ref="Q5:Q7"/>
    <mergeCell ref="J5:J7"/>
    <mergeCell ref="A4:A7"/>
    <mergeCell ref="B4:B7"/>
    <mergeCell ref="C4:C7"/>
    <mergeCell ref="D4:D7"/>
    <mergeCell ref="E4:E7"/>
    <mergeCell ref="I5:I7"/>
    <mergeCell ref="AE25:AE26"/>
    <mergeCell ref="AE27:AE28"/>
    <mergeCell ref="AL4:AV4"/>
    <mergeCell ref="AE16:AE18"/>
    <mergeCell ref="D19:D20"/>
    <mergeCell ref="AA5:AA7"/>
    <mergeCell ref="AB4:AB7"/>
    <mergeCell ref="AC5:AC7"/>
    <mergeCell ref="AD5:AD7"/>
    <mergeCell ref="AE5:AE7"/>
    <mergeCell ref="V5:V7"/>
    <mergeCell ref="W5:W7"/>
    <mergeCell ref="X5:X7"/>
    <mergeCell ref="Y5:Y7"/>
    <mergeCell ref="D16:D18"/>
    <mergeCell ref="Z5:Z7"/>
    <mergeCell ref="T103:T104"/>
    <mergeCell ref="T92:T95"/>
    <mergeCell ref="T101:T102"/>
    <mergeCell ref="D47:D50"/>
    <mergeCell ref="T90:T91"/>
    <mergeCell ref="D27:D28"/>
    <mergeCell ref="D25:D26"/>
    <mergeCell ref="D23:D24"/>
    <mergeCell ref="D21:D22"/>
    <mergeCell ref="T112:T113"/>
    <mergeCell ref="T108:T111"/>
    <mergeCell ref="D51:D52"/>
    <mergeCell ref="T105:T107"/>
    <mergeCell ref="D29:D30"/>
    <mergeCell ref="H67:N67"/>
    <mergeCell ref="D31:D34"/>
    <mergeCell ref="D36:D39"/>
    <mergeCell ref="T97:T100"/>
    <mergeCell ref="D40:D41"/>
    <mergeCell ref="D42:D43"/>
    <mergeCell ref="D44:D46"/>
    <mergeCell ref="B2:AE2"/>
    <mergeCell ref="H4:AA4"/>
    <mergeCell ref="AE23:AE24"/>
    <mergeCell ref="AE21:AE22"/>
    <mergeCell ref="AE13:AE14"/>
    <mergeCell ref="AE19:AE20"/>
    <mergeCell ref="D13:D14"/>
    <mergeCell ref="R5:R7"/>
    <mergeCell ref="S5:S7"/>
    <mergeCell ref="M5:M7"/>
    <mergeCell ref="N5:N7"/>
    <mergeCell ref="O5:O7"/>
    <mergeCell ref="F4:F7"/>
    <mergeCell ref="G4:G7"/>
    <mergeCell ref="H5:H7"/>
    <mergeCell ref="L5:L7"/>
  </mergeCells>
  <conditionalFormatting sqref="D8 F8 E8:E60">
    <cfRule type="cellIs" dxfId="37" priority="4" stopIfTrue="1" operator="greaterThan">
      <formula>$E$3</formula>
    </cfRule>
  </conditionalFormatting>
  <pageMargins left="0.75" right="0.75" top="1" bottom="1" header="0.5" footer="0.5"/>
  <pageSetup scale="28" orientation="landscape" r:id="rId1"/>
  <headerFooter alignWithMargins="0"/>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18">
    <tabColor rgb="FF7030A0"/>
    <pageSetUpPr fitToPage="1"/>
  </sheetPr>
  <dimension ref="A1:BR119"/>
  <sheetViews>
    <sheetView showZeros="0" zoomScale="110" zoomScaleNormal="110" workbookViewId="0">
      <pane xSplit="7" ySplit="7" topLeftCell="X53" activePane="bottomRight" state="frozen"/>
      <selection pane="topRight"/>
      <selection pane="bottomLeft"/>
      <selection pane="bottomRight" activeCell="AC43" sqref="H43:AC43"/>
    </sheetView>
  </sheetViews>
  <sheetFormatPr defaultColWidth="8.85546875" defaultRowHeight="12.75"/>
  <cols>
    <col min="1" max="1" width="8.5703125" style="3" customWidth="1"/>
    <col min="2" max="2" width="10.5703125" style="3" customWidth="1"/>
    <col min="3" max="3" width="35.42578125" customWidth="1"/>
    <col min="4" max="7" width="8.5703125" customWidth="1"/>
    <col min="8" max="8" width="9.5703125" customWidth="1"/>
    <col min="9" max="9" width="17.5703125" customWidth="1"/>
    <col min="10" max="10" width="8.5703125" customWidth="1"/>
    <col min="11" max="11" width="14.42578125" customWidth="1"/>
    <col min="12" max="12" width="10.42578125" customWidth="1"/>
    <col min="13" max="13" width="11.5703125" customWidth="1"/>
    <col min="14" max="14" width="10.5703125" customWidth="1"/>
    <col min="15" max="15" width="10.85546875" customWidth="1"/>
    <col min="16" max="16" width="11.5703125" customWidth="1"/>
    <col min="17" max="17" width="12.42578125" customWidth="1"/>
    <col min="18" max="18" width="9.42578125" customWidth="1"/>
    <col min="19" max="19" width="8.42578125" customWidth="1"/>
    <col min="20" max="20" width="9.5703125" customWidth="1"/>
    <col min="21" max="21" width="15.85546875" customWidth="1"/>
    <col min="22" max="22" width="13.5703125" customWidth="1"/>
    <col min="23" max="23" width="9.140625" customWidth="1"/>
    <col min="24" max="24" width="10.5703125" customWidth="1"/>
    <col min="25" max="25" width="10.140625" customWidth="1"/>
    <col min="26" max="26" width="11" customWidth="1"/>
    <col min="27" max="27" width="14.42578125" customWidth="1"/>
    <col min="28" max="28" width="16.140625" customWidth="1"/>
    <col min="29" max="29" width="11.5703125" customWidth="1"/>
    <col min="30" max="30" width="13.42578125" customWidth="1"/>
    <col min="31" max="32" width="14.42578125" customWidth="1"/>
  </cols>
  <sheetData>
    <row r="1" spans="1:70">
      <c r="I1" s="3"/>
    </row>
    <row r="2" spans="1:70" ht="27.75">
      <c r="B2" s="670" t="s">
        <v>468</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70">
      <c r="D3" s="5">
        <v>0.29166666666666702</v>
      </c>
      <c r="E3" s="5">
        <v>0.33333333333333298</v>
      </c>
      <c r="H3" s="6"/>
      <c r="I3" s="3"/>
      <c r="N3" s="77"/>
      <c r="S3" s="3"/>
      <c r="X3" s="77"/>
      <c r="AM3" s="6"/>
    </row>
    <row r="4" spans="1:70"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750" t="s">
        <v>56</v>
      </c>
      <c r="AC4" s="179"/>
      <c r="AD4" s="155"/>
      <c r="AE4" s="157"/>
      <c r="AF4" s="40"/>
      <c r="AK4" s="51"/>
      <c r="AL4" s="678"/>
      <c r="AM4" s="678"/>
      <c r="AN4" s="678"/>
      <c r="AO4" s="678"/>
      <c r="AP4" s="678"/>
      <c r="AQ4" s="678"/>
      <c r="AR4" s="678"/>
      <c r="AS4" s="678"/>
      <c r="AT4" s="678"/>
      <c r="AU4" s="678"/>
      <c r="AV4" s="678"/>
    </row>
    <row r="5" spans="1:70" ht="12.75" customHeight="1">
      <c r="A5" s="683"/>
      <c r="B5" s="686"/>
      <c r="C5" s="686"/>
      <c r="D5" s="689"/>
      <c r="E5" s="689"/>
      <c r="F5" s="689"/>
      <c r="G5" s="693"/>
      <c r="H5" s="741" t="s">
        <v>6</v>
      </c>
      <c r="I5" s="743" t="s">
        <v>7</v>
      </c>
      <c r="J5" s="743" t="s">
        <v>8</v>
      </c>
      <c r="K5" s="689" t="s">
        <v>9</v>
      </c>
      <c r="L5" s="689" t="s">
        <v>418</v>
      </c>
      <c r="M5" s="689" t="s">
        <v>11</v>
      </c>
      <c r="N5" s="745" t="s">
        <v>12</v>
      </c>
      <c r="O5" s="689" t="s">
        <v>13</v>
      </c>
      <c r="P5" s="689" t="s">
        <v>14</v>
      </c>
      <c r="Q5" s="689" t="s">
        <v>15</v>
      </c>
      <c r="R5" s="689" t="s">
        <v>16</v>
      </c>
      <c r="S5" s="689" t="s">
        <v>419</v>
      </c>
      <c r="T5" s="689" t="s">
        <v>18</v>
      </c>
      <c r="U5" s="689" t="s">
        <v>420</v>
      </c>
      <c r="V5" s="689" t="s">
        <v>20</v>
      </c>
      <c r="W5" s="689" t="s">
        <v>21</v>
      </c>
      <c r="X5" s="748" t="s">
        <v>22</v>
      </c>
      <c r="Y5" s="689" t="s">
        <v>421</v>
      </c>
      <c r="Z5" s="743" t="s">
        <v>24</v>
      </c>
      <c r="AA5" s="746" t="s">
        <v>25</v>
      </c>
      <c r="AB5" s="750"/>
      <c r="AC5" s="752" t="s">
        <v>27</v>
      </c>
      <c r="AD5" s="695" t="s">
        <v>422</v>
      </c>
      <c r="AE5" s="697" t="s">
        <v>423</v>
      </c>
      <c r="AF5" s="41" t="s">
        <v>424</v>
      </c>
      <c r="AH5" s="3"/>
      <c r="AI5" s="3"/>
      <c r="AJ5" s="3"/>
      <c r="AK5" s="3"/>
      <c r="AL5" s="3"/>
      <c r="AM5" s="52"/>
      <c r="AN5" s="3"/>
      <c r="AO5" s="3"/>
      <c r="AP5" s="3"/>
      <c r="AQ5" s="3"/>
      <c r="AR5" s="3"/>
      <c r="AS5" s="3"/>
      <c r="AT5" s="3"/>
      <c r="AU5" s="3"/>
      <c r="AV5" s="3"/>
      <c r="AW5" s="3"/>
      <c r="AX5" s="3"/>
    </row>
    <row r="6" spans="1:70" ht="12.75" customHeight="1">
      <c r="A6" s="683"/>
      <c r="B6" s="686"/>
      <c r="C6" s="686"/>
      <c r="D6" s="689"/>
      <c r="E6" s="689"/>
      <c r="F6" s="689"/>
      <c r="G6" s="693"/>
      <c r="H6" s="741"/>
      <c r="I6" s="743"/>
      <c r="J6" s="743"/>
      <c r="K6" s="689"/>
      <c r="L6" s="689"/>
      <c r="M6" s="689"/>
      <c r="N6" s="689"/>
      <c r="O6" s="689"/>
      <c r="P6" s="689"/>
      <c r="Q6" s="689"/>
      <c r="R6" s="689"/>
      <c r="S6" s="689"/>
      <c r="T6" s="689"/>
      <c r="U6" s="689"/>
      <c r="V6" s="689"/>
      <c r="W6" s="689"/>
      <c r="X6" s="748"/>
      <c r="Y6" s="689"/>
      <c r="Z6" s="743"/>
      <c r="AA6" s="746"/>
      <c r="AB6" s="750"/>
      <c r="AC6" s="752"/>
      <c r="AD6" s="695"/>
      <c r="AE6" s="698"/>
      <c r="AF6" s="41" t="s">
        <v>425</v>
      </c>
      <c r="AH6" s="3"/>
      <c r="AI6" s="3"/>
      <c r="AJ6" s="3"/>
      <c r="AK6" s="3"/>
      <c r="AL6" s="3"/>
      <c r="AM6" s="3"/>
      <c r="AN6" s="51"/>
      <c r="AO6" s="51"/>
      <c r="AP6" s="51"/>
      <c r="AQ6" s="51"/>
      <c r="AR6" s="51"/>
      <c r="AS6" s="51"/>
      <c r="AT6" s="51"/>
      <c r="AU6" s="3"/>
      <c r="AV6" s="51"/>
      <c r="AW6" s="3"/>
      <c r="AX6" s="3"/>
    </row>
    <row r="7" spans="1:70" ht="13.5" customHeight="1" thickBot="1">
      <c r="A7" s="683"/>
      <c r="B7" s="686"/>
      <c r="C7" s="687"/>
      <c r="D7" s="690"/>
      <c r="E7" s="690"/>
      <c r="F7" s="690"/>
      <c r="G7" s="694"/>
      <c r="H7" s="742"/>
      <c r="I7" s="744"/>
      <c r="J7" s="744"/>
      <c r="K7" s="690"/>
      <c r="L7" s="690"/>
      <c r="M7" s="690"/>
      <c r="N7" s="690"/>
      <c r="O7" s="690"/>
      <c r="P7" s="690"/>
      <c r="Q7" s="690"/>
      <c r="R7" s="690"/>
      <c r="S7" s="690"/>
      <c r="T7" s="690"/>
      <c r="U7" s="690"/>
      <c r="V7" s="690"/>
      <c r="W7" s="690"/>
      <c r="X7" s="749"/>
      <c r="Y7" s="690"/>
      <c r="Z7" s="744"/>
      <c r="AA7" s="747"/>
      <c r="AB7" s="751"/>
      <c r="AC7" s="753"/>
      <c r="AD7" s="696"/>
      <c r="AE7" s="698"/>
      <c r="AF7" s="42" t="s">
        <v>426</v>
      </c>
      <c r="AH7" s="3"/>
      <c r="AI7" s="3"/>
      <c r="AJ7" s="3"/>
      <c r="AK7" s="3"/>
      <c r="AL7" s="3"/>
      <c r="AM7" s="3"/>
      <c r="AN7" s="3"/>
      <c r="AO7" s="3"/>
      <c r="AP7" s="3"/>
      <c r="AQ7" s="3"/>
      <c r="AR7" s="3"/>
      <c r="AS7" s="3"/>
      <c r="AT7" s="3"/>
      <c r="AU7" s="3"/>
      <c r="AV7" s="3"/>
      <c r="AW7" s="3"/>
      <c r="AX7" s="3"/>
    </row>
    <row r="8" spans="1:70" s="183" customFormat="1" ht="13.5" customHeight="1" thickTop="1">
      <c r="A8" s="481">
        <f>[5]February_2026!$C8</f>
        <v>1</v>
      </c>
      <c r="B8" s="559">
        <f>[5]February_2026!$B8</f>
        <v>46055</v>
      </c>
      <c r="C8" s="7" t="str">
        <f>[5]February_2026!$D8</f>
        <v>STAG</v>
      </c>
      <c r="D8" s="691">
        <v>1.0208333333333333</v>
      </c>
      <c r="E8" s="80">
        <v>1.0791666666666666</v>
      </c>
      <c r="F8" s="80">
        <v>1.4305555555555556</v>
      </c>
      <c r="G8" s="11">
        <v>1.4722222222222223</v>
      </c>
      <c r="H8" s="82"/>
      <c r="I8" s="32"/>
      <c r="J8" s="86"/>
      <c r="K8" s="32"/>
      <c r="L8" s="32"/>
      <c r="M8" s="32">
        <f>34+33+23</f>
        <v>90</v>
      </c>
      <c r="N8" s="32"/>
      <c r="O8" s="32">
        <f>'Uncaser Downtime Detail '!AG72</f>
        <v>10</v>
      </c>
      <c r="P8" s="32">
        <f>'Washer Downtime Detail'!BH71</f>
        <v>13</v>
      </c>
      <c r="Q8" s="32">
        <f>'EBI Downtime Detail'!AI71</f>
        <v>9</v>
      </c>
      <c r="R8" s="32">
        <f>'Filler Downtime Detail'!AK67</f>
        <v>7</v>
      </c>
      <c r="S8" s="32">
        <f>'Pasteurizer Downtime Detail'!Z72</f>
        <v>0</v>
      </c>
      <c r="T8" s="32">
        <f>'Labeler Downtime Detail'!AN72</f>
        <v>0</v>
      </c>
      <c r="U8" s="32">
        <f>'Videojet Downtime Detail '!O71</f>
        <v>0</v>
      </c>
      <c r="V8" s="32">
        <f>'Conveyor Downtime (new)'!AV67</f>
        <v>30</v>
      </c>
      <c r="W8" s="32">
        <f>'Packer Downtime Detail  '!AD71</f>
        <v>0</v>
      </c>
      <c r="X8" s="32">
        <f>'Carton Errector-sealer Detail'!P56</f>
        <v>0</v>
      </c>
      <c r="Y8" s="32"/>
      <c r="Z8" s="43">
        <f>54+4</f>
        <v>58</v>
      </c>
      <c r="AA8" s="88">
        <v>4</v>
      </c>
      <c r="AB8" s="71"/>
      <c r="AC8" s="71"/>
      <c r="AD8" s="44">
        <f>SUM(H8:AC8)</f>
        <v>221</v>
      </c>
      <c r="AE8" s="754">
        <f>G9-D8</f>
        <v>1.0166666666666668</v>
      </c>
      <c r="AF8"/>
      <c r="AG8"/>
      <c r="AH8" s="3"/>
      <c r="AI8" s="23"/>
      <c r="AJ8" s="23"/>
      <c r="AK8" s="54"/>
      <c r="AL8" s="3"/>
      <c r="AM8" s="3"/>
      <c r="AN8" s="3"/>
      <c r="AO8" s="3"/>
      <c r="AP8" s="3"/>
      <c r="AQ8" s="3"/>
      <c r="AR8" s="3"/>
      <c r="AS8" s="3"/>
      <c r="AT8" s="3"/>
      <c r="AU8" s="3"/>
      <c r="AV8" s="3"/>
      <c r="AW8" s="3"/>
      <c r="AX8" s="3"/>
      <c r="AY8"/>
      <c r="AZ8"/>
      <c r="BA8"/>
      <c r="BB8"/>
      <c r="BC8"/>
      <c r="BD8"/>
      <c r="BE8"/>
      <c r="BF8"/>
      <c r="BG8"/>
      <c r="BH8"/>
      <c r="BI8"/>
      <c r="BJ8"/>
      <c r="BK8"/>
      <c r="BL8"/>
      <c r="BM8"/>
      <c r="BN8"/>
      <c r="BO8"/>
      <c r="BP8"/>
      <c r="BQ8"/>
      <c r="BR8"/>
    </row>
    <row r="9" spans="1:70" s="183" customFormat="1" ht="13.5" customHeight="1">
      <c r="A9" s="481">
        <f>[5]February_2026!$C9</f>
        <v>1</v>
      </c>
      <c r="B9" s="559">
        <f>[5]February_2026!$B9</f>
        <v>46055</v>
      </c>
      <c r="C9" s="7" t="str">
        <f>[5]February_2026!$D9</f>
        <v>CARIB AMBER</v>
      </c>
      <c r="D9" s="681"/>
      <c r="E9" s="80">
        <v>1.4513888888888888</v>
      </c>
      <c r="F9" s="80">
        <v>2</v>
      </c>
      <c r="G9" s="11">
        <v>2.0375000000000001</v>
      </c>
      <c r="H9" s="14"/>
      <c r="I9" s="34">
        <f>13</f>
        <v>13</v>
      </c>
      <c r="J9" s="35">
        <f>17+16+11</f>
        <v>44</v>
      </c>
      <c r="K9" s="34"/>
      <c r="L9" s="34"/>
      <c r="M9" s="34"/>
      <c r="N9" s="34"/>
      <c r="O9" s="34">
        <f>'Uncaser Downtime Detail '!AG73</f>
        <v>24</v>
      </c>
      <c r="P9" s="34">
        <f>'Washer Downtime Detail'!BH72</f>
        <v>44</v>
      </c>
      <c r="Q9" s="34">
        <f>'EBI Downtime Detail'!AI72</f>
        <v>2</v>
      </c>
      <c r="R9" s="34">
        <f>'Filler Downtime Detail'!AK68</f>
        <v>5</v>
      </c>
      <c r="S9" s="34">
        <f>'Pasteurizer Downtime Detail'!Z73</f>
        <v>0</v>
      </c>
      <c r="T9" s="34">
        <f>'Labeler Downtime Detail'!AN73</f>
        <v>0</v>
      </c>
      <c r="U9" s="34">
        <f>'Videojet Downtime Detail '!O72</f>
        <v>0</v>
      </c>
      <c r="V9" s="34">
        <f>'Conveyor Downtime (new)'!AV68</f>
        <v>12</v>
      </c>
      <c r="W9" s="34">
        <f>'Packer Downtime Detail  '!AD72</f>
        <v>0</v>
      </c>
      <c r="X9" s="34">
        <f>'Carton Errector-sealer Detail'!P57</f>
        <v>0</v>
      </c>
      <c r="Y9" s="35"/>
      <c r="Z9" s="34">
        <f>4</f>
        <v>4</v>
      </c>
      <c r="AA9" s="90">
        <v>5</v>
      </c>
      <c r="AB9" s="89">
        <f>4+5+4</f>
        <v>13</v>
      </c>
      <c r="AC9" s="89"/>
      <c r="AD9" s="44">
        <f t="shared" ref="AD9:AD41" si="0">SUM(H9:AC9)</f>
        <v>166</v>
      </c>
      <c r="AE9" s="754"/>
      <c r="AF9"/>
      <c r="AG9"/>
      <c r="AH9" s="3"/>
      <c r="AI9" s="23"/>
      <c r="AJ9" s="23"/>
      <c r="AK9" s="54"/>
      <c r="AL9" s="3"/>
      <c r="AM9" s="3"/>
      <c r="AN9" s="3"/>
      <c r="AO9" s="3"/>
      <c r="AP9" s="3"/>
      <c r="AQ9" s="3"/>
      <c r="AR9" s="3"/>
      <c r="AS9" s="3"/>
      <c r="AT9" s="3"/>
      <c r="AU9" s="3"/>
      <c r="AV9" s="3"/>
      <c r="AW9" s="3"/>
      <c r="AX9" s="3"/>
      <c r="AY9"/>
      <c r="AZ9"/>
      <c r="BA9"/>
      <c r="BB9"/>
      <c r="BC9"/>
      <c r="BD9"/>
      <c r="BE9"/>
      <c r="BF9"/>
      <c r="BG9"/>
      <c r="BH9"/>
      <c r="BI9"/>
      <c r="BJ9"/>
      <c r="BK9"/>
      <c r="BL9"/>
      <c r="BM9"/>
      <c r="BN9"/>
      <c r="BO9"/>
      <c r="BP9"/>
      <c r="BQ9"/>
      <c r="BR9"/>
    </row>
    <row r="10" spans="1:70" s="183" customFormat="1" ht="13.5" customHeight="1">
      <c r="A10" s="7">
        <f>[5]February_2026!$C10</f>
        <v>2</v>
      </c>
      <c r="B10" s="559">
        <f>[5]February_2026!$B10</f>
        <v>46056</v>
      </c>
      <c r="C10" s="7" t="str">
        <f>[5]February_2026!$D10</f>
        <v>CARIB AMBER</v>
      </c>
      <c r="D10" s="93">
        <v>1</v>
      </c>
      <c r="E10" s="80">
        <v>1.0083333333333333</v>
      </c>
      <c r="F10" s="80">
        <v>2</v>
      </c>
      <c r="G10" s="11">
        <v>2.0631944444444446</v>
      </c>
      <c r="H10" s="82"/>
      <c r="I10" s="32"/>
      <c r="J10" s="86">
        <f>34+10+4+5+60+60+47</f>
        <v>220</v>
      </c>
      <c r="K10" s="32"/>
      <c r="L10" s="32">
        <f>11</f>
        <v>11</v>
      </c>
      <c r="M10" s="32"/>
      <c r="N10" s="32"/>
      <c r="O10" s="32">
        <f>'Uncaser Downtime Detail '!AG74</f>
        <v>40</v>
      </c>
      <c r="P10" s="32">
        <f>'Washer Downtime Detail'!BH73</f>
        <v>86</v>
      </c>
      <c r="Q10" s="32">
        <f>'EBI Downtime Detail'!AI73</f>
        <v>6</v>
      </c>
      <c r="R10" s="32">
        <f>'Filler Downtime Detail'!AK69</f>
        <v>6</v>
      </c>
      <c r="S10" s="32">
        <f>'Pasteurizer Downtime Detail'!Z74</f>
        <v>0</v>
      </c>
      <c r="T10" s="32">
        <f>'Labeler Downtime Detail'!AN74</f>
        <v>3</v>
      </c>
      <c r="U10" s="32">
        <f>'Videojet Downtime Detail '!O73</f>
        <v>0</v>
      </c>
      <c r="V10" s="32">
        <f>'Conveyor Downtime (new)'!AV69</f>
        <v>8</v>
      </c>
      <c r="W10" s="32">
        <f>'Packer Downtime Detail  '!AD73</f>
        <v>3</v>
      </c>
      <c r="X10" s="32">
        <f>'Carton Errector-sealer Detail'!P58</f>
        <v>0</v>
      </c>
      <c r="Y10" s="32"/>
      <c r="Z10" s="43">
        <f>10+4+2+2+3+11</f>
        <v>32</v>
      </c>
      <c r="AA10" s="88">
        <v>6</v>
      </c>
      <c r="AB10" s="71">
        <f>3+3+4+2</f>
        <v>12</v>
      </c>
      <c r="AC10" s="71"/>
      <c r="AD10" s="44">
        <f t="shared" si="0"/>
        <v>433</v>
      </c>
      <c r="AE10" s="45">
        <f>G10-D10</f>
        <v>1.0631944444444446</v>
      </c>
      <c r="AF10"/>
      <c r="AG10"/>
      <c r="AH10" s="3"/>
      <c r="AI10" s="23"/>
      <c r="AJ10" s="23"/>
      <c r="AK10" s="54"/>
      <c r="AL10" s="3"/>
      <c r="AM10" s="3"/>
      <c r="AN10" s="3"/>
      <c r="AO10" s="3"/>
      <c r="AP10" s="3"/>
      <c r="AQ10" s="3"/>
      <c r="AR10" s="3"/>
      <c r="AS10" s="3"/>
      <c r="AT10" s="3"/>
      <c r="AU10" s="3"/>
      <c r="AV10" s="3"/>
      <c r="AW10" s="3"/>
      <c r="AX10" s="3"/>
      <c r="AY10"/>
      <c r="AZ10"/>
      <c r="BA10"/>
      <c r="BB10"/>
      <c r="BC10"/>
      <c r="BD10"/>
      <c r="BE10"/>
      <c r="BF10"/>
      <c r="BG10"/>
      <c r="BH10"/>
      <c r="BI10"/>
      <c r="BJ10"/>
      <c r="BK10"/>
      <c r="BL10"/>
      <c r="BM10"/>
      <c r="BN10"/>
      <c r="BO10"/>
      <c r="BP10"/>
      <c r="BQ10"/>
      <c r="BR10"/>
    </row>
    <row r="11" spans="1:70" s="183" customFormat="1" ht="13.5" customHeight="1">
      <c r="A11" s="7">
        <f>[5]February_2026!$C11</f>
        <v>3</v>
      </c>
      <c r="B11" s="559">
        <f>[5]February_2026!$B11</f>
        <v>46057</v>
      </c>
      <c r="C11" s="7" t="str">
        <f>[5]February_2026!$D11</f>
        <v>CARIB FLINT ( EXP)</v>
      </c>
      <c r="D11" s="681">
        <v>1</v>
      </c>
      <c r="E11" s="80">
        <v>1.0125</v>
      </c>
      <c r="F11" s="80">
        <v>1.5520833333333333</v>
      </c>
      <c r="G11" s="11">
        <v>1.6034722222222222</v>
      </c>
      <c r="H11" s="14"/>
      <c r="I11" s="34">
        <f>10+20</f>
        <v>30</v>
      </c>
      <c r="J11" s="35"/>
      <c r="K11" s="34">
        <f>16</f>
        <v>16</v>
      </c>
      <c r="L11" s="34"/>
      <c r="M11" s="34"/>
      <c r="N11" s="34"/>
      <c r="O11" s="34">
        <f>'Uncaser Downtime Detail '!AG75</f>
        <v>43</v>
      </c>
      <c r="P11" s="34">
        <f>'Washer Downtime Detail'!BH74</f>
        <v>48</v>
      </c>
      <c r="Q11" s="34">
        <f>'EBI Downtime Detail'!AI74</f>
        <v>16</v>
      </c>
      <c r="R11" s="34">
        <f>'Filler Downtime Detail'!AK70</f>
        <v>30</v>
      </c>
      <c r="S11" s="34">
        <f>'Pasteurizer Downtime Detail'!Z75</f>
        <v>0</v>
      </c>
      <c r="T11" s="34">
        <f>'Labeler Downtime Detail'!AN75</f>
        <v>9</v>
      </c>
      <c r="U11" s="34">
        <f>'Videojet Downtime Detail '!O74</f>
        <v>0</v>
      </c>
      <c r="V11" s="34">
        <f>'Conveyor Downtime (new)'!AV70</f>
        <v>4</v>
      </c>
      <c r="W11" s="34">
        <f>'Packer Downtime Detail  '!AD74</f>
        <v>7</v>
      </c>
      <c r="X11" s="34">
        <f>'Carton Errector-sealer Detail'!P59</f>
        <v>89</v>
      </c>
      <c r="Y11" s="35"/>
      <c r="Z11" s="34">
        <v>5</v>
      </c>
      <c r="AA11" s="90"/>
      <c r="AB11" s="89">
        <f>3+2+3+11+3+10+6+7</f>
        <v>45</v>
      </c>
      <c r="AC11" s="89"/>
      <c r="AD11" s="44">
        <f t="shared" si="0"/>
        <v>342</v>
      </c>
      <c r="AE11" s="754">
        <f>G12-D11</f>
        <v>1.0833333333333335</v>
      </c>
      <c r="AF11"/>
      <c r="AG11"/>
      <c r="AH11" s="3"/>
      <c r="AI11" s="23"/>
      <c r="AJ11" s="23"/>
      <c r="AK11" s="54"/>
      <c r="AL11" s="3"/>
      <c r="AM11" s="3"/>
      <c r="AN11" s="3"/>
      <c r="AO11" s="3"/>
      <c r="AP11" s="3"/>
      <c r="AQ11" s="3"/>
      <c r="AR11" s="3"/>
      <c r="AS11" s="3"/>
      <c r="AT11" s="3"/>
      <c r="AU11" s="3"/>
      <c r="AV11" s="3"/>
      <c r="AW11" s="3"/>
      <c r="AX11" s="3"/>
      <c r="AY11"/>
      <c r="AZ11"/>
      <c r="BA11"/>
      <c r="BB11"/>
      <c r="BC11"/>
      <c r="BD11"/>
      <c r="BE11"/>
      <c r="BF11"/>
      <c r="BG11"/>
      <c r="BH11"/>
      <c r="BI11"/>
      <c r="BJ11"/>
      <c r="BK11"/>
      <c r="BL11"/>
      <c r="BM11"/>
      <c r="BN11"/>
      <c r="BO11"/>
      <c r="BP11"/>
      <c r="BQ11"/>
      <c r="BR11"/>
    </row>
    <row r="12" spans="1:70" s="183" customFormat="1" ht="13.5" customHeight="1">
      <c r="A12" s="7">
        <f>[5]February_2026!$C12</f>
        <v>3</v>
      </c>
      <c r="B12" s="559">
        <f>[5]February_2026!$B12</f>
        <v>46057</v>
      </c>
      <c r="C12" s="7" t="str">
        <f>[5]February_2026!$D12</f>
        <v>CARIBE ROSE</v>
      </c>
      <c r="D12" s="681"/>
      <c r="E12" s="80">
        <v>1.6493055555555556</v>
      </c>
      <c r="F12" s="80">
        <v>2</v>
      </c>
      <c r="G12" s="11">
        <v>2.0833333333333335</v>
      </c>
      <c r="H12" s="82"/>
      <c r="I12" s="32">
        <f>105+30</f>
        <v>135</v>
      </c>
      <c r="J12" s="86"/>
      <c r="K12" s="32"/>
      <c r="L12" s="32"/>
      <c r="M12" s="32"/>
      <c r="N12" s="32"/>
      <c r="O12" s="32">
        <f>'Uncaser Downtime Detail '!AG76</f>
        <v>24</v>
      </c>
      <c r="P12" s="32">
        <f>'Washer Downtime Detail'!BH75</f>
        <v>4</v>
      </c>
      <c r="Q12" s="32">
        <f>'EBI Downtime Detail'!AI75</f>
        <v>5</v>
      </c>
      <c r="R12" s="32">
        <f>'Filler Downtime Detail'!AK71</f>
        <v>111</v>
      </c>
      <c r="S12" s="32">
        <f>'Pasteurizer Downtime Detail'!Z76</f>
        <v>0</v>
      </c>
      <c r="T12" s="32">
        <f>'Labeler Downtime Detail'!AN76</f>
        <v>3</v>
      </c>
      <c r="U12" s="32">
        <f>'Videojet Downtime Detail '!O75</f>
        <v>0</v>
      </c>
      <c r="V12" s="32">
        <f>'Conveyor Downtime (new)'!AV71</f>
        <v>8</v>
      </c>
      <c r="W12" s="32">
        <f>'Packer Downtime Detail  '!AD75</f>
        <v>0</v>
      </c>
      <c r="X12" s="32">
        <f>'Carton Errector-sealer Detail'!P60</f>
        <v>100</v>
      </c>
      <c r="Y12" s="32"/>
      <c r="Z12" s="43">
        <f>4+12</f>
        <v>16</v>
      </c>
      <c r="AA12" s="88"/>
      <c r="AB12" s="71"/>
      <c r="AC12" s="71"/>
      <c r="AD12" s="44">
        <f t="shared" si="0"/>
        <v>406</v>
      </c>
      <c r="AE12" s="754"/>
      <c r="AF12"/>
      <c r="AG12"/>
      <c r="AH12" s="3"/>
      <c r="AI12" s="23"/>
      <c r="AJ12" s="23"/>
      <c r="AK12" s="54"/>
      <c r="AL12" s="3"/>
      <c r="AM12" s="3"/>
      <c r="AN12" s="3"/>
      <c r="AO12" s="3"/>
      <c r="AP12" s="3"/>
      <c r="AQ12" s="3"/>
      <c r="AR12" s="3"/>
      <c r="AS12" s="3"/>
      <c r="AT12" s="3"/>
      <c r="AU12" s="3"/>
      <c r="AV12" s="3"/>
      <c r="AW12" s="3"/>
      <c r="AX12" s="3"/>
      <c r="AY12"/>
      <c r="AZ12"/>
      <c r="BA12"/>
      <c r="BB12"/>
      <c r="BC12"/>
      <c r="BD12"/>
      <c r="BE12"/>
      <c r="BF12"/>
      <c r="BG12"/>
      <c r="BH12"/>
      <c r="BI12"/>
      <c r="BJ12"/>
      <c r="BK12"/>
      <c r="BL12"/>
      <c r="BM12"/>
      <c r="BN12"/>
      <c r="BO12"/>
      <c r="BP12"/>
      <c r="BQ12"/>
      <c r="BR12"/>
    </row>
    <row r="13" spans="1:70" s="183" customFormat="1" ht="13.5" customHeight="1">
      <c r="A13" s="7">
        <f>[5]February_2026!$C13</f>
        <v>4</v>
      </c>
      <c r="B13" s="559">
        <f>[5]February_2026!$B13</f>
        <v>46058</v>
      </c>
      <c r="C13" s="7" t="str">
        <f>[5]February_2026!$D13</f>
        <v>CARIBE ROSE</v>
      </c>
      <c r="D13" s="681">
        <v>1</v>
      </c>
      <c r="E13" s="80">
        <v>1.0069444444444444</v>
      </c>
      <c r="F13" s="80">
        <v>1.1354166666666667</v>
      </c>
      <c r="G13" s="11">
        <v>1.2</v>
      </c>
      <c r="H13" s="14"/>
      <c r="I13" s="34"/>
      <c r="J13" s="35"/>
      <c r="K13" s="34"/>
      <c r="L13" s="34"/>
      <c r="M13" s="34"/>
      <c r="N13" s="34"/>
      <c r="O13" s="34">
        <f>'Uncaser Downtime Detail '!AG77</f>
        <v>0</v>
      </c>
      <c r="P13" s="34">
        <f>'Washer Downtime Detail'!BH76</f>
        <v>0</v>
      </c>
      <c r="Q13" s="34">
        <f>'EBI Downtime Detail'!AI76</f>
        <v>4</v>
      </c>
      <c r="R13" s="34">
        <f>'Filler Downtime Detail'!AK72</f>
        <v>5</v>
      </c>
      <c r="S13" s="34">
        <f>'Pasteurizer Downtime Detail'!Z77</f>
        <v>0</v>
      </c>
      <c r="T13" s="34">
        <f>'Labeler Downtime Detail'!AN77</f>
        <v>0</v>
      </c>
      <c r="U13" s="34">
        <f>'Videojet Downtime Detail '!O76</f>
        <v>0</v>
      </c>
      <c r="V13" s="34">
        <f>'Conveyor Downtime (new)'!AV72</f>
        <v>9</v>
      </c>
      <c r="W13" s="34">
        <f>'Packer Downtime Detail  '!AD76</f>
        <v>0</v>
      </c>
      <c r="X13" s="34">
        <f>'Carton Errector-sealer Detail'!P61</f>
        <v>9</v>
      </c>
      <c r="Y13" s="35"/>
      <c r="Z13" s="34">
        <f>10+5+5+21</f>
        <v>41</v>
      </c>
      <c r="AA13" s="90"/>
      <c r="AB13" s="89"/>
      <c r="AC13" s="89"/>
      <c r="AD13" s="44">
        <f t="shared" si="0"/>
        <v>68</v>
      </c>
      <c r="AE13" s="754">
        <f>G15-D13</f>
        <v>1</v>
      </c>
      <c r="AF13"/>
      <c r="AG13"/>
      <c r="AH13" s="3"/>
      <c r="AI13" s="23"/>
      <c r="AJ13" s="23"/>
      <c r="AK13" s="54"/>
      <c r="AL13" s="3"/>
      <c r="AM13" s="3"/>
      <c r="AN13" s="3"/>
      <c r="AO13" s="3"/>
      <c r="AP13" s="3"/>
      <c r="AQ13" s="3"/>
      <c r="AR13" s="3"/>
      <c r="AS13" s="3"/>
      <c r="AT13" s="3"/>
      <c r="AU13" s="3"/>
      <c r="AV13" s="3"/>
      <c r="AW13" s="3"/>
      <c r="AX13" s="3"/>
      <c r="AY13"/>
      <c r="AZ13"/>
      <c r="BA13"/>
      <c r="BB13"/>
      <c r="BC13"/>
      <c r="BD13"/>
      <c r="BE13"/>
      <c r="BF13"/>
      <c r="BG13"/>
      <c r="BH13"/>
      <c r="BI13"/>
      <c r="BJ13"/>
      <c r="BK13"/>
      <c r="BL13"/>
      <c r="BM13"/>
      <c r="BN13"/>
      <c r="BO13"/>
      <c r="BP13"/>
      <c r="BQ13"/>
      <c r="BR13"/>
    </row>
    <row r="14" spans="1:70" s="183" customFormat="1" ht="13.5" customHeight="1">
      <c r="A14" s="7">
        <f>[5]February_2026!$C14</f>
        <v>4</v>
      </c>
      <c r="B14" s="559">
        <f>[5]February_2026!$B14</f>
        <v>46058</v>
      </c>
      <c r="C14" s="7" t="str">
        <f>[5]February_2026!$D14</f>
        <v>GUINNESS</v>
      </c>
      <c r="D14" s="681"/>
      <c r="E14" s="80">
        <v>1.1875</v>
      </c>
      <c r="F14" s="80">
        <v>1.6888888888888889</v>
      </c>
      <c r="G14" s="11">
        <v>1.7166666666666666</v>
      </c>
      <c r="H14" s="82"/>
      <c r="I14" s="32">
        <f>45+30</f>
        <v>75</v>
      </c>
      <c r="J14" s="86">
        <v>4</v>
      </c>
      <c r="K14" s="32"/>
      <c r="L14" s="32"/>
      <c r="M14" s="32"/>
      <c r="N14" s="32"/>
      <c r="O14" s="32">
        <f>'Uncaser Downtime Detail '!AG78</f>
        <v>93</v>
      </c>
      <c r="P14" s="32">
        <f>'Washer Downtime Detail'!BH77</f>
        <v>26</v>
      </c>
      <c r="Q14" s="32">
        <f>'EBI Downtime Detail'!AI77</f>
        <v>45</v>
      </c>
      <c r="R14" s="32">
        <f>'Filler Downtime Detail'!AK73</f>
        <v>5</v>
      </c>
      <c r="S14" s="32">
        <f>'Pasteurizer Downtime Detail'!Z78</f>
        <v>0</v>
      </c>
      <c r="T14" s="32">
        <f>'Labeler Downtime Detail'!AN78</f>
        <v>0</v>
      </c>
      <c r="U14" s="32">
        <f>'Videojet Downtime Detail '!O77</f>
        <v>37</v>
      </c>
      <c r="V14" s="32">
        <f>'Conveyor Downtime (new)'!AV73</f>
        <v>5</v>
      </c>
      <c r="W14" s="32">
        <f>'Packer Downtime Detail  '!AD77</f>
        <v>0</v>
      </c>
      <c r="X14" s="32">
        <f>'Carton Errector-sealer Detail'!P62</f>
        <v>0</v>
      </c>
      <c r="Y14" s="32">
        <v>22</v>
      </c>
      <c r="Z14" s="43"/>
      <c r="AA14" s="88"/>
      <c r="AB14" s="71"/>
      <c r="AC14" s="71"/>
      <c r="AD14" s="44">
        <f t="shared" si="0"/>
        <v>312</v>
      </c>
      <c r="AE14" s="754"/>
      <c r="AF14"/>
      <c r="AG14"/>
      <c r="AH14" s="3"/>
      <c r="AI14" s="23"/>
      <c r="AJ14" s="23"/>
      <c r="AK14" s="54"/>
      <c r="AL14" s="3"/>
      <c r="AM14" s="3"/>
      <c r="AN14" s="3"/>
      <c r="AO14" s="3"/>
      <c r="AP14" s="3"/>
      <c r="AQ14" s="3"/>
      <c r="AR14" s="3"/>
      <c r="AS14" s="3"/>
      <c r="AT14" s="3"/>
      <c r="AU14" s="3"/>
      <c r="AV14" s="3"/>
      <c r="AW14" s="3"/>
      <c r="AX14" s="3"/>
      <c r="AY14"/>
      <c r="AZ14"/>
      <c r="BA14"/>
      <c r="BB14"/>
      <c r="BC14"/>
      <c r="BD14"/>
      <c r="BE14"/>
      <c r="BF14"/>
      <c r="BG14"/>
      <c r="BH14"/>
      <c r="BI14"/>
      <c r="BJ14"/>
      <c r="BK14"/>
      <c r="BL14"/>
      <c r="BM14"/>
      <c r="BN14"/>
      <c r="BO14"/>
      <c r="BP14"/>
      <c r="BQ14"/>
      <c r="BR14"/>
    </row>
    <row r="15" spans="1:70" s="183" customFormat="1" ht="13.5" customHeight="1">
      <c r="A15" s="7">
        <f>[5]February_2026!$C15</f>
        <v>4</v>
      </c>
      <c r="B15" s="559">
        <f>[5]February_2026!$B15</f>
        <v>46058</v>
      </c>
      <c r="C15" s="7" t="str">
        <f>[5]February_2026!$D15</f>
        <v>CARIB AMBER</v>
      </c>
      <c r="D15" s="681"/>
      <c r="E15" s="80">
        <v>1.7638888888888888</v>
      </c>
      <c r="F15" s="80">
        <v>2</v>
      </c>
      <c r="G15" s="11">
        <v>2</v>
      </c>
      <c r="H15" s="14"/>
      <c r="I15" s="34">
        <f>24+20+13</f>
        <v>57</v>
      </c>
      <c r="J15" s="35">
        <v>4</v>
      </c>
      <c r="K15" s="34"/>
      <c r="L15" s="34"/>
      <c r="M15" s="34"/>
      <c r="N15" s="34"/>
      <c r="O15" s="34">
        <f>'Uncaser Downtime Detail '!AG79</f>
        <v>39</v>
      </c>
      <c r="P15" s="34">
        <f>'Washer Downtime Detail'!BH78</f>
        <v>17</v>
      </c>
      <c r="Q15" s="34">
        <f>'EBI Downtime Detail'!AI78</f>
        <v>0</v>
      </c>
      <c r="R15" s="34">
        <f>'Filler Downtime Detail'!AK74</f>
        <v>0</v>
      </c>
      <c r="S15" s="34">
        <f>'Pasteurizer Downtime Detail'!Z79</f>
        <v>0</v>
      </c>
      <c r="T15" s="34">
        <f>'Labeler Downtime Detail'!AN79</f>
        <v>0</v>
      </c>
      <c r="U15" s="34">
        <f>'Videojet Downtime Detail '!O78</f>
        <v>0</v>
      </c>
      <c r="V15" s="34">
        <f>'Conveyor Downtime (new)'!AV74</f>
        <v>4</v>
      </c>
      <c r="W15" s="34">
        <f>'Packer Downtime Detail  '!AD78</f>
        <v>0</v>
      </c>
      <c r="X15" s="34">
        <f>'Carton Errector-sealer Detail'!P63</f>
        <v>0</v>
      </c>
      <c r="Y15" s="35"/>
      <c r="Z15" s="34">
        <f>27+13+7+13</f>
        <v>60</v>
      </c>
      <c r="AA15" s="90"/>
      <c r="AB15" s="89"/>
      <c r="AC15" s="89"/>
      <c r="AD15" s="44">
        <f t="shared" si="0"/>
        <v>181</v>
      </c>
      <c r="AE15" s="754"/>
      <c r="AF15"/>
      <c r="AG15"/>
      <c r="AH15" s="3"/>
      <c r="AI15" s="23"/>
      <c r="AJ15" s="23"/>
      <c r="AK15" s="54"/>
      <c r="AL15" s="3"/>
      <c r="AM15" s="3"/>
      <c r="AN15" s="3"/>
      <c r="AO15" s="3"/>
      <c r="AP15" s="3"/>
      <c r="AQ15" s="3"/>
      <c r="AR15" s="3"/>
      <c r="AS15" s="3"/>
      <c r="AT15" s="3"/>
      <c r="AU15" s="3"/>
      <c r="AV15" s="3"/>
      <c r="AW15" s="3"/>
      <c r="AX15" s="3"/>
      <c r="AY15"/>
      <c r="AZ15"/>
      <c r="BA15"/>
      <c r="BB15"/>
      <c r="BC15"/>
      <c r="BD15"/>
      <c r="BE15"/>
      <c r="BF15"/>
      <c r="BG15"/>
      <c r="BH15"/>
      <c r="BI15"/>
      <c r="BJ15"/>
      <c r="BK15"/>
      <c r="BL15"/>
      <c r="BM15"/>
      <c r="BN15"/>
      <c r="BO15"/>
      <c r="BP15"/>
      <c r="BQ15"/>
      <c r="BR15"/>
    </row>
    <row r="16" spans="1:70" s="183" customFormat="1" ht="13.5" customHeight="1">
      <c r="A16" s="7">
        <f>[5]February_2026!$C16</f>
        <v>5</v>
      </c>
      <c r="B16" s="559">
        <f>[5]February_2026!$B16</f>
        <v>46059</v>
      </c>
      <c r="C16" s="7" t="str">
        <f>[5]February_2026!$D16</f>
        <v>CARIB AMBER</v>
      </c>
      <c r="D16" s="681">
        <v>1</v>
      </c>
      <c r="E16" s="80">
        <v>1.0069444444444444</v>
      </c>
      <c r="F16" s="80">
        <v>1.6770833333333333</v>
      </c>
      <c r="G16" s="11">
        <v>1.7166666666666666</v>
      </c>
      <c r="H16" s="82"/>
      <c r="I16" s="32"/>
      <c r="J16" s="86"/>
      <c r="K16" s="32"/>
      <c r="L16" s="32"/>
      <c r="M16" s="32"/>
      <c r="N16" s="32"/>
      <c r="O16" s="32">
        <f>'Uncaser Downtime Detail '!AG80</f>
        <v>204</v>
      </c>
      <c r="P16" s="32">
        <f>'Washer Downtime Detail'!BH79</f>
        <v>28</v>
      </c>
      <c r="Q16" s="32">
        <f>'EBI Downtime Detail'!AI79</f>
        <v>4</v>
      </c>
      <c r="R16" s="32">
        <f>'Filler Downtime Detail'!AK75</f>
        <v>9</v>
      </c>
      <c r="S16" s="32">
        <f>'Pasteurizer Downtime Detail'!Z80</f>
        <v>0</v>
      </c>
      <c r="T16" s="32">
        <f>'Labeler Downtime Detail'!AN80</f>
        <v>0</v>
      </c>
      <c r="U16" s="32">
        <f>'Videojet Downtime Detail '!O79</f>
        <v>0</v>
      </c>
      <c r="V16" s="32">
        <f>'Conveyor Downtime (new)'!AV75</f>
        <v>13</v>
      </c>
      <c r="W16" s="32">
        <f>'Packer Downtime Detail  '!AD79</f>
        <v>0</v>
      </c>
      <c r="X16" s="32">
        <f>'Carton Errector-sealer Detail'!P64</f>
        <v>0</v>
      </c>
      <c r="Y16" s="32"/>
      <c r="Z16" s="43">
        <f>10+15</f>
        <v>25</v>
      </c>
      <c r="AA16" s="88"/>
      <c r="AB16" s="71"/>
      <c r="AC16" s="71"/>
      <c r="AD16" s="44">
        <f t="shared" si="0"/>
        <v>283</v>
      </c>
      <c r="AE16" s="754">
        <f>G17-D16</f>
        <v>0.89583333333333326</v>
      </c>
      <c r="AF16"/>
      <c r="AG16"/>
      <c r="AH16" s="3"/>
      <c r="AI16" s="23"/>
      <c r="AJ16" s="23"/>
      <c r="AK16" s="54"/>
      <c r="AL16" s="3"/>
      <c r="AM16" s="3"/>
      <c r="AN16" s="3"/>
      <c r="AO16" s="3"/>
      <c r="AP16" s="3"/>
      <c r="AQ16" s="3"/>
      <c r="AR16" s="3"/>
      <c r="AS16" s="3"/>
      <c r="AT16" s="3"/>
      <c r="AU16" s="3"/>
      <c r="AV16" s="3"/>
      <c r="AW16" s="3"/>
      <c r="AX16" s="3"/>
      <c r="AY16"/>
      <c r="AZ16"/>
      <c r="BA16"/>
      <c r="BB16"/>
      <c r="BC16"/>
      <c r="BD16"/>
      <c r="BE16"/>
      <c r="BF16"/>
      <c r="BG16"/>
      <c r="BH16"/>
      <c r="BI16"/>
      <c r="BJ16"/>
      <c r="BK16"/>
      <c r="BL16"/>
      <c r="BM16"/>
      <c r="BN16"/>
      <c r="BO16"/>
      <c r="BP16"/>
      <c r="BQ16"/>
      <c r="BR16"/>
    </row>
    <row r="17" spans="1:70" s="183" customFormat="1" ht="13.5" customHeight="1">
      <c r="A17" s="7">
        <f>[5]February_2026!$C17</f>
        <v>5</v>
      </c>
      <c r="B17" s="559">
        <f>[5]February_2026!$B17</f>
        <v>46059</v>
      </c>
      <c r="C17" s="7" t="str">
        <f>[5]February_2026!$D17</f>
        <v>SHANDY GINGER</v>
      </c>
      <c r="D17" s="681"/>
      <c r="E17" s="80">
        <v>1.7048611111111112</v>
      </c>
      <c r="F17" s="80">
        <v>1.84375</v>
      </c>
      <c r="G17" s="11">
        <v>1.8958333333333333</v>
      </c>
      <c r="H17" s="14"/>
      <c r="I17" s="34">
        <f>40</f>
        <v>40</v>
      </c>
      <c r="J17" s="35"/>
      <c r="K17" s="34"/>
      <c r="L17" s="34"/>
      <c r="M17" s="34"/>
      <c r="N17" s="34"/>
      <c r="O17" s="34">
        <f>'Uncaser Downtime Detail '!AG81</f>
        <v>0</v>
      </c>
      <c r="P17" s="34">
        <f>'Washer Downtime Detail'!BH80</f>
        <v>27</v>
      </c>
      <c r="Q17" s="34">
        <f>'EBI Downtime Detail'!AI80</f>
        <v>0</v>
      </c>
      <c r="R17" s="34">
        <f>'Filler Downtime Detail'!AK76</f>
        <v>0</v>
      </c>
      <c r="S17" s="34">
        <f>'Pasteurizer Downtime Detail'!Z81</f>
        <v>0</v>
      </c>
      <c r="T17" s="34">
        <f>'Labeler Downtime Detail'!AN81</f>
        <v>0</v>
      </c>
      <c r="U17" s="34">
        <f>'Videojet Downtime Detail '!O80</f>
        <v>2</v>
      </c>
      <c r="V17" s="34">
        <f>'Conveyor Downtime (new)'!AV76</f>
        <v>7</v>
      </c>
      <c r="W17" s="34">
        <f>'Packer Downtime Detail  '!AD80</f>
        <v>0</v>
      </c>
      <c r="X17" s="34">
        <f>'Carton Errector-sealer Detail'!P65</f>
        <v>0</v>
      </c>
      <c r="Y17" s="35"/>
      <c r="Z17" s="34"/>
      <c r="AA17" s="90"/>
      <c r="AB17" s="89"/>
      <c r="AC17" s="89"/>
      <c r="AD17" s="44">
        <f t="shared" si="0"/>
        <v>76</v>
      </c>
      <c r="AE17" s="754"/>
      <c r="AF17"/>
      <c r="AG17"/>
      <c r="AH17" s="3"/>
      <c r="AI17" s="23"/>
      <c r="AJ17" s="23"/>
      <c r="AK17" s="54"/>
      <c r="AL17" s="3"/>
      <c r="AM17" s="3"/>
      <c r="AN17" s="3"/>
      <c r="AO17" s="3"/>
      <c r="AP17" s="3"/>
      <c r="AQ17" s="3"/>
      <c r="AR17" s="3"/>
      <c r="AS17" s="3"/>
      <c r="AT17" s="3"/>
      <c r="AU17" s="3"/>
      <c r="AV17" s="3"/>
      <c r="AW17" s="3"/>
      <c r="AX17" s="3"/>
      <c r="AY17"/>
      <c r="AZ17"/>
      <c r="BA17"/>
      <c r="BB17"/>
      <c r="BC17"/>
      <c r="BD17"/>
      <c r="BE17"/>
      <c r="BF17"/>
      <c r="BG17"/>
      <c r="BH17"/>
      <c r="BI17"/>
      <c r="BJ17"/>
      <c r="BK17"/>
      <c r="BL17"/>
      <c r="BM17"/>
      <c r="BN17"/>
      <c r="BO17"/>
      <c r="BP17"/>
      <c r="BQ17"/>
      <c r="BR17"/>
    </row>
    <row r="18" spans="1:70" s="183" customFormat="1" ht="13.5" customHeight="1">
      <c r="A18" s="7">
        <f>[5]February_2026!$C18</f>
        <v>6</v>
      </c>
      <c r="B18" s="559">
        <f>[5]February_2026!$B18</f>
        <v>46062</v>
      </c>
      <c r="C18" s="7" t="str">
        <f>[5]February_2026!$D18</f>
        <v>SHANDY GINGER ( LOCAL)</v>
      </c>
      <c r="D18" s="755">
        <v>4.1666666666666664E-2</v>
      </c>
      <c r="E18" s="80">
        <v>0.12152777777777778</v>
      </c>
      <c r="F18" s="80">
        <v>0.29166666666666669</v>
      </c>
      <c r="G18" s="11">
        <v>0.32222222222222224</v>
      </c>
      <c r="H18" s="82"/>
      <c r="I18" s="32"/>
      <c r="J18" s="86"/>
      <c r="K18" s="32"/>
      <c r="L18" s="32">
        <v>6</v>
      </c>
      <c r="M18" s="32"/>
      <c r="N18" s="32"/>
      <c r="O18" s="32">
        <f>'Uncaser Downtime Detail '!AG82</f>
        <v>78</v>
      </c>
      <c r="P18" s="32">
        <f>'Washer Downtime Detail'!BH81</f>
        <v>9</v>
      </c>
      <c r="Q18" s="32">
        <f>'EBI Downtime Detail'!AI81</f>
        <v>0</v>
      </c>
      <c r="R18" s="32">
        <f>'Filler Downtime Detail'!AK77</f>
        <v>2</v>
      </c>
      <c r="S18" s="32">
        <f>'Pasteurizer Downtime Detail'!Z82</f>
        <v>0</v>
      </c>
      <c r="T18" s="32">
        <f>'Labeler Downtime Detail'!AN82</f>
        <v>0</v>
      </c>
      <c r="U18" s="32">
        <f>'Videojet Downtime Detail '!O81</f>
        <v>0</v>
      </c>
      <c r="V18" s="32">
        <f>'Conveyor Downtime (new)'!AV77</f>
        <v>7</v>
      </c>
      <c r="W18" s="32">
        <f>'Packer Downtime Detail  '!AD81</f>
        <v>0</v>
      </c>
      <c r="X18" s="32">
        <f>'Carton Errector-sealer Detail'!P66</f>
        <v>0</v>
      </c>
      <c r="Y18" s="32"/>
      <c r="Z18" s="43">
        <f>55+10+9</f>
        <v>74</v>
      </c>
      <c r="AA18" s="88"/>
      <c r="AB18" s="71"/>
      <c r="AC18" s="71"/>
      <c r="AD18" s="44">
        <f t="shared" si="0"/>
        <v>176</v>
      </c>
      <c r="AE18" s="754">
        <f>G20-D18</f>
        <v>0.88888888888888895</v>
      </c>
      <c r="AF18"/>
      <c r="AG18"/>
      <c r="AH18" s="3"/>
      <c r="AI18" s="23"/>
      <c r="AJ18" s="23"/>
      <c r="AK18" s="54"/>
      <c r="AL18" s="3"/>
      <c r="AM18" s="3"/>
      <c r="AN18" s="3"/>
      <c r="AO18" s="3"/>
      <c r="AP18" s="3"/>
      <c r="AQ18" s="3"/>
      <c r="AR18" s="3"/>
      <c r="AS18" s="3"/>
      <c r="AT18" s="3"/>
      <c r="AU18" s="3"/>
      <c r="AV18" s="3"/>
      <c r="AW18" s="3"/>
      <c r="AX18" s="3"/>
      <c r="AY18"/>
      <c r="AZ18"/>
      <c r="BA18"/>
      <c r="BB18"/>
      <c r="BC18"/>
      <c r="BD18"/>
      <c r="BE18"/>
      <c r="BF18"/>
      <c r="BG18"/>
      <c r="BH18"/>
      <c r="BI18"/>
      <c r="BJ18"/>
      <c r="BK18"/>
      <c r="BL18"/>
      <c r="BM18"/>
      <c r="BN18"/>
      <c r="BO18"/>
      <c r="BP18"/>
      <c r="BQ18"/>
      <c r="BR18"/>
    </row>
    <row r="19" spans="1:70" s="183" customFormat="1" ht="13.5" customHeight="1">
      <c r="A19" s="7">
        <f>[5]February_2026!$C19</f>
        <v>6</v>
      </c>
      <c r="B19" s="559">
        <f>[5]February_2026!$B19</f>
        <v>46062</v>
      </c>
      <c r="C19" s="7" t="str">
        <f>[5]February_2026!$D19</f>
        <v>SHANDY GINGER (EXPORT)</v>
      </c>
      <c r="D19" s="755"/>
      <c r="E19" s="80">
        <v>0.29236111111111113</v>
      </c>
      <c r="F19" s="80">
        <v>0.3888888888888889</v>
      </c>
      <c r="G19" s="11">
        <v>0.4375</v>
      </c>
      <c r="H19" s="14"/>
      <c r="I19" s="34"/>
      <c r="J19" s="35"/>
      <c r="K19" s="34"/>
      <c r="L19" s="34"/>
      <c r="M19" s="34"/>
      <c r="N19" s="34"/>
      <c r="O19" s="34">
        <f>'Uncaser Downtime Detail '!AG83</f>
        <v>31</v>
      </c>
      <c r="P19" s="34">
        <f>'Washer Downtime Detail'!BH82</f>
        <v>0</v>
      </c>
      <c r="Q19" s="34">
        <f>'EBI Downtime Detail'!AI82</f>
        <v>0</v>
      </c>
      <c r="R19" s="34">
        <f>'Filler Downtime Detail'!AK78</f>
        <v>0</v>
      </c>
      <c r="S19" s="34">
        <f>'Pasteurizer Downtime Detail'!Z83</f>
        <v>0</v>
      </c>
      <c r="T19" s="34">
        <f>'Labeler Downtime Detail'!AN83</f>
        <v>0</v>
      </c>
      <c r="U19" s="34"/>
      <c r="V19" s="34">
        <f>'Conveyor Downtime (new)'!AV78</f>
        <v>0</v>
      </c>
      <c r="W19" s="34">
        <f>'Packer Downtime Detail  '!AD82</f>
        <v>5</v>
      </c>
      <c r="X19" s="34">
        <f>'Carton Errector-sealer Detail'!P67</f>
        <v>0</v>
      </c>
      <c r="Y19" s="35"/>
      <c r="Z19" s="34"/>
      <c r="AA19" s="90"/>
      <c r="AB19" s="89"/>
      <c r="AC19" s="89"/>
      <c r="AD19" s="44">
        <f t="shared" si="0"/>
        <v>36</v>
      </c>
      <c r="AE19" s="754"/>
      <c r="AF19"/>
      <c r="AG19"/>
      <c r="AH19" s="3"/>
      <c r="AI19" s="23"/>
      <c r="AJ19" s="23"/>
      <c r="AK19" s="54"/>
      <c r="AL19" s="3"/>
      <c r="AM19" s="3"/>
      <c r="AN19" s="3"/>
      <c r="AO19" s="3"/>
      <c r="AP19" s="3"/>
      <c r="AQ19" s="3"/>
      <c r="AR19" s="3"/>
      <c r="AS19" s="3"/>
      <c r="AT19" s="3"/>
      <c r="AU19" s="3"/>
      <c r="AV19" s="3"/>
      <c r="AW19" s="3"/>
      <c r="AX19" s="3"/>
      <c r="AY19"/>
      <c r="AZ19"/>
      <c r="BA19"/>
      <c r="BB19"/>
      <c r="BC19"/>
      <c r="BD19"/>
      <c r="BE19"/>
      <c r="BF19"/>
      <c r="BG19"/>
      <c r="BH19"/>
      <c r="BI19"/>
      <c r="BJ19"/>
      <c r="BK19"/>
      <c r="BL19"/>
      <c r="BM19"/>
      <c r="BN19"/>
      <c r="BO19"/>
      <c r="BP19"/>
      <c r="BQ19"/>
      <c r="BR19"/>
    </row>
    <row r="20" spans="1:70" s="183" customFormat="1" ht="13.5" customHeight="1">
      <c r="A20" s="7">
        <f>[5]February_2026!$C20</f>
        <v>6</v>
      </c>
      <c r="B20" s="559">
        <f>[5]February_2026!$B20</f>
        <v>46062</v>
      </c>
      <c r="C20" s="7" t="str">
        <f>[5]February_2026!$D20</f>
        <v>STAG</v>
      </c>
      <c r="D20" s="755"/>
      <c r="E20" s="80">
        <v>0.52916666666666667</v>
      </c>
      <c r="F20" s="80">
        <v>0.88611111111111107</v>
      </c>
      <c r="G20" s="11">
        <v>0.93055555555555558</v>
      </c>
      <c r="H20" s="82"/>
      <c r="I20" s="32">
        <f>40+10</f>
        <v>50</v>
      </c>
      <c r="J20" s="86">
        <f>50+60+5+7+8</f>
        <v>130</v>
      </c>
      <c r="K20" s="32"/>
      <c r="L20" s="32"/>
      <c r="M20" s="32"/>
      <c r="N20" s="32"/>
      <c r="O20" s="32">
        <f>'Uncaser Downtime Detail '!AG84</f>
        <v>102</v>
      </c>
      <c r="P20" s="32">
        <f>'Washer Downtime Detail'!BH83</f>
        <v>25</v>
      </c>
      <c r="Q20" s="32">
        <f>'EBI Downtime Detail'!AI83</f>
        <v>40</v>
      </c>
      <c r="R20" s="32">
        <f>'Filler Downtime Detail'!AK79</f>
        <v>15</v>
      </c>
      <c r="S20" s="32">
        <f>'Pasteurizer Downtime Detail'!Z84</f>
        <v>0</v>
      </c>
      <c r="T20" s="32">
        <f>'Labeler Downtime Detail'!AN84</f>
        <v>1</v>
      </c>
      <c r="U20" s="32"/>
      <c r="V20" s="32">
        <f>'Conveyor Downtime (new)'!AV79</f>
        <v>0</v>
      </c>
      <c r="W20" s="32">
        <f>'Packer Downtime Detail  '!AD83</f>
        <v>0</v>
      </c>
      <c r="X20" s="32">
        <f>'Carton Errector-sealer Detail'!P68</f>
        <v>0</v>
      </c>
      <c r="Y20" s="32"/>
      <c r="Z20" s="43"/>
      <c r="AA20" s="88"/>
      <c r="AB20" s="71"/>
      <c r="AC20" s="71"/>
      <c r="AD20" s="44">
        <f t="shared" si="0"/>
        <v>363</v>
      </c>
      <c r="AE20" s="754"/>
      <c r="AF20"/>
      <c r="AG20"/>
      <c r="AH20" s="3"/>
      <c r="AI20" s="23"/>
      <c r="AJ20" s="23"/>
      <c r="AK20" s="54"/>
      <c r="AL20" s="3"/>
      <c r="AM20" s="3"/>
      <c r="AN20" s="3"/>
      <c r="AO20" s="3"/>
      <c r="AP20" s="3"/>
      <c r="AQ20" s="3"/>
      <c r="AR20" s="3"/>
      <c r="AS20" s="3"/>
      <c r="AT20" s="3"/>
      <c r="AU20" s="3"/>
      <c r="AV20" s="3"/>
      <c r="AW20" s="3"/>
      <c r="AX20" s="3"/>
      <c r="AY20"/>
      <c r="AZ20"/>
      <c r="BA20"/>
      <c r="BB20"/>
      <c r="BC20"/>
      <c r="BD20"/>
      <c r="BE20"/>
      <c r="BF20"/>
      <c r="BG20"/>
      <c r="BH20"/>
      <c r="BI20"/>
      <c r="BJ20"/>
      <c r="BK20"/>
      <c r="BL20"/>
      <c r="BM20"/>
      <c r="BN20"/>
      <c r="BO20"/>
      <c r="BP20"/>
      <c r="BQ20"/>
      <c r="BR20"/>
    </row>
    <row r="21" spans="1:70" s="183" customFormat="1" ht="13.5" customHeight="1">
      <c r="A21" s="7">
        <f>[5]February_2026!$C21</f>
        <v>7</v>
      </c>
      <c r="B21" s="559">
        <f>[5]February_2026!$B21</f>
        <v>46063</v>
      </c>
      <c r="C21" s="7" t="str">
        <f>[5]February_2026!$D21</f>
        <v>PINK TING</v>
      </c>
      <c r="D21" s="681">
        <v>1</v>
      </c>
      <c r="E21" s="80">
        <v>1.0277777777777777</v>
      </c>
      <c r="F21" s="80">
        <v>1.4125000000000001</v>
      </c>
      <c r="G21" s="11">
        <v>1.4527777777777777</v>
      </c>
      <c r="H21" s="14"/>
      <c r="I21" s="34">
        <v>104</v>
      </c>
      <c r="J21" s="35">
        <f>13</f>
        <v>13</v>
      </c>
      <c r="K21" s="34"/>
      <c r="L21" s="34"/>
      <c r="M21" s="34">
        <f>6</f>
        <v>6</v>
      </c>
      <c r="N21" s="34"/>
      <c r="O21" s="34">
        <f>'Uncaser Downtime Detail '!AG85</f>
        <v>2</v>
      </c>
      <c r="P21" s="34">
        <f>'Washer Downtime Detail'!BH84</f>
        <v>12</v>
      </c>
      <c r="Q21" s="34">
        <f>'EBI Downtime Detail'!AI84</f>
        <v>2</v>
      </c>
      <c r="R21" s="34">
        <f>'Filler Downtime Detail'!AK80</f>
        <v>2</v>
      </c>
      <c r="S21" s="34">
        <f>'Pasteurizer Downtime Detail'!Z85</f>
        <v>0</v>
      </c>
      <c r="T21" s="34">
        <f>'Labeler Downtime Detail'!AN85</f>
        <v>3</v>
      </c>
      <c r="U21" s="34"/>
      <c r="V21" s="34">
        <f>'Conveyor Downtime (new)'!AV80</f>
        <v>44</v>
      </c>
      <c r="W21" s="34">
        <f>'Packer Downtime Detail  '!AD84</f>
        <v>0</v>
      </c>
      <c r="X21" s="34">
        <f>'Carton Errector-sealer Detail'!P69</f>
        <v>0</v>
      </c>
      <c r="Y21" s="35"/>
      <c r="Z21" s="34">
        <f>18+2+46+10</f>
        <v>76</v>
      </c>
      <c r="AA21" s="90"/>
      <c r="AB21" s="89">
        <f>2+6+6+6+6+4</f>
        <v>30</v>
      </c>
      <c r="AC21" s="89"/>
      <c r="AD21" s="44">
        <f t="shared" si="0"/>
        <v>294</v>
      </c>
      <c r="AE21" s="754">
        <f>G23-D21</f>
        <v>1.03125</v>
      </c>
      <c r="AF21"/>
      <c r="AG21"/>
      <c r="AH21" s="3"/>
      <c r="AI21" s="23"/>
      <c r="AJ21" s="23"/>
      <c r="AK21" s="54"/>
      <c r="AL21" s="3"/>
      <c r="AM21" s="3"/>
      <c r="AN21" s="3"/>
      <c r="AO21" s="3"/>
      <c r="AP21" s="3"/>
      <c r="AQ21" s="3"/>
      <c r="AR21" s="3"/>
      <c r="AS21" s="3"/>
      <c r="AT21" s="3"/>
      <c r="AU21" s="3"/>
      <c r="AV21" s="3"/>
      <c r="AW21" s="3"/>
      <c r="AX21" s="3"/>
      <c r="AY21"/>
      <c r="AZ21"/>
      <c r="BA21"/>
      <c r="BB21"/>
      <c r="BC21"/>
      <c r="BD21"/>
      <c r="BE21"/>
      <c r="BF21"/>
      <c r="BG21"/>
      <c r="BH21"/>
      <c r="BI21"/>
      <c r="BJ21"/>
      <c r="BK21"/>
      <c r="BL21"/>
      <c r="BM21"/>
      <c r="BN21"/>
      <c r="BO21"/>
      <c r="BP21"/>
      <c r="BQ21"/>
      <c r="BR21"/>
    </row>
    <row r="22" spans="1:70" s="183" customFormat="1" ht="13.5" customHeight="1">
      <c r="A22" s="7">
        <f>[5]February_2026!$C22</f>
        <v>7</v>
      </c>
      <c r="B22" s="559">
        <f>[5]February_2026!$B22</f>
        <v>46063</v>
      </c>
      <c r="C22" s="7" t="str">
        <f>[5]February_2026!$D22</f>
        <v xml:space="preserve">GREEN TING </v>
      </c>
      <c r="D22" s="681"/>
      <c r="E22" s="80">
        <v>1.5194444444444444</v>
      </c>
      <c r="F22" s="80">
        <v>1.7118055555555556</v>
      </c>
      <c r="G22" s="11"/>
      <c r="H22" s="82"/>
      <c r="I22" s="32">
        <f>5+14</f>
        <v>19</v>
      </c>
      <c r="J22" s="86">
        <f>45+60+28+4</f>
        <v>137</v>
      </c>
      <c r="K22" s="32"/>
      <c r="L22" s="32"/>
      <c r="M22" s="32"/>
      <c r="N22" s="32"/>
      <c r="O22" s="32">
        <f>'Uncaser Downtime Detail '!AG86</f>
        <v>26</v>
      </c>
      <c r="P22" s="32">
        <f>'Washer Downtime Detail'!BH85</f>
        <v>0</v>
      </c>
      <c r="Q22" s="32">
        <f>'EBI Downtime Detail'!AI85</f>
        <v>3</v>
      </c>
      <c r="R22" s="32">
        <f>'Filler Downtime Detail'!AK81</f>
        <v>0</v>
      </c>
      <c r="S22" s="32">
        <f>'Pasteurizer Downtime Detail'!Z86</f>
        <v>0</v>
      </c>
      <c r="T22" s="32">
        <f>'Labeler Downtime Detail'!AN86</f>
        <v>0</v>
      </c>
      <c r="U22" s="32"/>
      <c r="V22" s="32">
        <f>'Conveyor Downtime (new)'!AV81</f>
        <v>0</v>
      </c>
      <c r="W22" s="32">
        <f>'Packer Downtime Detail  '!AD85</f>
        <v>0</v>
      </c>
      <c r="X22" s="32">
        <f>'Carton Errector-sealer Detail'!P70</f>
        <v>0</v>
      </c>
      <c r="Y22" s="32"/>
      <c r="Z22" s="43">
        <v>5</v>
      </c>
      <c r="AA22" s="88"/>
      <c r="AB22" s="71"/>
      <c r="AC22" s="71"/>
      <c r="AD22" s="44">
        <f t="shared" si="0"/>
        <v>190</v>
      </c>
      <c r="AE22" s="754"/>
      <c r="AF22"/>
      <c r="AG22"/>
      <c r="AH22" s="3"/>
      <c r="AI22" s="23"/>
      <c r="AJ22" s="23"/>
      <c r="AK22" s="54"/>
      <c r="AL22" s="3"/>
      <c r="AM22" s="3"/>
      <c r="AN22" s="3"/>
      <c r="AO22" s="3"/>
      <c r="AP22" s="3"/>
      <c r="AQ22" s="3"/>
      <c r="AR22" s="3"/>
      <c r="AS22" s="3"/>
      <c r="AT22" s="3"/>
      <c r="AU22" s="3"/>
      <c r="AV22" s="3"/>
      <c r="AW22" s="3"/>
      <c r="AX22" s="3"/>
      <c r="AY22"/>
      <c r="AZ22"/>
      <c r="BA22"/>
      <c r="BB22"/>
      <c r="BC22"/>
      <c r="BD22"/>
      <c r="BE22"/>
      <c r="BF22"/>
      <c r="BG22"/>
      <c r="BH22"/>
      <c r="BI22"/>
      <c r="BJ22"/>
      <c r="BK22"/>
      <c r="BL22"/>
      <c r="BM22"/>
      <c r="BN22"/>
      <c r="BO22"/>
      <c r="BP22"/>
      <c r="BQ22"/>
      <c r="BR22"/>
    </row>
    <row r="23" spans="1:70" s="183" customFormat="1" ht="13.5" customHeight="1">
      <c r="A23" s="7">
        <f>[5]February_2026!$C23</f>
        <v>7</v>
      </c>
      <c r="B23" s="559">
        <f>[5]February_2026!$B23</f>
        <v>46063</v>
      </c>
      <c r="C23" s="7" t="str">
        <f>[5]February_2026!$D23</f>
        <v>CARIB AMBER</v>
      </c>
      <c r="D23" s="681"/>
      <c r="E23" s="80">
        <v>1.7625</v>
      </c>
      <c r="F23" s="80">
        <v>2</v>
      </c>
      <c r="G23" s="11">
        <v>2.03125</v>
      </c>
      <c r="H23" s="14"/>
      <c r="I23" s="34">
        <f>59+18</f>
        <v>77</v>
      </c>
      <c r="J23" s="35"/>
      <c r="K23" s="34"/>
      <c r="L23" s="34"/>
      <c r="M23" s="34"/>
      <c r="N23" s="34"/>
      <c r="O23" s="34">
        <f>'Uncaser Downtime Detail '!AG87</f>
        <v>14</v>
      </c>
      <c r="P23" s="34">
        <f>'Washer Downtime Detail'!BH86</f>
        <v>14</v>
      </c>
      <c r="Q23" s="34">
        <f>'EBI Downtime Detail'!AI86</f>
        <v>0</v>
      </c>
      <c r="R23" s="34">
        <f>'Filler Downtime Detail'!AK82</f>
        <v>0</v>
      </c>
      <c r="S23" s="34">
        <f>'Pasteurizer Downtime Detail'!Z87</f>
        <v>0</v>
      </c>
      <c r="T23" s="34">
        <f>'Labeler Downtime Detail'!AN87</f>
        <v>0</v>
      </c>
      <c r="U23" s="34">
        <f>'Videojet Downtime Detail '!O86</f>
        <v>0</v>
      </c>
      <c r="V23" s="34">
        <f>'Conveyor Downtime (new)'!AV82</f>
        <v>2</v>
      </c>
      <c r="W23" s="34">
        <f>'Packer Downtime Detail  '!AD86</f>
        <v>0</v>
      </c>
      <c r="X23" s="34">
        <f>'Carton Errector-sealer Detail'!P71</f>
        <v>0</v>
      </c>
      <c r="Y23" s="35"/>
      <c r="Z23" s="34">
        <f>6</f>
        <v>6</v>
      </c>
      <c r="AA23" s="90"/>
      <c r="AB23" s="89">
        <v>4</v>
      </c>
      <c r="AC23" s="89"/>
      <c r="AD23" s="44">
        <f t="shared" si="0"/>
        <v>117</v>
      </c>
      <c r="AE23" s="754"/>
      <c r="AF23"/>
      <c r="AG23"/>
      <c r="AH23" s="3"/>
      <c r="AI23" s="23"/>
      <c r="AJ23" s="23"/>
      <c r="AK23" s="54"/>
      <c r="AL23" s="3"/>
      <c r="AM23" s="3"/>
      <c r="AN23" s="3"/>
      <c r="AO23" s="3"/>
      <c r="AP23" s="3"/>
      <c r="AQ23" s="3"/>
      <c r="AR23" s="3"/>
      <c r="AS23" s="3"/>
      <c r="AT23" s="3"/>
      <c r="AU23" s="3"/>
      <c r="AV23" s="3"/>
      <c r="AW23" s="3"/>
      <c r="AX23" s="3"/>
      <c r="AY23"/>
      <c r="AZ23"/>
      <c r="BA23"/>
      <c r="BB23"/>
      <c r="BC23"/>
      <c r="BD23"/>
      <c r="BE23"/>
      <c r="BF23"/>
      <c r="BG23"/>
      <c r="BH23"/>
      <c r="BI23"/>
      <c r="BJ23"/>
      <c r="BK23"/>
      <c r="BL23"/>
      <c r="BM23"/>
      <c r="BN23"/>
      <c r="BO23"/>
      <c r="BP23"/>
      <c r="BQ23"/>
      <c r="BR23"/>
    </row>
    <row r="24" spans="1:70" s="183" customFormat="1" ht="13.5" customHeight="1">
      <c r="A24" s="7">
        <f>[5]February_2026!$C24</f>
        <v>8</v>
      </c>
      <c r="B24" s="559">
        <f>[5]February_2026!$B24</f>
        <v>46064</v>
      </c>
      <c r="C24" s="7" t="str">
        <f>[5]February_2026!$D24</f>
        <v>CARIB AMBER</v>
      </c>
      <c r="D24" s="681">
        <v>1</v>
      </c>
      <c r="E24" s="80">
        <v>1.0034722222222223</v>
      </c>
      <c r="F24" s="80">
        <v>1.4041666666666666</v>
      </c>
      <c r="G24" s="11"/>
      <c r="H24" s="82"/>
      <c r="I24" s="32"/>
      <c r="J24" s="86"/>
      <c r="K24" s="32"/>
      <c r="L24" s="32"/>
      <c r="M24" s="32"/>
      <c r="N24" s="32"/>
      <c r="O24" s="32">
        <f>'Uncaser Downtime Detail '!AG88</f>
        <v>4</v>
      </c>
      <c r="P24" s="32">
        <f>'Washer Downtime Detail'!BH87</f>
        <v>51</v>
      </c>
      <c r="Q24" s="32">
        <f>'EBI Downtime Detail'!AI87</f>
        <v>12</v>
      </c>
      <c r="R24" s="32">
        <f>'Filler Downtime Detail'!AK83</f>
        <v>3</v>
      </c>
      <c r="S24" s="32">
        <f>'Pasteurizer Downtime Detail'!Z88</f>
        <v>0</v>
      </c>
      <c r="T24" s="32">
        <f>'Labeler Downtime Detail'!AN88</f>
        <v>0</v>
      </c>
      <c r="U24" s="32">
        <f>'Videojet Downtime Detail '!O87</f>
        <v>0</v>
      </c>
      <c r="V24" s="32">
        <f>'Conveyor Downtime (new)'!AV83</f>
        <v>29</v>
      </c>
      <c r="W24" s="32">
        <f>'Packer Downtime Detail  '!AD87</f>
        <v>0</v>
      </c>
      <c r="X24" s="32">
        <f>'Carton Errector-sealer Detail'!P72</f>
        <v>0</v>
      </c>
      <c r="Y24" s="32"/>
      <c r="Z24" s="43">
        <f>4+10+6</f>
        <v>20</v>
      </c>
      <c r="AA24" s="88"/>
      <c r="AB24" s="71"/>
      <c r="AC24" s="71"/>
      <c r="AD24" s="44">
        <f t="shared" si="0"/>
        <v>119</v>
      </c>
      <c r="AE24" s="754">
        <f>G25-D24</f>
        <v>1.0215277777777776</v>
      </c>
      <c r="AF24"/>
      <c r="AG24"/>
      <c r="AH24" s="3"/>
      <c r="AI24" s="23"/>
      <c r="AJ24" s="23"/>
      <c r="AK24" s="54"/>
      <c r="AL24" s="3"/>
      <c r="AM24" s="3"/>
      <c r="AN24" s="3"/>
      <c r="AO24" s="3"/>
      <c r="AP24" s="3"/>
      <c r="AQ24" s="3"/>
      <c r="AR24" s="3"/>
      <c r="AS24" s="3"/>
      <c r="AT24" s="3"/>
      <c r="AU24" s="3"/>
      <c r="AV24" s="3"/>
      <c r="AW24" s="3"/>
      <c r="AX24" s="3"/>
      <c r="AY24"/>
      <c r="AZ24"/>
      <c r="BA24"/>
      <c r="BB24"/>
      <c r="BC24"/>
      <c r="BD24"/>
      <c r="BE24"/>
      <c r="BF24"/>
      <c r="BG24"/>
      <c r="BH24"/>
      <c r="BI24"/>
      <c r="BJ24"/>
      <c r="BK24"/>
      <c r="BL24"/>
      <c r="BM24"/>
      <c r="BN24"/>
      <c r="BO24"/>
      <c r="BP24"/>
      <c r="BQ24"/>
      <c r="BR24"/>
    </row>
    <row r="25" spans="1:70" s="183" customFormat="1" ht="13.5" customHeight="1">
      <c r="A25" s="7">
        <f>[5]February_2026!$C25</f>
        <v>8</v>
      </c>
      <c r="B25" s="559">
        <f>[5]February_2026!$B25</f>
        <v>46064</v>
      </c>
      <c r="C25" s="7" t="str">
        <f>[5]February_2026!$D25</f>
        <v>STAG</v>
      </c>
      <c r="D25" s="681"/>
      <c r="E25" s="80">
        <v>1.4652777777777777</v>
      </c>
      <c r="F25" s="80">
        <v>2</v>
      </c>
      <c r="G25" s="11">
        <v>2.0215277777777776</v>
      </c>
      <c r="H25" s="14"/>
      <c r="I25" s="34">
        <f>12+21+15</f>
        <v>48</v>
      </c>
      <c r="J25" s="35"/>
      <c r="K25" s="34"/>
      <c r="L25" s="34">
        <f>20</f>
        <v>20</v>
      </c>
      <c r="M25" s="34">
        <f>4</f>
        <v>4</v>
      </c>
      <c r="N25" s="34"/>
      <c r="O25" s="34">
        <f>'Uncaser Downtime Detail '!AG89</f>
        <v>36</v>
      </c>
      <c r="P25" s="34">
        <f>'Washer Downtime Detail'!BH88</f>
        <v>143</v>
      </c>
      <c r="Q25" s="34">
        <f>'EBI Downtime Detail'!AI88</f>
        <v>51</v>
      </c>
      <c r="R25" s="34">
        <f>'Filler Downtime Detail'!AK84</f>
        <v>2</v>
      </c>
      <c r="S25" s="34">
        <f>'Pasteurizer Downtime Detail'!Z89</f>
        <v>0</v>
      </c>
      <c r="T25" s="34">
        <f>'Labeler Downtime Detail'!AN89</f>
        <v>5</v>
      </c>
      <c r="U25" s="34">
        <f>'Videojet Downtime Detail '!O88</f>
        <v>0</v>
      </c>
      <c r="V25" s="34">
        <f>'Conveyor Downtime (new)'!AV84</f>
        <v>5</v>
      </c>
      <c r="W25" s="34">
        <f>'Packer Downtime Detail  '!AD88</f>
        <v>0</v>
      </c>
      <c r="X25" s="34">
        <f>'Carton Errector-sealer Detail'!P73</f>
        <v>0</v>
      </c>
      <c r="Y25" s="35"/>
      <c r="Z25" s="34">
        <f>45+8+3+27</f>
        <v>83</v>
      </c>
      <c r="AA25" s="90"/>
      <c r="AB25" s="89">
        <v>4</v>
      </c>
      <c r="AC25" s="89"/>
      <c r="AD25" s="44">
        <f t="shared" si="0"/>
        <v>401</v>
      </c>
      <c r="AE25" s="754"/>
      <c r="AF25"/>
      <c r="AG25"/>
      <c r="AH25" s="3"/>
      <c r="AI25" s="23"/>
      <c r="AJ25" s="23"/>
      <c r="AK25" s="54"/>
      <c r="AL25" s="3"/>
      <c r="AM25" s="3"/>
      <c r="AN25" s="3"/>
      <c r="AO25" s="3"/>
      <c r="AP25" s="3"/>
      <c r="AQ25" s="3"/>
      <c r="AR25" s="3"/>
      <c r="AS25" s="3"/>
      <c r="AT25" s="3"/>
      <c r="AU25" s="3"/>
      <c r="AV25" s="3"/>
      <c r="AW25" s="3"/>
      <c r="AX25" s="3"/>
      <c r="AY25"/>
      <c r="AZ25"/>
      <c r="BA25"/>
      <c r="BB25"/>
      <c r="BC25"/>
      <c r="BD25"/>
      <c r="BE25"/>
      <c r="BF25"/>
      <c r="BG25"/>
      <c r="BH25"/>
      <c r="BI25"/>
      <c r="BJ25"/>
      <c r="BK25"/>
      <c r="BL25"/>
      <c r="BM25"/>
      <c r="BN25"/>
      <c r="BO25"/>
      <c r="BP25"/>
      <c r="BQ25"/>
      <c r="BR25"/>
    </row>
    <row r="26" spans="1:70" s="183" customFormat="1" ht="13.5" customHeight="1">
      <c r="A26" s="7">
        <f>[5]February_2026!$C26</f>
        <v>9</v>
      </c>
      <c r="B26" s="559">
        <f>[5]February_2026!$B26</f>
        <v>46065</v>
      </c>
      <c r="C26" s="7" t="str">
        <f>[5]February_2026!$D26</f>
        <v>STAG</v>
      </c>
      <c r="D26" s="93">
        <v>1</v>
      </c>
      <c r="E26" s="80">
        <v>1.0069444444444444</v>
      </c>
      <c r="F26" s="80">
        <v>2</v>
      </c>
      <c r="G26" s="11">
        <v>2.0305555555555554</v>
      </c>
      <c r="H26" s="82"/>
      <c r="I26" s="32"/>
      <c r="J26" s="86">
        <f>3+4</f>
        <v>7</v>
      </c>
      <c r="K26" s="32">
        <f>30</f>
        <v>30</v>
      </c>
      <c r="L26" s="32"/>
      <c r="M26" s="32"/>
      <c r="N26" s="32"/>
      <c r="O26" s="32">
        <f>'Uncaser Downtime Detail '!AG90</f>
        <v>127</v>
      </c>
      <c r="P26" s="32">
        <f>'Washer Downtime Detail'!BH89</f>
        <v>31</v>
      </c>
      <c r="Q26" s="32">
        <f>'EBI Downtime Detail'!AI89</f>
        <v>46</v>
      </c>
      <c r="R26" s="32">
        <f>'Filler Downtime Detail'!AK85</f>
        <v>3</v>
      </c>
      <c r="S26" s="32">
        <f>'Pasteurizer Downtime Detail'!Z90</f>
        <v>0</v>
      </c>
      <c r="T26" s="32">
        <f>'Labeler Downtime Detail'!AN90</f>
        <v>84</v>
      </c>
      <c r="U26" s="32">
        <f>'Videojet Downtime Detail '!O89</f>
        <v>25</v>
      </c>
      <c r="V26" s="32">
        <f>'Conveyor Downtime (new)'!AV85</f>
        <v>115</v>
      </c>
      <c r="W26" s="32">
        <f>'Packer Downtime Detail  '!AD89</f>
        <v>39</v>
      </c>
      <c r="X26" s="32">
        <f>'Carton Errector-sealer Detail'!P74</f>
        <v>0</v>
      </c>
      <c r="Y26" s="32"/>
      <c r="Z26" s="43">
        <f>28+10</f>
        <v>38</v>
      </c>
      <c r="AA26" s="88">
        <v>9</v>
      </c>
      <c r="AB26" s="43">
        <f>5+3+3+4+3+4+4</f>
        <v>26</v>
      </c>
      <c r="AC26" s="32"/>
      <c r="AD26" s="44">
        <f t="shared" si="0"/>
        <v>580</v>
      </c>
      <c r="AE26" s="45">
        <f>G26-D26</f>
        <v>1.0305555555555554</v>
      </c>
      <c r="AF26"/>
      <c r="AG26"/>
      <c r="AH26" s="3"/>
      <c r="AI26" s="23"/>
      <c r="AJ26" s="23"/>
      <c r="AK26" s="54"/>
      <c r="AL26" s="3"/>
      <c r="AM26" s="3"/>
      <c r="AN26" s="3"/>
      <c r="AO26" s="3"/>
      <c r="AP26" s="3"/>
      <c r="AQ26" s="3"/>
      <c r="AR26" s="3"/>
      <c r="AS26" s="3"/>
      <c r="AT26" s="3"/>
      <c r="AU26" s="3"/>
      <c r="AV26" s="3"/>
      <c r="AW26" s="3"/>
      <c r="AX26" s="3"/>
      <c r="AY26"/>
      <c r="AZ26"/>
      <c r="BA26"/>
      <c r="BB26"/>
      <c r="BC26"/>
      <c r="BD26"/>
      <c r="BE26"/>
      <c r="BF26"/>
      <c r="BG26"/>
      <c r="BH26"/>
      <c r="BI26"/>
      <c r="BJ26"/>
      <c r="BK26"/>
      <c r="BL26"/>
      <c r="BM26"/>
      <c r="BN26"/>
      <c r="BO26"/>
      <c r="BP26"/>
      <c r="BQ26"/>
      <c r="BR26"/>
    </row>
    <row r="27" spans="1:70" s="183" customFormat="1" ht="13.5" customHeight="1">
      <c r="A27" s="7">
        <f>[5]February_2026!$C27</f>
        <v>10</v>
      </c>
      <c r="B27" s="559">
        <f>[5]February_2026!$B27</f>
        <v>46066</v>
      </c>
      <c r="C27" s="7" t="str">
        <f>[5]February_2026!$D27</f>
        <v>STAG</v>
      </c>
      <c r="D27" s="681">
        <v>1</v>
      </c>
      <c r="E27" s="80">
        <v>1.0069444444444444</v>
      </c>
      <c r="F27" s="80">
        <v>1.1708333333333334</v>
      </c>
      <c r="G27" s="11">
        <v>0.22708333333333333</v>
      </c>
      <c r="H27" s="14"/>
      <c r="I27" s="34"/>
      <c r="J27" s="35"/>
      <c r="K27" s="34"/>
      <c r="L27" s="34"/>
      <c r="M27" s="34"/>
      <c r="N27" s="34"/>
      <c r="O27" s="34">
        <f>'Uncaser Downtime Detail '!AG91</f>
        <v>32</v>
      </c>
      <c r="P27" s="34">
        <f>'Washer Downtime Detail'!BH90</f>
        <v>4</v>
      </c>
      <c r="Q27" s="34">
        <f>'EBI Downtime Detail'!AI90</f>
        <v>2</v>
      </c>
      <c r="R27" s="34">
        <f>'Filler Downtime Detail'!AK86</f>
        <v>1</v>
      </c>
      <c r="S27" s="34">
        <f>'Pasteurizer Downtime Detail'!Z91</f>
        <v>0</v>
      </c>
      <c r="T27" s="34">
        <f>'Labeler Downtime Detail'!AN91</f>
        <v>0</v>
      </c>
      <c r="U27" s="34">
        <f>'Videojet Downtime Detail '!O90</f>
        <v>0</v>
      </c>
      <c r="V27" s="34">
        <f>'Conveyor Downtime (new)'!AV86</f>
        <v>10</v>
      </c>
      <c r="W27" s="34">
        <f>'Packer Downtime Detail  '!AD90</f>
        <v>0</v>
      </c>
      <c r="X27" s="34">
        <f>'Carton Errector-sealer Detail'!P75</f>
        <v>0</v>
      </c>
      <c r="Y27" s="35"/>
      <c r="Z27" s="34"/>
      <c r="AA27" s="90"/>
      <c r="AB27" s="89"/>
      <c r="AC27" s="89"/>
      <c r="AD27" s="44">
        <f t="shared" si="0"/>
        <v>49</v>
      </c>
      <c r="AE27" s="754">
        <f>G28-D27</f>
        <v>0.86388888888888893</v>
      </c>
      <c r="AF27"/>
      <c r="AG27"/>
      <c r="AH27" s="3"/>
      <c r="AI27" s="23"/>
      <c r="AJ27" s="23"/>
      <c r="AK27" s="54"/>
      <c r="AL27" s="3"/>
      <c r="AM27" s="3"/>
      <c r="AN27" s="3"/>
      <c r="AO27" s="3"/>
      <c r="AP27" s="3"/>
      <c r="AQ27" s="3"/>
      <c r="AR27" s="3"/>
      <c r="AS27" s="3"/>
      <c r="AT27" s="3"/>
      <c r="AU27" s="3"/>
      <c r="AV27" s="3"/>
      <c r="AW27" s="3"/>
      <c r="AX27" s="3"/>
      <c r="AY27"/>
      <c r="AZ27"/>
      <c r="BA27"/>
      <c r="BB27"/>
      <c r="BC27"/>
      <c r="BD27"/>
      <c r="BE27"/>
      <c r="BF27"/>
      <c r="BG27"/>
      <c r="BH27"/>
      <c r="BI27"/>
      <c r="BJ27"/>
      <c r="BK27"/>
      <c r="BL27"/>
      <c r="BM27"/>
      <c r="BN27"/>
      <c r="BO27"/>
      <c r="BP27"/>
      <c r="BQ27"/>
      <c r="BR27"/>
    </row>
    <row r="28" spans="1:70" s="183" customFormat="1" ht="13.5" customHeight="1">
      <c r="A28" s="7">
        <f>[5]February_2026!$C28</f>
        <v>10</v>
      </c>
      <c r="B28" s="559">
        <v>46066</v>
      </c>
      <c r="C28" s="7" t="str">
        <f>[5]February_2026!$D28</f>
        <v>SHANDY SORREL</v>
      </c>
      <c r="D28" s="681"/>
      <c r="E28" s="80">
        <v>1.6770833333333333</v>
      </c>
      <c r="F28" s="80">
        <v>1.836111111111111</v>
      </c>
      <c r="G28" s="11">
        <v>1.8638888888888889</v>
      </c>
      <c r="H28" s="82"/>
      <c r="I28" s="87">
        <v>60</v>
      </c>
      <c r="J28" s="86"/>
      <c r="K28" s="32"/>
      <c r="L28" s="32"/>
      <c r="M28" s="32"/>
      <c r="N28" s="32"/>
      <c r="O28" s="32">
        <f>'Uncaser Downtime Detail '!AG92</f>
        <v>42</v>
      </c>
      <c r="P28" s="32">
        <f>'Washer Downtime Detail'!BH91</f>
        <v>5</v>
      </c>
      <c r="Q28" s="32">
        <f>'EBI Downtime Detail'!AI91</f>
        <v>8</v>
      </c>
      <c r="R28" s="32">
        <f>'Filler Downtime Detail'!AK87</f>
        <v>0</v>
      </c>
      <c r="S28" s="32">
        <f>'Pasteurizer Downtime Detail'!Z92</f>
        <v>0</v>
      </c>
      <c r="T28" s="32">
        <f>'Labeler Downtime Detail'!AN92</f>
        <v>0</v>
      </c>
      <c r="U28" s="32">
        <f>'Videojet Downtime Detail '!O91</f>
        <v>0</v>
      </c>
      <c r="V28" s="32">
        <f>'Conveyor Downtime (new)'!AV87</f>
        <v>0</v>
      </c>
      <c r="W28" s="32">
        <f>'Packer Downtime Detail  '!AD91</f>
        <v>4</v>
      </c>
      <c r="X28" s="32">
        <f>'Carton Errector-sealer Detail'!P76</f>
        <v>0</v>
      </c>
      <c r="Y28" s="32"/>
      <c r="Z28" s="43">
        <v>675</v>
      </c>
      <c r="AA28" s="88"/>
      <c r="AB28" s="71"/>
      <c r="AC28" s="71"/>
      <c r="AD28" s="44">
        <f t="shared" si="0"/>
        <v>794</v>
      </c>
      <c r="AE28" s="754"/>
      <c r="AF28"/>
      <c r="AG28"/>
      <c r="AH28" s="3"/>
      <c r="AI28" s="23"/>
      <c r="AJ28" s="23"/>
      <c r="AK28" s="54"/>
      <c r="AL28" s="3"/>
      <c r="AM28" s="3"/>
      <c r="AN28" s="3"/>
      <c r="AO28" s="3"/>
      <c r="AP28" s="3"/>
      <c r="AQ28" s="3"/>
      <c r="AR28" s="3"/>
      <c r="AS28" s="3"/>
      <c r="AT28" s="3"/>
      <c r="AU28" s="3"/>
      <c r="AV28" s="3"/>
      <c r="AW28" s="3"/>
      <c r="AX28" s="3"/>
      <c r="AY28"/>
      <c r="AZ28"/>
      <c r="BA28"/>
      <c r="BB28"/>
      <c r="BC28"/>
      <c r="BD28"/>
      <c r="BE28"/>
      <c r="BF28"/>
      <c r="BG28"/>
      <c r="BH28"/>
      <c r="BI28"/>
      <c r="BJ28"/>
      <c r="BK28"/>
      <c r="BL28"/>
      <c r="BM28"/>
      <c r="BN28"/>
      <c r="BO28"/>
      <c r="BP28"/>
      <c r="BQ28"/>
      <c r="BR28"/>
    </row>
    <row r="29" spans="1:70" s="183" customFormat="1" ht="13.5" customHeight="1">
      <c r="A29" s="7">
        <f>[5]February_2026!$C29</f>
        <v>11</v>
      </c>
      <c r="B29" s="559">
        <f>[5]February_2026!$B29</f>
        <v>46069</v>
      </c>
      <c r="C29" s="7" t="str">
        <f>[5]February_2026!$D29</f>
        <v>CARIB AMBER</v>
      </c>
      <c r="D29" s="159">
        <v>1</v>
      </c>
      <c r="E29" s="80">
        <v>1.4895833333333333</v>
      </c>
      <c r="F29" s="80">
        <v>2</v>
      </c>
      <c r="G29" s="11">
        <v>2.0347222222222223</v>
      </c>
      <c r="H29" s="14"/>
      <c r="I29" s="34"/>
      <c r="J29" s="35">
        <f>12+6</f>
        <v>18</v>
      </c>
      <c r="K29" s="34"/>
      <c r="L29" s="34"/>
      <c r="M29" s="34"/>
      <c r="N29" s="34">
        <f>60+60+60+60+60+60</f>
        <v>360</v>
      </c>
      <c r="O29" s="34">
        <f>'Uncaser Downtime Detail '!AG93</f>
        <v>22</v>
      </c>
      <c r="P29" s="34">
        <f>'Washer Downtime Detail'!BH92</f>
        <v>31</v>
      </c>
      <c r="Q29" s="34">
        <f>'EBI Downtime Detail'!AI92</f>
        <v>17</v>
      </c>
      <c r="R29" s="34">
        <f>'Filler Downtime Detail'!AK88</f>
        <v>3</v>
      </c>
      <c r="S29" s="34">
        <f>'Pasteurizer Downtime Detail'!Z93</f>
        <v>0</v>
      </c>
      <c r="T29" s="34">
        <f>'Labeler Downtime Detail'!AN93</f>
        <v>17</v>
      </c>
      <c r="U29" s="34">
        <f>'Videojet Downtime Detail '!O92</f>
        <v>0</v>
      </c>
      <c r="V29" s="34">
        <f>'Conveyor Downtime (new)'!AV88</f>
        <v>32</v>
      </c>
      <c r="W29" s="34">
        <f>'Packer Downtime Detail  '!AD92</f>
        <v>3</v>
      </c>
      <c r="X29" s="34">
        <f>'Carton Errector-sealer Detail'!P77</f>
        <v>0</v>
      </c>
      <c r="Y29" s="35"/>
      <c r="Z29" s="34">
        <f>6+60+60+2+60+45</f>
        <v>233</v>
      </c>
      <c r="AA29" s="90"/>
      <c r="AB29" s="89"/>
      <c r="AC29" s="89"/>
      <c r="AD29" s="44">
        <f t="shared" si="0"/>
        <v>736</v>
      </c>
      <c r="AE29" s="45">
        <f>G29-D29</f>
        <v>1.0347222222222223</v>
      </c>
      <c r="AF29"/>
      <c r="AG29"/>
      <c r="AH29" s="3"/>
      <c r="AI29" s="23"/>
      <c r="AJ29" s="23"/>
      <c r="AK29" s="54"/>
      <c r="AL29" s="3"/>
      <c r="AM29" s="3"/>
      <c r="AN29" s="3"/>
      <c r="AO29" s="3"/>
      <c r="AP29" s="3"/>
      <c r="AQ29" s="3"/>
      <c r="AR29" s="3"/>
      <c r="AS29" s="3"/>
      <c r="AT29" s="3"/>
      <c r="AU29" s="3"/>
      <c r="AV29" s="3"/>
      <c r="AW29" s="3"/>
      <c r="AX29" s="3"/>
      <c r="AY29"/>
      <c r="AZ29"/>
      <c r="BA29"/>
      <c r="BB29"/>
      <c r="BC29"/>
      <c r="BD29"/>
      <c r="BE29"/>
      <c r="BF29"/>
      <c r="BG29"/>
      <c r="BH29"/>
      <c r="BI29"/>
      <c r="BJ29"/>
      <c r="BK29"/>
      <c r="BL29"/>
      <c r="BM29"/>
      <c r="BN29"/>
      <c r="BO29"/>
      <c r="BP29"/>
      <c r="BQ29"/>
      <c r="BR29"/>
    </row>
    <row r="30" spans="1:70" s="183" customFormat="1" ht="13.5" customHeight="1">
      <c r="A30" s="7">
        <f>[5]February_2026!$C30</f>
        <v>12</v>
      </c>
      <c r="B30" s="559">
        <f>[5]February_2026!$B30</f>
        <v>46070</v>
      </c>
      <c r="C30" s="7" t="str">
        <f>[5]February_2026!$D30</f>
        <v>CARIB AMBER</v>
      </c>
      <c r="D30" s="93">
        <v>1</v>
      </c>
      <c r="E30" s="80">
        <v>1.0118055555555556</v>
      </c>
      <c r="F30" s="80">
        <v>1.4</v>
      </c>
      <c r="G30" s="11">
        <v>2</v>
      </c>
      <c r="H30" s="82"/>
      <c r="I30" s="32">
        <f>17</f>
        <v>17</v>
      </c>
      <c r="J30" s="86">
        <f>31</f>
        <v>31</v>
      </c>
      <c r="K30" s="32"/>
      <c r="L30" s="32"/>
      <c r="M30" s="32"/>
      <c r="N30" s="32"/>
      <c r="O30" s="32">
        <f>'Uncaser Downtime Detail '!AG94</f>
        <v>9</v>
      </c>
      <c r="P30" s="34">
        <f>'Washer Downtime Detail'!BH93</f>
        <v>902</v>
      </c>
      <c r="Q30" s="34">
        <f>'EBI Downtime Detail'!AI93</f>
        <v>23</v>
      </c>
      <c r="R30" s="32">
        <f>'Filler Downtime Detail'!AK89</f>
        <v>15</v>
      </c>
      <c r="S30" s="34">
        <f>'Pasteurizer Downtime Detail'!Z94</f>
        <v>0</v>
      </c>
      <c r="T30" s="32">
        <f>'Labeler Downtime Detail'!AN94</f>
        <v>0</v>
      </c>
      <c r="U30" s="32">
        <f>'Videojet Downtime Detail '!O93</f>
        <v>0</v>
      </c>
      <c r="V30" s="32">
        <f>'Conveyor Downtime (new)'!AV89</f>
        <v>7</v>
      </c>
      <c r="W30" s="32">
        <f>'Packer Downtime Detail  '!AD93</f>
        <v>15</v>
      </c>
      <c r="X30" s="32">
        <f>'Carton Errector-sealer Detail'!P78</f>
        <v>0</v>
      </c>
      <c r="Y30" s="32"/>
      <c r="Z30" s="43"/>
      <c r="AA30" s="88"/>
      <c r="AB30" s="71"/>
      <c r="AC30" s="71"/>
      <c r="AD30" s="44">
        <f t="shared" si="0"/>
        <v>1019</v>
      </c>
      <c r="AE30" s="45">
        <f>G30-D30</f>
        <v>1</v>
      </c>
      <c r="AF30"/>
      <c r="AG30"/>
      <c r="AH30" s="3"/>
      <c r="AI30" s="23"/>
      <c r="AJ30" s="23"/>
      <c r="AK30" s="54"/>
      <c r="AL30" s="3"/>
      <c r="AM30" s="3"/>
      <c r="AN30" s="3"/>
      <c r="AO30" s="3"/>
      <c r="AP30" s="3"/>
      <c r="AQ30" s="3"/>
      <c r="AR30" s="3"/>
      <c r="AS30" s="3"/>
      <c r="AT30" s="3"/>
      <c r="AU30" s="3"/>
      <c r="AV30" s="3"/>
      <c r="AW30" s="3"/>
      <c r="AX30" s="3"/>
      <c r="AY30"/>
      <c r="AZ30"/>
      <c r="BA30"/>
      <c r="BB30"/>
      <c r="BC30"/>
      <c r="BD30"/>
      <c r="BE30"/>
      <c r="BF30"/>
      <c r="BG30"/>
      <c r="BH30"/>
      <c r="BI30"/>
      <c r="BJ30"/>
      <c r="BK30"/>
      <c r="BL30"/>
      <c r="BM30"/>
      <c r="BN30"/>
      <c r="BO30"/>
      <c r="BP30"/>
      <c r="BQ30"/>
      <c r="BR30"/>
    </row>
    <row r="31" spans="1:70" s="552" customFormat="1" ht="13.5" customHeight="1">
      <c r="A31" s="563">
        <f>[5]February_2026!$C31</f>
        <v>0</v>
      </c>
      <c r="B31" s="564">
        <f>[5]February_2026!$B31</f>
        <v>46071</v>
      </c>
      <c r="C31" s="563" t="str">
        <f>[5]February_2026!$D31</f>
        <v>WASHER BREAKDOWN</v>
      </c>
      <c r="D31" s="565"/>
      <c r="E31" s="566"/>
      <c r="F31" s="566"/>
      <c r="G31" s="567"/>
      <c r="H31" s="568"/>
      <c r="I31" s="569"/>
      <c r="J31" s="570"/>
      <c r="K31" s="569"/>
      <c r="L31" s="569"/>
      <c r="M31" s="569"/>
      <c r="N31" s="569"/>
      <c r="O31" s="569">
        <f>'Uncaser Downtime Detail '!AG95</f>
        <v>0</v>
      </c>
      <c r="P31" s="569">
        <f>'Washer Downtime Detail'!BH94</f>
        <v>1440</v>
      </c>
      <c r="Q31" s="569">
        <f>'EBI Downtime Detail'!AI94</f>
        <v>0</v>
      </c>
      <c r="R31" s="569">
        <f>'Filler Downtime Detail'!AK90</f>
        <v>0</v>
      </c>
      <c r="S31" s="569">
        <f>'Pasteurizer Downtime Detail'!Z95</f>
        <v>0</v>
      </c>
      <c r="T31" s="569">
        <f>'Labeler Downtime Detail'!AN95</f>
        <v>0</v>
      </c>
      <c r="U31" s="569">
        <f>'Videojet Downtime Detail '!O94</f>
        <v>0</v>
      </c>
      <c r="V31" s="569">
        <f>'Conveyor Downtime (new)'!AV90</f>
        <v>0</v>
      </c>
      <c r="W31" s="569">
        <f>'Packer Downtime Detail  '!AD94</f>
        <v>0</v>
      </c>
      <c r="X31" s="569">
        <f>'Carton Errector-sealer Detail'!P79</f>
        <v>0</v>
      </c>
      <c r="Y31" s="570"/>
      <c r="Z31" s="569"/>
      <c r="AA31" s="571"/>
      <c r="AB31" s="572"/>
      <c r="AC31" s="572"/>
      <c r="AD31" s="573">
        <f t="shared" si="0"/>
        <v>1440</v>
      </c>
      <c r="AE31" s="574"/>
      <c r="AH31" s="553"/>
      <c r="AI31" s="554"/>
      <c r="AJ31" s="554"/>
      <c r="AK31" s="555"/>
      <c r="AL31" s="553"/>
      <c r="AM31" s="553"/>
      <c r="AN31" s="553"/>
      <c r="AO31" s="553"/>
      <c r="AP31" s="553"/>
      <c r="AQ31" s="553"/>
      <c r="AR31" s="553"/>
      <c r="AS31" s="553"/>
      <c r="AT31" s="553"/>
      <c r="AU31" s="553"/>
      <c r="AV31" s="553"/>
      <c r="AW31" s="553"/>
      <c r="AX31" s="553"/>
    </row>
    <row r="32" spans="1:70" s="183" customFormat="1" ht="13.5" customHeight="1">
      <c r="A32" s="7">
        <f>[5]February_2026!$C32</f>
        <v>13</v>
      </c>
      <c r="B32" s="559">
        <f>[5]February_2026!$B32</f>
        <v>46072</v>
      </c>
      <c r="C32" s="7" t="str">
        <f>[5]February_2026!$D32</f>
        <v>CARIB AMBER</v>
      </c>
      <c r="D32" s="681">
        <v>1</v>
      </c>
      <c r="E32" s="80">
        <v>1.0833333333333333</v>
      </c>
      <c r="F32" s="80">
        <v>1.6229166666666666</v>
      </c>
      <c r="G32" s="11">
        <v>0.65208333333333335</v>
      </c>
      <c r="H32" s="82"/>
      <c r="I32" s="32"/>
      <c r="J32" s="86"/>
      <c r="K32" s="32"/>
      <c r="L32" s="32"/>
      <c r="M32" s="32"/>
      <c r="N32" s="32"/>
      <c r="O32" s="32">
        <f>'Uncaser Downtime Detail '!AG96</f>
        <v>177</v>
      </c>
      <c r="P32" s="34">
        <f>'Washer Downtime Detail'!BH95</f>
        <v>165</v>
      </c>
      <c r="Q32" s="34">
        <f>'EBI Downtime Detail'!AI95</f>
        <v>55</v>
      </c>
      <c r="R32" s="32">
        <f>'Filler Downtime Detail'!AK91</f>
        <v>1</v>
      </c>
      <c r="S32" s="34">
        <f>'Pasteurizer Downtime Detail'!Z96</f>
        <v>0</v>
      </c>
      <c r="T32" s="32">
        <f>'Labeler Downtime Detail'!AN96</f>
        <v>4</v>
      </c>
      <c r="U32" s="32">
        <f>'Videojet Downtime Detail '!O95</f>
        <v>0</v>
      </c>
      <c r="V32" s="32">
        <f>'Conveyor Downtime (new)'!AV91</f>
        <v>8</v>
      </c>
      <c r="W32" s="32">
        <f>'Packer Downtime Detail  '!AD95</f>
        <v>23</v>
      </c>
      <c r="X32" s="32">
        <f>'Carton Errector-sealer Detail'!P80</f>
        <v>0</v>
      </c>
      <c r="Y32" s="32"/>
      <c r="Z32" s="43"/>
      <c r="AA32" s="88"/>
      <c r="AB32" s="71">
        <f>9+15+4</f>
        <v>28</v>
      </c>
      <c r="AC32" s="71"/>
      <c r="AD32" s="44">
        <f t="shared" si="0"/>
        <v>461</v>
      </c>
      <c r="AE32" s="754">
        <f>G34-D32</f>
        <v>1.03125</v>
      </c>
      <c r="AF32"/>
      <c r="AG32"/>
      <c r="AH32" s="3"/>
      <c r="AI32" s="23"/>
      <c r="AJ32" s="23"/>
      <c r="AK32" s="54"/>
      <c r="AL32" s="3"/>
      <c r="AM32" s="3"/>
      <c r="AN32" s="3"/>
      <c r="AO32" s="3"/>
      <c r="AP32" s="3"/>
      <c r="AQ32" s="3"/>
      <c r="AR32" s="3"/>
      <c r="AS32" s="3"/>
      <c r="AT32" s="3"/>
      <c r="AU32" s="3"/>
      <c r="AV32" s="3"/>
      <c r="AW32" s="3"/>
      <c r="AX32" s="3"/>
      <c r="AY32"/>
      <c r="AZ32"/>
      <c r="BA32"/>
      <c r="BB32"/>
      <c r="BC32"/>
      <c r="BD32"/>
      <c r="BE32"/>
      <c r="BF32"/>
      <c r="BG32"/>
      <c r="BH32"/>
      <c r="BI32"/>
      <c r="BJ32"/>
      <c r="BK32"/>
      <c r="BL32"/>
      <c r="BM32"/>
      <c r="BN32"/>
      <c r="BO32"/>
      <c r="BP32"/>
      <c r="BQ32"/>
      <c r="BR32"/>
    </row>
    <row r="33" spans="1:70" s="183" customFormat="1" ht="13.5" customHeight="1">
      <c r="A33" s="7">
        <f>[5]February_2026!$C33</f>
        <v>13</v>
      </c>
      <c r="B33" s="559">
        <f>[5]February_2026!$B33</f>
        <v>46072</v>
      </c>
      <c r="C33" s="7" t="str">
        <f>[5]February_2026!$D33</f>
        <v>SHANDY SORREL ( LOCAL )</v>
      </c>
      <c r="D33" s="681"/>
      <c r="E33" s="80">
        <v>1.648611111111111</v>
      </c>
      <c r="F33" s="80">
        <v>1.8229166666666667</v>
      </c>
      <c r="G33" s="11"/>
      <c r="H33" s="14"/>
      <c r="I33" s="34">
        <f>34</f>
        <v>34</v>
      </c>
      <c r="J33" s="35"/>
      <c r="K33" s="34"/>
      <c r="L33" s="34"/>
      <c r="M33" s="34"/>
      <c r="N33" s="34"/>
      <c r="O33" s="34">
        <f>'Uncaser Downtime Detail '!AG97</f>
        <v>57</v>
      </c>
      <c r="P33" s="34">
        <f>'Washer Downtime Detail'!BH96</f>
        <v>0</v>
      </c>
      <c r="Q33" s="34">
        <f>'EBI Downtime Detail'!AI96</f>
        <v>9</v>
      </c>
      <c r="R33" s="34">
        <f>'Filler Downtime Detail'!AK92</f>
        <v>4</v>
      </c>
      <c r="S33" s="34">
        <f>'Pasteurizer Downtime Detail'!Z97</f>
        <v>0</v>
      </c>
      <c r="T33" s="34">
        <f>'Labeler Downtime Detail'!AN97</f>
        <v>4</v>
      </c>
      <c r="U33" s="34">
        <f>'Videojet Downtime Detail '!O96</f>
        <v>0</v>
      </c>
      <c r="V33" s="34">
        <f>'Conveyor Downtime (new)'!AV92</f>
        <v>0</v>
      </c>
      <c r="W33" s="34">
        <f>'Packer Downtime Detail  '!AD96</f>
        <v>0</v>
      </c>
      <c r="X33" s="34">
        <f>'Carton Errector-sealer Detail'!P81</f>
        <v>0</v>
      </c>
      <c r="Y33" s="35"/>
      <c r="Z33" s="34">
        <f>8</f>
        <v>8</v>
      </c>
      <c r="AA33" s="90"/>
      <c r="AB33" s="89"/>
      <c r="AC33" s="89"/>
      <c r="AD33" s="44">
        <f t="shared" si="0"/>
        <v>116</v>
      </c>
      <c r="AE33" s="754"/>
      <c r="AF33"/>
      <c r="AG33"/>
      <c r="AH33" s="3"/>
      <c r="AI33" s="23"/>
      <c r="AJ33" s="23"/>
      <c r="AK33" s="54"/>
      <c r="AL33" s="3"/>
      <c r="AM33" s="3"/>
      <c r="AN33" s="3"/>
      <c r="AO33" s="3"/>
      <c r="AP33" s="3"/>
      <c r="AQ33" s="3"/>
      <c r="AR33" s="3"/>
      <c r="AS33" s="3"/>
      <c r="AT33" s="3"/>
      <c r="AU33" s="3"/>
      <c r="AV33" s="3"/>
      <c r="AW33" s="3"/>
      <c r="AX33" s="3"/>
      <c r="AY33"/>
      <c r="AZ33"/>
      <c r="BA33"/>
      <c r="BB33"/>
      <c r="BC33"/>
      <c r="BD33"/>
      <c r="BE33"/>
      <c r="BF33"/>
      <c r="BG33"/>
      <c r="BH33"/>
      <c r="BI33"/>
      <c r="BJ33"/>
      <c r="BK33"/>
      <c r="BL33"/>
      <c r="BM33"/>
      <c r="BN33"/>
      <c r="BO33"/>
      <c r="BP33"/>
      <c r="BQ33"/>
      <c r="BR33"/>
    </row>
    <row r="34" spans="1:70" s="183" customFormat="1" ht="13.35" customHeight="1">
      <c r="A34" s="7">
        <f>[5]February_2026!$C34</f>
        <v>13</v>
      </c>
      <c r="B34" s="559">
        <f>[5]February_2026!$B34</f>
        <v>46072</v>
      </c>
      <c r="C34" s="7" t="str">
        <f>[5]February_2026!$D34</f>
        <v>TING ORIGINAL</v>
      </c>
      <c r="D34" s="681"/>
      <c r="E34" s="80">
        <v>1.8819444444444444</v>
      </c>
      <c r="F34" s="80">
        <v>2</v>
      </c>
      <c r="G34" s="178">
        <v>2.03125</v>
      </c>
      <c r="H34" s="82"/>
      <c r="I34" s="32">
        <f>15+54</f>
        <v>69</v>
      </c>
      <c r="J34" s="86">
        <f>6+10</f>
        <v>16</v>
      </c>
      <c r="K34" s="32"/>
      <c r="L34" s="32"/>
      <c r="M34" s="32"/>
      <c r="N34" s="32"/>
      <c r="O34" s="32">
        <f>'Uncaser Downtime Detail '!AG98</f>
        <v>89</v>
      </c>
      <c r="P34" s="34">
        <f>'Washer Downtime Detail'!BH97</f>
        <v>3</v>
      </c>
      <c r="Q34" s="34">
        <f>'EBI Downtime Detail'!AI97</f>
        <v>3</v>
      </c>
      <c r="R34" s="32">
        <f>'Filler Downtime Detail'!AK93</f>
        <v>0</v>
      </c>
      <c r="S34" s="34">
        <f>'Pasteurizer Downtime Detail'!Z98</f>
        <v>0</v>
      </c>
      <c r="T34" s="32">
        <f>'Labeler Downtime Detail'!AN98</f>
        <v>0</v>
      </c>
      <c r="U34" s="32">
        <f>'Videojet Downtime Detail '!O97</f>
        <v>0</v>
      </c>
      <c r="V34" s="32">
        <f>'Conveyor Downtime (new)'!AV93</f>
        <v>0</v>
      </c>
      <c r="W34" s="32">
        <f>'Packer Downtime Detail  '!AD97</f>
        <v>0</v>
      </c>
      <c r="X34" s="32">
        <f>'Carton Errector-sealer Detail'!P82</f>
        <v>0</v>
      </c>
      <c r="Y34" s="32"/>
      <c r="Z34" s="43"/>
      <c r="AA34" s="88"/>
      <c r="AB34" s="71"/>
      <c r="AC34" s="71"/>
      <c r="AD34" s="44">
        <f t="shared" si="0"/>
        <v>180</v>
      </c>
      <c r="AE34" s="754"/>
      <c r="AF34"/>
      <c r="AG34"/>
      <c r="AH34" s="3"/>
      <c r="AI34" s="23"/>
      <c r="AJ34" s="23"/>
      <c r="AK34" s="54"/>
      <c r="AL34" s="3"/>
      <c r="AM34" s="3"/>
      <c r="AN34" s="3"/>
      <c r="AO34" s="3"/>
      <c r="AP34" s="3"/>
      <c r="AQ34" s="3"/>
      <c r="AR34" s="3"/>
      <c r="AS34" s="3"/>
      <c r="AT34" s="3"/>
      <c r="AU34" s="3"/>
      <c r="AV34" s="3"/>
      <c r="AW34" s="3"/>
      <c r="AX34" s="3"/>
      <c r="AY34"/>
      <c r="AZ34"/>
      <c r="BA34"/>
      <c r="BB34"/>
      <c r="BC34"/>
      <c r="BD34"/>
      <c r="BE34"/>
      <c r="BF34"/>
      <c r="BG34"/>
      <c r="BH34"/>
      <c r="BI34"/>
      <c r="BJ34"/>
      <c r="BK34"/>
      <c r="BL34"/>
      <c r="BM34"/>
      <c r="BN34"/>
      <c r="BO34"/>
      <c r="BP34"/>
      <c r="BQ34"/>
      <c r="BR34"/>
    </row>
    <row r="35" spans="1:70" s="183" customFormat="1" ht="13.35" customHeight="1">
      <c r="A35" s="7">
        <f>[5]February_2026!$C35</f>
        <v>14</v>
      </c>
      <c r="B35" s="559">
        <f>[5]February_2026!$B35</f>
        <v>46073</v>
      </c>
      <c r="C35" s="7" t="str">
        <f>[5]February_2026!$D35</f>
        <v>TING ORIGINAL</v>
      </c>
      <c r="D35" s="681">
        <v>1</v>
      </c>
      <c r="E35" s="80">
        <v>1.0062500000000001</v>
      </c>
      <c r="F35" s="80">
        <v>1.3256944444444445</v>
      </c>
      <c r="G35" s="11">
        <v>0.42152777777777778</v>
      </c>
      <c r="H35" s="14"/>
      <c r="I35" s="34"/>
      <c r="J35" s="35"/>
      <c r="K35" s="34"/>
      <c r="L35" s="34"/>
      <c r="M35" s="34">
        <f>9</f>
        <v>9</v>
      </c>
      <c r="N35" s="34"/>
      <c r="O35" s="34">
        <f>'Uncaser Downtime Detail '!AG99</f>
        <v>131</v>
      </c>
      <c r="P35" s="34">
        <f>'Washer Downtime Detail'!BH98</f>
        <v>9</v>
      </c>
      <c r="Q35" s="34">
        <f>'EBI Downtime Detail'!AI98</f>
        <v>17</v>
      </c>
      <c r="R35" s="34">
        <f>'Filler Downtime Detail'!AK94</f>
        <v>0</v>
      </c>
      <c r="S35" s="34">
        <f>'Pasteurizer Downtime Detail'!Z99</f>
        <v>0</v>
      </c>
      <c r="T35" s="34">
        <f>'Labeler Downtime Detail'!AN99</f>
        <v>0</v>
      </c>
      <c r="U35" s="34">
        <f>'Videojet Downtime Detail '!O98</f>
        <v>0</v>
      </c>
      <c r="V35" s="34">
        <f>'Conveyor Downtime (new)'!AV94</f>
        <v>0</v>
      </c>
      <c r="W35" s="34">
        <f>'Packer Downtime Detail  '!AD98</f>
        <v>0</v>
      </c>
      <c r="X35" s="34">
        <f>'Carton Errector-sealer Detail'!P83</f>
        <v>0</v>
      </c>
      <c r="Y35" s="35"/>
      <c r="Z35" s="34">
        <f>6+6</f>
        <v>12</v>
      </c>
      <c r="AA35" s="90"/>
      <c r="AB35" s="89"/>
      <c r="AC35" s="89"/>
      <c r="AD35" s="44">
        <f t="shared" si="0"/>
        <v>178</v>
      </c>
      <c r="AE35" s="754">
        <f>G36-D35</f>
        <v>0.87152777777777768</v>
      </c>
      <c r="AF35"/>
      <c r="AG35"/>
      <c r="AH35" s="3"/>
      <c r="AI35" s="23"/>
      <c r="AJ35" s="23"/>
      <c r="AK35" s="54"/>
      <c r="AL35" s="3"/>
      <c r="AM35" s="3"/>
      <c r="AN35" s="3"/>
      <c r="AO35" s="3"/>
      <c r="AP35" s="3"/>
      <c r="AQ35" s="3"/>
      <c r="AR35" s="3"/>
      <c r="AS35" s="3"/>
      <c r="AT35" s="3"/>
      <c r="AU35" s="3"/>
      <c r="AV35" s="3"/>
      <c r="AW35" s="3"/>
      <c r="AX35" s="3"/>
      <c r="AY35"/>
      <c r="AZ35"/>
      <c r="BA35"/>
      <c r="BB35"/>
      <c r="BC35"/>
      <c r="BD35"/>
      <c r="BE35"/>
      <c r="BF35"/>
      <c r="BG35"/>
      <c r="BH35"/>
      <c r="BI35"/>
      <c r="BJ35"/>
      <c r="BK35"/>
      <c r="BL35"/>
      <c r="BM35"/>
      <c r="BN35"/>
      <c r="BO35"/>
      <c r="BP35"/>
      <c r="BQ35"/>
      <c r="BR35"/>
    </row>
    <row r="36" spans="1:70" s="183" customFormat="1" ht="13.35" customHeight="1">
      <c r="A36" s="7">
        <f>[5]February_2026!$C36</f>
        <v>14</v>
      </c>
      <c r="B36" s="559">
        <f>[5]February_2026!$B36</f>
        <v>46073</v>
      </c>
      <c r="C36" s="7" t="str">
        <f>[5]February_2026!$D36</f>
        <v>CARIB AMBER</v>
      </c>
      <c r="D36" s="681"/>
      <c r="E36" s="80">
        <v>1.4090277777777778</v>
      </c>
      <c r="F36" s="80">
        <v>1.8368055555555556</v>
      </c>
      <c r="G36" s="11">
        <v>1.8715277777777777</v>
      </c>
      <c r="H36" s="82"/>
      <c r="I36" s="32">
        <f>11+20+30+12+6</f>
        <v>79</v>
      </c>
      <c r="J36" s="86"/>
      <c r="K36" s="32"/>
      <c r="L36" s="32"/>
      <c r="M36" s="32">
        <f>10</f>
        <v>10</v>
      </c>
      <c r="N36" s="32"/>
      <c r="O36" s="32">
        <f>'Uncaser Downtime Detail '!AG100</f>
        <v>119</v>
      </c>
      <c r="P36" s="34">
        <f>'Washer Downtime Detail'!BH99</f>
        <v>9</v>
      </c>
      <c r="Q36" s="34">
        <f>'EBI Downtime Detail'!AI99</f>
        <v>1</v>
      </c>
      <c r="R36" s="32">
        <f>'Filler Downtime Detail'!AK95</f>
        <v>2</v>
      </c>
      <c r="S36" s="34">
        <f>'Pasteurizer Downtime Detail'!Z100</f>
        <v>29</v>
      </c>
      <c r="T36" s="32">
        <f>'Labeler Downtime Detail'!AN100</f>
        <v>17</v>
      </c>
      <c r="U36" s="32">
        <f>'Videojet Downtime Detail '!O99</f>
        <v>0</v>
      </c>
      <c r="V36" s="32">
        <f>'Conveyor Downtime (new)'!AV95</f>
        <v>2</v>
      </c>
      <c r="W36" s="32">
        <f>'Packer Downtime Detail  '!AD99</f>
        <v>77</v>
      </c>
      <c r="X36" s="32">
        <f>'Carton Errector-sealer Detail'!P84</f>
        <v>0</v>
      </c>
      <c r="Y36" s="32"/>
      <c r="Z36" s="43"/>
      <c r="AA36" s="88">
        <v>2</v>
      </c>
      <c r="AB36" s="71">
        <f>27+15+5</f>
        <v>47</v>
      </c>
      <c r="AC36" s="71"/>
      <c r="AD36" s="44">
        <f t="shared" si="0"/>
        <v>394</v>
      </c>
      <c r="AE36" s="754"/>
      <c r="AF36"/>
      <c r="AG36"/>
      <c r="AH36" s="3"/>
      <c r="AI36" s="23"/>
      <c r="AJ36" s="23"/>
      <c r="AK36" s="54"/>
      <c r="AL36" s="3"/>
      <c r="AM36" s="3"/>
      <c r="AN36" s="3"/>
      <c r="AO36" s="3"/>
      <c r="AP36" s="3"/>
      <c r="AQ36" s="3"/>
      <c r="AR36" s="3"/>
      <c r="AS36" s="3"/>
      <c r="AT36" s="3"/>
      <c r="AU36" s="3"/>
      <c r="AV36" s="3"/>
      <c r="AW36" s="3"/>
      <c r="AX36" s="3"/>
      <c r="AY36"/>
      <c r="AZ36"/>
      <c r="BA36"/>
      <c r="BB36"/>
      <c r="BC36"/>
      <c r="BD36"/>
      <c r="BE36"/>
      <c r="BF36"/>
      <c r="BG36"/>
      <c r="BH36"/>
      <c r="BI36"/>
      <c r="BJ36"/>
      <c r="BK36"/>
      <c r="BL36"/>
      <c r="BM36"/>
      <c r="BN36"/>
      <c r="BO36"/>
      <c r="BP36"/>
      <c r="BQ36"/>
      <c r="BR36"/>
    </row>
    <row r="37" spans="1:70" s="183" customFormat="1" ht="14.25" customHeight="1">
      <c r="A37" s="7">
        <f>[5]February_2026!$C37</f>
        <v>15</v>
      </c>
      <c r="B37" s="559">
        <f>[5]February_2026!$B37</f>
        <v>46076</v>
      </c>
      <c r="C37" s="7" t="str">
        <f>[5]February_2026!$D37</f>
        <v>CARIB AMBER</v>
      </c>
      <c r="D37" s="159">
        <v>1</v>
      </c>
      <c r="E37" s="80">
        <v>1.4423611111111112</v>
      </c>
      <c r="F37" s="80">
        <v>2</v>
      </c>
      <c r="G37" s="11">
        <v>2.0298611111111109</v>
      </c>
      <c r="H37" s="14"/>
      <c r="I37" s="34"/>
      <c r="J37" s="35">
        <f>3+23+10</f>
        <v>36</v>
      </c>
      <c r="K37" s="34"/>
      <c r="L37" s="34"/>
      <c r="M37" s="34"/>
      <c r="N37" s="34"/>
      <c r="O37" s="34">
        <f>'Uncaser Downtime Detail '!AG101</f>
        <v>169</v>
      </c>
      <c r="P37" s="34">
        <f>'Washer Downtime Detail'!BH100</f>
        <v>42</v>
      </c>
      <c r="Q37" s="34">
        <f>'EBI Downtime Detail'!AI100</f>
        <v>73</v>
      </c>
      <c r="R37" s="34">
        <f>'Filler Downtime Detail'!AK96</f>
        <v>1</v>
      </c>
      <c r="S37" s="34">
        <f>'Pasteurizer Downtime Detail'!Z101</f>
        <v>17</v>
      </c>
      <c r="T37" s="34">
        <f>'Labeler Downtime Detail'!AN101</f>
        <v>0</v>
      </c>
      <c r="U37" s="34">
        <f>'Videojet Downtime Detail '!O100</f>
        <v>0</v>
      </c>
      <c r="V37" s="34">
        <f>'Conveyor Downtime (new)'!AV96</f>
        <v>464</v>
      </c>
      <c r="W37" s="34">
        <f>'Packer Downtime Detail  '!AD100</f>
        <v>10</v>
      </c>
      <c r="X37" s="34">
        <f>'Carton Errector-sealer Detail'!P85</f>
        <v>0</v>
      </c>
      <c r="Y37" s="35"/>
      <c r="Z37" s="34">
        <f>60</f>
        <v>60</v>
      </c>
      <c r="AA37" s="90"/>
      <c r="AB37" s="89">
        <f>4</f>
        <v>4</v>
      </c>
      <c r="AC37" s="89"/>
      <c r="AD37" s="44">
        <f t="shared" si="0"/>
        <v>876</v>
      </c>
      <c r="AE37" s="45">
        <f>G37-D37</f>
        <v>1.0298611111111109</v>
      </c>
      <c r="AF37"/>
      <c r="AG37"/>
      <c r="AH37" s="3"/>
      <c r="AI37" s="23"/>
      <c r="AJ37" s="23"/>
      <c r="AK37" s="54"/>
      <c r="AL37" s="3"/>
      <c r="AM37" s="3"/>
      <c r="AN37" s="3"/>
      <c r="AO37" s="3"/>
      <c r="AP37" s="3"/>
      <c r="AQ37" s="3"/>
      <c r="AR37" s="3"/>
      <c r="AS37" s="3"/>
      <c r="AT37" s="3"/>
      <c r="AU37" s="3"/>
      <c r="AV37" s="3"/>
      <c r="AW37" s="3"/>
      <c r="AX37" s="3"/>
      <c r="AY37"/>
      <c r="AZ37"/>
      <c r="BA37"/>
      <c r="BB37"/>
      <c r="BC37"/>
      <c r="BD37"/>
      <c r="BE37"/>
      <c r="BF37"/>
      <c r="BG37"/>
      <c r="BH37"/>
      <c r="BI37"/>
      <c r="BJ37"/>
      <c r="BK37"/>
      <c r="BL37"/>
      <c r="BM37"/>
      <c r="BN37"/>
      <c r="BO37"/>
      <c r="BP37"/>
      <c r="BQ37"/>
      <c r="BR37"/>
    </row>
    <row r="38" spans="1:70" s="183" customFormat="1" ht="13.5" customHeight="1">
      <c r="A38" s="7">
        <f>[5]February_2026!$C38</f>
        <v>16</v>
      </c>
      <c r="B38" s="559">
        <f>[5]February_2026!$B38</f>
        <v>46077</v>
      </c>
      <c r="C38" s="7" t="str">
        <f>[5]February_2026!$D38</f>
        <v>CARIB AMBER</v>
      </c>
      <c r="D38" s="681">
        <v>1</v>
      </c>
      <c r="E38" s="80">
        <v>1.0083333333333333</v>
      </c>
      <c r="F38" s="80">
        <v>1.2583333333333333</v>
      </c>
      <c r="G38" s="11">
        <v>1.3347222222222221</v>
      </c>
      <c r="H38" s="82"/>
      <c r="I38" s="32"/>
      <c r="J38" s="86">
        <f>7</f>
        <v>7</v>
      </c>
      <c r="K38" s="32"/>
      <c r="L38" s="32"/>
      <c r="M38" s="32"/>
      <c r="N38" s="32"/>
      <c r="O38" s="32">
        <f>'Uncaser Downtime Detail '!AG102</f>
        <v>20</v>
      </c>
      <c r="P38" s="34">
        <f>'Washer Downtime Detail'!BH101</f>
        <v>15</v>
      </c>
      <c r="Q38" s="34">
        <f>'EBI Downtime Detail'!AI101</f>
        <v>11</v>
      </c>
      <c r="R38" s="32">
        <f>'Filler Downtime Detail'!AK97</f>
        <v>3</v>
      </c>
      <c r="S38" s="34">
        <f>'Pasteurizer Downtime Detail'!Z102</f>
        <v>0</v>
      </c>
      <c r="T38" s="32">
        <f>'Labeler Downtime Detail'!AN102</f>
        <v>0</v>
      </c>
      <c r="U38" s="32">
        <f>'Videojet Downtime Detail '!O101</f>
        <v>0</v>
      </c>
      <c r="V38" s="32">
        <f>'Conveyor Downtime (new)'!AV97</f>
        <v>11</v>
      </c>
      <c r="W38" s="32">
        <f>'Packer Downtime Detail  '!AD101</f>
        <v>3</v>
      </c>
      <c r="X38" s="32">
        <f>'Carton Errector-sealer Detail'!P86</f>
        <v>0</v>
      </c>
      <c r="Y38" s="32"/>
      <c r="Z38" s="43">
        <f>12+2</f>
        <v>14</v>
      </c>
      <c r="AA38" s="88"/>
      <c r="AB38" s="71">
        <f>4</f>
        <v>4</v>
      </c>
      <c r="AC38" s="71"/>
      <c r="AD38" s="44">
        <f t="shared" si="0"/>
        <v>88</v>
      </c>
      <c r="AE38" s="754">
        <f>G39-D38</f>
        <v>0.99305555555555558</v>
      </c>
      <c r="AF38"/>
      <c r="AG38"/>
      <c r="AH38" s="3"/>
      <c r="AI38" s="23"/>
      <c r="AJ38" s="23"/>
      <c r="AK38" s="54"/>
      <c r="AL38" s="3"/>
      <c r="AM38" s="3"/>
      <c r="AN38" s="3"/>
      <c r="AO38" s="3"/>
      <c r="AP38" s="3"/>
      <c r="AQ38" s="3"/>
      <c r="AR38" s="3"/>
      <c r="AS38" s="3"/>
      <c r="AT38" s="3"/>
      <c r="AU38" s="3"/>
      <c r="AV38" s="3"/>
      <c r="AW38" s="3"/>
      <c r="AX38" s="3"/>
      <c r="AY38"/>
      <c r="AZ38"/>
      <c r="BA38"/>
      <c r="BB38"/>
      <c r="BC38"/>
      <c r="BD38"/>
      <c r="BE38"/>
      <c r="BF38"/>
      <c r="BG38"/>
      <c r="BH38"/>
      <c r="BI38"/>
      <c r="BJ38"/>
      <c r="BK38"/>
      <c r="BL38"/>
      <c r="BM38"/>
      <c r="BN38"/>
      <c r="BO38"/>
      <c r="BP38"/>
      <c r="BQ38"/>
      <c r="BR38"/>
    </row>
    <row r="39" spans="1:70" s="183" customFormat="1" ht="13.5" customHeight="1">
      <c r="A39" s="7">
        <f>[5]February_2026!$C39</f>
        <v>16</v>
      </c>
      <c r="B39" s="559">
        <f>[5]February_2026!$B39</f>
        <v>46077</v>
      </c>
      <c r="C39" s="7" t="str">
        <f>[5]February_2026!$D39</f>
        <v>GUINNESS</v>
      </c>
      <c r="D39" s="681"/>
      <c r="E39" s="80">
        <v>1.2826388888888889</v>
      </c>
      <c r="F39" s="80">
        <v>1.9618055555555556</v>
      </c>
      <c r="G39" s="11">
        <v>1.9930555555555556</v>
      </c>
      <c r="H39" s="14"/>
      <c r="I39" s="34">
        <v>12</v>
      </c>
      <c r="J39" s="35"/>
      <c r="K39" s="34"/>
      <c r="L39" s="34"/>
      <c r="M39" s="34"/>
      <c r="N39" s="34"/>
      <c r="O39" s="34">
        <f>'Uncaser Downtime Detail '!AG103</f>
        <v>24</v>
      </c>
      <c r="P39" s="34">
        <f>'Washer Downtime Detail'!BH102</f>
        <v>36</v>
      </c>
      <c r="Q39" s="34">
        <f>'EBI Downtime Detail'!AI102</f>
        <v>109</v>
      </c>
      <c r="R39" s="34">
        <f>'Filler Downtime Detail'!AK98</f>
        <v>1</v>
      </c>
      <c r="S39" s="34">
        <f>'Pasteurizer Downtime Detail'!Z103</f>
        <v>280</v>
      </c>
      <c r="T39" s="34">
        <f>'Labeler Downtime Detail'!AN103</f>
        <v>0</v>
      </c>
      <c r="U39" s="34">
        <f>'Videojet Downtime Detail '!O102</f>
        <v>0</v>
      </c>
      <c r="V39" s="34">
        <f>'Conveyor Downtime (new)'!AV98</f>
        <v>72</v>
      </c>
      <c r="W39" s="34">
        <f>'Packer Downtime Detail  '!AD102</f>
        <v>0</v>
      </c>
      <c r="X39" s="34">
        <f>'Carton Errector-sealer Detail'!P87</f>
        <v>0</v>
      </c>
      <c r="Y39" s="35"/>
      <c r="Z39" s="34"/>
      <c r="AA39" s="90"/>
      <c r="AB39" s="89">
        <f>4+6+6</f>
        <v>16</v>
      </c>
      <c r="AC39" s="89"/>
      <c r="AD39" s="44">
        <f t="shared" si="0"/>
        <v>550</v>
      </c>
      <c r="AE39" s="754"/>
      <c r="AF39"/>
      <c r="AG39"/>
      <c r="AH39" s="3"/>
      <c r="AI39" s="23"/>
      <c r="AJ39" s="23"/>
      <c r="AK39" s="54"/>
      <c r="AL39" s="3"/>
      <c r="AM39" s="3"/>
      <c r="AN39" s="3"/>
      <c r="AO39" s="3"/>
      <c r="AP39" s="3"/>
      <c r="AQ39" s="3"/>
      <c r="AR39" s="3"/>
      <c r="AS39" s="3"/>
      <c r="AT39" s="3"/>
      <c r="AU39" s="3"/>
      <c r="AV39" s="3"/>
      <c r="AW39" s="3"/>
      <c r="AX39" s="3"/>
      <c r="AY39"/>
      <c r="AZ39"/>
      <c r="BA39"/>
      <c r="BB39"/>
      <c r="BC39"/>
      <c r="BD39"/>
      <c r="BE39"/>
      <c r="BF39"/>
      <c r="BG39"/>
      <c r="BH39"/>
      <c r="BI39"/>
      <c r="BJ39"/>
      <c r="BK39"/>
      <c r="BL39"/>
      <c r="BM39"/>
      <c r="BN39"/>
      <c r="BO39"/>
      <c r="BP39"/>
      <c r="BQ39"/>
      <c r="BR39"/>
    </row>
    <row r="40" spans="1:70" s="183" customFormat="1" ht="13.5" customHeight="1">
      <c r="A40" s="7">
        <f>[5]February_2026!$C40</f>
        <v>17</v>
      </c>
      <c r="B40" s="559">
        <f>[5]February_2026!$B40</f>
        <v>46078</v>
      </c>
      <c r="C40" s="7" t="str">
        <f>[5]February_2026!$D40</f>
        <v>STAG</v>
      </c>
      <c r="D40" s="93">
        <v>1</v>
      </c>
      <c r="E40" s="80">
        <v>1.0173611111111112</v>
      </c>
      <c r="F40" s="80">
        <v>2</v>
      </c>
      <c r="G40" s="11">
        <v>2.0319444444444446</v>
      </c>
      <c r="H40" s="82"/>
      <c r="I40" s="32">
        <f>25+6</f>
        <v>31</v>
      </c>
      <c r="J40" s="86"/>
      <c r="K40" s="32"/>
      <c r="L40" s="32"/>
      <c r="M40" s="32"/>
      <c r="N40" s="32"/>
      <c r="O40" s="32">
        <f>'Uncaser Downtime Detail '!AG104</f>
        <v>94</v>
      </c>
      <c r="P40" s="32">
        <f>'Washer Downtime Detail'!BH103</f>
        <v>98</v>
      </c>
      <c r="Q40" s="34">
        <f>'EBI Downtime Detail'!AI103</f>
        <v>149</v>
      </c>
      <c r="R40" s="32">
        <f>'Filler Downtime Detail'!AK99</f>
        <v>1</v>
      </c>
      <c r="S40" s="34">
        <f>'Pasteurizer Downtime Detail'!Z104</f>
        <v>287</v>
      </c>
      <c r="T40" s="32">
        <f>'Labeler Downtime Detail'!AN104</f>
        <v>4</v>
      </c>
      <c r="U40" s="32">
        <f>'Videojet Downtime Detail '!O103</f>
        <v>0</v>
      </c>
      <c r="V40" s="32">
        <f>'Conveyor Downtime (new)'!AV99</f>
        <v>146</v>
      </c>
      <c r="W40" s="32">
        <f>'Packer Downtime Detail  '!AD103</f>
        <v>0</v>
      </c>
      <c r="X40" s="32">
        <f>'Carton Errector-sealer Detail'!P88</f>
        <v>0</v>
      </c>
      <c r="Y40" s="32"/>
      <c r="Z40" s="43"/>
      <c r="AA40" s="88"/>
      <c r="AB40" s="71"/>
      <c r="AC40" s="71"/>
      <c r="AD40" s="44">
        <f t="shared" si="0"/>
        <v>810</v>
      </c>
      <c r="AE40" s="45">
        <f>G40-D40</f>
        <v>1.0319444444444446</v>
      </c>
      <c r="AF40"/>
      <c r="AG40"/>
      <c r="AH40" s="3"/>
      <c r="AI40" s="23"/>
      <c r="AJ40" s="23"/>
      <c r="AK40" s="54"/>
      <c r="AL40" s="3"/>
      <c r="AM40" s="3"/>
      <c r="AN40" s="3"/>
      <c r="AO40" s="3"/>
      <c r="AP40" s="3"/>
      <c r="AQ40" s="3"/>
      <c r="AR40" s="3"/>
      <c r="AS40" s="3"/>
      <c r="AT40" s="3"/>
      <c r="AU40" s="3"/>
      <c r="AV40" s="3"/>
      <c r="AW40" s="3"/>
      <c r="AX40" s="3"/>
      <c r="AY40"/>
      <c r="AZ40"/>
      <c r="BA40"/>
      <c r="BB40"/>
      <c r="BC40"/>
      <c r="BD40"/>
      <c r="BE40"/>
      <c r="BF40"/>
      <c r="BG40"/>
      <c r="BH40"/>
      <c r="BI40"/>
      <c r="BJ40"/>
      <c r="BK40"/>
      <c r="BL40"/>
      <c r="BM40"/>
      <c r="BN40"/>
      <c r="BO40"/>
      <c r="BP40"/>
      <c r="BQ40"/>
      <c r="BR40"/>
    </row>
    <row r="41" spans="1:70" s="183" customFormat="1" ht="13.5" customHeight="1">
      <c r="A41" s="7">
        <f>[5]February_2026!$C41</f>
        <v>18</v>
      </c>
      <c r="B41" s="559">
        <f>[5]February_2026!$B41</f>
        <v>46079</v>
      </c>
      <c r="C41" s="7" t="str">
        <f>[5]February_2026!$D41</f>
        <v>STAG</v>
      </c>
      <c r="D41" s="681">
        <v>1</v>
      </c>
      <c r="E41" s="80">
        <v>1.0097222222222222</v>
      </c>
      <c r="F41" s="80">
        <v>1.7250000000000001</v>
      </c>
      <c r="G41" s="11">
        <v>1.7569444444444444</v>
      </c>
      <c r="H41" s="14"/>
      <c r="I41" s="34"/>
      <c r="J41" s="35"/>
      <c r="K41" s="34"/>
      <c r="L41" s="34"/>
      <c r="M41" s="34"/>
      <c r="N41" s="34"/>
      <c r="O41" s="34">
        <f>'Uncaser Downtime Detail '!AG105</f>
        <v>17</v>
      </c>
      <c r="P41" s="34">
        <f>'Washer Downtime Detail'!BH104</f>
        <v>38</v>
      </c>
      <c r="Q41" s="34">
        <f>'EBI Downtime Detail'!AI104</f>
        <v>710</v>
      </c>
      <c r="R41" s="34">
        <f>'Filler Downtime Detail'!AK100</f>
        <v>2</v>
      </c>
      <c r="S41" s="34">
        <f>'Pasteurizer Downtime Detail'!Z105</f>
        <v>0</v>
      </c>
      <c r="T41" s="34">
        <f>'Labeler Downtime Detail'!AN105</f>
        <v>12</v>
      </c>
      <c r="U41" s="34">
        <f>'Videojet Downtime Detail '!O104</f>
        <v>0</v>
      </c>
      <c r="V41" s="34">
        <f>'Conveyor Downtime (new)'!AV100</f>
        <v>33</v>
      </c>
      <c r="W41" s="34">
        <f>'Packer Downtime Detail  '!AD104</f>
        <v>0</v>
      </c>
      <c r="X41" s="34">
        <f>'Carton Errector-sealer Detail'!P89</f>
        <v>0</v>
      </c>
      <c r="Y41" s="35"/>
      <c r="Z41" s="34"/>
      <c r="AA41" s="90"/>
      <c r="AB41" s="89">
        <f>3</f>
        <v>3</v>
      </c>
      <c r="AC41" s="89"/>
      <c r="AD41" s="44">
        <f t="shared" si="0"/>
        <v>815</v>
      </c>
      <c r="AE41" s="754">
        <f>G42-D41</f>
        <v>1.0354166666666669</v>
      </c>
      <c r="AF41"/>
      <c r="AG41"/>
      <c r="AH41" s="3"/>
      <c r="AI41" s="23"/>
      <c r="AJ41" s="23"/>
      <c r="AK41" s="54"/>
      <c r="AL41" s="3"/>
      <c r="AM41" s="3"/>
      <c r="AN41" s="3"/>
      <c r="AO41" s="3"/>
      <c r="AP41" s="3"/>
      <c r="AQ41" s="3"/>
      <c r="AR41" s="3"/>
      <c r="AS41" s="3"/>
      <c r="AT41" s="3"/>
      <c r="AU41" s="3"/>
      <c r="AV41" s="3"/>
      <c r="AW41" s="3"/>
      <c r="AX41" s="3"/>
      <c r="AY41"/>
      <c r="AZ41"/>
      <c r="BA41"/>
      <c r="BB41"/>
      <c r="BC41"/>
      <c r="BD41"/>
      <c r="BE41"/>
      <c r="BF41"/>
      <c r="BG41"/>
      <c r="BH41"/>
      <c r="BI41"/>
      <c r="BJ41"/>
      <c r="BK41"/>
      <c r="BL41"/>
      <c r="BM41"/>
      <c r="BN41"/>
      <c r="BO41"/>
      <c r="BP41"/>
      <c r="BQ41"/>
      <c r="BR41"/>
    </row>
    <row r="42" spans="1:70" s="183" customFormat="1" ht="13.5" customHeight="1">
      <c r="A42" s="7">
        <f>[5]February_2026!$C42</f>
        <v>18</v>
      </c>
      <c r="B42" s="559">
        <f>[5]February_2026!$B42</f>
        <v>46079</v>
      </c>
      <c r="C42" s="7" t="str">
        <f>[5]February_2026!$D42</f>
        <v>CARIB AMBER</v>
      </c>
      <c r="D42" s="681"/>
      <c r="E42" s="80">
        <v>1.7326388888888888</v>
      </c>
      <c r="F42" s="80">
        <v>2</v>
      </c>
      <c r="G42" s="11">
        <v>2.0354166666666669</v>
      </c>
      <c r="H42" s="82"/>
      <c r="I42" s="32">
        <f>6+11+6</f>
        <v>23</v>
      </c>
      <c r="J42" s="86"/>
      <c r="K42" s="32"/>
      <c r="L42" s="32"/>
      <c r="M42" s="32"/>
      <c r="N42" s="32"/>
      <c r="O42" s="32">
        <f>'Uncaser Downtime Detail '!AG106</f>
        <v>12</v>
      </c>
      <c r="P42" s="32">
        <f>'Washer Downtime Detail'!BH105</f>
        <v>51</v>
      </c>
      <c r="Q42" s="32">
        <f>'EBI Downtime Detail'!AI105</f>
        <v>50</v>
      </c>
      <c r="R42" s="32">
        <f>'Filler Downtime Detail'!AK101</f>
        <v>1</v>
      </c>
      <c r="S42" s="34">
        <f>'Pasteurizer Downtime Detail'!Z106</f>
        <v>0</v>
      </c>
      <c r="T42" s="32">
        <f>'Labeler Downtime Detail'!AN106</f>
        <v>0</v>
      </c>
      <c r="U42" s="32">
        <f>'Videojet Downtime Detail '!O105</f>
        <v>0</v>
      </c>
      <c r="V42" s="32"/>
      <c r="W42" s="32">
        <f>'Packer Downtime Detail  '!AD105</f>
        <v>0</v>
      </c>
      <c r="X42" s="32">
        <f>'Carton Errector-sealer Detail'!P90</f>
        <v>0</v>
      </c>
      <c r="Y42" s="32"/>
      <c r="Z42" s="43"/>
      <c r="AA42" s="88"/>
      <c r="AB42" s="71"/>
      <c r="AC42" s="71"/>
      <c r="AD42" s="44">
        <f t="shared" ref="AD42:AD56" si="1">SUM(H42:AB42)</f>
        <v>137</v>
      </c>
      <c r="AE42" s="754"/>
      <c r="AF42"/>
      <c r="AG42"/>
      <c r="AH42" s="3"/>
      <c r="AI42" s="23"/>
      <c r="AJ42" s="23"/>
      <c r="AK42" s="54"/>
      <c r="AL42" s="3"/>
      <c r="AM42" s="3"/>
      <c r="AN42" s="3"/>
      <c r="AO42" s="3"/>
      <c r="AP42" s="3"/>
      <c r="AQ42" s="3"/>
      <c r="AR42" s="3"/>
      <c r="AS42" s="3"/>
      <c r="AT42" s="3"/>
      <c r="AU42" s="3"/>
      <c r="AV42" s="3"/>
      <c r="AW42" s="3"/>
      <c r="AX42" s="3"/>
      <c r="AY42"/>
      <c r="AZ42"/>
      <c r="BA42"/>
      <c r="BB42"/>
      <c r="BC42"/>
      <c r="BD42"/>
      <c r="BE42"/>
      <c r="BF42"/>
      <c r="BG42"/>
      <c r="BH42"/>
      <c r="BI42"/>
      <c r="BJ42"/>
      <c r="BK42"/>
      <c r="BL42"/>
      <c r="BM42"/>
      <c r="BN42"/>
      <c r="BO42"/>
      <c r="BP42"/>
      <c r="BQ42"/>
      <c r="BR42"/>
    </row>
    <row r="43" spans="1:70" s="183" customFormat="1" ht="13.5" customHeight="1">
      <c r="A43" s="7">
        <f>[5]February_2026!$C43</f>
        <v>19</v>
      </c>
      <c r="B43" s="559">
        <f>[5]February_2026!$B43</f>
        <v>46080</v>
      </c>
      <c r="C43" s="7" t="str">
        <f>[5]February_2026!$D43</f>
        <v>CARIB AMBER</v>
      </c>
      <c r="D43" s="681">
        <v>1</v>
      </c>
      <c r="E43" s="80">
        <v>1.0069444444444444</v>
      </c>
      <c r="F43" s="80">
        <v>1.1708333333333334</v>
      </c>
      <c r="G43" s="11"/>
      <c r="H43" s="14">
        <f>6+9</f>
        <v>15</v>
      </c>
      <c r="I43" s="34"/>
      <c r="J43" s="35"/>
      <c r="K43" s="34"/>
      <c r="L43" s="34"/>
      <c r="M43" s="34"/>
      <c r="N43" s="34"/>
      <c r="O43" s="34">
        <f>'Uncaser Downtime Detail '!AG107</f>
        <v>16</v>
      </c>
      <c r="P43" s="34">
        <f>'Washer Downtime Detail'!BH106</f>
        <v>9</v>
      </c>
      <c r="Q43" s="34">
        <f>'EBI Downtime Detail'!AI106</f>
        <v>0</v>
      </c>
      <c r="R43" s="34">
        <f>'Filler Downtime Detail'!AK102</f>
        <v>2</v>
      </c>
      <c r="S43" s="34">
        <f>'Pasteurizer Downtime Detail'!Z107</f>
        <v>0</v>
      </c>
      <c r="T43" s="34">
        <f>'Labeler Downtime Detail'!AN107</f>
        <v>0</v>
      </c>
      <c r="U43" s="34">
        <f>'Videojet Downtime Detail '!O106</f>
        <v>0</v>
      </c>
      <c r="V43" s="34">
        <f>'Conveyor Downtime (new)'!AV102</f>
        <v>2</v>
      </c>
      <c r="W43" s="34">
        <f>'Packer Downtime Detail  '!AD106</f>
        <v>0</v>
      </c>
      <c r="X43" s="34">
        <f>'Carton Errector-sealer Detail'!P91</f>
        <v>0</v>
      </c>
      <c r="Y43" s="35"/>
      <c r="Z43" s="34">
        <v>10</v>
      </c>
      <c r="AA43" s="90"/>
      <c r="AB43" s="89"/>
      <c r="AC43" s="89"/>
      <c r="AD43" s="44">
        <f t="shared" si="1"/>
        <v>54</v>
      </c>
      <c r="AE43" s="754">
        <f>G45-D43</f>
        <v>0.86805555555555558</v>
      </c>
      <c r="AF43"/>
      <c r="AG43"/>
      <c r="AH43" s="3"/>
      <c r="AI43" s="23"/>
      <c r="AJ43" s="23"/>
      <c r="AK43" s="54"/>
      <c r="AL43" s="3"/>
      <c r="AM43" s="3"/>
      <c r="AN43" s="3"/>
      <c r="AO43" s="3"/>
      <c r="AP43" s="3"/>
      <c r="AQ43" s="3"/>
      <c r="AR43" s="3"/>
      <c r="AS43" s="3"/>
      <c r="AT43" s="3"/>
      <c r="AU43" s="3"/>
      <c r="AV43" s="3"/>
      <c r="AW43" s="3"/>
      <c r="AX43" s="3"/>
      <c r="AY43"/>
      <c r="AZ43"/>
      <c r="BA43"/>
      <c r="BB43"/>
      <c r="BC43"/>
      <c r="BD43"/>
      <c r="BE43"/>
      <c r="BF43"/>
      <c r="BG43"/>
      <c r="BH43"/>
      <c r="BI43"/>
      <c r="BJ43"/>
      <c r="BK43"/>
      <c r="BL43"/>
      <c r="BM43"/>
      <c r="BN43"/>
      <c r="BO43"/>
      <c r="BP43"/>
      <c r="BQ43"/>
      <c r="BR43"/>
    </row>
    <row r="44" spans="1:70" s="183" customFormat="1" ht="13.5" customHeight="1">
      <c r="A44" s="7">
        <f>[5]February_2026!$C44</f>
        <v>19</v>
      </c>
      <c r="B44" s="559">
        <f>[5]February_2026!$B44</f>
        <v>46080</v>
      </c>
      <c r="C44" s="7" t="str">
        <f>[5]February_2026!$D44</f>
        <v>STAR MALT</v>
      </c>
      <c r="D44" s="681"/>
      <c r="E44" s="80">
        <v>1.2166666666666666</v>
      </c>
      <c r="F44" s="80">
        <v>1.6</v>
      </c>
      <c r="G44" s="11">
        <v>0.625</v>
      </c>
      <c r="H44" s="82"/>
      <c r="I44" s="32">
        <f>23</f>
        <v>23</v>
      </c>
      <c r="J44" s="86"/>
      <c r="K44" s="32"/>
      <c r="L44" s="32"/>
      <c r="M44" s="32"/>
      <c r="N44" s="32"/>
      <c r="O44" s="32">
        <f>'Uncaser Downtime Detail '!AG108</f>
        <v>29</v>
      </c>
      <c r="P44" s="32">
        <f>'Washer Downtime Detail'!BH107</f>
        <v>42</v>
      </c>
      <c r="Q44" s="32">
        <f>'EBI Downtime Detail'!AI107</f>
        <v>26</v>
      </c>
      <c r="R44" s="32">
        <f>'Filler Downtime Detail'!AK103</f>
        <v>5</v>
      </c>
      <c r="S44" s="32">
        <f>'Pasteurizer Downtime Detail'!Z108</f>
        <v>42</v>
      </c>
      <c r="T44" s="32">
        <f>'Labeler Downtime Detail'!AN108</f>
        <v>6</v>
      </c>
      <c r="U44" s="32">
        <f>'Videojet Downtime Detail '!O107</f>
        <v>0</v>
      </c>
      <c r="V44" s="32">
        <f>'Conveyor Downtime (new)'!AV103</f>
        <v>10</v>
      </c>
      <c r="W44" s="32">
        <f>'Packer Downtime Detail  '!AD107</f>
        <v>0</v>
      </c>
      <c r="X44" s="32">
        <f>'Carton Errector-sealer Detail'!P92</f>
        <v>0</v>
      </c>
      <c r="Y44" s="32"/>
      <c r="Z44" s="43">
        <v>7</v>
      </c>
      <c r="AA44" s="88">
        <v>15</v>
      </c>
      <c r="AB44" s="71"/>
      <c r="AC44" s="71"/>
      <c r="AD44" s="44">
        <f t="shared" si="1"/>
        <v>205</v>
      </c>
      <c r="AE44" s="754"/>
      <c r="AF44"/>
      <c r="AG44"/>
      <c r="AH44" s="3"/>
      <c r="AI44" s="23"/>
      <c r="AJ44" s="23"/>
      <c r="AK44" s="54"/>
      <c r="AL44" s="3"/>
      <c r="AM44" s="3"/>
      <c r="AN44" s="3"/>
      <c r="AO44" s="3"/>
      <c r="AP44" s="3"/>
      <c r="AQ44" s="3"/>
      <c r="AR44" s="3"/>
      <c r="AS44" s="3"/>
      <c r="AT44" s="3"/>
      <c r="AU44" s="3"/>
      <c r="AV44" s="3"/>
      <c r="AW44" s="3"/>
      <c r="AX44" s="3"/>
      <c r="AY44"/>
      <c r="AZ44"/>
      <c r="BA44"/>
      <c r="BB44"/>
      <c r="BC44"/>
      <c r="BD44"/>
      <c r="BE44"/>
      <c r="BF44"/>
      <c r="BG44"/>
      <c r="BH44"/>
      <c r="BI44"/>
      <c r="BJ44"/>
      <c r="BK44"/>
      <c r="BL44"/>
      <c r="BM44"/>
      <c r="BN44"/>
      <c r="BO44"/>
      <c r="BP44"/>
      <c r="BQ44"/>
      <c r="BR44"/>
    </row>
    <row r="45" spans="1:70" s="183" customFormat="1" ht="13.5" customHeight="1">
      <c r="A45" s="7">
        <v>19</v>
      </c>
      <c r="B45" s="559">
        <f>[5]February_2026!$B45</f>
        <v>46080</v>
      </c>
      <c r="C45" s="7" t="str">
        <f>[5]February_2026!$D45</f>
        <v>CARIB AMBER</v>
      </c>
      <c r="D45" s="681"/>
      <c r="E45" s="80">
        <v>1.6388888888888888</v>
      </c>
      <c r="F45" s="80">
        <v>1.8402777777777777</v>
      </c>
      <c r="G45" s="11">
        <v>1.8680555555555556</v>
      </c>
      <c r="H45" s="14"/>
      <c r="I45" s="34">
        <f>36+14</f>
        <v>50</v>
      </c>
      <c r="J45" s="35">
        <f>5</f>
        <v>5</v>
      </c>
      <c r="K45" s="34"/>
      <c r="L45" s="34"/>
      <c r="M45" s="34"/>
      <c r="N45" s="34"/>
      <c r="O45" s="34">
        <f>'Uncaser Downtime Detail '!AG109</f>
        <v>9</v>
      </c>
      <c r="P45" s="34">
        <f>'Washer Downtime Detail'!BH108</f>
        <v>33</v>
      </c>
      <c r="Q45" s="34">
        <f>'EBI Downtime Detail'!AI108</f>
        <v>2</v>
      </c>
      <c r="R45" s="34">
        <f>'Filler Downtime Detail'!AK104</f>
        <v>0</v>
      </c>
      <c r="S45" s="34">
        <f>'Pasteurizer Downtime Detail'!Z109</f>
        <v>0</v>
      </c>
      <c r="T45" s="34">
        <f>'Labeler Downtime Detail'!AN109</f>
        <v>0</v>
      </c>
      <c r="U45" s="34">
        <f>'Videojet Downtime Detail '!O108</f>
        <v>0</v>
      </c>
      <c r="V45" s="34">
        <f>'Conveyor Downtime (new)'!AV104</f>
        <v>15</v>
      </c>
      <c r="W45" s="34">
        <f>'Packer Downtime Detail  '!AD108</f>
        <v>0</v>
      </c>
      <c r="X45" s="34">
        <f>'Carton Errector-sealer Detail'!P93</f>
        <v>0</v>
      </c>
      <c r="Y45" s="35"/>
      <c r="Z45" s="34"/>
      <c r="AA45" s="90"/>
      <c r="AB45" s="89"/>
      <c r="AC45" s="89"/>
      <c r="AD45" s="44">
        <f t="shared" si="1"/>
        <v>114</v>
      </c>
      <c r="AE45" s="754"/>
      <c r="AF45"/>
      <c r="AG45"/>
      <c r="AH45" s="3"/>
      <c r="AI45" s="23"/>
      <c r="AJ45" s="23"/>
      <c r="AK45" s="54"/>
      <c r="AL45" s="3"/>
      <c r="AM45" s="3"/>
      <c r="AN45" s="3"/>
      <c r="AO45" s="3"/>
      <c r="AP45" s="3"/>
      <c r="AQ45" s="3"/>
      <c r="AR45" s="3"/>
      <c r="AS45" s="3"/>
      <c r="AT45" s="3"/>
      <c r="AU45" s="3"/>
      <c r="AV45" s="3"/>
      <c r="AW45" s="3"/>
      <c r="AX45" s="3"/>
      <c r="AY45"/>
      <c r="AZ45"/>
      <c r="BA45"/>
      <c r="BB45"/>
      <c r="BC45"/>
      <c r="BD45"/>
      <c r="BE45"/>
      <c r="BF45"/>
      <c r="BG45"/>
      <c r="BH45"/>
      <c r="BI45"/>
      <c r="BJ45"/>
      <c r="BK45"/>
      <c r="BL45"/>
      <c r="BM45"/>
      <c r="BN45"/>
      <c r="BO45"/>
      <c r="BP45"/>
      <c r="BQ45"/>
      <c r="BR45"/>
    </row>
    <row r="46" spans="1:70" s="183" customFormat="1" ht="13.5" customHeight="1">
      <c r="A46" s="7">
        <v>20</v>
      </c>
      <c r="B46" s="559">
        <f>[5]February_2026!$B46</f>
        <v>46081</v>
      </c>
      <c r="C46" s="7" t="str">
        <f>[5]February_2026!$D46</f>
        <v>STAR MALT</v>
      </c>
      <c r="D46" s="681">
        <v>0.29166666666666669</v>
      </c>
      <c r="E46" s="80">
        <v>0.34375</v>
      </c>
      <c r="F46" s="80">
        <v>0.53819444444444442</v>
      </c>
      <c r="G46" s="11"/>
      <c r="H46" s="82"/>
      <c r="I46" s="32"/>
      <c r="J46" s="86">
        <f>7</f>
        <v>7</v>
      </c>
      <c r="K46" s="32"/>
      <c r="L46" s="32"/>
      <c r="M46" s="32"/>
      <c r="N46" s="32"/>
      <c r="O46" s="32">
        <f>'Uncaser Downtime Detail '!AG110</f>
        <v>0</v>
      </c>
      <c r="P46" s="32">
        <f>'Washer Downtime Detail'!BH109</f>
        <v>27</v>
      </c>
      <c r="Q46" s="32">
        <f>'EBI Downtime Detail'!AI109</f>
        <v>12</v>
      </c>
      <c r="R46" s="32">
        <f>'Filler Downtime Detail'!AK105</f>
        <v>0</v>
      </c>
      <c r="S46" s="32">
        <f>'Pasteurizer Downtime Detail'!Z110</f>
        <v>29</v>
      </c>
      <c r="T46" s="32">
        <f>'Labeler Downtime Detail'!AN110</f>
        <v>0</v>
      </c>
      <c r="U46" s="32">
        <f>'Videojet Downtime Detail '!O109</f>
        <v>0</v>
      </c>
      <c r="V46" s="32">
        <f>'Conveyor Downtime (new)'!AV105</f>
        <v>4</v>
      </c>
      <c r="W46" s="32">
        <f>'Packer Downtime Detail  '!AD109</f>
        <v>0</v>
      </c>
      <c r="X46" s="32">
        <f>'Carton Errector-sealer Detail'!P94</f>
        <v>0</v>
      </c>
      <c r="Y46" s="32"/>
      <c r="Z46" s="43">
        <f>10+8</f>
        <v>18</v>
      </c>
      <c r="AA46" s="88"/>
      <c r="AB46" s="71"/>
      <c r="AC46" s="71"/>
      <c r="AD46" s="44">
        <f t="shared" si="1"/>
        <v>97</v>
      </c>
      <c r="AE46" s="754">
        <f>G47-D46</f>
        <v>0.68055555555555558</v>
      </c>
      <c r="AF46"/>
      <c r="AG46"/>
      <c r="AH46" s="3"/>
      <c r="AI46" s="23"/>
      <c r="AJ46" s="23"/>
      <c r="AK46" s="54"/>
      <c r="AL46" s="3"/>
      <c r="AM46" s="3"/>
      <c r="AN46" s="3"/>
      <c r="AO46" s="3"/>
      <c r="AP46" s="3"/>
      <c r="AQ46" s="3"/>
      <c r="AR46" s="3"/>
      <c r="AS46" s="3"/>
      <c r="AT46" s="3"/>
      <c r="AU46" s="3"/>
      <c r="AV46" s="3"/>
      <c r="AW46" s="3"/>
      <c r="AX46" s="3"/>
      <c r="AY46"/>
      <c r="AZ46"/>
      <c r="BA46"/>
      <c r="BB46"/>
      <c r="BC46"/>
      <c r="BD46"/>
      <c r="BE46"/>
      <c r="BF46"/>
      <c r="BG46"/>
      <c r="BH46"/>
      <c r="BI46"/>
      <c r="BJ46"/>
      <c r="BK46"/>
      <c r="BL46"/>
      <c r="BM46"/>
      <c r="BN46"/>
      <c r="BO46"/>
      <c r="BP46"/>
      <c r="BQ46"/>
      <c r="BR46"/>
    </row>
    <row r="47" spans="1:70" s="183" customFormat="1" ht="13.5" customHeight="1">
      <c r="A47" s="7">
        <v>21</v>
      </c>
      <c r="B47" s="559">
        <f>[5]February_2026!$B47</f>
        <v>46081</v>
      </c>
      <c r="C47" s="7" t="str">
        <f>[5]February_2026!$D47</f>
        <v>CARIB AMBER</v>
      </c>
      <c r="D47" s="681"/>
      <c r="E47" s="80">
        <v>0.57291666666666663</v>
      </c>
      <c r="F47" s="80">
        <v>0.94166666666666665</v>
      </c>
      <c r="G47" s="11">
        <v>0.97222222222222221</v>
      </c>
      <c r="H47" s="14"/>
      <c r="I47" s="34">
        <f>5+45</f>
        <v>50</v>
      </c>
      <c r="J47" s="35"/>
      <c r="K47" s="34"/>
      <c r="L47" s="34"/>
      <c r="M47" s="34"/>
      <c r="N47" s="34"/>
      <c r="O47" s="34">
        <f>'Uncaser Downtime Detail '!AG111</f>
        <v>0</v>
      </c>
      <c r="P47" s="34">
        <f>'Washer Downtime Detail'!BH110</f>
        <v>135</v>
      </c>
      <c r="Q47" s="34">
        <f>'EBI Downtime Detail'!AI110</f>
        <v>0</v>
      </c>
      <c r="R47" s="34">
        <f>'Filler Downtime Detail'!AK106</f>
        <v>4</v>
      </c>
      <c r="S47" s="34">
        <f>'Pasteurizer Downtime Detail'!Z111</f>
        <v>0</v>
      </c>
      <c r="T47" s="34">
        <f>'Labeler Downtime Detail'!AN111</f>
        <v>0</v>
      </c>
      <c r="U47" s="34">
        <f>'Videojet Downtime Detail '!O110</f>
        <v>0</v>
      </c>
      <c r="V47" s="34">
        <f>'Conveyor Downtime (new)'!AV106</f>
        <v>20</v>
      </c>
      <c r="W47" s="34">
        <f>'Packer Downtime Detail  '!AD110</f>
        <v>0</v>
      </c>
      <c r="X47" s="34">
        <f>'Carton Errector-sealer Detail'!P95</f>
        <v>0</v>
      </c>
      <c r="Y47" s="35"/>
      <c r="Z47" s="34"/>
      <c r="AA47" s="90"/>
      <c r="AB47" s="89"/>
      <c r="AC47" s="89"/>
      <c r="AD47" s="44">
        <f t="shared" si="1"/>
        <v>209</v>
      </c>
      <c r="AE47" s="754"/>
      <c r="AF47"/>
      <c r="AG47"/>
      <c r="AH47" s="3"/>
      <c r="AI47" s="23"/>
      <c r="AJ47" s="23"/>
      <c r="AK47" s="54"/>
      <c r="AL47" s="3"/>
      <c r="AM47" s="3"/>
      <c r="AN47" s="3"/>
      <c r="AO47" s="3"/>
      <c r="AP47" s="3"/>
      <c r="AQ47" s="3"/>
      <c r="AR47" s="3"/>
      <c r="AS47" s="3"/>
      <c r="AT47" s="3"/>
      <c r="AU47" s="3"/>
      <c r="AV47" s="3"/>
      <c r="AW47" s="3"/>
      <c r="AX47" s="3"/>
      <c r="AY47"/>
      <c r="AZ47"/>
      <c r="BA47"/>
      <c r="BB47"/>
      <c r="BC47"/>
      <c r="BD47"/>
      <c r="BE47"/>
      <c r="BF47"/>
      <c r="BG47"/>
      <c r="BH47"/>
      <c r="BI47"/>
      <c r="BJ47"/>
      <c r="BK47"/>
      <c r="BL47"/>
      <c r="BM47"/>
      <c r="BN47"/>
      <c r="BO47"/>
      <c r="BP47"/>
      <c r="BQ47"/>
      <c r="BR47"/>
    </row>
    <row r="48" spans="1:70">
      <c r="A48" s="7"/>
      <c r="B48" s="185"/>
      <c r="C48" s="29"/>
      <c r="D48" s="85"/>
      <c r="E48" s="13"/>
      <c r="F48" s="13"/>
      <c r="G48" s="94"/>
      <c r="H48" s="82"/>
      <c r="I48" s="32"/>
      <c r="J48" s="86"/>
      <c r="K48" s="32"/>
      <c r="L48" s="32"/>
      <c r="M48" s="32"/>
      <c r="N48" s="32"/>
      <c r="O48" s="32">
        <f>'Uncaser Downtime Detail '!AG112</f>
        <v>0</v>
      </c>
      <c r="P48" s="32">
        <f>'Washer Downtime Detail'!BH111</f>
        <v>0</v>
      </c>
      <c r="Q48" s="32">
        <f>'EBI Downtime Detail'!AI111</f>
        <v>0</v>
      </c>
      <c r="R48" s="32">
        <f>'Filler Downtime Detail'!AK107</f>
        <v>0</v>
      </c>
      <c r="S48" s="32">
        <f>'Pasteurizer Downtime Detail'!Z112</f>
        <v>0</v>
      </c>
      <c r="T48" s="32">
        <f>'Labeler Downtime Detail'!AN112</f>
        <v>0</v>
      </c>
      <c r="U48" s="32">
        <f>'Videojet Downtime Detail '!O111</f>
        <v>0</v>
      </c>
      <c r="V48" s="32">
        <f>'Conveyor Downtime (new)'!AV107</f>
        <v>0</v>
      </c>
      <c r="W48" s="32">
        <f>'Packer Downtime Detail  '!AD111</f>
        <v>0</v>
      </c>
      <c r="X48" s="32">
        <f>'Carton Errector-sealer Detail'!P96</f>
        <v>0</v>
      </c>
      <c r="Y48" s="32"/>
      <c r="Z48" s="43"/>
      <c r="AA48" s="88"/>
      <c r="AB48" s="71"/>
      <c r="AC48" s="71"/>
      <c r="AD48" s="44">
        <f t="shared" si="1"/>
        <v>0</v>
      </c>
      <c r="AE48" s="91">
        <f>G49-D48</f>
        <v>0</v>
      </c>
      <c r="AH48" s="3"/>
      <c r="AI48" s="23"/>
      <c r="AJ48" s="23"/>
      <c r="AK48" s="54"/>
      <c r="AL48" s="3"/>
      <c r="AM48" s="3"/>
      <c r="AN48" s="3"/>
      <c r="AO48" s="3"/>
      <c r="AP48" s="3"/>
      <c r="AQ48" s="3"/>
      <c r="AR48" s="3"/>
      <c r="AS48" s="3"/>
      <c r="AT48" s="3"/>
      <c r="AU48" s="3"/>
      <c r="AV48" s="3"/>
      <c r="AW48" s="3"/>
      <c r="AX48" s="3"/>
    </row>
    <row r="49" spans="1:50">
      <c r="A49" s="7"/>
      <c r="B49" s="185"/>
      <c r="C49" s="29"/>
      <c r="D49" s="85"/>
      <c r="E49" s="13"/>
      <c r="F49" s="13"/>
      <c r="G49" s="94"/>
      <c r="H49" s="14"/>
      <c r="I49" s="34"/>
      <c r="J49" s="35"/>
      <c r="K49" s="34"/>
      <c r="L49" s="34"/>
      <c r="M49" s="34"/>
      <c r="N49" s="34"/>
      <c r="O49" s="34">
        <f>'Uncaser Downtime Detail '!AG113</f>
        <v>0</v>
      </c>
      <c r="P49" s="34">
        <f>'Washer Downtime Detail'!BH112</f>
        <v>0</v>
      </c>
      <c r="Q49" s="34">
        <f>'EBI Downtime Detail'!AI112</f>
        <v>0</v>
      </c>
      <c r="R49" s="34">
        <f>'Filler Downtime Detail'!AK108</f>
        <v>0</v>
      </c>
      <c r="S49" s="34">
        <f>'Pasteurizer Downtime Detail'!Z113</f>
        <v>0</v>
      </c>
      <c r="T49" s="34">
        <f>'Labeler Downtime Detail'!AN113</f>
        <v>0</v>
      </c>
      <c r="U49" s="34">
        <f>'Videojet Downtime Detail '!O112</f>
        <v>0</v>
      </c>
      <c r="V49" s="34">
        <f>'Conveyor Downtime (new)'!AV108</f>
        <v>0</v>
      </c>
      <c r="W49" s="34">
        <f>'Packer Downtime Detail  '!AD112</f>
        <v>0</v>
      </c>
      <c r="X49" s="34">
        <f>'Carton Errector-sealer Detail'!P97</f>
        <v>0</v>
      </c>
      <c r="Y49" s="34"/>
      <c r="Z49" s="34"/>
      <c r="AA49" s="90"/>
      <c r="AB49" s="89"/>
      <c r="AC49" s="89"/>
      <c r="AD49" s="44">
        <f t="shared" si="1"/>
        <v>0</v>
      </c>
      <c r="AE49" s="91"/>
      <c r="AH49" s="3"/>
      <c r="AI49" s="23"/>
      <c r="AJ49" s="23"/>
      <c r="AK49" s="54"/>
      <c r="AL49" s="3"/>
      <c r="AM49" s="3"/>
      <c r="AN49" s="3"/>
      <c r="AO49" s="3"/>
      <c r="AP49" s="3"/>
      <c r="AQ49" s="3"/>
      <c r="AR49" s="3"/>
      <c r="AS49" s="3"/>
      <c r="AT49" s="3"/>
      <c r="AU49" s="3"/>
      <c r="AV49" s="3"/>
      <c r="AW49" s="3"/>
      <c r="AX49" s="3"/>
    </row>
    <row r="50" spans="1:50">
      <c r="A50" s="7"/>
      <c r="B50" s="185"/>
      <c r="C50" s="29"/>
      <c r="D50" s="93"/>
      <c r="E50" s="80"/>
      <c r="F50" s="80"/>
      <c r="G50" s="94"/>
      <c r="H50" s="82"/>
      <c r="I50" s="32"/>
      <c r="J50" s="86"/>
      <c r="K50" s="32"/>
      <c r="L50" s="32"/>
      <c r="M50" s="32"/>
      <c r="N50" s="32"/>
      <c r="O50" s="32">
        <f>'Uncaser Downtime Detail '!AG114</f>
        <v>0</v>
      </c>
      <c r="P50" s="32">
        <f>'Washer Downtime Detail'!BH113</f>
        <v>0</v>
      </c>
      <c r="Q50" s="32">
        <f>'EBI Downtime Detail'!AI113</f>
        <v>0</v>
      </c>
      <c r="R50" s="32">
        <f>'Filler Downtime Detail'!AK109</f>
        <v>0</v>
      </c>
      <c r="S50" s="32">
        <f>'Pasteurizer Downtime Detail'!Z114</f>
        <v>0</v>
      </c>
      <c r="T50" s="32">
        <f>'Labeler Downtime Detail'!AN114</f>
        <v>0</v>
      </c>
      <c r="U50" s="32">
        <f>'Videojet Downtime Detail '!O113</f>
        <v>0</v>
      </c>
      <c r="V50" s="32">
        <f>'Conveyor Downtime (new)'!AV109</f>
        <v>0</v>
      </c>
      <c r="W50" s="32">
        <f>'Packer Downtime Detail  '!AD113</f>
        <v>0</v>
      </c>
      <c r="X50" s="32">
        <f>'Carton Errector-sealer Detail'!P98</f>
        <v>0</v>
      </c>
      <c r="Y50" s="32"/>
      <c r="Z50" s="43"/>
      <c r="AA50" s="88"/>
      <c r="AB50" s="71"/>
      <c r="AC50" s="71"/>
      <c r="AD50" s="44">
        <f t="shared" si="1"/>
        <v>0</v>
      </c>
      <c r="AE50" s="68">
        <f>G50-D50</f>
        <v>0</v>
      </c>
      <c r="AH50" s="3"/>
      <c r="AI50" s="23"/>
      <c r="AJ50" s="23"/>
      <c r="AK50" s="54"/>
      <c r="AL50" s="3"/>
      <c r="AM50" s="3"/>
      <c r="AN50" s="3"/>
      <c r="AO50" s="3"/>
      <c r="AP50" s="3"/>
      <c r="AQ50" s="3"/>
      <c r="AR50" s="3"/>
      <c r="AS50" s="3"/>
      <c r="AT50" s="3"/>
      <c r="AU50" s="3"/>
      <c r="AV50" s="3"/>
      <c r="AW50" s="3"/>
      <c r="AX50" s="3"/>
    </row>
    <row r="51" spans="1:50">
      <c r="A51" s="7"/>
      <c r="B51" s="185"/>
      <c r="C51" s="29"/>
      <c r="D51" s="85"/>
      <c r="E51" s="80"/>
      <c r="F51" s="80"/>
      <c r="G51" s="94"/>
      <c r="H51" s="14"/>
      <c r="I51" s="34"/>
      <c r="J51" s="35"/>
      <c r="K51" s="34"/>
      <c r="L51" s="34"/>
      <c r="M51" s="34"/>
      <c r="N51" s="34"/>
      <c r="O51" s="34">
        <f>'Uncaser Downtime Detail '!AG115</f>
        <v>0</v>
      </c>
      <c r="P51" s="34">
        <f>'Washer Downtime Detail'!BH114</f>
        <v>0</v>
      </c>
      <c r="Q51" s="34">
        <f>'EBI Downtime Detail'!AI114</f>
        <v>0</v>
      </c>
      <c r="R51" s="34">
        <f>'Filler Downtime Detail'!AK110</f>
        <v>0</v>
      </c>
      <c r="S51" s="34">
        <f>'Pasteurizer Downtime Detail'!Z115</f>
        <v>0</v>
      </c>
      <c r="T51" s="34">
        <f>'Labeler Downtime Detail'!AN115</f>
        <v>0</v>
      </c>
      <c r="U51" s="34">
        <f>'Videojet Downtime Detail '!O114</f>
        <v>0</v>
      </c>
      <c r="V51" s="34">
        <f>'Conveyor Downtime (new)'!AV110</f>
        <v>0</v>
      </c>
      <c r="W51" s="34">
        <f>'Packer Downtime Detail  '!AD114</f>
        <v>0</v>
      </c>
      <c r="X51" s="34">
        <f>'Carton Errector-sealer Detail'!P99</f>
        <v>0</v>
      </c>
      <c r="Y51" s="35"/>
      <c r="Z51" s="34"/>
      <c r="AA51" s="90"/>
      <c r="AB51" s="89"/>
      <c r="AC51" s="89"/>
      <c r="AD51" s="44">
        <f t="shared" si="1"/>
        <v>0</v>
      </c>
      <c r="AE51" s="91">
        <f>G53-D51</f>
        <v>0</v>
      </c>
      <c r="AH51" s="3"/>
      <c r="AI51" s="23"/>
      <c r="AJ51" s="23"/>
      <c r="AK51" s="54"/>
      <c r="AL51" s="3"/>
      <c r="AM51" s="3"/>
      <c r="AN51" s="3"/>
      <c r="AO51" s="3"/>
      <c r="AP51" s="3"/>
      <c r="AQ51" s="3"/>
      <c r="AR51" s="3"/>
      <c r="AS51" s="3"/>
      <c r="AT51" s="3"/>
      <c r="AU51" s="3"/>
      <c r="AV51" s="3"/>
      <c r="AW51" s="3"/>
      <c r="AX51" s="3"/>
    </row>
    <row r="52" spans="1:50">
      <c r="A52" s="7"/>
      <c r="B52" s="185"/>
      <c r="C52" s="29"/>
      <c r="D52" s="85"/>
      <c r="E52" s="80"/>
      <c r="F52" s="80"/>
      <c r="G52" s="94"/>
      <c r="H52" s="82"/>
      <c r="I52" s="32"/>
      <c r="J52" s="86"/>
      <c r="K52" s="32"/>
      <c r="L52" s="32"/>
      <c r="M52" s="32"/>
      <c r="N52" s="32"/>
      <c r="O52" s="32">
        <f>'Uncaser Downtime Detail '!AG116</f>
        <v>0</v>
      </c>
      <c r="P52" s="32">
        <f>'Washer Downtime Detail'!BH115</f>
        <v>0</v>
      </c>
      <c r="Q52" s="32">
        <f>'EBI Downtime Detail'!AI115</f>
        <v>0</v>
      </c>
      <c r="R52" s="32">
        <f>'Filler Downtime Detail'!AK111</f>
        <v>0</v>
      </c>
      <c r="S52" s="32">
        <f>'Pasteurizer Downtime Detail'!Z116</f>
        <v>0</v>
      </c>
      <c r="T52" s="32">
        <f>'Labeler Downtime Detail'!AN116</f>
        <v>0</v>
      </c>
      <c r="U52" s="32">
        <f>'Videojet Downtime Detail '!O115</f>
        <v>0</v>
      </c>
      <c r="V52" s="32">
        <f>'Conveyor Downtime (new)'!AV111</f>
        <v>0</v>
      </c>
      <c r="W52" s="32">
        <f>'Packer Downtime Detail  '!AD115</f>
        <v>0</v>
      </c>
      <c r="X52" s="32">
        <f>'Carton Errector-sealer Detail'!P100</f>
        <v>0</v>
      </c>
      <c r="Y52" s="32"/>
      <c r="Z52" s="32"/>
      <c r="AA52" s="88"/>
      <c r="AB52" s="71"/>
      <c r="AC52" s="71"/>
      <c r="AD52" s="44">
        <f t="shared" si="1"/>
        <v>0</v>
      </c>
      <c r="AE52" s="91"/>
      <c r="AH52" s="3"/>
      <c r="AI52" s="23"/>
      <c r="AJ52" s="23"/>
      <c r="AK52" s="54"/>
      <c r="AL52" s="3"/>
      <c r="AM52" s="3"/>
      <c r="AN52" s="3"/>
      <c r="AO52" s="3"/>
      <c r="AP52" s="3"/>
      <c r="AQ52" s="3"/>
      <c r="AR52" s="3"/>
      <c r="AS52" s="3"/>
      <c r="AT52" s="3"/>
      <c r="AU52" s="3"/>
      <c r="AV52" s="3"/>
      <c r="AW52" s="3"/>
      <c r="AX52" s="3"/>
    </row>
    <row r="53" spans="1:50">
      <c r="A53" s="7"/>
      <c r="B53" s="185"/>
      <c r="C53" s="29"/>
      <c r="D53" s="85"/>
      <c r="E53" s="80"/>
      <c r="F53" s="80"/>
      <c r="G53" s="94"/>
      <c r="H53" s="14"/>
      <c r="I53" s="34"/>
      <c r="J53" s="35"/>
      <c r="K53" s="34"/>
      <c r="L53" s="34"/>
      <c r="M53" s="34"/>
      <c r="N53" s="34"/>
      <c r="O53" s="34">
        <f>'Uncaser Downtime Detail '!AG117</f>
        <v>0</v>
      </c>
      <c r="P53" s="34">
        <f>'Washer Downtime Detail'!BH116</f>
        <v>0</v>
      </c>
      <c r="Q53" s="34">
        <f>'EBI Downtime Detail'!AI116</f>
        <v>0</v>
      </c>
      <c r="R53" s="34">
        <f>'Filler Downtime Detail'!AK112</f>
        <v>0</v>
      </c>
      <c r="S53" s="34">
        <f>'Pasteurizer Downtime Detail'!Z117</f>
        <v>0</v>
      </c>
      <c r="T53" s="34">
        <f>'Labeler Downtime Detail'!AN117</f>
        <v>0</v>
      </c>
      <c r="U53" s="34">
        <f>'Videojet Downtime Detail '!O116</f>
        <v>0</v>
      </c>
      <c r="V53" s="34">
        <f>'Conveyor Downtime (new)'!AV112</f>
        <v>0</v>
      </c>
      <c r="W53" s="34">
        <f>'Packer Downtime Detail  '!AD116</f>
        <v>0</v>
      </c>
      <c r="X53" s="34">
        <f>'Carton Errector-sealer Detail'!P101</f>
        <v>0</v>
      </c>
      <c r="Y53" s="35"/>
      <c r="Z53" s="34"/>
      <c r="AA53" s="90"/>
      <c r="AB53" s="89"/>
      <c r="AC53" s="89"/>
      <c r="AD53" s="44">
        <f t="shared" si="1"/>
        <v>0</v>
      </c>
      <c r="AE53" s="91"/>
      <c r="AH53" s="3"/>
      <c r="AI53" s="23"/>
      <c r="AJ53" s="23"/>
      <c r="AK53" s="54"/>
      <c r="AL53" s="3"/>
      <c r="AM53" s="3"/>
      <c r="AN53" s="3"/>
      <c r="AO53" s="3"/>
      <c r="AP53" s="3"/>
      <c r="AQ53" s="3"/>
      <c r="AR53" s="3"/>
      <c r="AS53" s="3"/>
      <c r="AT53" s="3"/>
      <c r="AU53" s="3"/>
      <c r="AV53" s="3"/>
      <c r="AW53" s="3"/>
      <c r="AX53" s="3"/>
    </row>
    <row r="54" spans="1:50">
      <c r="A54" s="7"/>
      <c r="B54" s="185"/>
      <c r="C54" s="29"/>
      <c r="D54" s="85"/>
      <c r="E54" s="80"/>
      <c r="F54" s="80"/>
      <c r="G54" s="94"/>
      <c r="H54" s="82"/>
      <c r="I54" s="32"/>
      <c r="J54" s="86"/>
      <c r="K54" s="32"/>
      <c r="L54" s="32"/>
      <c r="M54" s="32"/>
      <c r="N54" s="32"/>
      <c r="O54" s="32">
        <f>'Uncaser Downtime Detail '!AG118</f>
        <v>0</v>
      </c>
      <c r="P54" s="32">
        <f>'Washer Downtime Detail'!BH117</f>
        <v>0</v>
      </c>
      <c r="Q54" s="32">
        <f>'EBI Downtime Detail'!AI117</f>
        <v>0</v>
      </c>
      <c r="R54" s="32">
        <f>'Filler Downtime Detail'!AK113</f>
        <v>0</v>
      </c>
      <c r="S54" s="32">
        <f>'Pasteurizer Downtime Detail'!Z118</f>
        <v>0</v>
      </c>
      <c r="T54" s="32">
        <f>'Labeler Downtime Detail'!AN118</f>
        <v>0</v>
      </c>
      <c r="U54" s="32">
        <f>'Videojet Downtime Detail '!O117</f>
        <v>0</v>
      </c>
      <c r="V54" s="32">
        <f>'Conveyor Downtime (new)'!AV113</f>
        <v>0</v>
      </c>
      <c r="W54" s="32">
        <f>'Packer Downtime Detail  '!AD117</f>
        <v>0</v>
      </c>
      <c r="X54" s="32"/>
      <c r="Y54" s="32"/>
      <c r="Z54" s="32"/>
      <c r="AA54" s="88"/>
      <c r="AB54" s="71"/>
      <c r="AC54" s="71"/>
      <c r="AD54" s="44">
        <f t="shared" si="1"/>
        <v>0</v>
      </c>
      <c r="AE54" s="91">
        <f>G56-D54</f>
        <v>0</v>
      </c>
      <c r="AH54" s="3"/>
      <c r="AI54" s="23"/>
      <c r="AJ54" s="23"/>
      <c r="AK54" s="54"/>
      <c r="AL54" s="3"/>
      <c r="AM54" s="3"/>
      <c r="AN54" s="3"/>
      <c r="AO54" s="3"/>
      <c r="AP54" s="3"/>
      <c r="AQ54" s="3"/>
      <c r="AR54" s="3"/>
      <c r="AS54" s="3"/>
      <c r="AT54" s="3"/>
      <c r="AU54" s="3"/>
      <c r="AV54" s="3"/>
      <c r="AW54" s="3"/>
      <c r="AX54" s="3"/>
    </row>
    <row r="55" spans="1:50">
      <c r="A55" s="7"/>
      <c r="B55" s="185"/>
      <c r="C55" s="29"/>
      <c r="D55" s="85"/>
      <c r="E55" s="80"/>
      <c r="F55" s="80"/>
      <c r="G55" s="94"/>
      <c r="H55" s="14"/>
      <c r="I55" s="34"/>
      <c r="J55" s="35"/>
      <c r="K55" s="34"/>
      <c r="L55" s="34"/>
      <c r="M55" s="34"/>
      <c r="N55" s="34"/>
      <c r="O55" s="34">
        <f>'Uncaser Downtime Detail '!AG119</f>
        <v>0</v>
      </c>
      <c r="P55" s="34">
        <f>'Washer Downtime Detail'!BH118</f>
        <v>0</v>
      </c>
      <c r="Q55" s="34">
        <f>'EBI Downtime Detail'!AI118</f>
        <v>0</v>
      </c>
      <c r="R55" s="34">
        <f>'Filler Downtime Detail'!AK114</f>
        <v>0</v>
      </c>
      <c r="S55" s="34">
        <f>'Pasteurizer Downtime Detail'!Z119</f>
        <v>0</v>
      </c>
      <c r="T55" s="34">
        <f>'Labeler Downtime Detail'!AN119</f>
        <v>0</v>
      </c>
      <c r="U55" s="34">
        <f>'Videojet Downtime Detail '!O118</f>
        <v>0</v>
      </c>
      <c r="V55" s="34">
        <f>'Conveyor Downtime (new)'!AV114</f>
        <v>0</v>
      </c>
      <c r="W55" s="34">
        <f>'Packer Downtime Detail  '!AD118</f>
        <v>0</v>
      </c>
      <c r="X55" s="34"/>
      <c r="Y55" s="35"/>
      <c r="Z55" s="34"/>
      <c r="AA55" s="90"/>
      <c r="AB55" s="89"/>
      <c r="AC55" s="89"/>
      <c r="AD55" s="44">
        <f t="shared" si="1"/>
        <v>0</v>
      </c>
      <c r="AE55" s="91"/>
      <c r="AH55" s="3"/>
      <c r="AI55" s="23"/>
      <c r="AJ55" s="23"/>
      <c r="AK55" s="54"/>
      <c r="AL55" s="3"/>
      <c r="AM55" s="3"/>
      <c r="AN55" s="3"/>
      <c r="AO55" s="3"/>
      <c r="AP55" s="3"/>
      <c r="AQ55" s="3"/>
      <c r="AR55" s="3"/>
      <c r="AS55" s="3"/>
      <c r="AT55" s="3"/>
      <c r="AU55" s="3"/>
      <c r="AV55" s="3"/>
      <c r="AW55" s="3"/>
      <c r="AX55" s="3"/>
    </row>
    <row r="56" spans="1:50">
      <c r="A56" s="7"/>
      <c r="B56" s="185"/>
      <c r="C56" s="29"/>
      <c r="D56" s="85"/>
      <c r="E56" s="80"/>
      <c r="F56" s="80"/>
      <c r="G56" s="11"/>
      <c r="H56" s="82"/>
      <c r="I56" s="32"/>
      <c r="J56" s="86"/>
      <c r="K56" s="32"/>
      <c r="L56" s="32"/>
      <c r="M56" s="32"/>
      <c r="N56" s="32"/>
      <c r="O56" s="32"/>
      <c r="P56" s="32">
        <f>'Washer Downtime Detail'!BH119</f>
        <v>0</v>
      </c>
      <c r="Q56" s="32">
        <f>'EBI Downtime Detail'!AI119</f>
        <v>0</v>
      </c>
      <c r="R56" s="32">
        <f>'Filler Downtime Detail'!AK115</f>
        <v>0</v>
      </c>
      <c r="S56" s="32">
        <f>'Pasteurizer Downtime Detail'!Z120</f>
        <v>0</v>
      </c>
      <c r="T56" s="32">
        <f>'Labeler Downtime Detail'!AN120</f>
        <v>0</v>
      </c>
      <c r="U56" s="32">
        <f>'Videojet Downtime Detail '!O119</f>
        <v>0</v>
      </c>
      <c r="V56" s="32">
        <f>'Conveyor Downtime (new)'!AV115</f>
        <v>0</v>
      </c>
      <c r="W56" s="32">
        <f>'Packer Downtime Detail  '!AD119</f>
        <v>0</v>
      </c>
      <c r="X56" s="32"/>
      <c r="Y56" s="32"/>
      <c r="Z56" s="32"/>
      <c r="AA56" s="88"/>
      <c r="AB56" s="71"/>
      <c r="AC56" s="71"/>
      <c r="AD56" s="44">
        <f t="shared" si="1"/>
        <v>0</v>
      </c>
      <c r="AE56" s="91"/>
      <c r="AH56" s="3"/>
      <c r="AI56" s="23"/>
      <c r="AJ56" s="23"/>
      <c r="AK56" s="54"/>
      <c r="AL56" s="3"/>
      <c r="AM56" s="3"/>
      <c r="AN56" s="3"/>
      <c r="AO56" s="3"/>
      <c r="AP56" s="3"/>
      <c r="AQ56" s="3"/>
      <c r="AR56" s="3"/>
      <c r="AS56" s="3"/>
      <c r="AT56" s="3"/>
      <c r="AU56" s="3"/>
      <c r="AV56" s="3"/>
      <c r="AW56" s="3"/>
      <c r="AX56" s="3"/>
    </row>
    <row r="57" spans="1:50">
      <c r="A57" s="7"/>
      <c r="B57" s="185"/>
      <c r="C57" s="29"/>
      <c r="D57" s="93"/>
      <c r="E57" s="80"/>
      <c r="F57" s="80"/>
      <c r="G57" s="11"/>
      <c r="H57" s="14"/>
      <c r="I57" s="34"/>
      <c r="J57" s="35"/>
      <c r="K57" s="34"/>
      <c r="L57" s="34"/>
      <c r="M57" s="34"/>
      <c r="N57" s="34"/>
      <c r="O57" s="34"/>
      <c r="P57" s="34"/>
      <c r="Q57" s="34"/>
      <c r="R57" s="34"/>
      <c r="S57" s="34"/>
      <c r="T57" s="34"/>
      <c r="U57" s="34"/>
      <c r="V57" s="34"/>
      <c r="W57" s="34"/>
      <c r="X57" s="34"/>
      <c r="Y57" s="35"/>
      <c r="Z57" s="34"/>
      <c r="AA57" s="90"/>
      <c r="AB57" s="89"/>
      <c r="AC57" s="89"/>
      <c r="AD57" s="44"/>
      <c r="AE57" s="68"/>
      <c r="AH57" s="3"/>
      <c r="AI57" s="23"/>
      <c r="AJ57" s="23"/>
      <c r="AK57" s="54"/>
      <c r="AL57" s="3"/>
      <c r="AM57" s="3"/>
      <c r="AN57" s="3"/>
      <c r="AO57" s="3"/>
      <c r="AP57" s="3"/>
      <c r="AQ57" s="3"/>
      <c r="AR57" s="3"/>
      <c r="AS57" s="3"/>
      <c r="AT57" s="3"/>
      <c r="AU57" s="3"/>
      <c r="AV57" s="3"/>
      <c r="AW57" s="3"/>
      <c r="AX57" s="3"/>
    </row>
    <row r="58" spans="1:50">
      <c r="A58" s="7"/>
      <c r="B58" s="185"/>
      <c r="C58" s="29"/>
      <c r="D58" s="93"/>
      <c r="E58" s="80"/>
      <c r="F58" s="80"/>
      <c r="G58" s="11"/>
      <c r="H58" s="82"/>
      <c r="I58" s="32"/>
      <c r="J58" s="86"/>
      <c r="K58" s="32"/>
      <c r="L58" s="32"/>
      <c r="M58" s="32"/>
      <c r="N58" s="32"/>
      <c r="O58" s="32"/>
      <c r="P58" s="32"/>
      <c r="Q58" s="32"/>
      <c r="R58" s="32"/>
      <c r="S58" s="32"/>
      <c r="T58" s="32"/>
      <c r="U58" s="32"/>
      <c r="V58" s="32"/>
      <c r="W58" s="32"/>
      <c r="X58" s="32"/>
      <c r="Y58" s="32"/>
      <c r="Z58" s="32"/>
      <c r="AA58" s="88"/>
      <c r="AB58" s="71"/>
      <c r="AC58" s="71"/>
      <c r="AD58" s="44"/>
      <c r="AE58" s="68"/>
      <c r="AH58" s="3"/>
      <c r="AI58" s="23"/>
      <c r="AJ58" s="23"/>
      <c r="AK58" s="54"/>
      <c r="AL58" s="3"/>
      <c r="AM58" s="3"/>
      <c r="AN58" s="3"/>
      <c r="AO58" s="3"/>
      <c r="AP58" s="3"/>
      <c r="AQ58" s="3"/>
      <c r="AR58" s="3"/>
      <c r="AS58" s="3"/>
      <c r="AT58" s="3"/>
      <c r="AU58" s="3"/>
      <c r="AV58" s="3"/>
      <c r="AW58" s="3"/>
      <c r="AX58" s="3"/>
    </row>
    <row r="59" spans="1:50">
      <c r="A59" s="146"/>
      <c r="B59" s="139"/>
      <c r="C59" s="78"/>
      <c r="D59" s="93"/>
      <c r="E59" s="80"/>
      <c r="F59" s="80"/>
      <c r="G59" s="81"/>
      <c r="H59" s="14"/>
      <c r="I59" s="34"/>
      <c r="J59" s="35"/>
      <c r="K59" s="34"/>
      <c r="L59" s="34"/>
      <c r="M59" s="34"/>
      <c r="N59" s="34"/>
      <c r="O59" s="34"/>
      <c r="P59" s="34"/>
      <c r="Q59" s="34"/>
      <c r="R59" s="34"/>
      <c r="S59" s="34"/>
      <c r="T59" s="34"/>
      <c r="U59" s="34"/>
      <c r="V59" s="34"/>
      <c r="W59" s="34"/>
      <c r="X59" s="34"/>
      <c r="Y59" s="35"/>
      <c r="Z59" s="34"/>
      <c r="AA59" s="90"/>
      <c r="AB59" s="89"/>
      <c r="AC59" s="89"/>
      <c r="AD59" s="44">
        <f>SUM(K59:AA59)+I59+J59+H59</f>
        <v>0</v>
      </c>
      <c r="AE59" s="68"/>
      <c r="AH59" s="3"/>
      <c r="AI59" s="23"/>
      <c r="AJ59" s="23"/>
      <c r="AK59" s="54"/>
      <c r="AL59" s="3"/>
      <c r="AM59" s="3"/>
      <c r="AN59" s="3"/>
      <c r="AO59" s="3"/>
      <c r="AP59" s="3"/>
      <c r="AQ59" s="3"/>
      <c r="AR59" s="3"/>
      <c r="AS59" s="3"/>
      <c r="AT59" s="3"/>
      <c r="AU59" s="3"/>
      <c r="AV59" s="3"/>
      <c r="AW59" s="3"/>
      <c r="AX59" s="3"/>
    </row>
    <row r="60" spans="1:50" ht="15">
      <c r="A60" s="15" t="s">
        <v>427</v>
      </c>
      <c r="B60" s="16"/>
      <c r="C60" s="17"/>
      <c r="D60" s="18"/>
      <c r="E60" s="18"/>
      <c r="F60" s="18"/>
      <c r="G60" s="19">
        <f>SUM(G53:G59)</f>
        <v>0</v>
      </c>
      <c r="H60" s="16">
        <f t="shared" ref="H60:AE60" si="2">SUM(H8:H59)</f>
        <v>15</v>
      </c>
      <c r="I60" s="98">
        <f t="shared" si="2"/>
        <v>1096</v>
      </c>
      <c r="J60" s="98">
        <f t="shared" si="2"/>
        <v>679</v>
      </c>
      <c r="K60" s="98">
        <f t="shared" si="2"/>
        <v>46</v>
      </c>
      <c r="L60" s="98">
        <f t="shared" si="2"/>
        <v>37</v>
      </c>
      <c r="M60" s="98">
        <f t="shared" si="2"/>
        <v>119</v>
      </c>
      <c r="N60" s="98">
        <f t="shared" si="2"/>
        <v>360</v>
      </c>
      <c r="O60" s="98">
        <f t="shared" si="2"/>
        <v>1965</v>
      </c>
      <c r="P60" s="98">
        <f t="shared" si="2"/>
        <v>3672</v>
      </c>
      <c r="Q60" s="98">
        <f t="shared" si="2"/>
        <v>1522</v>
      </c>
      <c r="R60" s="98">
        <f t="shared" si="2"/>
        <v>251</v>
      </c>
      <c r="S60" s="98">
        <f t="shared" si="2"/>
        <v>684</v>
      </c>
      <c r="T60" s="98">
        <f t="shared" si="2"/>
        <v>172</v>
      </c>
      <c r="U60" s="98">
        <f t="shared" si="2"/>
        <v>64</v>
      </c>
      <c r="V60" s="98">
        <f t="shared" si="2"/>
        <v>1138</v>
      </c>
      <c r="W60" s="98">
        <f t="shared" si="2"/>
        <v>189</v>
      </c>
      <c r="X60" s="98">
        <f t="shared" si="2"/>
        <v>198</v>
      </c>
      <c r="Y60" s="98">
        <f t="shared" si="2"/>
        <v>22</v>
      </c>
      <c r="Z60" s="98">
        <f t="shared" si="2"/>
        <v>1580</v>
      </c>
      <c r="AA60" s="98">
        <f t="shared" si="2"/>
        <v>41</v>
      </c>
      <c r="AB60" s="98">
        <f t="shared" si="2"/>
        <v>236</v>
      </c>
      <c r="AC60" s="98">
        <f t="shared" si="2"/>
        <v>0</v>
      </c>
      <c r="AD60" s="47">
        <f t="shared" si="2"/>
        <v>14086</v>
      </c>
      <c r="AE60" s="48">
        <f t="shared" si="2"/>
        <v>19.47152777777778</v>
      </c>
      <c r="AH60" s="3"/>
      <c r="AI60" s="3"/>
      <c r="AJ60" s="3"/>
      <c r="AK60" s="3"/>
      <c r="AL60" s="3"/>
      <c r="AM60" s="3"/>
      <c r="AN60" s="3"/>
      <c r="AO60" s="3"/>
      <c r="AP60" s="3"/>
      <c r="AQ60" s="3"/>
      <c r="AR60" s="3"/>
      <c r="AS60" s="3"/>
      <c r="AT60" s="3"/>
      <c r="AU60" s="3"/>
      <c r="AV60" s="3"/>
      <c r="AW60" s="3"/>
      <c r="AX60" s="3"/>
    </row>
    <row r="61" spans="1:50">
      <c r="A61" s="20" t="s">
        <v>45</v>
      </c>
      <c r="B61" s="1"/>
      <c r="C61" s="3"/>
      <c r="D61" s="3"/>
      <c r="E61" s="3"/>
      <c r="F61" s="3"/>
      <c r="G61" s="3"/>
      <c r="H61" s="21">
        <f>H60/$AD$60</f>
        <v>1.0648871219650718E-3</v>
      </c>
      <c r="I61" s="21">
        <f t="shared" ref="I61:AB61" si="3">I60/$AD$60</f>
        <v>7.7807752378247899E-2</v>
      </c>
      <c r="J61" s="21">
        <f t="shared" si="3"/>
        <v>4.8203890387618915E-2</v>
      </c>
      <c r="K61" s="21">
        <f t="shared" si="3"/>
        <v>3.2656538406928867E-3</v>
      </c>
      <c r="L61" s="21">
        <f t="shared" si="3"/>
        <v>2.6267215675138435E-3</v>
      </c>
      <c r="M61" s="21">
        <f t="shared" si="3"/>
        <v>8.4481045009229018E-3</v>
      </c>
      <c r="N61" s="21">
        <f t="shared" si="3"/>
        <v>2.5557290927161722E-2</v>
      </c>
      <c r="O61" s="21">
        <f t="shared" si="3"/>
        <v>0.1395002129774244</v>
      </c>
      <c r="P61" s="21">
        <f t="shared" si="3"/>
        <v>0.26068436745704954</v>
      </c>
      <c r="Q61" s="21">
        <f t="shared" si="3"/>
        <v>0.10805054664205595</v>
      </c>
      <c r="R61" s="21">
        <f t="shared" si="3"/>
        <v>1.7819111174215533E-2</v>
      </c>
      <c r="S61" s="21">
        <f t="shared" si="3"/>
        <v>4.855885276160727E-2</v>
      </c>
      <c r="T61" s="21">
        <f t="shared" si="3"/>
        <v>1.2210705665199488E-2</v>
      </c>
      <c r="U61" s="21">
        <f t="shared" si="3"/>
        <v>4.5435183870509727E-3</v>
      </c>
      <c r="V61" s="21">
        <f t="shared" si="3"/>
        <v>8.0789436319750108E-2</v>
      </c>
      <c r="W61" s="21">
        <f t="shared" si="3"/>
        <v>1.3417577736759903E-2</v>
      </c>
      <c r="X61" s="21">
        <f t="shared" si="3"/>
        <v>1.4056510009938947E-2</v>
      </c>
      <c r="Y61" s="21">
        <f t="shared" si="3"/>
        <v>1.5618344455487719E-3</v>
      </c>
      <c r="Z61" s="21">
        <f t="shared" si="3"/>
        <v>0.11216811018032088</v>
      </c>
      <c r="AA61" s="21">
        <f t="shared" si="3"/>
        <v>2.9106914667045292E-3</v>
      </c>
      <c r="AB61" s="21">
        <f t="shared" si="3"/>
        <v>1.6754224052250462E-2</v>
      </c>
      <c r="AC61" s="21"/>
      <c r="AD61" s="3"/>
      <c r="AE61" s="186"/>
      <c r="AH61" s="3"/>
      <c r="AI61" s="3"/>
      <c r="AJ61" s="3"/>
      <c r="AK61" s="3"/>
      <c r="AL61" s="3"/>
      <c r="AM61" s="3"/>
      <c r="AN61" s="3"/>
      <c r="AO61" s="3"/>
      <c r="AP61" s="3"/>
      <c r="AQ61" s="3"/>
      <c r="AR61" s="3"/>
      <c r="AS61" s="3"/>
      <c r="AT61" s="3"/>
      <c r="AU61" s="3"/>
      <c r="AV61" s="3"/>
      <c r="AW61" s="3"/>
      <c r="AX61" s="3"/>
    </row>
    <row r="62" spans="1:50" ht="15">
      <c r="A62" s="20"/>
      <c r="B62" s="1"/>
      <c r="C62" s="3" t="s">
        <v>174</v>
      </c>
      <c r="D62" s="3"/>
      <c r="E62" s="3"/>
      <c r="F62" s="3"/>
      <c r="G62" s="3"/>
      <c r="H62" s="3"/>
      <c r="I62" s="36" t="s">
        <v>428</v>
      </c>
      <c r="J62" s="3"/>
      <c r="K62" s="37"/>
      <c r="L62" s="37"/>
      <c r="M62" s="3"/>
      <c r="N62" s="3"/>
      <c r="O62" s="3"/>
      <c r="P62" s="3"/>
      <c r="Q62" s="3"/>
      <c r="R62" s="3"/>
      <c r="S62" s="3"/>
      <c r="T62" s="3"/>
      <c r="U62" s="3"/>
      <c r="V62" s="3"/>
      <c r="W62" s="3"/>
      <c r="X62" s="3"/>
      <c r="Y62" s="3"/>
      <c r="Z62" s="3"/>
      <c r="AA62" s="3"/>
      <c r="AB62" s="3"/>
      <c r="AC62" s="3"/>
      <c r="AD62" s="3"/>
      <c r="AE62" s="186"/>
      <c r="AH62" s="3"/>
      <c r="AI62" s="3"/>
      <c r="AJ62" s="3"/>
      <c r="AK62" s="3"/>
      <c r="AL62" s="3"/>
      <c r="AM62" s="3"/>
      <c r="AN62" s="3"/>
      <c r="AO62" s="3"/>
      <c r="AP62" s="3"/>
      <c r="AQ62" s="3"/>
      <c r="AR62" s="3"/>
      <c r="AS62" s="3"/>
      <c r="AT62" s="3"/>
      <c r="AU62" s="3"/>
      <c r="AV62" s="3"/>
      <c r="AW62" s="3"/>
      <c r="AX62" s="3"/>
    </row>
    <row r="63" spans="1:50" ht="15">
      <c r="A63" s="1"/>
      <c r="B63" s="22"/>
      <c r="C63" t="s">
        <v>429</v>
      </c>
      <c r="D63" t="s">
        <v>430</v>
      </c>
      <c r="E63" t="s">
        <v>431</v>
      </c>
      <c r="F63" s="23"/>
      <c r="G63" s="23"/>
      <c r="H63" s="3"/>
      <c r="I63" s="38">
        <f>COUNT(I8:I59)</f>
        <v>22</v>
      </c>
      <c r="J63" s="3"/>
      <c r="K63" s="24"/>
      <c r="L63" s="24"/>
      <c r="M63" s="24"/>
      <c r="N63" s="24"/>
      <c r="O63" s="24"/>
      <c r="P63" s="24"/>
      <c r="Q63" s="24"/>
      <c r="R63" s="24"/>
      <c r="S63" s="24"/>
      <c r="T63" s="24"/>
      <c r="U63" s="24"/>
      <c r="V63" s="24"/>
      <c r="W63" s="24"/>
      <c r="X63" s="24"/>
      <c r="Y63" s="24"/>
      <c r="Z63" s="24"/>
      <c r="AA63" s="3"/>
      <c r="AB63" s="3"/>
      <c r="AC63" s="3"/>
      <c r="AE63" s="186"/>
      <c r="AH63" s="3"/>
      <c r="AI63" s="3"/>
      <c r="AJ63" s="3"/>
      <c r="AK63" s="3"/>
      <c r="AL63" s="3"/>
      <c r="AM63" s="3"/>
      <c r="AN63" s="3"/>
      <c r="AO63" s="3"/>
      <c r="AP63" s="3"/>
      <c r="AQ63" s="3"/>
      <c r="AR63" s="3"/>
      <c r="AS63" s="3"/>
      <c r="AT63" s="3"/>
      <c r="AU63" s="3"/>
      <c r="AV63" s="3"/>
      <c r="AW63" s="3"/>
      <c r="AX63" s="3"/>
    </row>
    <row r="64" spans="1:50">
      <c r="A64" s="1"/>
      <c r="B64" s="22"/>
      <c r="C64" s="24">
        <f>COUNTA(I8:I59)</f>
        <v>22</v>
      </c>
      <c r="D64" s="24">
        <f>COUNTA(C8:C59)</f>
        <v>40</v>
      </c>
      <c r="E64" s="24">
        <f>COUNTA(A8:A59)</f>
        <v>40</v>
      </c>
      <c r="F64" s="23"/>
      <c r="G64" s="23"/>
      <c r="H64" s="3"/>
      <c r="I64" s="1"/>
      <c r="J64" s="3"/>
      <c r="K64" s="24"/>
      <c r="L64" s="24"/>
      <c r="M64" s="24"/>
      <c r="N64" s="24"/>
      <c r="O64" s="24"/>
      <c r="P64" s="24"/>
      <c r="Q64" s="24"/>
      <c r="R64" s="24"/>
      <c r="S64" s="24"/>
      <c r="T64" s="24"/>
      <c r="U64" s="24"/>
      <c r="V64" s="24"/>
      <c r="W64" s="24"/>
      <c r="X64" s="24"/>
      <c r="Y64" s="24"/>
      <c r="Z64" s="24"/>
      <c r="AA64" s="3"/>
      <c r="AB64" s="3"/>
      <c r="AC64" s="3"/>
      <c r="AE64" s="186"/>
      <c r="AH64" s="3"/>
      <c r="AI64" s="3"/>
      <c r="AJ64" s="3"/>
      <c r="AK64" s="3"/>
      <c r="AL64" s="3"/>
      <c r="AM64" s="3"/>
      <c r="AN64" s="3"/>
      <c r="AO64" s="3"/>
      <c r="AP64" s="3"/>
      <c r="AQ64" s="3"/>
      <c r="AR64" s="3"/>
      <c r="AS64" s="3"/>
      <c r="AT64" s="3"/>
      <c r="AU64" s="3"/>
      <c r="AV64" s="3"/>
      <c r="AW64" s="3"/>
      <c r="AX64" s="3"/>
    </row>
    <row r="65" spans="1:49">
      <c r="A65" s="1"/>
      <c r="B65" s="22"/>
      <c r="C65" s="24"/>
      <c r="D65" s="25"/>
      <c r="E65" s="25"/>
      <c r="F65" s="23"/>
      <c r="G65" s="23"/>
      <c r="H65" s="3"/>
      <c r="I65" s="1"/>
      <c r="J65" s="3"/>
      <c r="K65" s="24"/>
      <c r="L65" s="24"/>
      <c r="M65" s="24"/>
      <c r="N65" s="24"/>
      <c r="O65" s="24"/>
      <c r="P65" s="24"/>
      <c r="Q65" s="24"/>
      <c r="R65" s="24"/>
      <c r="S65" s="24"/>
      <c r="T65" s="24"/>
      <c r="U65" s="24"/>
      <c r="V65" s="24"/>
      <c r="W65" s="24"/>
      <c r="X65" s="24"/>
      <c r="Y65" s="24"/>
      <c r="Z65" s="24"/>
      <c r="AA65" s="3"/>
      <c r="AB65" s="3"/>
      <c r="AC65" s="3"/>
      <c r="AD65" s="3"/>
      <c r="AH65" s="3"/>
      <c r="AI65" s="3"/>
      <c r="AJ65" s="3"/>
      <c r="AK65" s="3"/>
      <c r="AL65" s="3"/>
      <c r="AM65" s="3"/>
      <c r="AN65" s="3"/>
      <c r="AO65" s="3"/>
      <c r="AP65" s="3"/>
      <c r="AQ65" s="3"/>
      <c r="AR65" s="3"/>
      <c r="AS65" s="3"/>
      <c r="AT65" s="3"/>
      <c r="AU65" s="3"/>
      <c r="AV65" s="3"/>
      <c r="AW65" s="3"/>
    </row>
    <row r="66" spans="1:49" ht="15">
      <c r="A66" s="26"/>
      <c r="B66" s="26"/>
      <c r="C66" s="27" t="s">
        <v>432</v>
      </c>
      <c r="D66" s="28">
        <f>($D$64/$E$64)</f>
        <v>1</v>
      </c>
      <c r="E66" s="28">
        <f>($D$64/$E$64)*$I$61</f>
        <v>7.7807752378247899E-2</v>
      </c>
      <c r="F66" s="29"/>
      <c r="G66" s="29"/>
      <c r="H66" s="679" t="s">
        <v>433</v>
      </c>
      <c r="I66" s="679"/>
      <c r="J66" s="679"/>
      <c r="K66" s="679"/>
      <c r="L66" s="679"/>
      <c r="M66" s="679"/>
      <c r="N66" s="679"/>
      <c r="O66" s="24"/>
      <c r="P66" s="680" t="s">
        <v>434</v>
      </c>
      <c r="Q66" s="680"/>
      <c r="R66" s="680"/>
      <c r="S66" s="680"/>
      <c r="T66" s="680"/>
      <c r="U66" s="1"/>
      <c r="V66" s="1"/>
      <c r="W66" s="1"/>
      <c r="X66" s="1"/>
      <c r="Y66" s="1"/>
      <c r="Z66" s="1"/>
      <c r="AA66" s="3"/>
      <c r="AB66" s="3"/>
      <c r="AC66" s="3"/>
    </row>
    <row r="67" spans="1:49" ht="25.5">
      <c r="A67" s="1"/>
      <c r="B67" s="1"/>
      <c r="C67" s="3"/>
      <c r="D67" s="1"/>
      <c r="E67" s="3"/>
      <c r="F67" s="3"/>
      <c r="G67" s="1"/>
      <c r="H67" s="30" t="s">
        <v>81</v>
      </c>
      <c r="I67" s="30" t="s">
        <v>435</v>
      </c>
      <c r="J67" s="30" t="s">
        <v>436</v>
      </c>
      <c r="K67" s="30" t="s">
        <v>437</v>
      </c>
      <c r="L67" s="66" t="s">
        <v>438</v>
      </c>
      <c r="M67" s="66" t="s">
        <v>439</v>
      </c>
      <c r="N67" s="66" t="s">
        <v>440</v>
      </c>
      <c r="O67" s="26"/>
      <c r="P67" s="67" t="s">
        <v>81</v>
      </c>
      <c r="Q67" s="67" t="s">
        <v>435</v>
      </c>
      <c r="R67" s="39" t="s">
        <v>436</v>
      </c>
      <c r="S67" s="39" t="s">
        <v>437</v>
      </c>
      <c r="T67" s="73" t="s">
        <v>441</v>
      </c>
      <c r="U67" s="3"/>
      <c r="V67" s="3"/>
      <c r="W67" s="3"/>
      <c r="X67" s="3"/>
      <c r="Y67" s="3"/>
      <c r="Z67" s="3"/>
      <c r="AA67" s="3"/>
      <c r="AB67" s="3"/>
      <c r="AC67" s="3"/>
    </row>
    <row r="68" spans="1:49">
      <c r="A68" s="1"/>
      <c r="B68" s="1"/>
      <c r="C68" s="3"/>
      <c r="D68" s="1"/>
      <c r="E68" s="3"/>
      <c r="F68" s="3"/>
      <c r="G68" s="1"/>
      <c r="H68" s="65">
        <f t="shared" ref="H68:H85" si="4">B8</f>
        <v>46055</v>
      </c>
      <c r="I68" s="1" t="str">
        <f t="shared" ref="I68:I85" si="5">C8</f>
        <v>STAG</v>
      </c>
      <c r="J68" s="23">
        <f t="shared" ref="J68:J80" si="6">E8</f>
        <v>1.0791666666666666</v>
      </c>
      <c r="K68" s="23">
        <f t="shared" ref="K68:K80" si="7">F8</f>
        <v>1.4305555555555556</v>
      </c>
      <c r="L68" s="68">
        <f t="shared" ref="L68:L80" si="8">K68-J68</f>
        <v>0.35138888888888897</v>
      </c>
      <c r="M68" s="158">
        <v>506</v>
      </c>
      <c r="N68" s="69">
        <f>M68-(H8+K8+L8+M8+J8+N8+AA8+AB8+AC8+Z8)</f>
        <v>354</v>
      </c>
      <c r="O68" s="3"/>
      <c r="P68" s="65">
        <f>B8</f>
        <v>46055</v>
      </c>
      <c r="Q68" s="74" t="str">
        <f>C8</f>
        <v>STAG</v>
      </c>
      <c r="R68" s="23">
        <v>1.0416666666666667</v>
      </c>
      <c r="S68" s="23">
        <f t="shared" ref="S68" si="9">F8</f>
        <v>1.4305555555555556</v>
      </c>
      <c r="T68" s="668">
        <f>S69-R68</f>
        <v>0.95833333333333326</v>
      </c>
      <c r="U68" s="3"/>
      <c r="V68" s="3"/>
      <c r="W68" s="3"/>
      <c r="X68" s="3"/>
      <c r="Y68" s="3"/>
      <c r="Z68" s="3"/>
      <c r="AA68" s="3"/>
      <c r="AB68" s="3"/>
      <c r="AC68" s="3"/>
    </row>
    <row r="69" spans="1:49">
      <c r="C69" s="3" t="s">
        <v>43</v>
      </c>
      <c r="D69" s="1"/>
      <c r="G69" s="1"/>
      <c r="H69" s="65">
        <f t="shared" si="4"/>
        <v>46055</v>
      </c>
      <c r="I69" s="1" t="str">
        <f t="shared" si="5"/>
        <v>CARIB AMBER</v>
      </c>
      <c r="J69" s="4">
        <f t="shared" si="6"/>
        <v>1.4513888888888888</v>
      </c>
      <c r="K69" s="190">
        <f t="shared" si="7"/>
        <v>2</v>
      </c>
      <c r="L69" s="45">
        <f t="shared" si="8"/>
        <v>0.54861111111111116</v>
      </c>
      <c r="M69" s="158">
        <v>790</v>
      </c>
      <c r="N69" s="69">
        <f t="shared" ref="N69:N118" si="10">M69-(H9+K9+L9+M9+J9+N9+AA9+AB9+AC9+Z9)</f>
        <v>724</v>
      </c>
      <c r="O69" s="3"/>
      <c r="P69" s="65">
        <f t="shared" ref="P69:P86" si="11">B9</f>
        <v>46055</v>
      </c>
      <c r="Q69" s="74" t="str">
        <f t="shared" ref="Q69:Q86" si="12">C9</f>
        <v>CARIB AMBER</v>
      </c>
      <c r="R69" s="23">
        <f t="shared" ref="R69:R119" si="13">E9</f>
        <v>1.4513888888888888</v>
      </c>
      <c r="S69" s="23">
        <f t="shared" ref="S69:S119" si="14">F9</f>
        <v>2</v>
      </c>
      <c r="T69" s="668"/>
    </row>
    <row r="70" spans="1:49">
      <c r="C70" s="187" t="s">
        <v>429</v>
      </c>
      <c r="D70" s="187" t="s">
        <v>430</v>
      </c>
      <c r="E70" s="187" t="s">
        <v>431</v>
      </c>
      <c r="F70" s="187" t="s">
        <v>453</v>
      </c>
      <c r="G70" s="1"/>
      <c r="H70" s="65">
        <f t="shared" si="4"/>
        <v>46056</v>
      </c>
      <c r="I70" s="1" t="str">
        <f t="shared" si="5"/>
        <v>CARIB AMBER</v>
      </c>
      <c r="J70" s="4">
        <f t="shared" si="6"/>
        <v>1.0083333333333333</v>
      </c>
      <c r="K70" s="190">
        <f t="shared" si="7"/>
        <v>2</v>
      </c>
      <c r="L70" s="45">
        <f t="shared" si="8"/>
        <v>0.9916666666666667</v>
      </c>
      <c r="M70" s="158">
        <v>1428</v>
      </c>
      <c r="N70" s="69">
        <f>M70-(H10+K10+L10+M10+J10+N10+AA10+AB10+AC10+Z10)</f>
        <v>1147</v>
      </c>
      <c r="P70" s="65">
        <f t="shared" si="11"/>
        <v>46056</v>
      </c>
      <c r="Q70" s="74" t="str">
        <f t="shared" si="12"/>
        <v>CARIB AMBER</v>
      </c>
      <c r="R70" s="76">
        <v>1</v>
      </c>
      <c r="S70" s="23">
        <f t="shared" si="14"/>
        <v>2</v>
      </c>
      <c r="T70" s="75">
        <f>S70-R70</f>
        <v>1</v>
      </c>
      <c r="U70" s="192"/>
    </row>
    <row r="71" spans="1:49">
      <c r="C71" s="24">
        <f>SUM(Feb!C64)</f>
        <v>22</v>
      </c>
      <c r="D71" s="24">
        <f>SUM(Feb!D64)</f>
        <v>40</v>
      </c>
      <c r="E71" s="24">
        <f>SUM(Feb!E64)</f>
        <v>40</v>
      </c>
      <c r="F71" s="188"/>
      <c r="G71" s="1"/>
      <c r="H71" s="65">
        <f t="shared" si="4"/>
        <v>46057</v>
      </c>
      <c r="I71" s="1" t="str">
        <f t="shared" si="5"/>
        <v>CARIB FLINT ( EXP)</v>
      </c>
      <c r="J71" s="23">
        <f t="shared" si="6"/>
        <v>1.0125</v>
      </c>
      <c r="K71" s="23">
        <f t="shared" si="7"/>
        <v>1.5520833333333333</v>
      </c>
      <c r="L71" s="68">
        <f t="shared" si="8"/>
        <v>0.5395833333333333</v>
      </c>
      <c r="M71" s="158">
        <v>777</v>
      </c>
      <c r="N71" s="69">
        <f t="shared" si="10"/>
        <v>711</v>
      </c>
      <c r="P71" s="65">
        <f t="shared" si="11"/>
        <v>46057</v>
      </c>
      <c r="Q71" s="74" t="str">
        <f t="shared" si="12"/>
        <v>CARIB FLINT ( EXP)</v>
      </c>
      <c r="R71" s="23">
        <f t="shared" si="13"/>
        <v>1.0125</v>
      </c>
      <c r="S71" s="23">
        <f t="shared" si="14"/>
        <v>1.5520833333333333</v>
      </c>
      <c r="T71" s="668">
        <f>S72-R71</f>
        <v>0.98750000000000004</v>
      </c>
      <c r="U71" s="192"/>
    </row>
    <row r="72" spans="1:49">
      <c r="C72" s="24"/>
      <c r="D72" s="25"/>
      <c r="E72" s="25"/>
      <c r="G72" s="1"/>
      <c r="H72" s="65">
        <f t="shared" si="4"/>
        <v>46057</v>
      </c>
      <c r="I72" s="1" t="str">
        <f t="shared" si="5"/>
        <v>CARIBE ROSE</v>
      </c>
      <c r="J72" s="23">
        <f t="shared" si="6"/>
        <v>1.6493055555555556</v>
      </c>
      <c r="K72" s="23">
        <f t="shared" si="7"/>
        <v>2</v>
      </c>
      <c r="L72" s="68">
        <f t="shared" si="8"/>
        <v>0.35069444444444442</v>
      </c>
      <c r="M72" s="158">
        <v>505</v>
      </c>
      <c r="N72" s="69">
        <f t="shared" si="10"/>
        <v>489</v>
      </c>
      <c r="P72" s="65">
        <f t="shared" si="11"/>
        <v>46057</v>
      </c>
      <c r="Q72" s="74" t="str">
        <f t="shared" si="12"/>
        <v>CARIBE ROSE</v>
      </c>
      <c r="R72" s="23">
        <f t="shared" si="13"/>
        <v>1.6493055555555556</v>
      </c>
      <c r="S72" s="23">
        <f t="shared" si="14"/>
        <v>2</v>
      </c>
      <c r="T72" s="668"/>
    </row>
    <row r="73" spans="1:49" ht="15">
      <c r="C73" s="27" t="s">
        <v>432</v>
      </c>
      <c r="D73" s="28">
        <f>($D$71/$E$71)</f>
        <v>1</v>
      </c>
      <c r="E73" s="28">
        <f>($D$71/$E$71)*$F$71</f>
        <v>0</v>
      </c>
      <c r="G73" s="1"/>
      <c r="H73" s="65">
        <f t="shared" si="4"/>
        <v>46058</v>
      </c>
      <c r="I73" s="1" t="str">
        <f t="shared" si="5"/>
        <v>CARIBE ROSE</v>
      </c>
      <c r="J73" s="23">
        <f t="shared" si="6"/>
        <v>1.0069444444444444</v>
      </c>
      <c r="K73" s="23">
        <f t="shared" si="7"/>
        <v>1.1354166666666667</v>
      </c>
      <c r="L73" s="68">
        <f t="shared" si="8"/>
        <v>0.12847222222222232</v>
      </c>
      <c r="M73" s="158">
        <v>185</v>
      </c>
      <c r="N73" s="69">
        <f t="shared" si="10"/>
        <v>144</v>
      </c>
      <c r="P73" s="65">
        <f t="shared" si="11"/>
        <v>46058</v>
      </c>
      <c r="Q73" s="74" t="str">
        <f t="shared" si="12"/>
        <v>CARIBE ROSE</v>
      </c>
      <c r="R73" s="23">
        <f t="shared" si="13"/>
        <v>1.0069444444444444</v>
      </c>
      <c r="S73" s="23">
        <f t="shared" si="14"/>
        <v>1.1354166666666667</v>
      </c>
      <c r="T73" s="668">
        <f>S75-R73</f>
        <v>0.99305555555555558</v>
      </c>
    </row>
    <row r="74" spans="1:49">
      <c r="D74" s="1"/>
      <c r="G74" s="1"/>
      <c r="H74" s="65">
        <f t="shared" si="4"/>
        <v>46058</v>
      </c>
      <c r="I74" s="1" t="str">
        <f t="shared" si="5"/>
        <v>GUINNESS</v>
      </c>
      <c r="J74" s="23">
        <f t="shared" si="6"/>
        <v>1.1875</v>
      </c>
      <c r="K74" s="23">
        <f t="shared" si="7"/>
        <v>1.6888888888888889</v>
      </c>
      <c r="L74" s="68">
        <f t="shared" si="8"/>
        <v>0.50138888888888888</v>
      </c>
      <c r="M74" s="158">
        <v>722</v>
      </c>
      <c r="N74" s="69">
        <f t="shared" si="10"/>
        <v>718</v>
      </c>
      <c r="P74" s="65">
        <f t="shared" si="11"/>
        <v>46058</v>
      </c>
      <c r="Q74" s="74" t="str">
        <f t="shared" si="12"/>
        <v>GUINNESS</v>
      </c>
      <c r="R74" s="23">
        <f t="shared" si="13"/>
        <v>1.1875</v>
      </c>
      <c r="S74" s="23">
        <f t="shared" si="14"/>
        <v>1.6888888888888889</v>
      </c>
      <c r="T74" s="668"/>
    </row>
    <row r="75" spans="1:49">
      <c r="D75" s="1"/>
      <c r="G75" s="1"/>
      <c r="H75" s="65">
        <f t="shared" si="4"/>
        <v>46058</v>
      </c>
      <c r="I75" s="1" t="str">
        <f t="shared" si="5"/>
        <v>CARIB AMBER</v>
      </c>
      <c r="J75" s="23">
        <f t="shared" si="6"/>
        <v>1.7638888888888888</v>
      </c>
      <c r="K75" s="23">
        <f t="shared" si="7"/>
        <v>2</v>
      </c>
      <c r="L75" s="68">
        <f t="shared" si="8"/>
        <v>0.23611111111111116</v>
      </c>
      <c r="M75" s="158">
        <v>340</v>
      </c>
      <c r="N75" s="69">
        <f t="shared" si="10"/>
        <v>276</v>
      </c>
      <c r="P75" s="65">
        <f t="shared" si="11"/>
        <v>46058</v>
      </c>
      <c r="Q75" s="74" t="str">
        <f t="shared" si="12"/>
        <v>CARIB AMBER</v>
      </c>
      <c r="R75" s="23">
        <f t="shared" si="13"/>
        <v>1.7638888888888888</v>
      </c>
      <c r="S75" s="23">
        <f t="shared" si="14"/>
        <v>2</v>
      </c>
      <c r="T75" s="668"/>
    </row>
    <row r="76" spans="1:49">
      <c r="D76" s="189"/>
      <c r="H76" s="65">
        <f t="shared" si="4"/>
        <v>46059</v>
      </c>
      <c r="I76" s="1" t="str">
        <f t="shared" si="5"/>
        <v>CARIB AMBER</v>
      </c>
      <c r="J76" s="23">
        <f t="shared" si="6"/>
        <v>1.0069444444444444</v>
      </c>
      <c r="K76" s="23">
        <f t="shared" si="7"/>
        <v>1.6770833333333333</v>
      </c>
      <c r="L76" s="68">
        <f t="shared" si="8"/>
        <v>0.67013888888888884</v>
      </c>
      <c r="M76" s="158">
        <v>965</v>
      </c>
      <c r="N76" s="69">
        <f t="shared" si="10"/>
        <v>940</v>
      </c>
      <c r="P76" s="65">
        <f t="shared" si="11"/>
        <v>46059</v>
      </c>
      <c r="Q76" s="74" t="str">
        <f t="shared" si="12"/>
        <v>CARIB AMBER</v>
      </c>
      <c r="R76" s="23">
        <f t="shared" si="13"/>
        <v>1.0069444444444444</v>
      </c>
      <c r="S76" s="23">
        <f t="shared" si="14"/>
        <v>1.6770833333333333</v>
      </c>
      <c r="T76" s="668">
        <f>S77-R76</f>
        <v>0.86805555555555558</v>
      </c>
    </row>
    <row r="77" spans="1:49">
      <c r="D77" s="189"/>
      <c r="H77" s="65">
        <f t="shared" si="4"/>
        <v>46059</v>
      </c>
      <c r="I77" s="1" t="str">
        <f t="shared" si="5"/>
        <v>SHANDY GINGER</v>
      </c>
      <c r="J77" s="23">
        <f t="shared" si="6"/>
        <v>1.7048611111111112</v>
      </c>
      <c r="K77" s="23">
        <f t="shared" si="7"/>
        <v>1.84375</v>
      </c>
      <c r="L77" s="68">
        <f t="shared" si="8"/>
        <v>0.13888888888888884</v>
      </c>
      <c r="M77" s="158">
        <v>200</v>
      </c>
      <c r="N77" s="69">
        <f t="shared" si="10"/>
        <v>200</v>
      </c>
      <c r="P77" s="65">
        <f t="shared" si="11"/>
        <v>46059</v>
      </c>
      <c r="Q77" s="74" t="str">
        <f t="shared" si="12"/>
        <v>SHANDY GINGER</v>
      </c>
      <c r="R77" s="23">
        <f t="shared" si="13"/>
        <v>1.7048611111111112</v>
      </c>
      <c r="S77" s="76">
        <v>1.875</v>
      </c>
      <c r="T77" s="668"/>
    </row>
    <row r="78" spans="1:49">
      <c r="H78" s="65">
        <f t="shared" si="4"/>
        <v>46062</v>
      </c>
      <c r="I78" s="1" t="str">
        <f t="shared" si="5"/>
        <v>SHANDY GINGER ( LOCAL)</v>
      </c>
      <c r="J78" s="23">
        <f t="shared" si="6"/>
        <v>0.12152777777777778</v>
      </c>
      <c r="K78" s="23">
        <f t="shared" si="7"/>
        <v>0.29166666666666669</v>
      </c>
      <c r="L78" s="68">
        <f t="shared" si="8"/>
        <v>0.1701388888888889</v>
      </c>
      <c r="M78" s="158">
        <v>245</v>
      </c>
      <c r="N78" s="69">
        <f t="shared" si="10"/>
        <v>165</v>
      </c>
      <c r="P78" s="65">
        <f t="shared" si="11"/>
        <v>46062</v>
      </c>
      <c r="Q78" s="74" t="str">
        <f t="shared" si="12"/>
        <v>SHANDY GINGER ( LOCAL)</v>
      </c>
      <c r="R78" s="76">
        <v>4.1666666666666664E-2</v>
      </c>
      <c r="S78" s="23">
        <f t="shared" si="14"/>
        <v>0.29166666666666669</v>
      </c>
      <c r="T78" s="668">
        <f>S80-R78</f>
        <v>0.95833333333333337</v>
      </c>
    </row>
    <row r="79" spans="1:49">
      <c r="H79" s="65">
        <f t="shared" si="4"/>
        <v>46062</v>
      </c>
      <c r="I79" s="1" t="str">
        <f t="shared" si="5"/>
        <v>SHANDY GINGER (EXPORT)</v>
      </c>
      <c r="J79" s="23">
        <f t="shared" si="6"/>
        <v>0.29236111111111113</v>
      </c>
      <c r="K79" s="23">
        <f t="shared" si="7"/>
        <v>0.3888888888888889</v>
      </c>
      <c r="L79" s="68">
        <f t="shared" si="8"/>
        <v>9.6527777777777768E-2</v>
      </c>
      <c r="M79" s="158">
        <v>139</v>
      </c>
      <c r="N79" s="69">
        <f t="shared" si="10"/>
        <v>139</v>
      </c>
      <c r="P79" s="65">
        <f t="shared" si="11"/>
        <v>46062</v>
      </c>
      <c r="Q79" s="74" t="str">
        <f t="shared" si="12"/>
        <v>SHANDY GINGER (EXPORT)</v>
      </c>
      <c r="R79" s="23">
        <f t="shared" si="13"/>
        <v>0.29236111111111113</v>
      </c>
      <c r="S79" s="23">
        <f t="shared" si="14"/>
        <v>0.3888888888888889</v>
      </c>
      <c r="T79" s="668"/>
    </row>
    <row r="80" spans="1:49">
      <c r="H80" s="65">
        <f t="shared" si="4"/>
        <v>46062</v>
      </c>
      <c r="I80" s="1" t="str">
        <f t="shared" si="5"/>
        <v>STAG</v>
      </c>
      <c r="J80" s="23">
        <f t="shared" si="6"/>
        <v>0.52916666666666667</v>
      </c>
      <c r="K80" s="23">
        <f t="shared" si="7"/>
        <v>0.88611111111111107</v>
      </c>
      <c r="L80" s="68">
        <f t="shared" si="8"/>
        <v>0.3569444444444444</v>
      </c>
      <c r="M80" s="158">
        <v>514</v>
      </c>
      <c r="N80" s="69">
        <f>M80-(H20+K20+L20+M20+J20+N20+AA20+AB20+AC20+Z20)</f>
        <v>384</v>
      </c>
      <c r="P80" s="65">
        <f t="shared" si="11"/>
        <v>46062</v>
      </c>
      <c r="Q80" s="74" t="str">
        <f t="shared" si="12"/>
        <v>STAG</v>
      </c>
      <c r="R80" s="23">
        <f t="shared" si="13"/>
        <v>0.52916666666666667</v>
      </c>
      <c r="S80" s="76">
        <v>1</v>
      </c>
      <c r="T80" s="668"/>
    </row>
    <row r="81" spans="1:33">
      <c r="H81" s="65">
        <f t="shared" si="4"/>
        <v>46063</v>
      </c>
      <c r="I81" s="1" t="str">
        <f t="shared" si="5"/>
        <v>PINK TING</v>
      </c>
      <c r="J81" s="23">
        <f t="shared" ref="J81:K85" si="15">E21</f>
        <v>1.0277777777777777</v>
      </c>
      <c r="K81" s="23">
        <f t="shared" si="15"/>
        <v>1.4125000000000001</v>
      </c>
      <c r="L81" s="68">
        <f t="shared" ref="L81:L102" si="16">K81-J81</f>
        <v>0.38472222222222241</v>
      </c>
      <c r="M81" s="158">
        <v>554</v>
      </c>
      <c r="N81" s="69">
        <f t="shared" si="10"/>
        <v>429</v>
      </c>
      <c r="O81" t="s">
        <v>209</v>
      </c>
      <c r="P81" s="65">
        <f t="shared" si="11"/>
        <v>46063</v>
      </c>
      <c r="Q81" s="74" t="str">
        <f t="shared" si="12"/>
        <v>PINK TING</v>
      </c>
      <c r="R81" s="76">
        <v>1.0069444444444444</v>
      </c>
      <c r="S81" s="23">
        <f t="shared" si="14"/>
        <v>1.4125000000000001</v>
      </c>
      <c r="T81" s="668">
        <f>S83-R81</f>
        <v>0.99305555555555558</v>
      </c>
    </row>
    <row r="82" spans="1:33">
      <c r="H82" s="65">
        <f t="shared" si="4"/>
        <v>46063</v>
      </c>
      <c r="I82" s="1" t="str">
        <f t="shared" si="5"/>
        <v xml:space="preserve">GREEN TING </v>
      </c>
      <c r="J82" s="23">
        <f t="shared" si="15"/>
        <v>1.5194444444444444</v>
      </c>
      <c r="K82" s="23">
        <f t="shared" si="15"/>
        <v>1.7118055555555556</v>
      </c>
      <c r="L82" s="68">
        <f t="shared" si="16"/>
        <v>0.1923611111111112</v>
      </c>
      <c r="M82" s="158">
        <v>277</v>
      </c>
      <c r="N82" s="69">
        <f>M82-(H22+K22+L22+M22+N22+AA22+AB22+AC22+Z22)</f>
        <v>272</v>
      </c>
      <c r="P82" s="65">
        <f t="shared" si="11"/>
        <v>46063</v>
      </c>
      <c r="Q82" s="74" t="str">
        <f t="shared" si="12"/>
        <v xml:space="preserve">GREEN TING </v>
      </c>
      <c r="R82" s="23">
        <f t="shared" si="13"/>
        <v>1.5194444444444444</v>
      </c>
      <c r="S82" s="23">
        <f t="shared" si="14"/>
        <v>1.7118055555555556</v>
      </c>
      <c r="T82" s="668"/>
    </row>
    <row r="83" spans="1:33">
      <c r="H83" s="65">
        <f t="shared" si="4"/>
        <v>46063</v>
      </c>
      <c r="I83" s="1" t="str">
        <f t="shared" si="5"/>
        <v>CARIB AMBER</v>
      </c>
      <c r="J83" s="23">
        <f t="shared" si="15"/>
        <v>1.7625</v>
      </c>
      <c r="K83" s="23">
        <f t="shared" si="15"/>
        <v>2</v>
      </c>
      <c r="L83" s="68">
        <f t="shared" si="16"/>
        <v>0.23750000000000004</v>
      </c>
      <c r="M83" s="158">
        <v>342</v>
      </c>
      <c r="N83" s="69">
        <f t="shared" si="10"/>
        <v>332</v>
      </c>
      <c r="P83" s="65">
        <f t="shared" si="11"/>
        <v>46063</v>
      </c>
      <c r="Q83" s="74" t="str">
        <f t="shared" si="12"/>
        <v>CARIB AMBER</v>
      </c>
      <c r="R83" s="23">
        <f t="shared" si="13"/>
        <v>1.7625</v>
      </c>
      <c r="S83" s="23">
        <f t="shared" si="14"/>
        <v>2</v>
      </c>
      <c r="T83" s="668"/>
    </row>
    <row r="84" spans="1:33">
      <c r="H84" s="65">
        <f t="shared" si="4"/>
        <v>46064</v>
      </c>
      <c r="I84" s="1" t="str">
        <f t="shared" si="5"/>
        <v>CARIB AMBER</v>
      </c>
      <c r="J84" s="23">
        <f t="shared" si="15"/>
        <v>1.0034722222222223</v>
      </c>
      <c r="K84" s="23">
        <f t="shared" si="15"/>
        <v>1.4041666666666666</v>
      </c>
      <c r="L84" s="68">
        <f t="shared" si="16"/>
        <v>0.40069444444444424</v>
      </c>
      <c r="M84" s="158">
        <v>577</v>
      </c>
      <c r="N84" s="69">
        <f t="shared" si="10"/>
        <v>557</v>
      </c>
      <c r="P84" s="65">
        <f t="shared" si="11"/>
        <v>46064</v>
      </c>
      <c r="Q84" s="74" t="str">
        <f t="shared" si="12"/>
        <v>CARIB AMBER</v>
      </c>
      <c r="R84" s="23">
        <f t="shared" si="13"/>
        <v>1.0034722222222223</v>
      </c>
      <c r="S84" s="23">
        <f t="shared" si="14"/>
        <v>1.4041666666666666</v>
      </c>
      <c r="T84" s="668">
        <f>S85-R84</f>
        <v>0.99652777777777768</v>
      </c>
    </row>
    <row r="85" spans="1:33">
      <c r="H85" s="65">
        <f t="shared" si="4"/>
        <v>46064</v>
      </c>
      <c r="I85" s="1" t="str">
        <f t="shared" si="5"/>
        <v>STAG</v>
      </c>
      <c r="J85" s="23">
        <f t="shared" si="15"/>
        <v>1.4652777777777777</v>
      </c>
      <c r="K85" s="23">
        <f t="shared" si="15"/>
        <v>2</v>
      </c>
      <c r="L85" s="68">
        <f t="shared" si="16"/>
        <v>0.53472222222222232</v>
      </c>
      <c r="M85" s="158">
        <v>770</v>
      </c>
      <c r="N85" s="69">
        <f t="shared" si="10"/>
        <v>659</v>
      </c>
      <c r="P85" s="65">
        <f t="shared" si="11"/>
        <v>46064</v>
      </c>
      <c r="Q85" s="74" t="str">
        <f t="shared" si="12"/>
        <v>STAG</v>
      </c>
      <c r="R85" s="23">
        <f t="shared" si="13"/>
        <v>1.4652777777777777</v>
      </c>
      <c r="S85" s="23">
        <f t="shared" si="14"/>
        <v>2</v>
      </c>
      <c r="T85" s="668"/>
    </row>
    <row r="86" spans="1:33">
      <c r="H86" s="65">
        <f t="shared" ref="H86:H96" si="17">B26</f>
        <v>46065</v>
      </c>
      <c r="I86" s="1" t="str">
        <f t="shared" ref="I86:I96" si="18">C26</f>
        <v>STAG</v>
      </c>
      <c r="J86" s="23">
        <f t="shared" ref="J86:J96" si="19">E26</f>
        <v>1.0069444444444444</v>
      </c>
      <c r="K86" s="23">
        <f t="shared" ref="K86:K98" si="20">F26</f>
        <v>2</v>
      </c>
      <c r="L86" s="68">
        <f t="shared" si="16"/>
        <v>0.99305555555555558</v>
      </c>
      <c r="M86" s="158">
        <v>1430</v>
      </c>
      <c r="N86" s="69">
        <f t="shared" si="10"/>
        <v>1320</v>
      </c>
      <c r="P86" s="65">
        <f t="shared" si="11"/>
        <v>46065</v>
      </c>
      <c r="Q86" s="74" t="str">
        <f t="shared" si="12"/>
        <v>STAG</v>
      </c>
      <c r="R86" s="23">
        <f t="shared" si="13"/>
        <v>1.0069444444444444</v>
      </c>
      <c r="S86" s="23">
        <f t="shared" si="14"/>
        <v>2</v>
      </c>
      <c r="T86" s="75">
        <f>S86-R86</f>
        <v>0.99305555555555558</v>
      </c>
    </row>
    <row r="87" spans="1:33">
      <c r="H87" s="65">
        <f t="shared" si="17"/>
        <v>46066</v>
      </c>
      <c r="I87" s="1" t="str">
        <f t="shared" si="18"/>
        <v>STAG</v>
      </c>
      <c r="J87" s="23">
        <f t="shared" si="19"/>
        <v>1.0069444444444444</v>
      </c>
      <c r="K87" s="23">
        <f t="shared" si="20"/>
        <v>1.1708333333333334</v>
      </c>
      <c r="L87" s="68">
        <f t="shared" si="16"/>
        <v>0.16388888888888897</v>
      </c>
      <c r="M87" s="158">
        <v>236</v>
      </c>
      <c r="N87" s="69">
        <f t="shared" si="10"/>
        <v>236</v>
      </c>
      <c r="P87" s="65">
        <f t="shared" ref="P87:P92" si="21">B27</f>
        <v>46066</v>
      </c>
      <c r="Q87" s="74" t="str">
        <f t="shared" ref="Q87:Q92" si="22">C27</f>
        <v>STAG</v>
      </c>
      <c r="R87" s="76">
        <v>1</v>
      </c>
      <c r="S87" s="23">
        <f t="shared" si="14"/>
        <v>1.1708333333333334</v>
      </c>
      <c r="T87" s="668">
        <f>S88-R87</f>
        <v>0.875</v>
      </c>
    </row>
    <row r="88" spans="1:33">
      <c r="H88" s="65">
        <f t="shared" si="17"/>
        <v>46066</v>
      </c>
      <c r="I88" s="1" t="str">
        <f t="shared" si="18"/>
        <v>SHANDY SORREL</v>
      </c>
      <c r="J88" s="23">
        <f t="shared" si="19"/>
        <v>1.6770833333333333</v>
      </c>
      <c r="K88" s="23">
        <f t="shared" si="20"/>
        <v>1.836111111111111</v>
      </c>
      <c r="L88" s="68">
        <f t="shared" si="16"/>
        <v>0.15902777777777777</v>
      </c>
      <c r="M88" s="158">
        <v>229</v>
      </c>
      <c r="N88" s="69">
        <f>M88-(H28+K28+L28+M28+J28+N28+AA28+AB28+AC28)</f>
        <v>229</v>
      </c>
      <c r="P88" s="65">
        <f t="shared" si="21"/>
        <v>46066</v>
      </c>
      <c r="Q88" s="74" t="str">
        <f t="shared" si="22"/>
        <v>SHANDY SORREL</v>
      </c>
      <c r="R88" s="23">
        <f t="shared" si="13"/>
        <v>1.6770833333333333</v>
      </c>
      <c r="S88" s="76">
        <v>1.875</v>
      </c>
      <c r="T88" s="668"/>
    </row>
    <row r="89" spans="1:33" s="183" customFormat="1">
      <c r="A89" s="3"/>
      <c r="B89" s="3"/>
      <c r="C89"/>
      <c r="D89"/>
      <c r="E89"/>
      <c r="F89"/>
      <c r="G89"/>
      <c r="H89" s="65">
        <f t="shared" si="17"/>
        <v>46069</v>
      </c>
      <c r="I89" s="1" t="str">
        <f t="shared" si="18"/>
        <v>CARIB AMBER</v>
      </c>
      <c r="J89" s="23">
        <f t="shared" si="19"/>
        <v>1.4895833333333333</v>
      </c>
      <c r="K89" s="23">
        <f t="shared" si="20"/>
        <v>2</v>
      </c>
      <c r="L89" s="68">
        <f t="shared" si="16"/>
        <v>0.51041666666666674</v>
      </c>
      <c r="M89" s="158">
        <v>735</v>
      </c>
      <c r="N89" s="69">
        <f>M89-(H29+K29+L29+M29+J29+AA29+AB29+AC29+6)</f>
        <v>711</v>
      </c>
      <c r="O89"/>
      <c r="P89" s="65">
        <f t="shared" si="21"/>
        <v>46069</v>
      </c>
      <c r="Q89" s="74" t="str">
        <f t="shared" si="22"/>
        <v>CARIB AMBER</v>
      </c>
      <c r="R89" s="76">
        <v>1.0416666666666667</v>
      </c>
      <c r="S89" s="23">
        <f t="shared" si="14"/>
        <v>2</v>
      </c>
      <c r="T89" s="75">
        <f>S89-R89</f>
        <v>0.95833333333333326</v>
      </c>
      <c r="U89"/>
      <c r="V89"/>
      <c r="W89"/>
      <c r="X89"/>
      <c r="Y89"/>
      <c r="Z89"/>
      <c r="AA89"/>
      <c r="AB89"/>
      <c r="AC89"/>
      <c r="AD89"/>
      <c r="AE89"/>
      <c r="AF89"/>
      <c r="AG89"/>
    </row>
    <row r="90" spans="1:33" s="183" customFormat="1">
      <c r="A90" s="3"/>
      <c r="B90" s="3"/>
      <c r="C90"/>
      <c r="D90"/>
      <c r="E90"/>
      <c r="F90"/>
      <c r="G90"/>
      <c r="H90" s="65">
        <f t="shared" si="17"/>
        <v>46070</v>
      </c>
      <c r="I90" s="1" t="str">
        <f t="shared" si="18"/>
        <v>CARIB AMBER</v>
      </c>
      <c r="J90" s="23">
        <f t="shared" si="19"/>
        <v>1.0118055555555556</v>
      </c>
      <c r="K90" s="23">
        <f t="shared" si="20"/>
        <v>1.4</v>
      </c>
      <c r="L90" s="68">
        <f t="shared" si="16"/>
        <v>0.38819444444444429</v>
      </c>
      <c r="M90" s="158">
        <v>559</v>
      </c>
      <c r="N90" s="69">
        <f t="shared" si="10"/>
        <v>528</v>
      </c>
      <c r="O90"/>
      <c r="P90" s="65">
        <f t="shared" si="21"/>
        <v>46070</v>
      </c>
      <c r="Q90" s="74" t="str">
        <f t="shared" si="22"/>
        <v>CARIB AMBER</v>
      </c>
      <c r="R90" s="23">
        <v>1</v>
      </c>
      <c r="S90" s="23">
        <v>2</v>
      </c>
      <c r="T90" s="75">
        <f>S90-R90</f>
        <v>1</v>
      </c>
      <c r="U90"/>
      <c r="V90"/>
      <c r="W90"/>
      <c r="X90"/>
      <c r="Y90"/>
      <c r="Z90"/>
      <c r="AA90"/>
      <c r="AB90"/>
      <c r="AC90"/>
      <c r="AD90"/>
      <c r="AE90"/>
      <c r="AF90"/>
      <c r="AG90"/>
    </row>
    <row r="91" spans="1:33" s="552" customFormat="1">
      <c r="A91" s="553"/>
      <c r="B91" s="553"/>
      <c r="H91" s="575">
        <f t="shared" si="17"/>
        <v>46071</v>
      </c>
      <c r="I91" s="576" t="str">
        <f t="shared" si="18"/>
        <v>WASHER BREAKDOWN</v>
      </c>
      <c r="J91" s="554">
        <f t="shared" si="19"/>
        <v>0</v>
      </c>
      <c r="K91" s="554">
        <f t="shared" si="20"/>
        <v>0</v>
      </c>
      <c r="L91" s="577">
        <f t="shared" si="16"/>
        <v>0</v>
      </c>
      <c r="M91" s="578"/>
      <c r="N91" s="579">
        <f t="shared" si="10"/>
        <v>0</v>
      </c>
      <c r="P91" s="575">
        <f t="shared" si="21"/>
        <v>46071</v>
      </c>
      <c r="Q91" s="580" t="str">
        <f t="shared" si="22"/>
        <v>WASHER BREAKDOWN</v>
      </c>
      <c r="R91" s="554">
        <f t="shared" si="13"/>
        <v>0</v>
      </c>
      <c r="S91" s="554">
        <f t="shared" si="14"/>
        <v>0</v>
      </c>
      <c r="T91" s="581"/>
    </row>
    <row r="92" spans="1:33" s="184" customFormat="1">
      <c r="A92" s="3"/>
      <c r="B92" s="3"/>
      <c r="C92"/>
      <c r="D92"/>
      <c r="E92"/>
      <c r="F92"/>
      <c r="G92"/>
      <c r="H92" s="65">
        <f t="shared" si="17"/>
        <v>46072</v>
      </c>
      <c r="I92" s="1" t="str">
        <f t="shared" si="18"/>
        <v>CARIB AMBER</v>
      </c>
      <c r="J92" s="23">
        <f t="shared" si="19"/>
        <v>1.0833333333333333</v>
      </c>
      <c r="K92" s="23">
        <f t="shared" si="20"/>
        <v>1.6229166666666666</v>
      </c>
      <c r="L92" s="68">
        <f t="shared" si="16"/>
        <v>0.5395833333333333</v>
      </c>
      <c r="M92" s="72">
        <v>777</v>
      </c>
      <c r="N92" s="69">
        <f t="shared" si="10"/>
        <v>749</v>
      </c>
      <c r="O92"/>
      <c r="P92" s="65">
        <f t="shared" si="21"/>
        <v>46072</v>
      </c>
      <c r="Q92" s="74" t="str">
        <f t="shared" si="22"/>
        <v>CARIB AMBER</v>
      </c>
      <c r="R92" s="76">
        <v>1</v>
      </c>
      <c r="S92" s="23">
        <f t="shared" si="14"/>
        <v>1.6229166666666666</v>
      </c>
      <c r="T92" s="668">
        <f>S94-R92</f>
        <v>1</v>
      </c>
      <c r="U92"/>
      <c r="V92"/>
      <c r="W92"/>
      <c r="X92"/>
      <c r="Y92"/>
      <c r="Z92"/>
      <c r="AA92"/>
      <c r="AB92"/>
      <c r="AC92"/>
      <c r="AD92"/>
      <c r="AE92"/>
      <c r="AF92"/>
      <c r="AG92"/>
    </row>
    <row r="93" spans="1:33">
      <c r="H93" s="65">
        <f t="shared" si="17"/>
        <v>46072</v>
      </c>
      <c r="I93" s="1" t="str">
        <f t="shared" si="18"/>
        <v>SHANDY SORREL ( LOCAL )</v>
      </c>
      <c r="J93" s="191">
        <f t="shared" si="19"/>
        <v>1.648611111111111</v>
      </c>
      <c r="K93" s="23">
        <f t="shared" si="20"/>
        <v>1.8229166666666667</v>
      </c>
      <c r="L93" s="68">
        <f t="shared" si="16"/>
        <v>0.17430555555555571</v>
      </c>
      <c r="M93" s="158">
        <v>251</v>
      </c>
      <c r="N93" s="69">
        <f t="shared" si="10"/>
        <v>243</v>
      </c>
      <c r="P93" s="65">
        <f t="shared" ref="P93:P119" si="23">B33</f>
        <v>46072</v>
      </c>
      <c r="Q93" s="74" t="str">
        <f t="shared" ref="Q93:Q119" si="24">C33</f>
        <v>SHANDY SORREL ( LOCAL )</v>
      </c>
      <c r="R93" s="23">
        <f t="shared" si="13"/>
        <v>1.648611111111111</v>
      </c>
      <c r="S93" s="23">
        <f t="shared" si="14"/>
        <v>1.8229166666666667</v>
      </c>
      <c r="T93" s="668"/>
    </row>
    <row r="94" spans="1:33">
      <c r="H94" s="65">
        <f t="shared" si="17"/>
        <v>46072</v>
      </c>
      <c r="I94" s="1" t="str">
        <f t="shared" si="18"/>
        <v>TING ORIGINAL</v>
      </c>
      <c r="J94" s="191">
        <f t="shared" si="19"/>
        <v>1.8819444444444444</v>
      </c>
      <c r="K94" s="23">
        <f t="shared" si="20"/>
        <v>2</v>
      </c>
      <c r="L94" s="68">
        <f t="shared" si="16"/>
        <v>0.11805555555555558</v>
      </c>
      <c r="M94" s="158">
        <v>170</v>
      </c>
      <c r="N94" s="69">
        <f t="shared" si="10"/>
        <v>154</v>
      </c>
      <c r="O94" s="70"/>
      <c r="P94" s="65">
        <f t="shared" si="23"/>
        <v>46072</v>
      </c>
      <c r="Q94" s="74" t="str">
        <f t="shared" si="24"/>
        <v>TING ORIGINAL</v>
      </c>
      <c r="R94" s="23">
        <f t="shared" si="13"/>
        <v>1.8819444444444444</v>
      </c>
      <c r="S94" s="23">
        <f t="shared" si="14"/>
        <v>2</v>
      </c>
      <c r="T94" s="668"/>
    </row>
    <row r="95" spans="1:33">
      <c r="H95" s="65">
        <f t="shared" si="17"/>
        <v>46073</v>
      </c>
      <c r="I95" s="1" t="str">
        <f t="shared" si="18"/>
        <v>TING ORIGINAL</v>
      </c>
      <c r="J95" s="191">
        <f t="shared" si="19"/>
        <v>1.0062500000000001</v>
      </c>
      <c r="K95" s="23">
        <f t="shared" si="20"/>
        <v>1.3256944444444445</v>
      </c>
      <c r="L95" s="68">
        <f t="shared" si="16"/>
        <v>0.31944444444444442</v>
      </c>
      <c r="M95" s="158">
        <v>460</v>
      </c>
      <c r="N95" s="69">
        <f t="shared" si="10"/>
        <v>439</v>
      </c>
      <c r="O95" s="70"/>
      <c r="P95" s="65">
        <f t="shared" si="23"/>
        <v>46073</v>
      </c>
      <c r="Q95" s="74" t="str">
        <f t="shared" si="24"/>
        <v>TING ORIGINAL</v>
      </c>
      <c r="R95" s="76">
        <v>1</v>
      </c>
      <c r="S95" s="23">
        <f t="shared" si="14"/>
        <v>1.3256944444444445</v>
      </c>
      <c r="T95" s="668">
        <f>S96-R95</f>
        <v>0.875</v>
      </c>
    </row>
    <row r="96" spans="1:33">
      <c r="H96" s="65">
        <f t="shared" si="17"/>
        <v>46073</v>
      </c>
      <c r="I96" s="1" t="str">
        <f t="shared" si="18"/>
        <v>CARIB AMBER</v>
      </c>
      <c r="J96" s="191">
        <f t="shared" si="19"/>
        <v>1.4090277777777778</v>
      </c>
      <c r="K96" s="23">
        <f t="shared" si="20"/>
        <v>1.8368055555555556</v>
      </c>
      <c r="L96" s="68">
        <f t="shared" si="16"/>
        <v>0.42777777777777781</v>
      </c>
      <c r="M96" s="158">
        <v>616</v>
      </c>
      <c r="N96" s="69">
        <f t="shared" si="10"/>
        <v>557</v>
      </c>
      <c r="O96" s="70"/>
      <c r="P96" s="65">
        <f t="shared" si="23"/>
        <v>46073</v>
      </c>
      <c r="Q96" s="74" t="str">
        <f t="shared" si="24"/>
        <v>CARIB AMBER</v>
      </c>
      <c r="R96" s="23">
        <f t="shared" si="13"/>
        <v>1.4090277777777778</v>
      </c>
      <c r="S96" s="76">
        <v>1.875</v>
      </c>
      <c r="T96" s="668"/>
    </row>
    <row r="97" spans="8:20">
      <c r="H97" s="65">
        <f t="shared" ref="H97:H117" si="25">B37</f>
        <v>46076</v>
      </c>
      <c r="I97" s="1" t="str">
        <f t="shared" ref="I97:I117" si="26">C37</f>
        <v>CARIB AMBER</v>
      </c>
      <c r="J97" s="23">
        <f t="shared" ref="J97:J109" si="27">E37</f>
        <v>1.4423611111111112</v>
      </c>
      <c r="K97" s="23">
        <f t="shared" si="20"/>
        <v>2</v>
      </c>
      <c r="L97" s="68">
        <f t="shared" si="16"/>
        <v>0.5576388888888888</v>
      </c>
      <c r="M97" s="158">
        <v>803</v>
      </c>
      <c r="N97" s="69">
        <f t="shared" si="10"/>
        <v>703</v>
      </c>
      <c r="O97" s="70"/>
      <c r="P97" s="65">
        <f t="shared" si="23"/>
        <v>46076</v>
      </c>
      <c r="Q97" s="74" t="str">
        <f t="shared" si="24"/>
        <v>CARIB AMBER</v>
      </c>
      <c r="R97" s="76">
        <v>1.0416666666666667</v>
      </c>
      <c r="S97" s="23">
        <f t="shared" si="14"/>
        <v>2</v>
      </c>
      <c r="T97" s="75">
        <f>S97-R97</f>
        <v>0.95833333333333326</v>
      </c>
    </row>
    <row r="98" spans="8:20">
      <c r="H98" s="65">
        <f t="shared" si="25"/>
        <v>46077</v>
      </c>
      <c r="I98" s="1" t="str">
        <f t="shared" si="26"/>
        <v>CARIB AMBER</v>
      </c>
      <c r="J98" s="23">
        <f t="shared" si="27"/>
        <v>1.0083333333333333</v>
      </c>
      <c r="K98" s="23">
        <f t="shared" si="20"/>
        <v>1.2583333333333333</v>
      </c>
      <c r="L98" s="68">
        <f t="shared" si="16"/>
        <v>0.25</v>
      </c>
      <c r="M98" s="158">
        <v>360</v>
      </c>
      <c r="N98" s="69">
        <f t="shared" si="10"/>
        <v>335</v>
      </c>
      <c r="O98" s="70"/>
      <c r="P98" s="65">
        <f t="shared" si="23"/>
        <v>46077</v>
      </c>
      <c r="Q98" s="74" t="str">
        <f t="shared" si="24"/>
        <v>CARIB AMBER</v>
      </c>
      <c r="R98" s="23">
        <f t="shared" si="13"/>
        <v>1.0083333333333333</v>
      </c>
      <c r="S98" s="23">
        <f t="shared" si="14"/>
        <v>1.2583333333333333</v>
      </c>
      <c r="T98" s="668">
        <f>S99-R98</f>
        <v>0.9916666666666667</v>
      </c>
    </row>
    <row r="99" spans="8:20">
      <c r="H99" s="65">
        <f t="shared" si="25"/>
        <v>46077</v>
      </c>
      <c r="I99" s="1" t="str">
        <f t="shared" si="26"/>
        <v>GUINNESS</v>
      </c>
      <c r="J99" s="23">
        <f t="shared" si="27"/>
        <v>1.2826388888888889</v>
      </c>
      <c r="K99" s="23">
        <f t="shared" ref="K99:K109" si="28">F39</f>
        <v>1.9618055555555556</v>
      </c>
      <c r="L99" s="68">
        <f t="shared" si="16"/>
        <v>0.6791666666666667</v>
      </c>
      <c r="M99" s="158">
        <v>978</v>
      </c>
      <c r="N99" s="69">
        <f t="shared" si="10"/>
        <v>962</v>
      </c>
      <c r="O99" s="70"/>
      <c r="P99" s="65">
        <f t="shared" si="23"/>
        <v>46077</v>
      </c>
      <c r="Q99" s="74" t="str">
        <f t="shared" si="24"/>
        <v>GUINNESS</v>
      </c>
      <c r="R99" s="23">
        <f t="shared" si="13"/>
        <v>1.2826388888888889</v>
      </c>
      <c r="S99" s="76">
        <v>2</v>
      </c>
      <c r="T99" s="668"/>
    </row>
    <row r="100" spans="8:20">
      <c r="H100" s="65">
        <f t="shared" si="25"/>
        <v>46078</v>
      </c>
      <c r="I100" s="1" t="str">
        <f t="shared" si="26"/>
        <v>STAG</v>
      </c>
      <c r="J100" s="23">
        <f t="shared" si="27"/>
        <v>1.0173611111111112</v>
      </c>
      <c r="K100" s="23">
        <f t="shared" si="28"/>
        <v>2</v>
      </c>
      <c r="L100" s="68">
        <f t="shared" si="16"/>
        <v>0.98263888888888884</v>
      </c>
      <c r="M100" s="158">
        <v>1415</v>
      </c>
      <c r="N100" s="69">
        <f t="shared" si="10"/>
        <v>1415</v>
      </c>
      <c r="P100" s="65">
        <f t="shared" si="23"/>
        <v>46078</v>
      </c>
      <c r="Q100" s="74" t="str">
        <f t="shared" si="24"/>
        <v>STAG</v>
      </c>
      <c r="R100" s="76">
        <v>1</v>
      </c>
      <c r="S100" s="23">
        <f t="shared" si="14"/>
        <v>2</v>
      </c>
      <c r="T100" s="75">
        <f>S100-R100</f>
        <v>1</v>
      </c>
    </row>
    <row r="101" spans="8:20">
      <c r="H101" s="65">
        <f t="shared" si="25"/>
        <v>46079</v>
      </c>
      <c r="I101" s="1" t="str">
        <f t="shared" si="26"/>
        <v>STAG</v>
      </c>
      <c r="J101" s="23">
        <f t="shared" si="27"/>
        <v>1.0097222222222222</v>
      </c>
      <c r="K101" s="23">
        <f t="shared" si="28"/>
        <v>1.7250000000000001</v>
      </c>
      <c r="L101" s="68">
        <f t="shared" si="16"/>
        <v>0.7152777777777779</v>
      </c>
      <c r="M101" s="158">
        <v>1030</v>
      </c>
      <c r="N101" s="69">
        <f t="shared" si="10"/>
        <v>1027</v>
      </c>
      <c r="P101" s="65">
        <f t="shared" si="23"/>
        <v>46079</v>
      </c>
      <c r="Q101" s="74" t="str">
        <f t="shared" si="24"/>
        <v>STAG</v>
      </c>
      <c r="R101" s="76">
        <v>1</v>
      </c>
      <c r="S101" s="23">
        <f t="shared" si="14"/>
        <v>1.7250000000000001</v>
      </c>
      <c r="T101" s="668">
        <f>S102-R101</f>
        <v>1</v>
      </c>
    </row>
    <row r="102" spans="8:20">
      <c r="H102" s="65">
        <f t="shared" si="25"/>
        <v>46079</v>
      </c>
      <c r="I102" s="1" t="str">
        <f t="shared" si="26"/>
        <v>CARIB AMBER</v>
      </c>
      <c r="J102" s="23">
        <f t="shared" si="27"/>
        <v>1.7326388888888888</v>
      </c>
      <c r="K102" s="23">
        <f t="shared" si="28"/>
        <v>2</v>
      </c>
      <c r="L102" s="68">
        <f t="shared" si="16"/>
        <v>0.26736111111111116</v>
      </c>
      <c r="M102" s="158">
        <v>385</v>
      </c>
      <c r="N102" s="69">
        <f t="shared" si="10"/>
        <v>385</v>
      </c>
      <c r="P102" s="65">
        <f t="shared" si="23"/>
        <v>46079</v>
      </c>
      <c r="Q102" s="74" t="str">
        <f t="shared" si="24"/>
        <v>CARIB AMBER</v>
      </c>
      <c r="R102" s="23">
        <f t="shared" si="13"/>
        <v>1.7326388888888888</v>
      </c>
      <c r="S102" s="23">
        <f t="shared" si="14"/>
        <v>2</v>
      </c>
      <c r="T102" s="668"/>
    </row>
    <row r="103" spans="8:20">
      <c r="H103" s="65">
        <f t="shared" si="25"/>
        <v>46080</v>
      </c>
      <c r="I103" s="1" t="str">
        <f t="shared" si="26"/>
        <v>CARIB AMBER</v>
      </c>
      <c r="J103" s="23">
        <f t="shared" si="27"/>
        <v>1.0069444444444444</v>
      </c>
      <c r="K103" s="23">
        <f t="shared" si="28"/>
        <v>1.1708333333333334</v>
      </c>
      <c r="L103" s="68">
        <f t="shared" ref="L103:L111" si="29">K103-J103</f>
        <v>0.16388888888888897</v>
      </c>
      <c r="M103" s="158">
        <v>236</v>
      </c>
      <c r="N103" s="69">
        <f t="shared" si="10"/>
        <v>211</v>
      </c>
      <c r="P103" s="65">
        <f t="shared" si="23"/>
        <v>46080</v>
      </c>
      <c r="Q103" s="74" t="str">
        <f t="shared" si="24"/>
        <v>CARIB AMBER</v>
      </c>
      <c r="R103" s="23">
        <f t="shared" si="13"/>
        <v>1.0069444444444444</v>
      </c>
      <c r="S103" s="23">
        <f t="shared" si="14"/>
        <v>1.1708333333333334</v>
      </c>
      <c r="T103" s="668">
        <f>S105-R103</f>
        <v>0.86805555555555558</v>
      </c>
    </row>
    <row r="104" spans="8:20">
      <c r="H104" s="65">
        <f t="shared" si="25"/>
        <v>46080</v>
      </c>
      <c r="I104" s="1" t="str">
        <f t="shared" si="26"/>
        <v>STAR MALT</v>
      </c>
      <c r="J104" s="23">
        <f t="shared" si="27"/>
        <v>1.2166666666666666</v>
      </c>
      <c r="K104" s="23">
        <f t="shared" si="28"/>
        <v>1.6</v>
      </c>
      <c r="L104" s="68">
        <f t="shared" si="29"/>
        <v>0.38333333333333353</v>
      </c>
      <c r="M104" s="158">
        <v>552</v>
      </c>
      <c r="N104" s="69">
        <f t="shared" si="10"/>
        <v>530</v>
      </c>
      <c r="P104" s="65">
        <f t="shared" si="23"/>
        <v>46080</v>
      </c>
      <c r="Q104" s="74" t="str">
        <f t="shared" si="24"/>
        <v>STAR MALT</v>
      </c>
      <c r="R104" s="23">
        <f t="shared" si="13"/>
        <v>1.2166666666666666</v>
      </c>
      <c r="S104" s="23">
        <f t="shared" si="14"/>
        <v>1.6</v>
      </c>
      <c r="T104" s="668"/>
    </row>
    <row r="105" spans="8:20">
      <c r="H105" s="65">
        <f t="shared" si="25"/>
        <v>46080</v>
      </c>
      <c r="I105" s="1" t="str">
        <f t="shared" si="26"/>
        <v>CARIB AMBER</v>
      </c>
      <c r="J105" s="23">
        <f t="shared" si="27"/>
        <v>1.6388888888888888</v>
      </c>
      <c r="K105" s="23">
        <f t="shared" si="28"/>
        <v>1.8402777777777777</v>
      </c>
      <c r="L105" s="68">
        <f t="shared" si="29"/>
        <v>0.20138888888888884</v>
      </c>
      <c r="M105" s="158">
        <v>290</v>
      </c>
      <c r="N105" s="69">
        <f t="shared" si="10"/>
        <v>285</v>
      </c>
      <c r="P105" s="65">
        <f t="shared" si="23"/>
        <v>46080</v>
      </c>
      <c r="Q105" s="74" t="str">
        <f t="shared" si="24"/>
        <v>CARIB AMBER</v>
      </c>
      <c r="R105" s="23">
        <f t="shared" si="13"/>
        <v>1.6388888888888888</v>
      </c>
      <c r="S105" s="76">
        <v>1.875</v>
      </c>
      <c r="T105" s="668"/>
    </row>
    <row r="106" spans="8:20">
      <c r="H106" s="65">
        <f t="shared" si="25"/>
        <v>46081</v>
      </c>
      <c r="I106" s="1" t="str">
        <f t="shared" si="26"/>
        <v>STAR MALT</v>
      </c>
      <c r="J106" s="23">
        <f t="shared" ref="J106:J108" si="30">E46</f>
        <v>0.34375</v>
      </c>
      <c r="K106" s="23">
        <f t="shared" ref="K106:K108" si="31">F46</f>
        <v>0.53819444444444442</v>
      </c>
      <c r="L106" s="68">
        <f t="shared" ref="L106:L108" si="32">K106-J106</f>
        <v>0.19444444444444442</v>
      </c>
      <c r="M106" s="3">
        <v>280</v>
      </c>
      <c r="N106" s="69">
        <f t="shared" si="10"/>
        <v>255</v>
      </c>
      <c r="P106" s="65">
        <f t="shared" si="23"/>
        <v>46081</v>
      </c>
      <c r="Q106" s="74" t="str">
        <f t="shared" si="24"/>
        <v>STAR MALT</v>
      </c>
      <c r="R106" s="76">
        <v>0.3263888888888889</v>
      </c>
      <c r="S106" s="23">
        <f t="shared" si="14"/>
        <v>0.53819444444444442</v>
      </c>
      <c r="T106" s="668">
        <f>S107-R106</f>
        <v>0.63194444444444442</v>
      </c>
    </row>
    <row r="107" spans="8:20">
      <c r="H107" s="65">
        <f t="shared" si="25"/>
        <v>46081</v>
      </c>
      <c r="I107" s="1" t="str">
        <f t="shared" si="26"/>
        <v>CARIB AMBER</v>
      </c>
      <c r="J107" s="23">
        <f t="shared" si="30"/>
        <v>0.57291666666666663</v>
      </c>
      <c r="K107" s="23">
        <f t="shared" si="31"/>
        <v>0.94166666666666665</v>
      </c>
      <c r="L107" s="68">
        <f t="shared" si="32"/>
        <v>0.36875000000000002</v>
      </c>
      <c r="M107" s="3">
        <v>531</v>
      </c>
      <c r="N107" s="69">
        <f t="shared" si="10"/>
        <v>531</v>
      </c>
      <c r="P107" s="65">
        <f t="shared" si="23"/>
        <v>46081</v>
      </c>
      <c r="Q107" s="74" t="str">
        <f t="shared" si="24"/>
        <v>CARIB AMBER</v>
      </c>
      <c r="R107" s="23">
        <f t="shared" si="13"/>
        <v>0.57291666666666663</v>
      </c>
      <c r="S107" s="76">
        <v>0.95833333333333337</v>
      </c>
      <c r="T107" s="668"/>
    </row>
    <row r="108" spans="8:20">
      <c r="H108" s="65">
        <f t="shared" si="25"/>
        <v>0</v>
      </c>
      <c r="I108" s="1">
        <f t="shared" si="26"/>
        <v>0</v>
      </c>
      <c r="J108" s="23">
        <f t="shared" si="30"/>
        <v>0</v>
      </c>
      <c r="K108" s="23">
        <f t="shared" si="31"/>
        <v>0</v>
      </c>
      <c r="L108" s="68">
        <f t="shared" si="32"/>
        <v>0</v>
      </c>
      <c r="M108" s="3"/>
      <c r="N108" s="69">
        <f t="shared" si="10"/>
        <v>0</v>
      </c>
      <c r="P108" s="65">
        <f t="shared" si="23"/>
        <v>0</v>
      </c>
      <c r="Q108" s="74">
        <f t="shared" si="24"/>
        <v>0</v>
      </c>
      <c r="R108" s="23">
        <f t="shared" si="13"/>
        <v>0</v>
      </c>
      <c r="S108" s="23">
        <f t="shared" si="14"/>
        <v>0</v>
      </c>
      <c r="T108" s="668">
        <f>S109-R108</f>
        <v>0</v>
      </c>
    </row>
    <row r="109" spans="8:20">
      <c r="H109" s="65">
        <f t="shared" si="25"/>
        <v>0</v>
      </c>
      <c r="I109" s="1">
        <f t="shared" si="26"/>
        <v>0</v>
      </c>
      <c r="J109" s="23">
        <f t="shared" si="27"/>
        <v>0</v>
      </c>
      <c r="K109" s="23">
        <f t="shared" si="28"/>
        <v>0</v>
      </c>
      <c r="L109" s="68">
        <f t="shared" si="29"/>
        <v>0</v>
      </c>
      <c r="M109" s="3"/>
      <c r="N109" s="69">
        <f t="shared" si="10"/>
        <v>0</v>
      </c>
      <c r="P109" s="65">
        <f t="shared" si="23"/>
        <v>0</v>
      </c>
      <c r="Q109" s="74">
        <f t="shared" si="24"/>
        <v>0</v>
      </c>
      <c r="R109" s="23">
        <f t="shared" si="13"/>
        <v>0</v>
      </c>
      <c r="S109" s="23">
        <f t="shared" si="14"/>
        <v>0</v>
      </c>
      <c r="T109" s="668"/>
    </row>
    <row r="110" spans="8:20">
      <c r="H110" s="65">
        <f t="shared" si="25"/>
        <v>0</v>
      </c>
      <c r="I110" s="1">
        <f t="shared" si="26"/>
        <v>0</v>
      </c>
      <c r="J110" s="23">
        <f t="shared" ref="J110:J116" si="33">E50</f>
        <v>0</v>
      </c>
      <c r="K110" s="23">
        <f t="shared" ref="K110:K116" si="34">F50</f>
        <v>0</v>
      </c>
      <c r="L110" s="68">
        <f t="shared" si="29"/>
        <v>0</v>
      </c>
      <c r="M110" s="3"/>
      <c r="N110" s="69">
        <f t="shared" si="10"/>
        <v>0</v>
      </c>
      <c r="P110" s="65">
        <f t="shared" si="23"/>
        <v>0</v>
      </c>
      <c r="Q110" s="74">
        <f t="shared" si="24"/>
        <v>0</v>
      </c>
      <c r="R110" s="23">
        <f t="shared" si="13"/>
        <v>0</v>
      </c>
      <c r="S110" s="23">
        <f t="shared" si="14"/>
        <v>0</v>
      </c>
      <c r="T110" s="75">
        <f>S110-R110</f>
        <v>0</v>
      </c>
    </row>
    <row r="111" spans="8:20">
      <c r="H111" s="65">
        <f t="shared" si="25"/>
        <v>0</v>
      </c>
      <c r="I111" s="1">
        <f t="shared" si="26"/>
        <v>0</v>
      </c>
      <c r="J111" s="23">
        <f t="shared" si="33"/>
        <v>0</v>
      </c>
      <c r="K111" s="23">
        <f t="shared" si="34"/>
        <v>0</v>
      </c>
      <c r="L111" s="68">
        <f t="shared" si="29"/>
        <v>0</v>
      </c>
      <c r="M111" s="3"/>
      <c r="N111" s="69">
        <f t="shared" si="10"/>
        <v>0</v>
      </c>
      <c r="P111" s="65">
        <f t="shared" si="23"/>
        <v>0</v>
      </c>
      <c r="Q111" s="74">
        <f t="shared" si="24"/>
        <v>0</v>
      </c>
      <c r="R111" s="23">
        <f t="shared" si="13"/>
        <v>0</v>
      </c>
      <c r="S111" s="23">
        <f t="shared" si="14"/>
        <v>0</v>
      </c>
      <c r="T111" s="668">
        <f>S113-R111</f>
        <v>0</v>
      </c>
    </row>
    <row r="112" spans="8:20">
      <c r="H112" s="65">
        <f t="shared" si="25"/>
        <v>0</v>
      </c>
      <c r="I112" s="1">
        <f t="shared" si="26"/>
        <v>0</v>
      </c>
      <c r="J112" s="23">
        <f t="shared" si="33"/>
        <v>0</v>
      </c>
      <c r="K112" s="23">
        <f t="shared" si="34"/>
        <v>0</v>
      </c>
      <c r="L112" s="68">
        <f t="shared" ref="L112:L117" si="35">K112-J112</f>
        <v>0</v>
      </c>
      <c r="M112" s="3"/>
      <c r="N112" s="69">
        <f t="shared" si="10"/>
        <v>0</v>
      </c>
      <c r="P112" s="65">
        <f t="shared" si="23"/>
        <v>0</v>
      </c>
      <c r="Q112" s="74">
        <f t="shared" si="24"/>
        <v>0</v>
      </c>
      <c r="R112" s="23">
        <f t="shared" si="13"/>
        <v>0</v>
      </c>
      <c r="S112" s="23">
        <f t="shared" si="14"/>
        <v>0</v>
      </c>
      <c r="T112" s="668"/>
    </row>
    <row r="113" spans="8:20">
      <c r="H113" s="65">
        <f t="shared" si="25"/>
        <v>0</v>
      </c>
      <c r="I113" s="1">
        <f t="shared" si="26"/>
        <v>0</v>
      </c>
      <c r="J113" s="23">
        <f t="shared" si="33"/>
        <v>0</v>
      </c>
      <c r="K113" s="23">
        <f t="shared" si="34"/>
        <v>0</v>
      </c>
      <c r="L113" s="68">
        <f t="shared" si="35"/>
        <v>0</v>
      </c>
      <c r="M113" s="3"/>
      <c r="N113" s="69">
        <f t="shared" si="10"/>
        <v>0</v>
      </c>
      <c r="P113" s="65">
        <f t="shared" si="23"/>
        <v>0</v>
      </c>
      <c r="Q113" s="74">
        <f t="shared" si="24"/>
        <v>0</v>
      </c>
      <c r="R113" s="23">
        <f t="shared" si="13"/>
        <v>0</v>
      </c>
      <c r="S113" s="23">
        <f t="shared" si="14"/>
        <v>0</v>
      </c>
      <c r="T113" s="668"/>
    </row>
    <row r="114" spans="8:20">
      <c r="H114" s="65">
        <f t="shared" si="25"/>
        <v>0</v>
      </c>
      <c r="I114" s="1">
        <f t="shared" si="26"/>
        <v>0</v>
      </c>
      <c r="J114" s="23">
        <f t="shared" si="33"/>
        <v>0</v>
      </c>
      <c r="K114" s="23">
        <f t="shared" si="34"/>
        <v>0</v>
      </c>
      <c r="L114" s="68">
        <f t="shared" si="35"/>
        <v>0</v>
      </c>
      <c r="M114" s="3"/>
      <c r="N114" s="69">
        <f t="shared" si="10"/>
        <v>0</v>
      </c>
      <c r="P114" s="65">
        <f t="shared" si="23"/>
        <v>0</v>
      </c>
      <c r="Q114" s="74">
        <f t="shared" si="24"/>
        <v>0</v>
      </c>
      <c r="R114" s="23">
        <f t="shared" si="13"/>
        <v>0</v>
      </c>
      <c r="S114" s="23">
        <f t="shared" si="14"/>
        <v>0</v>
      </c>
      <c r="T114" s="668">
        <f>S116-R114</f>
        <v>0</v>
      </c>
    </row>
    <row r="115" spans="8:20">
      <c r="H115" s="65">
        <f t="shared" si="25"/>
        <v>0</v>
      </c>
      <c r="I115" s="1">
        <f t="shared" si="26"/>
        <v>0</v>
      </c>
      <c r="J115" s="23">
        <f t="shared" si="33"/>
        <v>0</v>
      </c>
      <c r="K115" s="23">
        <f t="shared" si="34"/>
        <v>0</v>
      </c>
      <c r="L115" s="68">
        <f t="shared" si="35"/>
        <v>0</v>
      </c>
      <c r="M115" s="3"/>
      <c r="N115" s="69">
        <f t="shared" si="10"/>
        <v>0</v>
      </c>
      <c r="P115" s="65">
        <f t="shared" si="23"/>
        <v>0</v>
      </c>
      <c r="Q115" s="74">
        <f t="shared" si="24"/>
        <v>0</v>
      </c>
      <c r="R115" s="23">
        <f t="shared" si="13"/>
        <v>0</v>
      </c>
      <c r="S115" s="23">
        <f t="shared" si="14"/>
        <v>0</v>
      </c>
      <c r="T115" s="668"/>
    </row>
    <row r="116" spans="8:20">
      <c r="H116" s="65">
        <f t="shared" si="25"/>
        <v>0</v>
      </c>
      <c r="I116" s="1">
        <f t="shared" si="26"/>
        <v>0</v>
      </c>
      <c r="J116" s="23">
        <f t="shared" si="33"/>
        <v>0</v>
      </c>
      <c r="K116" s="23">
        <f t="shared" si="34"/>
        <v>0</v>
      </c>
      <c r="L116" s="68">
        <f t="shared" si="35"/>
        <v>0</v>
      </c>
      <c r="M116" s="3"/>
      <c r="N116" s="69">
        <f t="shared" si="10"/>
        <v>0</v>
      </c>
      <c r="P116" s="65">
        <f t="shared" si="23"/>
        <v>0</v>
      </c>
      <c r="Q116" s="74">
        <f t="shared" si="24"/>
        <v>0</v>
      </c>
      <c r="R116" s="23">
        <f t="shared" si="13"/>
        <v>0</v>
      </c>
      <c r="S116" s="23">
        <f t="shared" si="14"/>
        <v>0</v>
      </c>
      <c r="T116" s="668"/>
    </row>
    <row r="117" spans="8:20">
      <c r="H117" s="65">
        <f t="shared" si="25"/>
        <v>0</v>
      </c>
      <c r="I117" s="1">
        <f t="shared" si="26"/>
        <v>0</v>
      </c>
      <c r="J117" s="23"/>
      <c r="K117" s="23"/>
      <c r="L117" s="68">
        <f t="shared" si="35"/>
        <v>0</v>
      </c>
      <c r="N117" s="69">
        <f t="shared" si="10"/>
        <v>0</v>
      </c>
      <c r="P117" s="65">
        <f t="shared" si="23"/>
        <v>0</v>
      </c>
      <c r="Q117" s="74">
        <f t="shared" si="24"/>
        <v>0</v>
      </c>
      <c r="R117" s="23">
        <f t="shared" si="13"/>
        <v>0</v>
      </c>
      <c r="S117" s="23">
        <f t="shared" si="14"/>
        <v>0</v>
      </c>
      <c r="T117" s="135">
        <f>S117-R117</f>
        <v>0</v>
      </c>
    </row>
    <row r="118" spans="8:20">
      <c r="N118" s="69">
        <f t="shared" si="10"/>
        <v>0</v>
      </c>
      <c r="P118" s="65">
        <f t="shared" si="23"/>
        <v>0</v>
      </c>
      <c r="Q118" s="74">
        <f t="shared" si="24"/>
        <v>0</v>
      </c>
      <c r="R118" s="23">
        <f t="shared" si="13"/>
        <v>0</v>
      </c>
      <c r="S118" s="23">
        <f t="shared" si="14"/>
        <v>0</v>
      </c>
      <c r="T118" s="135">
        <f>S118-R118</f>
        <v>0</v>
      </c>
    </row>
    <row r="119" spans="8:20">
      <c r="P119" s="65">
        <f t="shared" si="23"/>
        <v>0</v>
      </c>
      <c r="Q119" s="74">
        <f t="shared" si="24"/>
        <v>0</v>
      </c>
      <c r="R119" s="23">
        <f t="shared" si="13"/>
        <v>0</v>
      </c>
      <c r="S119" s="23">
        <f t="shared" si="14"/>
        <v>0</v>
      </c>
      <c r="T119" s="135">
        <f>S119-R119</f>
        <v>0</v>
      </c>
    </row>
  </sheetData>
  <mergeCells count="81">
    <mergeCell ref="AE41:AE42"/>
    <mergeCell ref="T101:T102"/>
    <mergeCell ref="T98:T99"/>
    <mergeCell ref="T87:T88"/>
    <mergeCell ref="T84:T85"/>
    <mergeCell ref="AE43:AE45"/>
    <mergeCell ref="AE46:AE47"/>
    <mergeCell ref="D21:D23"/>
    <mergeCell ref="T81:T83"/>
    <mergeCell ref="T76:T77"/>
    <mergeCell ref="D38:D39"/>
    <mergeCell ref="D41:D42"/>
    <mergeCell ref="D43:D45"/>
    <mergeCell ref="D46:D47"/>
    <mergeCell ref="AE32:AE34"/>
    <mergeCell ref="D35:D36"/>
    <mergeCell ref="AE35:AE36"/>
    <mergeCell ref="D27:D28"/>
    <mergeCell ref="AE27:AE28"/>
    <mergeCell ref="D8:D9"/>
    <mergeCell ref="AE8:AE9"/>
    <mergeCell ref="AE11:AE12"/>
    <mergeCell ref="AE13:AE15"/>
    <mergeCell ref="T73:T75"/>
    <mergeCell ref="AE16:AE17"/>
    <mergeCell ref="AE18:AE20"/>
    <mergeCell ref="AE24:AE25"/>
    <mergeCell ref="AE38:AE39"/>
    <mergeCell ref="D18:D20"/>
    <mergeCell ref="D16:D17"/>
    <mergeCell ref="D13:D15"/>
    <mergeCell ref="D11:D12"/>
    <mergeCell ref="AE21:AE23"/>
    <mergeCell ref="D24:D25"/>
    <mergeCell ref="D32:D34"/>
    <mergeCell ref="T111:T113"/>
    <mergeCell ref="T114:T116"/>
    <mergeCell ref="U5:U7"/>
    <mergeCell ref="T108:T109"/>
    <mergeCell ref="O5:O7"/>
    <mergeCell ref="P5:P7"/>
    <mergeCell ref="T68:T69"/>
    <mergeCell ref="T71:T72"/>
    <mergeCell ref="Q5:Q7"/>
    <mergeCell ref="R5:R7"/>
    <mergeCell ref="S5:S7"/>
    <mergeCell ref="T106:T107"/>
    <mergeCell ref="T78:T80"/>
    <mergeCell ref="T95:T96"/>
    <mergeCell ref="T92:T94"/>
    <mergeCell ref="T103:T105"/>
    <mergeCell ref="B2:AE2"/>
    <mergeCell ref="H4:AA4"/>
    <mergeCell ref="A4:A7"/>
    <mergeCell ref="B4:B7"/>
    <mergeCell ref="C4:C7"/>
    <mergeCell ref="D4:D7"/>
    <mergeCell ref="E4:E7"/>
    <mergeCell ref="AE5:AE7"/>
    <mergeCell ref="X5:X7"/>
    <mergeCell ref="W5:W7"/>
    <mergeCell ref="V5:V7"/>
    <mergeCell ref="AB4:AB7"/>
    <mergeCell ref="AC5:AC7"/>
    <mergeCell ref="AD5:AD7"/>
    <mergeCell ref="AL4:AV4"/>
    <mergeCell ref="H66:N66"/>
    <mergeCell ref="P66:T66"/>
    <mergeCell ref="F4:F7"/>
    <mergeCell ref="G4:G7"/>
    <mergeCell ref="H5:H7"/>
    <mergeCell ref="I5:I7"/>
    <mergeCell ref="J5:J7"/>
    <mergeCell ref="K5:K7"/>
    <mergeCell ref="L5:L7"/>
    <mergeCell ref="M5:M7"/>
    <mergeCell ref="N5:N7"/>
    <mergeCell ref="T5:T7"/>
    <mergeCell ref="Y5:Y7"/>
    <mergeCell ref="Z5:Z7"/>
    <mergeCell ref="AA5:AA7"/>
  </mergeCells>
  <conditionalFormatting sqref="D59">
    <cfRule type="cellIs" dxfId="36" priority="37" stopIfTrue="1" operator="greaterThan">
      <formula>$D$3</formula>
    </cfRule>
  </conditionalFormatting>
  <conditionalFormatting sqref="E8:E48">
    <cfRule type="cellIs" dxfId="35" priority="1" stopIfTrue="1" operator="greaterThan">
      <formula>$E$3</formula>
    </cfRule>
  </conditionalFormatting>
  <conditionalFormatting sqref="E50:E59">
    <cfRule type="cellIs" dxfId="34" priority="38" stopIfTrue="1" operator="greaterThan">
      <formula>$E$3</formula>
    </cfRule>
  </conditionalFormatting>
  <pageMargins left="0.75" right="0.75" top="1" bottom="1" header="0.5" footer="0.5"/>
  <pageSetup scale="34" fitToHeight="2" orientation="landscape" r:id="rId1"/>
  <headerFooter alignWithMargins="0"/>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0">
    <tabColor rgb="FF00B0F0"/>
    <pageSetUpPr fitToPage="1"/>
  </sheetPr>
  <dimension ref="A1:AX127"/>
  <sheetViews>
    <sheetView showZeros="0" workbookViewId="0">
      <pane xSplit="7" ySplit="7" topLeftCell="AA53" activePane="bottomRight" state="frozen"/>
      <selection pane="topRight"/>
      <selection pane="bottomLeft"/>
      <selection pane="bottomRight" activeCell="W47" sqref="W47"/>
    </sheetView>
  </sheetViews>
  <sheetFormatPr defaultColWidth="9" defaultRowHeight="12.75"/>
  <cols>
    <col min="1" max="2" width="9.42578125" style="3" customWidth="1"/>
    <col min="3" max="3" width="31.42578125" customWidth="1"/>
    <col min="4" max="4" width="9.5703125" customWidth="1"/>
    <col min="5" max="5" width="6.5703125" customWidth="1"/>
    <col min="6" max="6" width="7" customWidth="1"/>
    <col min="7" max="7" width="9.5703125" customWidth="1"/>
    <col min="8" max="8" width="10.5703125" customWidth="1"/>
    <col min="9" max="9" width="17.5703125" customWidth="1"/>
    <col min="10" max="10" width="9.140625" customWidth="1"/>
    <col min="11" max="14" width="10.42578125" customWidth="1"/>
    <col min="15" max="16" width="10.5703125" customWidth="1"/>
    <col min="17" max="17" width="18.5703125" customWidth="1"/>
    <col min="18" max="18" width="9.42578125" customWidth="1"/>
    <col min="19" max="19" width="12" customWidth="1"/>
    <col min="20" max="20" width="9.5703125" customWidth="1"/>
    <col min="21" max="21" width="9.85546875" customWidth="1"/>
    <col min="22" max="22" width="11.85546875" customWidth="1"/>
    <col min="23" max="23" width="7.5703125" customWidth="1"/>
    <col min="24" max="24" width="11.140625" customWidth="1"/>
    <col min="25" max="25" width="9.42578125" customWidth="1"/>
    <col min="26" max="26" width="10.5703125" customWidth="1"/>
    <col min="27" max="27" width="12.85546875" customWidth="1"/>
    <col min="28" max="29" width="12.42578125" customWidth="1"/>
    <col min="30" max="30" width="14.5703125" customWidth="1"/>
    <col min="32" max="32" width="14.42578125" customWidth="1"/>
  </cols>
  <sheetData>
    <row r="1" spans="1:50">
      <c r="I1" s="3"/>
    </row>
    <row r="2" spans="1:50" ht="27.75">
      <c r="B2" s="670" t="s">
        <v>471</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5">
        <v>0.29166666666666702</v>
      </c>
      <c r="E3" s="5">
        <v>0.33333333333333298</v>
      </c>
      <c r="H3" s="6"/>
      <c r="I3" s="3"/>
      <c r="N3" s="77"/>
      <c r="S3" s="3"/>
      <c r="AM3" s="6"/>
    </row>
    <row r="4" spans="1:50"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760" t="s">
        <v>56</v>
      </c>
      <c r="AC4" s="179"/>
      <c r="AD4" s="155"/>
      <c r="AE4" s="157"/>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762" t="s">
        <v>6</v>
      </c>
      <c r="I5" s="756" t="s">
        <v>7</v>
      </c>
      <c r="J5" s="756" t="s">
        <v>8</v>
      </c>
      <c r="K5" s="689" t="s">
        <v>9</v>
      </c>
      <c r="L5" s="689" t="s">
        <v>418</v>
      </c>
      <c r="M5" s="689" t="s">
        <v>11</v>
      </c>
      <c r="N5" s="745" t="s">
        <v>12</v>
      </c>
      <c r="O5" s="689" t="s">
        <v>13</v>
      </c>
      <c r="P5" s="689" t="s">
        <v>14</v>
      </c>
      <c r="Q5" s="689" t="s">
        <v>15</v>
      </c>
      <c r="R5" s="689" t="s">
        <v>16</v>
      </c>
      <c r="S5" s="689" t="s">
        <v>419</v>
      </c>
      <c r="T5" s="689" t="s">
        <v>18</v>
      </c>
      <c r="U5" s="689" t="s">
        <v>420</v>
      </c>
      <c r="V5" s="689" t="s">
        <v>20</v>
      </c>
      <c r="W5" s="689" t="s">
        <v>21</v>
      </c>
      <c r="X5" s="748" t="s">
        <v>22</v>
      </c>
      <c r="Y5" s="689" t="s">
        <v>421</v>
      </c>
      <c r="Z5" s="756" t="s">
        <v>24</v>
      </c>
      <c r="AA5" s="758" t="s">
        <v>25</v>
      </c>
      <c r="AB5" s="760"/>
      <c r="AC5" s="752"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762"/>
      <c r="I6" s="756"/>
      <c r="J6" s="756"/>
      <c r="K6" s="689"/>
      <c r="L6" s="689"/>
      <c r="M6" s="689"/>
      <c r="N6" s="689"/>
      <c r="O6" s="689"/>
      <c r="P6" s="689"/>
      <c r="Q6" s="689"/>
      <c r="R6" s="689"/>
      <c r="S6" s="689"/>
      <c r="T6" s="689"/>
      <c r="U6" s="689"/>
      <c r="V6" s="689"/>
      <c r="W6" s="689"/>
      <c r="X6" s="748"/>
      <c r="Y6" s="689"/>
      <c r="Z6" s="756"/>
      <c r="AA6" s="758"/>
      <c r="AB6" s="760"/>
      <c r="AC6" s="752"/>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3"/>
      <c r="B7" s="687"/>
      <c r="C7" s="687"/>
      <c r="D7" s="690"/>
      <c r="E7" s="690"/>
      <c r="F7" s="690"/>
      <c r="G7" s="694"/>
      <c r="H7" s="763"/>
      <c r="I7" s="756"/>
      <c r="J7" s="756"/>
      <c r="K7" s="690"/>
      <c r="L7" s="690"/>
      <c r="M7" s="690"/>
      <c r="N7" s="690"/>
      <c r="O7" s="690"/>
      <c r="P7" s="690"/>
      <c r="Q7" s="690"/>
      <c r="R7" s="690"/>
      <c r="S7" s="690"/>
      <c r="T7" s="690"/>
      <c r="U7" s="690"/>
      <c r="V7" s="690"/>
      <c r="W7" s="690"/>
      <c r="X7" s="749"/>
      <c r="Y7" s="690"/>
      <c r="Z7" s="757"/>
      <c r="AA7" s="759"/>
      <c r="AB7" s="761"/>
      <c r="AC7" s="753"/>
      <c r="AD7" s="696"/>
      <c r="AE7" s="698"/>
      <c r="AF7" s="42" t="s">
        <v>426</v>
      </c>
      <c r="AH7" s="3"/>
      <c r="AI7" s="3"/>
      <c r="AJ7" s="3"/>
      <c r="AK7" s="3"/>
      <c r="AL7" s="3"/>
      <c r="AM7" s="3"/>
      <c r="AN7" s="3"/>
      <c r="AO7" s="3"/>
      <c r="AP7" s="3"/>
      <c r="AQ7" s="3"/>
      <c r="AR7" s="3"/>
      <c r="AS7" s="3"/>
      <c r="AT7" s="3"/>
      <c r="AU7" s="3"/>
      <c r="AV7" s="3"/>
      <c r="AW7" s="3"/>
      <c r="AX7" s="3"/>
    </row>
    <row r="8" spans="1:50" ht="13.5" thickTop="1">
      <c r="A8" s="7">
        <f>[5]March_2026!C8</f>
        <v>1</v>
      </c>
      <c r="B8" s="559">
        <f>[5]March_2026!$B8</f>
        <v>46083</v>
      </c>
      <c r="C8" s="7" t="str">
        <f>[5]March_2026!$D8</f>
        <v>CARIB AMBER</v>
      </c>
      <c r="D8" s="691">
        <v>1.0055555555555555</v>
      </c>
      <c r="E8" s="80">
        <v>1.0527777777777778</v>
      </c>
      <c r="F8" s="80">
        <v>1.2652777777777777</v>
      </c>
      <c r="G8" s="11">
        <v>0.3</v>
      </c>
      <c r="H8" s="82"/>
      <c r="I8" s="32"/>
      <c r="J8" s="86"/>
      <c r="K8" s="71"/>
      <c r="L8" s="71"/>
      <c r="M8" s="71"/>
      <c r="N8" s="71"/>
      <c r="O8" s="71">
        <f>'Uncaser Downtime Detail '!AG128</f>
        <v>43</v>
      </c>
      <c r="P8" s="71">
        <f>'Washer Downtime Detail'!BH129</f>
        <v>4</v>
      </c>
      <c r="Q8" s="71">
        <f>'EBI Downtime Detail'!AI128</f>
        <v>59</v>
      </c>
      <c r="R8" s="71">
        <f>'Filler Downtime Detail'!AK127</f>
        <v>7</v>
      </c>
      <c r="S8" s="71">
        <f>'Pasteurizer Downtime Detail'!Z130</f>
        <v>0</v>
      </c>
      <c r="T8" s="71">
        <f>'Labeler Downtime Detail'!AN128</f>
        <v>0</v>
      </c>
      <c r="U8" s="71">
        <f>'Videojet Downtime Detail '!O129</f>
        <v>0</v>
      </c>
      <c r="V8" s="71">
        <f>'Conveyor Downtime (new)'!AV124</f>
        <v>2</v>
      </c>
      <c r="W8" s="71">
        <f>'Packer Downtime Detail  '!AD129</f>
        <v>14</v>
      </c>
      <c r="X8" s="71">
        <f>'Carton Errector-sealer Detail'!P113</f>
        <v>0</v>
      </c>
      <c r="Y8" s="71"/>
      <c r="Z8" s="43">
        <v>16</v>
      </c>
      <c r="AA8" s="88"/>
      <c r="AB8" s="71">
        <f>4+5</f>
        <v>9</v>
      </c>
      <c r="AC8" s="71"/>
      <c r="AD8" s="44">
        <f>SUM(H8:J8,K8:AC8)</f>
        <v>154</v>
      </c>
      <c r="AE8" s="754">
        <f>G9-D8</f>
        <v>1.026388888888889</v>
      </c>
      <c r="AH8" s="3"/>
      <c r="AI8" s="23"/>
      <c r="AJ8" s="23"/>
      <c r="AK8" s="54"/>
      <c r="AL8" s="3"/>
      <c r="AM8" s="3"/>
      <c r="AN8" s="3"/>
      <c r="AO8" s="3"/>
      <c r="AP8" s="3"/>
      <c r="AQ8" s="3"/>
      <c r="AR8" s="3"/>
      <c r="AS8" s="3"/>
      <c r="AT8" s="3"/>
      <c r="AU8" s="3"/>
      <c r="AV8" s="3"/>
      <c r="AW8" s="3"/>
      <c r="AX8" s="3"/>
    </row>
    <row r="9" spans="1:50">
      <c r="A9" s="7">
        <f>[5]March_2026!C9</f>
        <v>1</v>
      </c>
      <c r="B9" s="559">
        <f>[5]March_2026!$B9</f>
        <v>46083</v>
      </c>
      <c r="C9" s="7" t="str">
        <f>[5]March_2026!$D9</f>
        <v>STAG</v>
      </c>
      <c r="D9" s="681"/>
      <c r="E9" s="80">
        <v>1.2958333333333334</v>
      </c>
      <c r="F9" s="80">
        <v>2</v>
      </c>
      <c r="G9" s="11">
        <v>2.0319444444444446</v>
      </c>
      <c r="H9" s="14"/>
      <c r="I9" s="34">
        <v>9</v>
      </c>
      <c r="J9" s="35"/>
      <c r="K9" s="34"/>
      <c r="L9" s="34"/>
      <c r="M9" s="34"/>
      <c r="N9" s="34"/>
      <c r="O9" s="34">
        <f>'Uncaser Downtime Detail '!AG129</f>
        <v>61</v>
      </c>
      <c r="P9" s="34">
        <f>'Washer Downtime Detail'!BH130</f>
        <v>135</v>
      </c>
      <c r="Q9" s="34">
        <f>'EBI Downtime Detail'!AI129</f>
        <v>37</v>
      </c>
      <c r="R9" s="34">
        <f>'Filler Downtime Detail'!AK128</f>
        <v>31</v>
      </c>
      <c r="S9" s="34">
        <f>'Pasteurizer Downtime Detail'!Z131</f>
        <v>0</v>
      </c>
      <c r="T9" s="34">
        <f>'Labeler Downtime Detail'!AN129</f>
        <v>2</v>
      </c>
      <c r="U9" s="34">
        <f>'Videojet Downtime Detail '!O130</f>
        <v>0</v>
      </c>
      <c r="V9" s="34">
        <f>'Conveyor Downtime (new)'!AV125</f>
        <v>14</v>
      </c>
      <c r="W9" s="34">
        <f>'Packer Downtime Detail  '!AD130</f>
        <v>0</v>
      </c>
      <c r="X9" s="34">
        <f>'Carton Errector-sealer Detail'!P114</f>
        <v>0</v>
      </c>
      <c r="Y9" s="35"/>
      <c r="Z9" s="34">
        <v>31</v>
      </c>
      <c r="AA9" s="90"/>
      <c r="AB9" s="34">
        <f>7</f>
        <v>7</v>
      </c>
      <c r="AC9" s="89"/>
      <c r="AD9" s="44">
        <f>SUM(H9:J9,K9:AC9)</f>
        <v>327</v>
      </c>
      <c r="AE9" s="754"/>
      <c r="AH9" s="3"/>
      <c r="AI9" s="23"/>
      <c r="AJ9" s="23"/>
      <c r="AK9" s="54"/>
      <c r="AL9" s="3"/>
      <c r="AM9" s="3"/>
      <c r="AN9" s="3"/>
      <c r="AO9" s="3"/>
      <c r="AP9" s="3"/>
      <c r="AQ9" s="3"/>
      <c r="AR9" s="3"/>
      <c r="AS9" s="3"/>
      <c r="AT9" s="3"/>
      <c r="AU9" s="3"/>
      <c r="AV9" s="3"/>
      <c r="AW9" s="3"/>
      <c r="AX9" s="3"/>
    </row>
    <row r="10" spans="1:50">
      <c r="A10" s="7">
        <f>[5]March_2026!C10</f>
        <v>2</v>
      </c>
      <c r="B10" s="559">
        <f>[5]March_2026!$B10</f>
        <v>46084</v>
      </c>
      <c r="C10" s="7" t="str">
        <f>[5]March_2026!$D10</f>
        <v>STAG</v>
      </c>
      <c r="D10" s="93">
        <v>1</v>
      </c>
      <c r="E10" s="80">
        <v>1.0034722222222223</v>
      </c>
      <c r="F10" s="80">
        <v>2</v>
      </c>
      <c r="G10" s="11">
        <v>2.026388888888889</v>
      </c>
      <c r="H10" s="82"/>
      <c r="I10" s="32"/>
      <c r="J10" s="86">
        <f>2</f>
        <v>2</v>
      </c>
      <c r="K10" s="71"/>
      <c r="L10" s="71"/>
      <c r="M10" s="71"/>
      <c r="N10" s="71"/>
      <c r="O10" s="71">
        <f>'Uncaser Downtime Detail '!AG130</f>
        <v>137</v>
      </c>
      <c r="P10" s="71">
        <f>'Washer Downtime Detail'!BH131</f>
        <v>184</v>
      </c>
      <c r="Q10" s="71">
        <f>'EBI Downtime Detail'!AI130</f>
        <v>68</v>
      </c>
      <c r="R10" s="71">
        <f>'Filler Downtime Detail'!AK129</f>
        <v>8</v>
      </c>
      <c r="S10" s="71">
        <f>'Pasteurizer Downtime Detail'!Z132</f>
        <v>0</v>
      </c>
      <c r="T10" s="71">
        <f>'Labeler Downtime Detail'!AN130</f>
        <v>0</v>
      </c>
      <c r="U10" s="71">
        <f>'Videojet Downtime Detail '!O131</f>
        <v>0</v>
      </c>
      <c r="V10" s="71">
        <f>'Conveyor Downtime (new)'!AV126</f>
        <v>37</v>
      </c>
      <c r="W10" s="71">
        <f>'Packer Downtime Detail  '!AD131</f>
        <v>0</v>
      </c>
      <c r="X10" s="71">
        <f>'Carton Errector-sealer Detail'!P115</f>
        <v>0</v>
      </c>
      <c r="Y10" s="71"/>
      <c r="Z10" s="43">
        <f>14+24+7+14+5</f>
        <v>64</v>
      </c>
      <c r="AA10" s="88"/>
      <c r="AB10" s="71">
        <f>4+3+6</f>
        <v>13</v>
      </c>
      <c r="AC10" s="71"/>
      <c r="AD10" s="44">
        <f t="shared" ref="AD10:AD16" si="0">SUM(H10:J10,K10:AC10)</f>
        <v>513</v>
      </c>
      <c r="AE10" s="45">
        <f>G10-D10</f>
        <v>1.026388888888889</v>
      </c>
      <c r="AH10" s="3"/>
      <c r="AI10" s="23"/>
      <c r="AJ10" s="23"/>
      <c r="AK10" s="54"/>
      <c r="AL10" s="3"/>
      <c r="AM10" s="3"/>
      <c r="AN10" s="3"/>
      <c r="AO10" s="3"/>
      <c r="AP10" s="3"/>
      <c r="AQ10" s="3"/>
      <c r="AR10" s="3"/>
      <c r="AS10" s="3"/>
      <c r="AT10" s="3"/>
      <c r="AU10" s="3"/>
      <c r="AV10" s="3"/>
      <c r="AW10" s="3"/>
      <c r="AX10" s="3"/>
    </row>
    <row r="11" spans="1:50">
      <c r="A11" s="7">
        <f>[5]March_2026!C11</f>
        <v>3</v>
      </c>
      <c r="B11" s="559">
        <f>[5]March_2026!$B11</f>
        <v>46085</v>
      </c>
      <c r="C11" s="7" t="str">
        <f>[5]March_2026!$D11</f>
        <v>STAG</v>
      </c>
      <c r="D11" s="681">
        <v>1</v>
      </c>
      <c r="E11" s="80">
        <v>1.0138888888888888</v>
      </c>
      <c r="F11" s="80">
        <v>1.3888888888888888</v>
      </c>
      <c r="G11" s="11"/>
      <c r="H11" s="14">
        <v>2</v>
      </c>
      <c r="I11" s="34"/>
      <c r="J11" s="35">
        <f>5</f>
        <v>5</v>
      </c>
      <c r="K11" s="34"/>
      <c r="L11" s="34"/>
      <c r="M11" s="34"/>
      <c r="N11" s="34"/>
      <c r="O11" s="34">
        <f>'Uncaser Downtime Detail '!AG131</f>
        <v>61</v>
      </c>
      <c r="P11" s="34">
        <f>'Washer Downtime Detail'!BH132</f>
        <v>55</v>
      </c>
      <c r="Q11" s="34">
        <f>'EBI Downtime Detail'!AI131</f>
        <v>26</v>
      </c>
      <c r="R11" s="34">
        <f>'Filler Downtime Detail'!AK130</f>
        <v>3</v>
      </c>
      <c r="S11" s="34">
        <f>'Pasteurizer Downtime Detail'!Z133</f>
        <v>0</v>
      </c>
      <c r="T11" s="34">
        <f>'Labeler Downtime Detail'!AN131</f>
        <v>4</v>
      </c>
      <c r="U11" s="34">
        <f>'Videojet Downtime Detail '!O132</f>
        <v>0</v>
      </c>
      <c r="V11" s="34">
        <f>'Conveyor Downtime (new)'!AV127</f>
        <v>7</v>
      </c>
      <c r="W11" s="34">
        <f>'Packer Downtime Detail  '!AD132</f>
        <v>0</v>
      </c>
      <c r="X11" s="34">
        <f>'Carton Errector-sealer Detail'!P116</f>
        <v>0</v>
      </c>
      <c r="Y11" s="35"/>
      <c r="Z11" s="34">
        <v>10</v>
      </c>
      <c r="AA11" s="90"/>
      <c r="AB11" s="89">
        <f>6+4+4</f>
        <v>14</v>
      </c>
      <c r="AC11" s="89"/>
      <c r="AD11" s="44">
        <f t="shared" si="0"/>
        <v>187</v>
      </c>
      <c r="AE11" s="754">
        <f>G12-D11</f>
        <v>1.0284722222222222</v>
      </c>
      <c r="AH11" s="3"/>
      <c r="AI11" s="23"/>
      <c r="AJ11" s="23"/>
      <c r="AK11" s="54"/>
      <c r="AL11" s="3"/>
      <c r="AM11" s="3"/>
      <c r="AN11" s="3"/>
      <c r="AO11" s="3"/>
      <c r="AP11" s="3"/>
      <c r="AQ11" s="3"/>
      <c r="AR11" s="3"/>
      <c r="AS11" s="3"/>
      <c r="AT11" s="3"/>
      <c r="AU11" s="3"/>
      <c r="AV11" s="3"/>
      <c r="AW11" s="3"/>
      <c r="AX11" s="3"/>
    </row>
    <row r="12" spans="1:50">
      <c r="A12" s="7">
        <f>[5]March_2026!C12</f>
        <v>3</v>
      </c>
      <c r="B12" s="559">
        <f>[5]March_2026!$B12</f>
        <v>46085</v>
      </c>
      <c r="C12" s="7" t="str">
        <f>[5]March_2026!$D12</f>
        <v>CARIB AMBER</v>
      </c>
      <c r="D12" s="681"/>
      <c r="E12" s="80">
        <v>1.4270833333333333</v>
      </c>
      <c r="F12" s="80">
        <v>2</v>
      </c>
      <c r="G12" s="11">
        <v>2.0284722222222222</v>
      </c>
      <c r="H12" s="82"/>
      <c r="I12" s="32">
        <f>9</f>
        <v>9</v>
      </c>
      <c r="J12" s="86"/>
      <c r="K12" s="71"/>
      <c r="L12" s="71"/>
      <c r="M12" s="71"/>
      <c r="N12" s="71"/>
      <c r="O12" s="71">
        <f>'Uncaser Downtime Detail '!AG132</f>
        <v>9</v>
      </c>
      <c r="P12" s="71">
        <f>'Washer Downtime Detail'!BH133</f>
        <v>74</v>
      </c>
      <c r="Q12" s="71">
        <f>'EBI Downtime Detail'!AI132</f>
        <v>19</v>
      </c>
      <c r="R12" s="71">
        <f>'Filler Downtime Detail'!AK131</f>
        <v>32</v>
      </c>
      <c r="S12" s="71">
        <f>'Pasteurizer Downtime Detail'!Z134</f>
        <v>0</v>
      </c>
      <c r="T12" s="71">
        <f>'Labeler Downtime Detail'!AN132</f>
        <v>0</v>
      </c>
      <c r="U12" s="71">
        <f>'Videojet Downtime Detail '!O133</f>
        <v>0</v>
      </c>
      <c r="V12" s="71">
        <f>'Conveyor Downtime (new)'!AV128</f>
        <v>115</v>
      </c>
      <c r="W12" s="71">
        <f>'Packer Downtime Detail  '!AD133</f>
        <v>0</v>
      </c>
      <c r="X12" s="71">
        <f>'Carton Errector-sealer Detail'!P117</f>
        <v>0</v>
      </c>
      <c r="Y12" s="71"/>
      <c r="Z12" s="43">
        <f>45+10</f>
        <v>55</v>
      </c>
      <c r="AA12" s="88">
        <v>4</v>
      </c>
      <c r="AB12" s="71">
        <f>15</f>
        <v>15</v>
      </c>
      <c r="AC12" s="71"/>
      <c r="AD12" s="44">
        <f t="shared" si="0"/>
        <v>332</v>
      </c>
      <c r="AE12" s="754"/>
      <c r="AH12" s="3"/>
      <c r="AI12" s="23"/>
      <c r="AJ12" s="23"/>
      <c r="AK12" s="54"/>
      <c r="AL12" s="3"/>
      <c r="AM12" s="3"/>
      <c r="AN12" s="3"/>
      <c r="AO12" s="3"/>
      <c r="AP12" s="3"/>
      <c r="AQ12" s="3"/>
      <c r="AR12" s="3"/>
      <c r="AS12" s="3"/>
      <c r="AT12" s="3"/>
      <c r="AU12" s="3"/>
      <c r="AV12" s="3"/>
      <c r="AW12" s="3"/>
      <c r="AX12" s="3"/>
    </row>
    <row r="13" spans="1:50" ht="14.1" customHeight="1">
      <c r="A13" s="7">
        <f>[5]March_2026!C13</f>
        <v>4</v>
      </c>
      <c r="B13" s="559">
        <f>[5]March_2026!$B13</f>
        <v>46086</v>
      </c>
      <c r="C13" s="7" t="str">
        <f>[5]March_2026!$D13</f>
        <v>CARIB AMBER</v>
      </c>
      <c r="D13" s="681">
        <v>1</v>
      </c>
      <c r="E13" s="80">
        <v>1.0034722222222223</v>
      </c>
      <c r="F13" s="80">
        <v>1.070138888888889</v>
      </c>
      <c r="G13" s="11">
        <v>1.0986111111111112</v>
      </c>
      <c r="H13" s="14"/>
      <c r="I13" s="34"/>
      <c r="J13" s="35"/>
      <c r="K13" s="34"/>
      <c r="L13" s="34"/>
      <c r="M13" s="34"/>
      <c r="N13" s="34"/>
      <c r="O13" s="34">
        <f>'Uncaser Downtime Detail '!AG133</f>
        <v>0</v>
      </c>
      <c r="P13" s="34">
        <f>'Washer Downtime Detail'!BH134</f>
        <v>13</v>
      </c>
      <c r="Q13" s="34">
        <f>'EBI Downtime Detail'!AI133</f>
        <v>2</v>
      </c>
      <c r="R13" s="34">
        <f>'Filler Downtime Detail'!AK132</f>
        <v>0</v>
      </c>
      <c r="S13" s="34">
        <f>'Pasteurizer Downtime Detail'!Z135</f>
        <v>0</v>
      </c>
      <c r="T13" s="34">
        <f>'Labeler Downtime Detail'!AN133</f>
        <v>0</v>
      </c>
      <c r="U13" s="34">
        <f>'Videojet Downtime Detail '!O134</f>
        <v>0</v>
      </c>
      <c r="V13" s="34">
        <f>'Conveyor Downtime (new)'!AV129</f>
        <v>4</v>
      </c>
      <c r="W13" s="34">
        <f>'Packer Downtime Detail  '!AD134</f>
        <v>0</v>
      </c>
      <c r="X13" s="34">
        <f>'Carton Errector-sealer Detail'!P118</f>
        <v>0</v>
      </c>
      <c r="Y13" s="35"/>
      <c r="Z13" s="34"/>
      <c r="AA13" s="90"/>
      <c r="AB13" s="89"/>
      <c r="AC13" s="89"/>
      <c r="AD13" s="44">
        <f t="shared" si="0"/>
        <v>19</v>
      </c>
      <c r="AE13" s="754">
        <f>G14-D13</f>
        <v>1</v>
      </c>
      <c r="AH13" s="3"/>
      <c r="AI13" s="23"/>
      <c r="AJ13" s="23"/>
      <c r="AK13" s="54"/>
      <c r="AL13" s="3"/>
      <c r="AM13" s="3"/>
      <c r="AN13" s="3"/>
      <c r="AO13" s="3"/>
      <c r="AP13" s="3"/>
      <c r="AQ13" s="3"/>
      <c r="AR13" s="3"/>
      <c r="AS13" s="3"/>
      <c r="AT13" s="3"/>
      <c r="AU13" s="3"/>
      <c r="AV13" s="3"/>
      <c r="AW13" s="3"/>
      <c r="AX13" s="3"/>
    </row>
    <row r="14" spans="1:50">
      <c r="A14" s="7">
        <f>[5]March_2026!C14</f>
        <v>4</v>
      </c>
      <c r="B14" s="559">
        <f>[5]March_2026!$B14</f>
        <v>46086</v>
      </c>
      <c r="C14" s="7" t="str">
        <f>[5]March_2026!$D14</f>
        <v>VITA MALT CLASSIC</v>
      </c>
      <c r="D14" s="681"/>
      <c r="E14" s="80">
        <v>1.3013888888888889</v>
      </c>
      <c r="F14" s="80">
        <v>2</v>
      </c>
      <c r="G14" s="11">
        <v>2</v>
      </c>
      <c r="H14" s="82"/>
      <c r="I14" s="32">
        <f>15+20+13+33</f>
        <v>81</v>
      </c>
      <c r="J14" s="86">
        <f>60+60+27+3</f>
        <v>150</v>
      </c>
      <c r="K14" s="71"/>
      <c r="L14" s="71"/>
      <c r="M14" s="71"/>
      <c r="N14" s="71"/>
      <c r="O14" s="71">
        <f>'Uncaser Downtime Detail '!AG134</f>
        <v>30</v>
      </c>
      <c r="P14" s="71">
        <f>'Washer Downtime Detail'!BH135</f>
        <v>158</v>
      </c>
      <c r="Q14" s="71">
        <f>'EBI Downtime Detail'!AI134</f>
        <v>72</v>
      </c>
      <c r="R14" s="71">
        <f>'Filler Downtime Detail'!AK133</f>
        <v>104</v>
      </c>
      <c r="S14" s="71">
        <f>'Pasteurizer Downtime Detail'!Z136</f>
        <v>0</v>
      </c>
      <c r="T14" s="71">
        <f>'Labeler Downtime Detail'!AN134</f>
        <v>0</v>
      </c>
      <c r="U14" s="71">
        <f>'Videojet Downtime Detail '!O135</f>
        <v>0</v>
      </c>
      <c r="V14" s="71">
        <f>'Conveyor Downtime (new)'!AV130</f>
        <v>84</v>
      </c>
      <c r="W14" s="71">
        <f>'Packer Downtime Detail  '!AD135</f>
        <v>0</v>
      </c>
      <c r="X14" s="71">
        <f>'Carton Errector-sealer Detail'!P119</f>
        <v>0</v>
      </c>
      <c r="Y14" s="71"/>
      <c r="Z14" s="43">
        <f>10</f>
        <v>10</v>
      </c>
      <c r="AA14" s="88"/>
      <c r="AB14" s="3">
        <f>2+2+3+2+6+6</f>
        <v>21</v>
      </c>
      <c r="AC14" s="71"/>
      <c r="AD14" s="44">
        <f t="shared" si="0"/>
        <v>710</v>
      </c>
      <c r="AE14" s="754"/>
      <c r="AH14" s="3"/>
      <c r="AI14" s="23"/>
      <c r="AJ14" s="23"/>
      <c r="AK14" s="54"/>
      <c r="AL14" s="3"/>
      <c r="AM14" s="3"/>
      <c r="AN14" s="3"/>
      <c r="AO14" s="3"/>
      <c r="AP14" s="3"/>
      <c r="AQ14" s="3"/>
      <c r="AR14" s="3"/>
      <c r="AS14" s="3"/>
      <c r="AT14" s="3"/>
      <c r="AU14" s="3"/>
      <c r="AV14" s="3"/>
      <c r="AW14" s="3"/>
      <c r="AX14" s="3"/>
    </row>
    <row r="15" spans="1:50">
      <c r="A15" s="7">
        <f>[5]March_2026!C15</f>
        <v>5</v>
      </c>
      <c r="B15" s="559">
        <f>[5]March_2026!$B15</f>
        <v>46087</v>
      </c>
      <c r="C15" s="7" t="str">
        <f>[5]March_2026!$D15</f>
        <v>VITA MALT CLASSIC</v>
      </c>
      <c r="D15" s="681">
        <v>1</v>
      </c>
      <c r="E15" s="83">
        <v>1</v>
      </c>
      <c r="F15" s="80">
        <v>1.2611111111111111</v>
      </c>
      <c r="G15" s="11">
        <v>1.2875000000000001</v>
      </c>
      <c r="H15" s="14"/>
      <c r="I15" s="34"/>
      <c r="J15" s="35"/>
      <c r="K15" s="34"/>
      <c r="L15" s="34"/>
      <c r="M15" s="34"/>
      <c r="N15" s="34"/>
      <c r="O15" s="34">
        <f>'Uncaser Downtime Detail '!AG135</f>
        <v>0</v>
      </c>
      <c r="P15" s="34">
        <f>'Washer Downtime Detail'!BH136</f>
        <v>30</v>
      </c>
      <c r="Q15" s="34">
        <f>'EBI Downtime Detail'!AI135</f>
        <v>12</v>
      </c>
      <c r="R15" s="34">
        <f>'Filler Downtime Detail'!AK134</f>
        <v>0</v>
      </c>
      <c r="S15" s="34">
        <f>'Pasteurizer Downtime Detail'!Z137</f>
        <v>0</v>
      </c>
      <c r="T15" s="34">
        <f>'Labeler Downtime Detail'!AN135</f>
        <v>0</v>
      </c>
      <c r="U15" s="34">
        <f>'Videojet Downtime Detail '!O136</f>
        <v>0</v>
      </c>
      <c r="V15" s="34">
        <f>'Conveyor Downtime (new)'!AV131</f>
        <v>115</v>
      </c>
      <c r="W15" s="34">
        <f>'Packer Downtime Detail  '!AD136</f>
        <v>37</v>
      </c>
      <c r="X15" s="34">
        <f>'Carton Errector-sealer Detail'!P120</f>
        <v>0</v>
      </c>
      <c r="Y15" s="35"/>
      <c r="Z15" s="34"/>
      <c r="AA15" s="90"/>
      <c r="AB15" s="89"/>
      <c r="AC15" s="89"/>
      <c r="AD15" s="44">
        <f t="shared" si="0"/>
        <v>194</v>
      </c>
      <c r="AE15" s="754">
        <f>G17-D15</f>
        <v>0.85416666666666674</v>
      </c>
      <c r="AH15" s="3"/>
      <c r="AI15" s="23"/>
      <c r="AJ15" s="23"/>
      <c r="AK15" s="54"/>
      <c r="AL15" s="3"/>
      <c r="AM15" s="3"/>
      <c r="AN15" s="3"/>
      <c r="AO15" s="3"/>
      <c r="AP15" s="3"/>
      <c r="AQ15" s="3"/>
      <c r="AR15" s="3"/>
      <c r="AS15" s="3"/>
      <c r="AT15" s="3"/>
      <c r="AU15" s="3"/>
      <c r="AV15" s="3"/>
      <c r="AW15" s="3"/>
      <c r="AX15" s="3"/>
    </row>
    <row r="16" spans="1:50">
      <c r="A16" s="7">
        <f>[5]March_2026!C16</f>
        <v>5</v>
      </c>
      <c r="B16" s="559">
        <f>[5]March_2026!$B16</f>
        <v>46087</v>
      </c>
      <c r="C16" s="7" t="str">
        <f>[5]March_2026!$D16</f>
        <v>VITA MALT GINGER</v>
      </c>
      <c r="D16" s="681"/>
      <c r="E16" s="80">
        <v>1.2673611111111112</v>
      </c>
      <c r="F16" s="80">
        <v>1.3805555555555555</v>
      </c>
      <c r="G16" s="11">
        <v>1.4076388888888889</v>
      </c>
      <c r="H16" s="82"/>
      <c r="I16" s="32">
        <v>9</v>
      </c>
      <c r="J16" s="86"/>
      <c r="K16" s="71"/>
      <c r="L16" s="71"/>
      <c r="M16" s="71"/>
      <c r="N16" s="71"/>
      <c r="O16" s="71">
        <f>'Uncaser Downtime Detail '!AG136</f>
        <v>9</v>
      </c>
      <c r="P16" s="71">
        <f>'Washer Downtime Detail'!BH137</f>
        <v>46</v>
      </c>
      <c r="Q16" s="71">
        <f>'EBI Downtime Detail'!AI136</f>
        <v>2</v>
      </c>
      <c r="R16" s="71">
        <f>'Filler Downtime Detail'!AK135</f>
        <v>2</v>
      </c>
      <c r="S16" s="71">
        <f>'Pasteurizer Downtime Detail'!Z138</f>
        <v>0</v>
      </c>
      <c r="T16" s="71">
        <f>'Labeler Downtime Detail'!AN136</f>
        <v>0</v>
      </c>
      <c r="U16" s="71">
        <f>'Videojet Downtime Detail '!O137</f>
        <v>0</v>
      </c>
      <c r="V16" s="71">
        <f>'Conveyor Downtime (new)'!AV132</f>
        <v>12</v>
      </c>
      <c r="W16" s="71">
        <f>'Packer Downtime Detail  '!AD137</f>
        <v>0</v>
      </c>
      <c r="X16" s="71">
        <f>'Carton Errector-sealer Detail'!P121</f>
        <v>0</v>
      </c>
      <c r="Y16" s="71"/>
      <c r="Z16" s="43"/>
      <c r="AA16" s="88"/>
      <c r="AB16" s="71"/>
      <c r="AC16" s="71"/>
      <c r="AD16" s="44">
        <f t="shared" si="0"/>
        <v>80</v>
      </c>
      <c r="AE16" s="754"/>
      <c r="AH16" s="3"/>
      <c r="AI16" s="23"/>
      <c r="AJ16" s="23"/>
      <c r="AK16" s="54"/>
      <c r="AL16" s="3"/>
      <c r="AM16" s="3"/>
      <c r="AN16" s="3"/>
      <c r="AO16" s="3"/>
      <c r="AP16" s="3"/>
      <c r="AQ16" s="3"/>
      <c r="AR16" s="3"/>
      <c r="AS16" s="3"/>
      <c r="AT16" s="3"/>
      <c r="AU16" s="3"/>
      <c r="AV16" s="3"/>
      <c r="AW16" s="3"/>
      <c r="AX16" s="3"/>
    </row>
    <row r="17" spans="1:50">
      <c r="A17" s="7">
        <f>[5]March_2026!C17</f>
        <v>6</v>
      </c>
      <c r="B17" s="559">
        <f>[5]March_2026!$B17</f>
        <v>46087</v>
      </c>
      <c r="C17" s="7" t="str">
        <f>[5]March_2026!$D17</f>
        <v>GUINNESS</v>
      </c>
      <c r="D17" s="681"/>
      <c r="E17" s="80">
        <v>1.4638888888888888</v>
      </c>
      <c r="F17" s="80">
        <v>1.8243055555555556</v>
      </c>
      <c r="G17" s="11">
        <v>1.8541666666666667</v>
      </c>
      <c r="H17" s="14"/>
      <c r="I17" s="34">
        <f>52+60+8</f>
        <v>120</v>
      </c>
      <c r="J17" s="34"/>
      <c r="K17" s="34"/>
      <c r="L17" s="34"/>
      <c r="M17" s="34"/>
      <c r="N17" s="34"/>
      <c r="O17" s="34">
        <f>'Uncaser Downtime Detail '!AG137</f>
        <v>0</v>
      </c>
      <c r="P17" s="34">
        <f>'Washer Downtime Detail'!BH138</f>
        <v>30</v>
      </c>
      <c r="Q17" s="34">
        <f>'EBI Downtime Detail'!AI137</f>
        <v>28</v>
      </c>
      <c r="R17" s="34">
        <f>'Filler Downtime Detail'!AK136</f>
        <v>1</v>
      </c>
      <c r="S17" s="34">
        <f>'Pasteurizer Downtime Detail'!Z139</f>
        <v>0</v>
      </c>
      <c r="T17" s="34">
        <f>'Labeler Downtime Detail'!AN137</f>
        <v>41</v>
      </c>
      <c r="U17" s="34">
        <f>'Videojet Downtime Detail '!O138</f>
        <v>0</v>
      </c>
      <c r="V17" s="34">
        <f>'Conveyor Downtime (new)'!AV133</f>
        <v>2</v>
      </c>
      <c r="W17" s="34">
        <f>'Packer Downtime Detail  '!AD138</f>
        <v>0</v>
      </c>
      <c r="X17" s="34">
        <f>'Carton Errector-sealer Detail'!P122</f>
        <v>0</v>
      </c>
      <c r="Y17" s="35"/>
      <c r="Z17" s="34">
        <v>7</v>
      </c>
      <c r="AA17" s="90"/>
      <c r="AB17" s="89"/>
      <c r="AC17" s="89"/>
      <c r="AD17" s="44">
        <f t="shared" ref="AD17:AD37" si="1">SUM(H17:J17,K17:AC17)</f>
        <v>229</v>
      </c>
      <c r="AE17" s="754"/>
      <c r="AH17" s="3"/>
      <c r="AI17" s="23"/>
      <c r="AJ17" s="23"/>
      <c r="AK17" s="54"/>
      <c r="AL17" s="3"/>
      <c r="AM17" s="3"/>
      <c r="AN17" s="3"/>
      <c r="AO17" s="3"/>
      <c r="AP17" s="3"/>
      <c r="AQ17" s="3"/>
      <c r="AR17" s="3"/>
      <c r="AS17" s="3"/>
      <c r="AT17" s="3"/>
      <c r="AU17" s="3"/>
      <c r="AV17" s="3"/>
      <c r="AW17" s="3"/>
      <c r="AX17" s="3"/>
    </row>
    <row r="18" spans="1:50">
      <c r="A18" s="7">
        <f>[5]March_2026!C18</f>
        <v>7</v>
      </c>
      <c r="B18" s="559">
        <f>[5]March_2026!$B18</f>
        <v>46089</v>
      </c>
      <c r="C18" s="7" t="str">
        <f>[5]March_2026!$D18</f>
        <v>CARIB AMBER</v>
      </c>
      <c r="D18" s="159">
        <v>0.3263888888888889</v>
      </c>
      <c r="E18" s="80">
        <v>0.44444444444444442</v>
      </c>
      <c r="F18" s="80">
        <v>1</v>
      </c>
      <c r="G18" s="11">
        <v>1.0333333333333334</v>
      </c>
      <c r="H18" s="82"/>
      <c r="I18" s="32"/>
      <c r="J18" s="86">
        <f>2</f>
        <v>2</v>
      </c>
      <c r="K18" s="71"/>
      <c r="L18" s="71"/>
      <c r="M18" s="71"/>
      <c r="N18" s="71"/>
      <c r="O18" s="71">
        <f>'Uncaser Downtime Detail '!AG138</f>
        <v>63</v>
      </c>
      <c r="P18" s="71">
        <f>'Washer Downtime Detail'!BH139</f>
        <v>76</v>
      </c>
      <c r="Q18" s="71">
        <f>'EBI Downtime Detail'!AI138</f>
        <v>28</v>
      </c>
      <c r="R18" s="71">
        <f>'Filler Downtime Detail'!AK137</f>
        <v>54</v>
      </c>
      <c r="S18" s="71">
        <f>'Pasteurizer Downtime Detail'!Z140</f>
        <v>0</v>
      </c>
      <c r="T18" s="71">
        <f>'Labeler Downtime Detail'!AN138</f>
        <v>0</v>
      </c>
      <c r="U18" s="71">
        <f>'Videojet Downtime Detail '!O139</f>
        <v>0</v>
      </c>
      <c r="V18" s="71">
        <f>'Conveyor Downtime (new)'!AV134</f>
        <v>17</v>
      </c>
      <c r="W18" s="71">
        <f>'Packer Downtime Detail  '!AD139</f>
        <v>0</v>
      </c>
      <c r="X18" s="71">
        <f>'Carton Errector-sealer Detail'!P123</f>
        <v>0</v>
      </c>
      <c r="Y18" s="71"/>
      <c r="Z18" s="43">
        <f>10+60+60+40</f>
        <v>170</v>
      </c>
      <c r="AA18" s="88"/>
      <c r="AB18" s="71">
        <f>4+3</f>
        <v>7</v>
      </c>
      <c r="AC18" s="71"/>
      <c r="AD18" s="44">
        <f t="shared" si="1"/>
        <v>417</v>
      </c>
      <c r="AE18" s="45">
        <f>G18-D18</f>
        <v>0.7069444444444446</v>
      </c>
      <c r="AH18" s="3"/>
      <c r="AI18" s="23"/>
      <c r="AJ18" s="23"/>
      <c r="AK18" s="54"/>
      <c r="AL18" s="3"/>
      <c r="AM18" s="3"/>
      <c r="AN18" s="3"/>
      <c r="AO18" s="3"/>
      <c r="AP18" s="3"/>
      <c r="AQ18" s="3"/>
      <c r="AR18" s="3"/>
      <c r="AS18" s="3"/>
      <c r="AT18" s="3"/>
      <c r="AU18" s="3"/>
      <c r="AV18" s="3"/>
      <c r="AW18" s="3"/>
      <c r="AX18" s="3"/>
    </row>
    <row r="19" spans="1:50">
      <c r="A19" s="7">
        <f>[5]March_2026!C19</f>
        <v>8</v>
      </c>
      <c r="B19" s="559">
        <f>[5]March_2026!$B19</f>
        <v>46090</v>
      </c>
      <c r="C19" s="7" t="str">
        <f>[5]March_2026!$D19</f>
        <v>CARIB AMBER</v>
      </c>
      <c r="D19" s="93">
        <v>1</v>
      </c>
      <c r="E19" s="80">
        <v>1.007638888888889</v>
      </c>
      <c r="F19" s="80">
        <v>2</v>
      </c>
      <c r="G19" s="11">
        <v>2.0381944444444446</v>
      </c>
      <c r="H19" s="14"/>
      <c r="I19" s="34"/>
      <c r="J19" s="35">
        <f>31+60+60+10</f>
        <v>161</v>
      </c>
      <c r="K19" s="34"/>
      <c r="L19" s="34"/>
      <c r="M19" s="34"/>
      <c r="N19" s="34">
        <f>24+30</f>
        <v>54</v>
      </c>
      <c r="O19" s="34">
        <f>'Uncaser Downtime Detail '!AG139</f>
        <v>33</v>
      </c>
      <c r="P19" s="34">
        <f>'Washer Downtime Detail'!BH140</f>
        <v>82</v>
      </c>
      <c r="Q19" s="34">
        <f>'EBI Downtime Detail'!AI139</f>
        <v>38</v>
      </c>
      <c r="R19" s="34">
        <f>'Filler Downtime Detail'!AK138</f>
        <v>2</v>
      </c>
      <c r="S19" s="34">
        <f>'Pasteurizer Downtime Detail'!Z141</f>
        <v>6</v>
      </c>
      <c r="T19" s="34">
        <f>'Labeler Downtime Detail'!AN139</f>
        <v>8</v>
      </c>
      <c r="U19" s="34">
        <f>'Videojet Downtime Detail '!O140</f>
        <v>0</v>
      </c>
      <c r="V19" s="34">
        <f>'Conveyor Downtime (new)'!AV135</f>
        <v>10</v>
      </c>
      <c r="W19" s="34">
        <f>'Packer Downtime Detail  '!AD140</f>
        <v>10</v>
      </c>
      <c r="X19" s="34">
        <f>'Carton Errector-sealer Detail'!P124</f>
        <v>0</v>
      </c>
      <c r="Y19" s="35"/>
      <c r="Z19" s="34">
        <f>11+27+60+60+60+30+30</f>
        <v>278</v>
      </c>
      <c r="AA19" s="90"/>
      <c r="AB19" s="89"/>
      <c r="AC19" s="89"/>
      <c r="AD19" s="44">
        <f t="shared" si="1"/>
        <v>682</v>
      </c>
      <c r="AE19" s="45">
        <f>G19-D19</f>
        <v>1.0381944444444446</v>
      </c>
      <c r="AH19" s="3"/>
      <c r="AI19" s="23"/>
      <c r="AJ19" s="23"/>
      <c r="AK19" s="54"/>
      <c r="AL19" s="3"/>
      <c r="AM19" s="3"/>
      <c r="AN19" s="3"/>
      <c r="AO19" s="3"/>
      <c r="AP19" s="3"/>
      <c r="AQ19" s="3"/>
      <c r="AR19" s="3"/>
      <c r="AS19" s="3"/>
      <c r="AT19" s="3"/>
      <c r="AU19" s="3"/>
      <c r="AV19" s="3"/>
      <c r="AW19" s="3"/>
      <c r="AX19" s="3"/>
    </row>
    <row r="20" spans="1:50">
      <c r="A20" s="7">
        <f>[5]March_2026!C20</f>
        <v>9</v>
      </c>
      <c r="B20" s="559">
        <f>[5]March_2026!$B20</f>
        <v>46091</v>
      </c>
      <c r="C20" s="7" t="str">
        <f>[5]March_2026!$D20</f>
        <v>CARIB AMBER</v>
      </c>
      <c r="D20" s="681">
        <v>1</v>
      </c>
      <c r="E20" s="80">
        <v>1.007638888888889</v>
      </c>
      <c r="F20" s="80">
        <v>1.7083333333333333</v>
      </c>
      <c r="G20" s="11">
        <v>1.7604166666666667</v>
      </c>
      <c r="H20" s="82"/>
      <c r="I20" s="32"/>
      <c r="J20" s="86">
        <f>3</f>
        <v>3</v>
      </c>
      <c r="K20" s="71"/>
      <c r="L20" s="71"/>
      <c r="M20" s="71"/>
      <c r="N20" s="71"/>
      <c r="O20" s="71">
        <f>'Uncaser Downtime Detail '!AG140</f>
        <v>50</v>
      </c>
      <c r="P20" s="71">
        <f>'Washer Downtime Detail'!BH141</f>
        <v>59</v>
      </c>
      <c r="Q20" s="71">
        <f>'EBI Downtime Detail'!AI140</f>
        <v>32</v>
      </c>
      <c r="R20" s="71">
        <f>'Filler Downtime Detail'!AK139</f>
        <v>14</v>
      </c>
      <c r="S20" s="71">
        <f>'Pasteurizer Downtime Detail'!Z142</f>
        <v>3</v>
      </c>
      <c r="T20" s="71">
        <f>'Labeler Downtime Detail'!AN140</f>
        <v>3</v>
      </c>
      <c r="U20" s="71">
        <f>'Videojet Downtime Detail '!O141</f>
        <v>0</v>
      </c>
      <c r="V20" s="71">
        <f>'Conveyor Downtime (new)'!AV136</f>
        <v>12</v>
      </c>
      <c r="W20" s="71">
        <f>'Packer Downtime Detail  '!AD141</f>
        <v>7</v>
      </c>
      <c r="X20" s="71">
        <f>'Carton Errector-sealer Detail'!P125</f>
        <v>0</v>
      </c>
      <c r="Y20" s="71"/>
      <c r="Z20" s="43">
        <f>11+3+6</f>
        <v>20</v>
      </c>
      <c r="AA20" s="88"/>
      <c r="AB20" s="71">
        <f>3+4+4+6+3+4+4+4</f>
        <v>32</v>
      </c>
      <c r="AC20" s="71"/>
      <c r="AD20" s="44">
        <f t="shared" si="1"/>
        <v>235</v>
      </c>
      <c r="AE20" s="754">
        <f>G21-D20</f>
        <v>1.03125</v>
      </c>
      <c r="AH20" s="3"/>
      <c r="AI20" s="23"/>
      <c r="AJ20" s="23"/>
      <c r="AK20" s="54"/>
      <c r="AL20" s="3"/>
      <c r="AM20" s="3"/>
      <c r="AN20" s="3"/>
      <c r="AO20" s="3"/>
      <c r="AP20" s="3"/>
      <c r="AQ20" s="3"/>
      <c r="AR20" s="3"/>
      <c r="AS20" s="3"/>
      <c r="AT20" s="3"/>
      <c r="AU20" s="3"/>
      <c r="AV20" s="3"/>
      <c r="AW20" s="3"/>
      <c r="AX20" s="3"/>
    </row>
    <row r="21" spans="1:50">
      <c r="A21" s="7">
        <f>[5]March_2026!C21</f>
        <v>9</v>
      </c>
      <c r="B21" s="559">
        <f>[5]March_2026!$B21</f>
        <v>46091</v>
      </c>
      <c r="C21" s="7" t="str">
        <f>[5]March_2026!$D21</f>
        <v>CARIBE PERSSECO (LOCAL )</v>
      </c>
      <c r="D21" s="681"/>
      <c r="E21" s="80">
        <v>1.8</v>
      </c>
      <c r="F21" s="80">
        <v>2</v>
      </c>
      <c r="G21" s="11">
        <v>2.03125</v>
      </c>
      <c r="H21" s="14"/>
      <c r="I21" s="34">
        <f>60+20</f>
        <v>80</v>
      </c>
      <c r="J21" s="35">
        <f>34</f>
        <v>34</v>
      </c>
      <c r="K21" s="34"/>
      <c r="L21" s="34"/>
      <c r="M21" s="34"/>
      <c r="N21" s="34"/>
      <c r="O21" s="34">
        <f>'Uncaser Downtime Detail '!AG141</f>
        <v>5</v>
      </c>
      <c r="P21" s="34">
        <f>'Washer Downtime Detail'!BH142</f>
        <v>2</v>
      </c>
      <c r="Q21" s="34">
        <f>'EBI Downtime Detail'!AI141</f>
        <v>2</v>
      </c>
      <c r="R21" s="34">
        <f>'Filler Downtime Detail'!AK140</f>
        <v>24</v>
      </c>
      <c r="S21" s="34">
        <f>'Pasteurizer Downtime Detail'!Z143</f>
        <v>0</v>
      </c>
      <c r="T21" s="34">
        <f>'Labeler Downtime Detail'!AN141</f>
        <v>31</v>
      </c>
      <c r="U21" s="34">
        <f>'Videojet Downtime Detail '!O142</f>
        <v>22</v>
      </c>
      <c r="V21" s="34">
        <f>'Conveyor Downtime (new)'!AV137</f>
        <v>6</v>
      </c>
      <c r="W21" s="34">
        <f>'Packer Downtime Detail  '!AD142</f>
        <v>9</v>
      </c>
      <c r="X21" s="34">
        <f>'Carton Errector-sealer Detail'!P126</f>
        <v>5</v>
      </c>
      <c r="Y21" s="35"/>
      <c r="Z21" s="34"/>
      <c r="AA21" s="90"/>
      <c r="AB21" s="89">
        <f>2+2+2</f>
        <v>6</v>
      </c>
      <c r="AC21" s="89"/>
      <c r="AD21" s="44">
        <f t="shared" si="1"/>
        <v>226</v>
      </c>
      <c r="AE21" s="754"/>
      <c r="AH21" s="3"/>
      <c r="AI21" s="23"/>
      <c r="AJ21" s="23"/>
      <c r="AK21" s="54"/>
      <c r="AL21" s="3"/>
      <c r="AM21" s="3"/>
      <c r="AN21" s="3"/>
      <c r="AO21" s="3"/>
      <c r="AP21" s="3"/>
      <c r="AQ21" s="3"/>
      <c r="AR21" s="3"/>
      <c r="AS21" s="3"/>
      <c r="AT21" s="3"/>
      <c r="AU21" s="3"/>
      <c r="AV21" s="3"/>
      <c r="AW21" s="3"/>
      <c r="AX21" s="3"/>
    </row>
    <row r="22" spans="1:50">
      <c r="A22" s="7">
        <f>[5]March_2026!C22</f>
        <v>10</v>
      </c>
      <c r="B22" s="559">
        <f>[5]March_2026!$B22</f>
        <v>46092</v>
      </c>
      <c r="C22" s="7" t="str">
        <f>[5]March_2026!$D22</f>
        <v>CARIBE PERSSECO (LOCAL )</v>
      </c>
      <c r="D22" s="681">
        <v>1</v>
      </c>
      <c r="E22" s="80">
        <v>1.0104166666666667</v>
      </c>
      <c r="F22" s="80">
        <v>1.1944444444444444</v>
      </c>
      <c r="G22" s="11"/>
      <c r="H22" s="82"/>
      <c r="I22" s="32"/>
      <c r="J22" s="86"/>
      <c r="K22" s="71"/>
      <c r="L22" s="71"/>
      <c r="M22" s="71"/>
      <c r="N22" s="71"/>
      <c r="O22" s="71">
        <f>'Uncaser Downtime Detail '!AG142</f>
        <v>0</v>
      </c>
      <c r="P22" s="71">
        <f>'Washer Downtime Detail'!BH143</f>
        <v>21</v>
      </c>
      <c r="Q22" s="71">
        <f>'EBI Downtime Detail'!AI142</f>
        <v>43</v>
      </c>
      <c r="R22" s="71">
        <f>'Filler Downtime Detail'!AK141</f>
        <v>2</v>
      </c>
      <c r="S22" s="71">
        <f>'Pasteurizer Downtime Detail'!Z144</f>
        <v>0</v>
      </c>
      <c r="T22" s="71">
        <f>'Labeler Downtime Detail'!AN142</f>
        <v>8</v>
      </c>
      <c r="U22" s="71">
        <f>'Videojet Downtime Detail '!O143</f>
        <v>0</v>
      </c>
      <c r="V22" s="71">
        <f>'Conveyor Downtime (new)'!AV138</f>
        <v>0</v>
      </c>
      <c r="W22" s="71">
        <f>'Packer Downtime Detail  '!AD143</f>
        <v>0</v>
      </c>
      <c r="X22" s="71">
        <f>'Carton Errector-sealer Detail'!P127</f>
        <v>0</v>
      </c>
      <c r="Y22" s="71"/>
      <c r="Z22" s="43"/>
      <c r="AA22" s="88"/>
      <c r="AB22" s="71"/>
      <c r="AC22" s="71"/>
      <c r="AD22" s="44">
        <f t="shared" si="1"/>
        <v>74</v>
      </c>
      <c r="AE22" s="754">
        <f>G24-D22</f>
        <v>1.0291666666666668</v>
      </c>
      <c r="AH22" s="3"/>
      <c r="AI22" s="23"/>
      <c r="AJ22" s="23"/>
      <c r="AK22" s="54"/>
      <c r="AL22" s="3"/>
      <c r="AM22" s="3"/>
      <c r="AN22" s="3"/>
      <c r="AO22" s="3"/>
      <c r="AP22" s="3"/>
      <c r="AQ22" s="3"/>
      <c r="AR22" s="3"/>
      <c r="AS22" s="3"/>
      <c r="AT22" s="3"/>
      <c r="AU22" s="3"/>
      <c r="AV22" s="3"/>
      <c r="AW22" s="3"/>
      <c r="AX22" s="3"/>
    </row>
    <row r="23" spans="1:50" ht="12.75" customHeight="1">
      <c r="A23" s="7">
        <f>[5]March_2026!C23</f>
        <v>10</v>
      </c>
      <c r="B23" s="559">
        <f>[5]March_2026!$B23</f>
        <v>46092</v>
      </c>
      <c r="C23" s="7" t="str">
        <f>[5]March_2026!$D23</f>
        <v>CARIBE ROSE (LOCAL)</v>
      </c>
      <c r="D23" s="681"/>
      <c r="E23" s="80">
        <v>1.2124999999999999</v>
      </c>
      <c r="F23" s="80">
        <v>1.5375000000000001</v>
      </c>
      <c r="G23" s="11">
        <v>0.61597222222222225</v>
      </c>
      <c r="H23" s="14"/>
      <c r="I23" s="34">
        <f>20+8</f>
        <v>28</v>
      </c>
      <c r="J23" s="35"/>
      <c r="K23" s="34"/>
      <c r="L23" s="34"/>
      <c r="M23" s="34"/>
      <c r="N23" s="34"/>
      <c r="O23" s="34">
        <f>'Uncaser Downtime Detail '!AG143</f>
        <v>22</v>
      </c>
      <c r="P23" s="34">
        <f>'Washer Downtime Detail'!BH144</f>
        <v>18</v>
      </c>
      <c r="Q23" s="34">
        <f>'EBI Downtime Detail'!AI143</f>
        <v>30</v>
      </c>
      <c r="R23" s="34">
        <f>'Filler Downtime Detail'!AK142</f>
        <v>3</v>
      </c>
      <c r="S23" s="34">
        <f>'Pasteurizer Downtime Detail'!Z145</f>
        <v>0</v>
      </c>
      <c r="T23" s="34">
        <f>'Labeler Downtime Detail'!AN143</f>
        <v>0</v>
      </c>
      <c r="U23" s="34">
        <f>'Videojet Downtime Detail '!O144</f>
        <v>0</v>
      </c>
      <c r="V23" s="34">
        <f>'Conveyor Downtime (new)'!AV139</f>
        <v>0</v>
      </c>
      <c r="W23" s="34">
        <f>'Packer Downtime Detail  '!AD144</f>
        <v>0</v>
      </c>
      <c r="X23" s="34">
        <f>'Carton Errector-sealer Detail'!P128</f>
        <v>58</v>
      </c>
      <c r="Y23" s="35"/>
      <c r="Z23" s="34">
        <f>6</f>
        <v>6</v>
      </c>
      <c r="AA23" s="90"/>
      <c r="AB23" s="89">
        <f>5+8</f>
        <v>13</v>
      </c>
      <c r="AC23" s="89"/>
      <c r="AD23" s="44">
        <f t="shared" si="1"/>
        <v>178</v>
      </c>
      <c r="AE23" s="754"/>
      <c r="AH23" s="3"/>
      <c r="AI23" s="23"/>
      <c r="AJ23" s="23"/>
      <c r="AK23" s="54"/>
      <c r="AL23" s="3"/>
      <c r="AM23" s="3"/>
      <c r="AN23" s="3"/>
      <c r="AO23" s="3"/>
      <c r="AP23" s="3"/>
      <c r="AQ23" s="3"/>
      <c r="AR23" s="3"/>
      <c r="AS23" s="3"/>
      <c r="AT23" s="3"/>
      <c r="AU23" s="3"/>
      <c r="AV23" s="3"/>
      <c r="AW23" s="3"/>
      <c r="AX23" s="3"/>
    </row>
    <row r="24" spans="1:50">
      <c r="A24" s="7">
        <f>[5]March_2026!C24</f>
        <v>10</v>
      </c>
      <c r="B24" s="559">
        <f>[5]March_2026!$B24</f>
        <v>46092</v>
      </c>
      <c r="C24" s="7" t="str">
        <f>[5]March_2026!$D24</f>
        <v>STAG</v>
      </c>
      <c r="D24" s="681"/>
      <c r="E24" s="80">
        <v>1.6375</v>
      </c>
      <c r="F24" s="80">
        <v>2</v>
      </c>
      <c r="G24" s="11">
        <v>2.0291666666666668</v>
      </c>
      <c r="H24" s="82">
        <v>10</v>
      </c>
      <c r="I24" s="32">
        <f>2+60</f>
        <v>62</v>
      </c>
      <c r="J24" s="86"/>
      <c r="K24" s="71"/>
      <c r="L24" s="71"/>
      <c r="M24" s="71"/>
      <c r="N24" s="71"/>
      <c r="O24" s="71">
        <f>'Uncaser Downtime Detail '!AG144</f>
        <v>12</v>
      </c>
      <c r="P24" s="71">
        <f>'Washer Downtime Detail'!BH145</f>
        <v>35</v>
      </c>
      <c r="Q24" s="71">
        <f>'EBI Downtime Detail'!AI144</f>
        <v>1</v>
      </c>
      <c r="R24" s="71">
        <f>'Filler Downtime Detail'!AK143</f>
        <v>87</v>
      </c>
      <c r="S24" s="71">
        <f>'Pasteurizer Downtime Detail'!Z146</f>
        <v>0</v>
      </c>
      <c r="T24" s="71">
        <f>'Labeler Downtime Detail'!AN144</f>
        <v>7</v>
      </c>
      <c r="U24" s="71">
        <f>'Videojet Downtime Detail '!O145</f>
        <v>0</v>
      </c>
      <c r="V24" s="71">
        <f>'Conveyor Downtime (new)'!AV140</f>
        <v>4</v>
      </c>
      <c r="W24" s="71">
        <f>'Packer Downtime Detail  '!AD145</f>
        <v>35</v>
      </c>
      <c r="X24" s="71">
        <f>'Carton Errector-sealer Detail'!P129</f>
        <v>0</v>
      </c>
      <c r="Y24" s="71"/>
      <c r="Z24" s="43">
        <v>18</v>
      </c>
      <c r="AA24" s="88">
        <v>1</v>
      </c>
      <c r="AB24" s="71"/>
      <c r="AC24" s="71"/>
      <c r="AD24" s="44">
        <f t="shared" si="1"/>
        <v>272</v>
      </c>
      <c r="AE24" s="754"/>
      <c r="AH24" s="3"/>
      <c r="AI24" s="23"/>
      <c r="AJ24" s="23"/>
      <c r="AK24" s="54"/>
      <c r="AL24" s="3"/>
      <c r="AM24" s="3"/>
      <c r="AN24" s="3"/>
      <c r="AO24" s="3"/>
      <c r="AP24" s="3"/>
      <c r="AQ24" s="3"/>
      <c r="AR24" s="3"/>
      <c r="AS24" s="3"/>
      <c r="AT24" s="3"/>
      <c r="AU24" s="3"/>
      <c r="AV24" s="3"/>
      <c r="AW24" s="3"/>
      <c r="AX24" s="3"/>
    </row>
    <row r="25" spans="1:50">
      <c r="A25" s="7">
        <f>[5]March_2026!C25</f>
        <v>11</v>
      </c>
      <c r="B25" s="559">
        <f>[5]March_2026!$B25</f>
        <v>46093</v>
      </c>
      <c r="C25" s="7" t="str">
        <f>[5]March_2026!$D25</f>
        <v>STAG</v>
      </c>
      <c r="D25" s="681">
        <v>1</v>
      </c>
      <c r="E25" s="80">
        <v>1.0083333333333333</v>
      </c>
      <c r="F25" s="80">
        <v>1.59375</v>
      </c>
      <c r="G25" s="11">
        <v>1.6381944444444445</v>
      </c>
      <c r="H25" s="14"/>
      <c r="I25" s="34"/>
      <c r="J25" s="35"/>
      <c r="K25" s="34"/>
      <c r="L25" s="34"/>
      <c r="M25" s="34"/>
      <c r="N25" s="34"/>
      <c r="O25" s="34">
        <f>'Uncaser Downtime Detail '!AG145</f>
        <v>6</v>
      </c>
      <c r="P25" s="34">
        <f>'Washer Downtime Detail'!BH146</f>
        <v>44</v>
      </c>
      <c r="Q25" s="34">
        <f>'EBI Downtime Detail'!AI145</f>
        <v>30</v>
      </c>
      <c r="R25" s="34">
        <f>'Filler Downtime Detail'!AK144</f>
        <v>7</v>
      </c>
      <c r="S25" s="34">
        <f>'Pasteurizer Downtime Detail'!Z147</f>
        <v>0</v>
      </c>
      <c r="T25" s="34">
        <f>'Labeler Downtime Detail'!AN145</f>
        <v>7</v>
      </c>
      <c r="U25" s="34">
        <f>'Videojet Downtime Detail '!O146</f>
        <v>0</v>
      </c>
      <c r="V25" s="34">
        <f>'Conveyor Downtime (new)'!AV141</f>
        <v>19</v>
      </c>
      <c r="W25" s="34">
        <f>'Packer Downtime Detail  '!AD146</f>
        <v>7</v>
      </c>
      <c r="X25" s="34">
        <f>'Carton Errector-sealer Detail'!P130</f>
        <v>0</v>
      </c>
      <c r="Y25" s="35"/>
      <c r="Z25" s="34">
        <v>12</v>
      </c>
      <c r="AA25" s="90">
        <v>5</v>
      </c>
      <c r="AB25" s="89">
        <f>7+8</f>
        <v>15</v>
      </c>
      <c r="AC25" s="89"/>
      <c r="AD25" s="44">
        <f t="shared" si="1"/>
        <v>152</v>
      </c>
      <c r="AE25" s="754">
        <f>G26-D25</f>
        <v>1.0277777777777777</v>
      </c>
      <c r="AH25" s="3"/>
      <c r="AI25" s="23"/>
      <c r="AJ25" s="23"/>
      <c r="AK25" s="54"/>
      <c r="AL25" s="3"/>
      <c r="AM25" s="3"/>
      <c r="AN25" s="3"/>
      <c r="AO25" s="3"/>
      <c r="AP25" s="3"/>
      <c r="AQ25" s="3"/>
      <c r="AR25" s="3"/>
      <c r="AS25" s="3"/>
      <c r="AT25" s="3"/>
      <c r="AU25" s="3"/>
      <c r="AV25" s="3"/>
      <c r="AW25" s="3"/>
      <c r="AX25" s="3"/>
    </row>
    <row r="26" spans="1:50">
      <c r="A26" s="7">
        <f>[5]March_2026!C26</f>
        <v>11</v>
      </c>
      <c r="B26" s="559">
        <f>[5]March_2026!$B26</f>
        <v>46093</v>
      </c>
      <c r="C26" s="7" t="str">
        <f>[5]March_2026!$D26</f>
        <v>STAR MALT</v>
      </c>
      <c r="D26" s="681"/>
      <c r="E26" s="80">
        <v>1.6666666666666667</v>
      </c>
      <c r="F26" s="80">
        <v>2</v>
      </c>
      <c r="G26" s="11">
        <v>2.0277777777777777</v>
      </c>
      <c r="H26" s="82"/>
      <c r="I26" s="32">
        <f>32</f>
        <v>32</v>
      </c>
      <c r="J26" s="86"/>
      <c r="K26" s="71"/>
      <c r="L26" s="71"/>
      <c r="M26" s="71"/>
      <c r="N26" s="71"/>
      <c r="O26" s="71">
        <f>'Uncaser Downtime Detail '!AG146</f>
        <v>53</v>
      </c>
      <c r="P26" s="71">
        <f>'Washer Downtime Detail'!BH147</f>
        <v>43</v>
      </c>
      <c r="Q26" s="71">
        <f>'EBI Downtime Detail'!AI146</f>
        <v>0</v>
      </c>
      <c r="R26" s="71">
        <f>'Filler Downtime Detail'!AK145</f>
        <v>4</v>
      </c>
      <c r="S26" s="71">
        <f>'Pasteurizer Downtime Detail'!Z148</f>
        <v>73</v>
      </c>
      <c r="T26" s="71">
        <f>'Labeler Downtime Detail'!AN146</f>
        <v>3</v>
      </c>
      <c r="U26" s="71">
        <f>'Videojet Downtime Detail '!O147</f>
        <v>0</v>
      </c>
      <c r="V26" s="71">
        <f>'Conveyor Downtime (new)'!AV142</f>
        <v>10</v>
      </c>
      <c r="W26" s="71">
        <f>'Packer Downtime Detail  '!AD147</f>
        <v>0</v>
      </c>
      <c r="X26" s="71">
        <f>'Carton Errector-sealer Detail'!P131</f>
        <v>0</v>
      </c>
      <c r="Y26" s="71"/>
      <c r="Z26" s="43"/>
      <c r="AA26" s="88"/>
      <c r="AB26" s="71"/>
      <c r="AC26" s="71"/>
      <c r="AD26" s="44">
        <f t="shared" si="1"/>
        <v>218</v>
      </c>
      <c r="AE26" s="754"/>
      <c r="AH26" s="3"/>
      <c r="AI26" s="23"/>
      <c r="AJ26" s="23"/>
      <c r="AK26" s="54"/>
      <c r="AL26" s="3"/>
      <c r="AM26" s="3"/>
      <c r="AN26" s="3"/>
      <c r="AO26" s="3"/>
      <c r="AP26" s="3"/>
      <c r="AQ26" s="3"/>
      <c r="AR26" s="3"/>
      <c r="AS26" s="3"/>
      <c r="AT26" s="3"/>
      <c r="AU26" s="3"/>
      <c r="AV26" s="3"/>
      <c r="AW26" s="3"/>
      <c r="AX26" s="3"/>
    </row>
    <row r="27" spans="1:50" ht="11.25" customHeight="1">
      <c r="A27" s="7">
        <f>[5]March_2026!C27</f>
        <v>12</v>
      </c>
      <c r="B27" s="559">
        <f>[5]March_2026!$B27</f>
        <v>46094</v>
      </c>
      <c r="C27" s="7" t="str">
        <f>[5]March_2026!$D27</f>
        <v>STAR MALT</v>
      </c>
      <c r="D27" s="681">
        <v>1</v>
      </c>
      <c r="E27" s="80">
        <v>1.0069444444444444</v>
      </c>
      <c r="F27" s="80">
        <v>1.4722222222222223</v>
      </c>
      <c r="G27" s="11">
        <v>0.52013888888888893</v>
      </c>
      <c r="H27" s="14"/>
      <c r="I27" s="34"/>
      <c r="J27" s="35"/>
      <c r="K27" s="34"/>
      <c r="L27" s="34"/>
      <c r="M27" s="34"/>
      <c r="N27" s="34"/>
      <c r="O27" s="34">
        <f>'Uncaser Downtime Detail '!AG147</f>
        <v>26</v>
      </c>
      <c r="P27" s="34">
        <f>'Washer Downtime Detail'!BH148</f>
        <v>25</v>
      </c>
      <c r="Q27" s="34">
        <f>'EBI Downtime Detail'!AI147</f>
        <v>4</v>
      </c>
      <c r="R27" s="34">
        <f>'Filler Downtime Detail'!AK146</f>
        <v>7</v>
      </c>
      <c r="S27" s="34">
        <f>'Pasteurizer Downtime Detail'!Z149</f>
        <v>0</v>
      </c>
      <c r="T27" s="34">
        <f>'Labeler Downtime Detail'!AN147</f>
        <v>0</v>
      </c>
      <c r="U27" s="34">
        <f>'Videojet Downtime Detail '!O148</f>
        <v>0</v>
      </c>
      <c r="V27" s="34">
        <f>'Conveyor Downtime (new)'!AV143</f>
        <v>136</v>
      </c>
      <c r="W27" s="34">
        <f>'Packer Downtime Detail  '!AD148</f>
        <v>0</v>
      </c>
      <c r="X27" s="34">
        <f>'Carton Errector-sealer Detail'!P132</f>
        <v>0</v>
      </c>
      <c r="Y27" s="35"/>
      <c r="Z27" s="34">
        <f>10+10+17+4</f>
        <v>41</v>
      </c>
      <c r="AA27" s="90"/>
      <c r="AB27" s="89">
        <f>5</f>
        <v>5</v>
      </c>
      <c r="AC27" s="89"/>
      <c r="AD27" s="44">
        <f t="shared" si="1"/>
        <v>244</v>
      </c>
      <c r="AE27" s="754">
        <f>G28-D27</f>
        <v>0.86250000000000004</v>
      </c>
      <c r="AH27" s="3"/>
      <c r="AI27" s="23"/>
      <c r="AJ27" s="23"/>
      <c r="AK27" s="54"/>
      <c r="AL27" s="3"/>
      <c r="AM27" s="3"/>
      <c r="AN27" s="3"/>
      <c r="AO27" s="3"/>
      <c r="AP27" s="3"/>
      <c r="AQ27" s="3"/>
      <c r="AR27" s="3"/>
      <c r="AS27" s="3"/>
      <c r="AT27" s="3"/>
      <c r="AU27" s="3"/>
      <c r="AV27" s="3"/>
      <c r="AW27" s="3"/>
      <c r="AX27" s="3"/>
    </row>
    <row r="28" spans="1:50">
      <c r="A28" s="7">
        <f>[5]March_2026!C28</f>
        <v>12</v>
      </c>
      <c r="B28" s="559">
        <f>[5]March_2026!$B28</f>
        <v>46094</v>
      </c>
      <c r="C28" s="7" t="str">
        <f>[5]March_2026!$D28</f>
        <v>GUINNESS</v>
      </c>
      <c r="D28" s="681"/>
      <c r="E28" s="80">
        <v>1.6527777777777777</v>
      </c>
      <c r="F28" s="80">
        <v>1.8333333333333333</v>
      </c>
      <c r="G28" s="11">
        <v>1.8625</v>
      </c>
      <c r="H28" s="82"/>
      <c r="I28" s="32">
        <f>35+8</f>
        <v>43</v>
      </c>
      <c r="J28" s="86"/>
      <c r="K28" s="71"/>
      <c r="L28" s="71"/>
      <c r="M28" s="71"/>
      <c r="N28" s="71"/>
      <c r="O28" s="71">
        <f>'Uncaser Downtime Detail '!AG148</f>
        <v>5</v>
      </c>
      <c r="P28" s="71">
        <f>'Washer Downtime Detail'!BH149</f>
        <v>6</v>
      </c>
      <c r="Q28" s="71">
        <f>'EBI Downtime Detail'!AI148</f>
        <v>14</v>
      </c>
      <c r="R28" s="71">
        <f>'Filler Downtime Detail'!AK147</f>
        <v>6</v>
      </c>
      <c r="S28" s="71">
        <f>'Pasteurizer Downtime Detail'!Z150</f>
        <v>92</v>
      </c>
      <c r="T28" s="71">
        <f>'Labeler Downtime Detail'!AN148</f>
        <v>0</v>
      </c>
      <c r="U28" s="71">
        <f>'Videojet Downtime Detail '!O149</f>
        <v>0</v>
      </c>
      <c r="V28" s="71">
        <f>'Conveyor Downtime (new)'!AV144</f>
        <v>4</v>
      </c>
      <c r="W28" s="71">
        <f>'Packer Downtime Detail  '!AD149</f>
        <v>5</v>
      </c>
      <c r="X28" s="71">
        <f>'Carton Errector-sealer Detail'!P133</f>
        <v>0</v>
      </c>
      <c r="Y28" s="71"/>
      <c r="Z28" s="43">
        <f>60+60+45+8+2</f>
        <v>175</v>
      </c>
      <c r="AA28" s="88"/>
      <c r="AB28" s="71"/>
      <c r="AC28" s="71"/>
      <c r="AD28" s="44">
        <f t="shared" si="1"/>
        <v>350</v>
      </c>
      <c r="AE28" s="754"/>
      <c r="AH28" s="3"/>
      <c r="AI28" s="23"/>
      <c r="AJ28" s="23"/>
      <c r="AK28" s="54"/>
      <c r="AL28" s="3"/>
      <c r="AM28" s="3"/>
      <c r="AN28" s="3"/>
      <c r="AO28" s="3"/>
      <c r="AP28" s="3"/>
      <c r="AQ28" s="3"/>
      <c r="AR28" s="3"/>
      <c r="AS28" s="3"/>
      <c r="AT28" s="3"/>
      <c r="AU28" s="3"/>
      <c r="AV28" s="3"/>
      <c r="AW28" s="3"/>
      <c r="AX28" s="3"/>
    </row>
    <row r="29" spans="1:50">
      <c r="A29" s="7">
        <f>[5]March_2026!C29</f>
        <v>13</v>
      </c>
      <c r="B29" s="559">
        <f>[5]March_2026!$B29</f>
        <v>46097</v>
      </c>
      <c r="C29" s="7" t="str">
        <f>[5]March_2026!$D29</f>
        <v>GUINNESS</v>
      </c>
      <c r="D29" s="93">
        <v>1</v>
      </c>
      <c r="E29" s="80">
        <v>1.0555555555555556</v>
      </c>
      <c r="F29" s="80">
        <v>1.425</v>
      </c>
      <c r="G29" s="178">
        <v>2.03125</v>
      </c>
      <c r="H29" s="14"/>
      <c r="I29" s="34"/>
      <c r="J29" s="35"/>
      <c r="K29" s="34">
        <f>45+60+60+43</f>
        <v>208</v>
      </c>
      <c r="L29" s="34"/>
      <c r="M29" s="34"/>
      <c r="N29" s="34"/>
      <c r="O29" s="34">
        <f>'Uncaser Downtime Detail '!AG149</f>
        <v>0</v>
      </c>
      <c r="P29" s="34">
        <f>'Washer Downtime Detail'!BH150</f>
        <v>847</v>
      </c>
      <c r="Q29" s="34">
        <f>'EBI Downtime Detail'!AI149</f>
        <v>3</v>
      </c>
      <c r="R29" s="34">
        <f>'Filler Downtime Detail'!AK148</f>
        <v>3</v>
      </c>
      <c r="S29" s="34">
        <f>'Pasteurizer Downtime Detail'!Z151</f>
        <v>0</v>
      </c>
      <c r="T29" s="34">
        <f>'Labeler Downtime Detail'!AN149</f>
        <v>0</v>
      </c>
      <c r="U29" s="34">
        <f>'Videojet Downtime Detail '!O150</f>
        <v>0</v>
      </c>
      <c r="V29" s="34">
        <f>'Conveyor Downtime (new)'!AV145</f>
        <v>10</v>
      </c>
      <c r="W29" s="34">
        <f>'Packer Downtime Detail  '!AD150</f>
        <v>0</v>
      </c>
      <c r="X29" s="34">
        <f>'Carton Errector-sealer Detail'!P134</f>
        <v>0</v>
      </c>
      <c r="Y29" s="35"/>
      <c r="Z29" s="34">
        <v>15</v>
      </c>
      <c r="AA29" s="90"/>
      <c r="AB29" s="89">
        <f>4+4+5+7+3</f>
        <v>23</v>
      </c>
      <c r="AC29" s="89"/>
      <c r="AD29" s="44">
        <f t="shared" si="1"/>
        <v>1109</v>
      </c>
      <c r="AE29" s="45">
        <f>G29-D29</f>
        <v>1.03125</v>
      </c>
      <c r="AH29" s="3"/>
      <c r="AI29" s="23"/>
      <c r="AJ29" s="23"/>
      <c r="AK29" s="54"/>
      <c r="AL29" s="3"/>
      <c r="AM29" s="3"/>
      <c r="AN29" s="3"/>
      <c r="AO29" s="3"/>
      <c r="AP29" s="3"/>
      <c r="AQ29" s="3"/>
      <c r="AR29" s="3"/>
      <c r="AS29" s="3"/>
      <c r="AT29" s="3"/>
      <c r="AU29" s="3"/>
      <c r="AV29" s="3"/>
      <c r="AW29" s="3"/>
      <c r="AX29" s="3"/>
    </row>
    <row r="30" spans="1:50" s="497" customFormat="1">
      <c r="A30" s="585">
        <f>[5]March_2026!C30</f>
        <v>0</v>
      </c>
      <c r="B30" s="583">
        <f>[5]March_2026!$B30</f>
        <v>46098</v>
      </c>
      <c r="C30" s="486" t="str">
        <f>[5]March_2026!$D30</f>
        <v>WASHER BREAKDOWN</v>
      </c>
      <c r="D30" s="511"/>
      <c r="E30" s="488"/>
      <c r="F30" s="488"/>
      <c r="G30" s="512"/>
      <c r="H30" s="506"/>
      <c r="I30" s="491"/>
      <c r="J30" s="507"/>
      <c r="K30" s="494"/>
      <c r="L30" s="494"/>
      <c r="M30" s="494"/>
      <c r="N30" s="494"/>
      <c r="O30" s="491">
        <f>'Uncaser Downtime Detail '!AG150</f>
        <v>0</v>
      </c>
      <c r="P30" s="491">
        <f>'Washer Downtime Detail'!BH151</f>
        <v>1440</v>
      </c>
      <c r="Q30" s="491">
        <f>'EBI Downtime Detail'!AI150</f>
        <v>0</v>
      </c>
      <c r="R30" s="491">
        <f>'Filler Downtime Detail'!AK149</f>
        <v>0</v>
      </c>
      <c r="S30" s="491">
        <f>'Pasteurizer Downtime Detail'!Z152</f>
        <v>0</v>
      </c>
      <c r="T30" s="491">
        <f>'Labeler Downtime Detail'!AN150</f>
        <v>0</v>
      </c>
      <c r="U30" s="491">
        <f>'Videojet Downtime Detail '!O151</f>
        <v>0</v>
      </c>
      <c r="V30" s="491">
        <f>'Conveyor Downtime (new)'!AV146</f>
        <v>0</v>
      </c>
      <c r="W30" s="491">
        <f>'Packer Downtime Detail  '!AD151</f>
        <v>0</v>
      </c>
      <c r="X30" s="494">
        <f>'Carton Errector-sealer Detail'!P135</f>
        <v>0</v>
      </c>
      <c r="Y30" s="494"/>
      <c r="Z30" s="508"/>
      <c r="AA30" s="493"/>
      <c r="AB30" s="494"/>
      <c r="AC30" s="494"/>
      <c r="AD30" s="495">
        <f t="shared" si="1"/>
        <v>1440</v>
      </c>
      <c r="AE30" s="503"/>
      <c r="AH30" s="498"/>
      <c r="AI30" s="504"/>
      <c r="AJ30" s="504"/>
      <c r="AK30" s="505"/>
      <c r="AL30" s="498"/>
      <c r="AM30" s="498"/>
      <c r="AN30" s="498"/>
      <c r="AO30" s="498"/>
      <c r="AP30" s="498"/>
      <c r="AQ30" s="498"/>
      <c r="AR30" s="498"/>
      <c r="AS30" s="498"/>
      <c r="AT30" s="498"/>
      <c r="AU30" s="498"/>
      <c r="AV30" s="498"/>
      <c r="AW30" s="498"/>
      <c r="AX30" s="498"/>
    </row>
    <row r="31" spans="1:50">
      <c r="A31" s="584">
        <f>[5]March_2026!C31</f>
        <v>14</v>
      </c>
      <c r="B31" s="559">
        <f>[5]March_2026!$B31</f>
        <v>46099</v>
      </c>
      <c r="C31" s="7" t="str">
        <f>[5]March_2026!$D31</f>
        <v>GUINNESS</v>
      </c>
      <c r="D31" s="755">
        <v>1</v>
      </c>
      <c r="E31" s="80">
        <v>1.3333333333333333</v>
      </c>
      <c r="F31" s="80">
        <v>1.6541666666666666</v>
      </c>
      <c r="G31" s="11">
        <v>0.69861111111111107</v>
      </c>
      <c r="H31" s="14"/>
      <c r="I31" s="34"/>
      <c r="J31" s="35"/>
      <c r="K31" s="34">
        <f>7+9</f>
        <v>16</v>
      </c>
      <c r="L31" s="34"/>
      <c r="M31" s="34"/>
      <c r="N31" s="34">
        <f>15</f>
        <v>15</v>
      </c>
      <c r="O31" s="34">
        <f>'Uncaser Downtime Detail '!AG151</f>
        <v>12</v>
      </c>
      <c r="P31" s="34">
        <f>'Washer Downtime Detail'!BH152</f>
        <v>499</v>
      </c>
      <c r="Q31" s="34">
        <f>'EBI Downtime Detail'!AI151</f>
        <v>34</v>
      </c>
      <c r="R31" s="34">
        <f>'Filler Downtime Detail'!AK150</f>
        <v>2</v>
      </c>
      <c r="S31" s="34">
        <f>'Pasteurizer Downtime Detail'!Z153</f>
        <v>0</v>
      </c>
      <c r="T31" s="34">
        <f>'Labeler Downtime Detail'!AN151</f>
        <v>0</v>
      </c>
      <c r="U31" s="34">
        <f>'Videojet Downtime Detail '!O152</f>
        <v>23</v>
      </c>
      <c r="V31" s="34">
        <f>'Conveyor Downtime (new)'!AV147</f>
        <v>0</v>
      </c>
      <c r="W31" s="34">
        <f>'Packer Downtime Detail  '!AD152</f>
        <v>0</v>
      </c>
      <c r="X31" s="34">
        <f>'Carton Errector-sealer Detail'!P136</f>
        <v>0</v>
      </c>
      <c r="Y31" s="35"/>
      <c r="Z31" s="34"/>
      <c r="AA31" s="90"/>
      <c r="AB31" s="89">
        <v>4</v>
      </c>
      <c r="AC31" s="89"/>
      <c r="AD31" s="44">
        <f t="shared" si="1"/>
        <v>605</v>
      </c>
      <c r="AE31" s="754">
        <f>G32-D31</f>
        <v>1.0319444444444446</v>
      </c>
      <c r="AH31" s="3"/>
      <c r="AI31" s="23"/>
      <c r="AJ31" s="23"/>
      <c r="AK31" s="54"/>
      <c r="AL31" s="3"/>
      <c r="AM31" s="3"/>
      <c r="AN31" s="3"/>
      <c r="AO31" s="3"/>
      <c r="AP31" s="3"/>
      <c r="AQ31" s="3"/>
      <c r="AR31" s="3"/>
      <c r="AS31" s="3"/>
      <c r="AT31" s="3"/>
      <c r="AU31" s="3"/>
      <c r="AV31" s="3"/>
      <c r="AW31" s="3"/>
      <c r="AX31" s="3"/>
    </row>
    <row r="32" spans="1:50">
      <c r="A32" s="7">
        <f>[5]March_2026!C32</f>
        <v>14</v>
      </c>
      <c r="B32" s="559">
        <f>[5]March_2026!$B32</f>
        <v>46099</v>
      </c>
      <c r="C32" s="7" t="str">
        <f>[5]March_2026!$D32</f>
        <v>CARIB AMBER</v>
      </c>
      <c r="D32" s="755"/>
      <c r="E32" s="80">
        <v>1.6979166666666667</v>
      </c>
      <c r="F32" s="80">
        <v>2</v>
      </c>
      <c r="G32" s="11">
        <v>2.0319444444444446</v>
      </c>
      <c r="H32" s="82"/>
      <c r="I32" s="32">
        <f>15+43+8</f>
        <v>66</v>
      </c>
      <c r="J32" s="86"/>
      <c r="K32" s="71"/>
      <c r="L32" s="71"/>
      <c r="M32" s="71"/>
      <c r="N32" s="71"/>
      <c r="O32" s="71">
        <f>'Uncaser Downtime Detail '!AG152</f>
        <v>20</v>
      </c>
      <c r="P32" s="71">
        <f>'Washer Downtime Detail'!BH153</f>
        <v>21</v>
      </c>
      <c r="Q32" s="34">
        <f>'EBI Downtime Detail'!AI152</f>
        <v>13</v>
      </c>
      <c r="R32" s="71">
        <f>'Filler Downtime Detail'!AK151</f>
        <v>1</v>
      </c>
      <c r="S32" s="34">
        <f>'Pasteurizer Downtime Detail'!Z154</f>
        <v>0</v>
      </c>
      <c r="T32" s="71">
        <f>'Labeler Downtime Detail'!AN152</f>
        <v>0</v>
      </c>
      <c r="U32" s="71">
        <f>'Videojet Downtime Detail '!O153</f>
        <v>0</v>
      </c>
      <c r="V32" s="71">
        <f>'Conveyor Downtime (new)'!AV148</f>
        <v>12</v>
      </c>
      <c r="W32" s="71">
        <f>'Packer Downtime Detail  '!AD153</f>
        <v>0</v>
      </c>
      <c r="X32" s="71">
        <f>'Carton Errector-sealer Detail'!P137</f>
        <v>0</v>
      </c>
      <c r="Y32" s="71"/>
      <c r="Z32" s="43"/>
      <c r="AA32" s="88"/>
      <c r="AB32" s="71"/>
      <c r="AC32" s="71"/>
      <c r="AD32" s="44">
        <f t="shared" si="1"/>
        <v>133</v>
      </c>
      <c r="AE32" s="754"/>
      <c r="AH32" s="3"/>
      <c r="AI32" s="23"/>
      <c r="AJ32" s="23"/>
      <c r="AK32" s="54"/>
      <c r="AL32" s="3"/>
      <c r="AM32" s="3"/>
      <c r="AN32" s="3"/>
      <c r="AO32" s="3"/>
      <c r="AP32" s="3"/>
      <c r="AQ32" s="3"/>
      <c r="AR32" s="3"/>
      <c r="AS32" s="3"/>
      <c r="AT32" s="3"/>
      <c r="AU32" s="3"/>
      <c r="AV32" s="3"/>
      <c r="AW32" s="3"/>
      <c r="AX32" s="3"/>
    </row>
    <row r="33" spans="1:50">
      <c r="A33" s="7">
        <f>[5]March_2026!C33</f>
        <v>15</v>
      </c>
      <c r="B33" s="559">
        <f>[5]March_2026!$B33</f>
        <v>46100</v>
      </c>
      <c r="C33" s="7" t="str">
        <f>[5]March_2026!$D33</f>
        <v>CARIB AMBER</v>
      </c>
      <c r="D33" s="681">
        <v>1</v>
      </c>
      <c r="E33" s="80">
        <v>1.0069444444444444</v>
      </c>
      <c r="F33" s="80">
        <v>1.6916666666666667</v>
      </c>
      <c r="G33" s="11">
        <v>0.72013888888888888</v>
      </c>
      <c r="H33" s="14"/>
      <c r="I33" s="34"/>
      <c r="J33" s="35">
        <f>33+3</f>
        <v>36</v>
      </c>
      <c r="K33" s="34"/>
      <c r="L33" s="34"/>
      <c r="M33" s="34"/>
      <c r="N33" s="34"/>
      <c r="O33" s="34">
        <f>'Uncaser Downtime Detail '!AG153</f>
        <v>6</v>
      </c>
      <c r="P33" s="34">
        <f>'Washer Downtime Detail'!BH154</f>
        <v>22</v>
      </c>
      <c r="Q33" s="34">
        <f>'EBI Downtime Detail'!AI153</f>
        <v>10</v>
      </c>
      <c r="R33" s="34">
        <f>'Filler Downtime Detail'!AK152</f>
        <v>12</v>
      </c>
      <c r="S33" s="34">
        <f>'Pasteurizer Downtime Detail'!Z155</f>
        <v>0</v>
      </c>
      <c r="T33" s="71">
        <f>'Labeler Downtime Detail'!AN153</f>
        <v>17</v>
      </c>
      <c r="U33" s="34">
        <f>'Videojet Downtime Detail '!O154</f>
        <v>0</v>
      </c>
      <c r="V33" s="34">
        <f>'Conveyor Downtime (new)'!AV149</f>
        <v>14</v>
      </c>
      <c r="W33" s="34">
        <f>'Packer Downtime Detail  '!AD154</f>
        <v>0</v>
      </c>
      <c r="X33" s="34">
        <f>'Carton Errector-sealer Detail'!P138</f>
        <v>0</v>
      </c>
      <c r="Y33" s="35"/>
      <c r="Z33" s="34">
        <f>10+2</f>
        <v>12</v>
      </c>
      <c r="AA33" s="90"/>
      <c r="AB33" s="89"/>
      <c r="AC33" s="89"/>
      <c r="AD33" s="44">
        <f t="shared" si="1"/>
        <v>129</v>
      </c>
      <c r="AE33" s="754">
        <f>G35-D33</f>
        <v>1.0479166666666666</v>
      </c>
      <c r="AH33" s="3"/>
      <c r="AI33" s="23"/>
      <c r="AJ33" s="23"/>
      <c r="AK33" s="54"/>
      <c r="AL33" s="3"/>
      <c r="AM33" s="3"/>
      <c r="AN33" s="3"/>
      <c r="AO33" s="3"/>
      <c r="AP33" s="3"/>
      <c r="AQ33" s="3"/>
      <c r="AR33" s="3"/>
      <c r="AS33" s="3"/>
      <c r="AT33" s="3"/>
      <c r="AU33" s="3"/>
      <c r="AV33" s="3"/>
      <c r="AW33" s="3"/>
      <c r="AX33" s="3"/>
    </row>
    <row r="34" spans="1:50">
      <c r="A34" s="7">
        <f>[5]March_2026!C34</f>
        <v>15</v>
      </c>
      <c r="B34" s="559">
        <f>[5]March_2026!$B34</f>
        <v>46100</v>
      </c>
      <c r="C34" s="7" t="str">
        <f>[5]March_2026!$D34</f>
        <v>CARIB FLINT (LOC)</v>
      </c>
      <c r="D34" s="681"/>
      <c r="E34" s="80">
        <v>1.6916666666666667</v>
      </c>
      <c r="F34" s="80">
        <v>1.8305555555555555</v>
      </c>
      <c r="G34" s="11">
        <v>0.86805555555555558</v>
      </c>
      <c r="H34" s="82"/>
      <c r="I34" s="32">
        <f>4+6</f>
        <v>10</v>
      </c>
      <c r="J34" s="86"/>
      <c r="K34" s="71"/>
      <c r="L34" s="71"/>
      <c r="M34" s="71"/>
      <c r="N34" s="71"/>
      <c r="O34" s="71">
        <f>'Uncaser Downtime Detail '!AG154</f>
        <v>0</v>
      </c>
      <c r="P34" s="71">
        <f>'Washer Downtime Detail'!BH155</f>
        <v>26</v>
      </c>
      <c r="Q34" s="34">
        <f>'EBI Downtime Detail'!AI154</f>
        <v>8</v>
      </c>
      <c r="R34" s="71">
        <f>'Filler Downtime Detail'!AK153</f>
        <v>0</v>
      </c>
      <c r="S34" s="34">
        <f>'Pasteurizer Downtime Detail'!Z156</f>
        <v>0</v>
      </c>
      <c r="T34" s="71">
        <f>'Labeler Downtime Detail'!AN154</f>
        <v>0</v>
      </c>
      <c r="U34" s="71">
        <f>'Videojet Downtime Detail '!O155</f>
        <v>0</v>
      </c>
      <c r="V34" s="71">
        <f>'Conveyor Downtime (new)'!AV150</f>
        <v>4</v>
      </c>
      <c r="W34" s="71">
        <f>'Packer Downtime Detail  '!AD155</f>
        <v>0</v>
      </c>
      <c r="X34" s="71">
        <f>'Carton Errector-sealer Detail'!P139</f>
        <v>0</v>
      </c>
      <c r="Y34" s="71"/>
      <c r="Z34" s="43">
        <f>5+3</f>
        <v>8</v>
      </c>
      <c r="AA34" s="88"/>
      <c r="AB34" s="71">
        <f>2</f>
        <v>2</v>
      </c>
      <c r="AC34" s="71"/>
      <c r="AD34" s="44">
        <f t="shared" si="1"/>
        <v>58</v>
      </c>
      <c r="AE34" s="754"/>
      <c r="AH34" s="3"/>
      <c r="AI34" s="23"/>
      <c r="AJ34" s="23"/>
      <c r="AK34" s="54"/>
      <c r="AL34" s="3"/>
      <c r="AM34" s="3"/>
      <c r="AN34" s="3"/>
      <c r="AO34" s="3"/>
      <c r="AP34" s="3"/>
      <c r="AQ34" s="3"/>
      <c r="AR34" s="3"/>
      <c r="AS34" s="3"/>
      <c r="AT34" s="3"/>
      <c r="AU34" s="3"/>
      <c r="AV34" s="3"/>
      <c r="AW34" s="3"/>
      <c r="AX34" s="3"/>
    </row>
    <row r="35" spans="1:50">
      <c r="A35" s="7">
        <f>[5]March_2026!C35</f>
        <v>15</v>
      </c>
      <c r="B35" s="559">
        <f>[5]March_2026!$B35</f>
        <v>46100</v>
      </c>
      <c r="C35" s="7" t="str">
        <f>[5]March_2026!$D35</f>
        <v>CARIB AMBER</v>
      </c>
      <c r="D35" s="681"/>
      <c r="E35" s="80">
        <v>1.8333333333333333</v>
      </c>
      <c r="F35" s="80">
        <v>2</v>
      </c>
      <c r="G35" s="11">
        <v>2.0479166666666666</v>
      </c>
      <c r="H35" s="14"/>
      <c r="I35" s="34">
        <f>4</f>
        <v>4</v>
      </c>
      <c r="J35" s="35"/>
      <c r="K35" s="34"/>
      <c r="L35" s="34"/>
      <c r="M35" s="34"/>
      <c r="N35" s="34"/>
      <c r="O35" s="34">
        <f>'Uncaser Downtime Detail '!AG155</f>
        <v>0</v>
      </c>
      <c r="P35" s="34">
        <f>'Washer Downtime Detail'!BH156</f>
        <v>15</v>
      </c>
      <c r="Q35" s="34">
        <f>'EBI Downtime Detail'!AI155</f>
        <v>5</v>
      </c>
      <c r="R35" s="34">
        <f>'Filler Downtime Detail'!AK154</f>
        <v>5</v>
      </c>
      <c r="S35" s="34">
        <f>'Pasteurizer Downtime Detail'!Z157</f>
        <v>0</v>
      </c>
      <c r="T35" s="71">
        <f>'Labeler Downtime Detail'!AN155</f>
        <v>0</v>
      </c>
      <c r="U35" s="34">
        <f>'Videojet Downtime Detail '!O156</f>
        <v>0</v>
      </c>
      <c r="V35" s="34">
        <f>'Conveyor Downtime (new)'!AV151</f>
        <v>8</v>
      </c>
      <c r="W35" s="34">
        <f>'Packer Downtime Detail  '!AD156</f>
        <v>0</v>
      </c>
      <c r="X35" s="34">
        <f>'Carton Errector-sealer Detail'!P140</f>
        <v>0</v>
      </c>
      <c r="Y35" s="35"/>
      <c r="Z35" s="34">
        <f>4+10+2</f>
        <v>16</v>
      </c>
      <c r="AA35" s="90"/>
      <c r="AB35" s="89"/>
      <c r="AC35" s="89"/>
      <c r="AD35" s="44">
        <f t="shared" si="1"/>
        <v>53</v>
      </c>
      <c r="AE35" s="754"/>
      <c r="AH35" s="3"/>
      <c r="AI35" s="23"/>
      <c r="AJ35" s="23"/>
      <c r="AK35" s="54"/>
      <c r="AL35" s="3"/>
      <c r="AM35" s="3"/>
      <c r="AN35" s="3"/>
      <c r="AO35" s="3"/>
      <c r="AP35" s="3"/>
      <c r="AQ35" s="3"/>
      <c r="AR35" s="3"/>
      <c r="AS35" s="3"/>
      <c r="AT35" s="3"/>
      <c r="AU35" s="3"/>
      <c r="AV35" s="3"/>
      <c r="AW35" s="3"/>
      <c r="AX35" s="3"/>
    </row>
    <row r="36" spans="1:50">
      <c r="A36" s="7">
        <f>[5]March_2026!C36</f>
        <v>16</v>
      </c>
      <c r="B36" s="559">
        <f>[5]March_2026!$B36</f>
        <v>46101</v>
      </c>
      <c r="C36" s="7" t="str">
        <f>[5]March_2026!$D36</f>
        <v>CARIB AMBER</v>
      </c>
      <c r="D36" s="681">
        <v>1</v>
      </c>
      <c r="E36" s="80">
        <v>1.0069444444444444</v>
      </c>
      <c r="F36" s="80">
        <v>1.5611111111111111</v>
      </c>
      <c r="G36" s="11">
        <v>0.59930555555555554</v>
      </c>
      <c r="H36" s="82">
        <v>12</v>
      </c>
      <c r="I36" s="32"/>
      <c r="J36" s="86"/>
      <c r="K36" s="71"/>
      <c r="L36" s="71">
        <f>2+12</f>
        <v>14</v>
      </c>
      <c r="M36" s="71"/>
      <c r="N36" s="71"/>
      <c r="O36" s="71">
        <f>'Uncaser Downtime Detail '!AG156</f>
        <v>12</v>
      </c>
      <c r="P36" s="71">
        <f>'Washer Downtime Detail'!BH157</f>
        <v>21</v>
      </c>
      <c r="Q36" s="34">
        <f>'EBI Downtime Detail'!AI156</f>
        <v>2</v>
      </c>
      <c r="R36" s="71">
        <f>'Filler Downtime Detail'!AK155</f>
        <v>2</v>
      </c>
      <c r="S36" s="34">
        <f>'Pasteurizer Downtime Detail'!Z158</f>
        <v>0</v>
      </c>
      <c r="T36" s="71">
        <f>'Labeler Downtime Detail'!AN156</f>
        <v>8</v>
      </c>
      <c r="U36" s="71">
        <f>'Videojet Downtime Detail '!O157</f>
        <v>0</v>
      </c>
      <c r="V36" s="71">
        <f>'Conveyor Downtime (new)'!AV152</f>
        <v>13</v>
      </c>
      <c r="W36" s="71">
        <f>'Packer Downtime Detail  '!AD157</f>
        <v>0</v>
      </c>
      <c r="X36" s="71">
        <f>'Carton Errector-sealer Detail'!P141</f>
        <v>0</v>
      </c>
      <c r="Y36" s="71"/>
      <c r="Z36" s="43">
        <f>10+7+2+9+4</f>
        <v>32</v>
      </c>
      <c r="AA36" s="88"/>
      <c r="AB36" s="71">
        <f>3+2+13+4+3+3+2+4+4+4+2</f>
        <v>44</v>
      </c>
      <c r="AC36" s="71"/>
      <c r="AD36" s="44">
        <f t="shared" si="1"/>
        <v>160</v>
      </c>
      <c r="AE36" s="754">
        <f>G37-D36</f>
        <v>0.89444444444444438</v>
      </c>
      <c r="AH36" s="3"/>
      <c r="AI36" s="23"/>
      <c r="AJ36" s="23"/>
      <c r="AK36" s="54"/>
      <c r="AL36" s="3"/>
      <c r="AM36" s="3"/>
      <c r="AN36" s="3"/>
      <c r="AO36" s="3"/>
      <c r="AP36" s="3"/>
      <c r="AQ36" s="3"/>
      <c r="AR36" s="3"/>
      <c r="AS36" s="3"/>
      <c r="AT36" s="3"/>
      <c r="AU36" s="3"/>
      <c r="AV36" s="3"/>
      <c r="AW36" s="3"/>
      <c r="AX36" s="3"/>
    </row>
    <row r="37" spans="1:50">
      <c r="A37" s="7">
        <f>[5]March_2026!C37</f>
        <v>16</v>
      </c>
      <c r="B37" s="559">
        <f>[5]March_2026!$B37</f>
        <v>46101</v>
      </c>
      <c r="C37" s="7" t="str">
        <f>[5]March_2026!$D37</f>
        <v>STAG</v>
      </c>
      <c r="D37" s="681"/>
      <c r="E37" s="80">
        <v>1.5958333333333334</v>
      </c>
      <c r="F37" s="80">
        <v>1.8465277777777778</v>
      </c>
      <c r="G37" s="11">
        <v>1.8944444444444444</v>
      </c>
      <c r="H37" s="14">
        <v>18</v>
      </c>
      <c r="I37" s="34">
        <v>17</v>
      </c>
      <c r="J37" s="35">
        <f>6</f>
        <v>6</v>
      </c>
      <c r="K37" s="34"/>
      <c r="L37" s="34"/>
      <c r="M37" s="34"/>
      <c r="N37" s="34"/>
      <c r="O37" s="34">
        <f>'Uncaser Downtime Detail '!AG157</f>
        <v>0</v>
      </c>
      <c r="P37" s="34">
        <f>'Washer Downtime Detail'!BH158</f>
        <v>26</v>
      </c>
      <c r="Q37" s="34">
        <f>'EBI Downtime Detail'!AI157</f>
        <v>10</v>
      </c>
      <c r="R37" s="34">
        <f>'Filler Downtime Detail'!AK156</f>
        <v>1</v>
      </c>
      <c r="S37" s="34">
        <f>'Pasteurizer Downtime Detail'!Z159</f>
        <v>0</v>
      </c>
      <c r="T37" s="71">
        <f>'Labeler Downtime Detail'!AN157</f>
        <v>58</v>
      </c>
      <c r="U37" s="71">
        <f>'Videojet Downtime Detail '!O158</f>
        <v>0</v>
      </c>
      <c r="V37" s="34">
        <f>'Conveyor Downtime (new)'!AV153</f>
        <v>5</v>
      </c>
      <c r="W37" s="34">
        <f>'Packer Downtime Detail  '!AD158</f>
        <v>0</v>
      </c>
      <c r="X37" s="34">
        <f>'Carton Errector-sealer Detail'!P142</f>
        <v>0</v>
      </c>
      <c r="Y37" s="35"/>
      <c r="Z37" s="34">
        <f>15+7</f>
        <v>22</v>
      </c>
      <c r="AA37" s="90"/>
      <c r="AB37" s="89"/>
      <c r="AC37" s="89"/>
      <c r="AD37" s="44">
        <f t="shared" si="1"/>
        <v>163</v>
      </c>
      <c r="AE37" s="754"/>
      <c r="AH37" s="3"/>
      <c r="AI37" s="23"/>
      <c r="AJ37" s="23"/>
      <c r="AK37" s="54"/>
      <c r="AL37" s="3"/>
      <c r="AM37" s="3"/>
      <c r="AN37" s="3"/>
      <c r="AO37" s="3"/>
      <c r="AP37" s="3"/>
      <c r="AQ37" s="3"/>
      <c r="AR37" s="3"/>
      <c r="AS37" s="3"/>
      <c r="AT37" s="3"/>
      <c r="AU37" s="3"/>
      <c r="AV37" s="3"/>
      <c r="AW37" s="3"/>
      <c r="AX37" s="3"/>
    </row>
    <row r="38" spans="1:50">
      <c r="A38" s="7">
        <f>[5]March_2026!C38</f>
        <v>17</v>
      </c>
      <c r="B38" s="559">
        <f>[5]March_2026!$B38</f>
        <v>46104</v>
      </c>
      <c r="C38" s="7" t="str">
        <f>[5]March_2026!$D38</f>
        <v>STAG</v>
      </c>
      <c r="D38" s="681">
        <v>1</v>
      </c>
      <c r="E38" s="80">
        <v>1.0729166666666667</v>
      </c>
      <c r="F38" s="80">
        <v>1.4819444444444445</v>
      </c>
      <c r="G38" s="11"/>
      <c r="H38" s="82"/>
      <c r="I38" s="32"/>
      <c r="J38" s="86">
        <f>2</f>
        <v>2</v>
      </c>
      <c r="K38" s="71"/>
      <c r="L38" s="71"/>
      <c r="M38" s="71"/>
      <c r="N38" s="71"/>
      <c r="O38" s="71">
        <f>'Uncaser Downtime Detail '!AG158</f>
        <v>0</v>
      </c>
      <c r="P38" s="71">
        <f>'Washer Downtime Detail'!BH159</f>
        <v>25</v>
      </c>
      <c r="Q38" s="34">
        <f>'EBI Downtime Detail'!AI158</f>
        <v>6</v>
      </c>
      <c r="R38" s="71">
        <f>'Filler Downtime Detail'!AK157</f>
        <v>12</v>
      </c>
      <c r="S38" s="34">
        <f>'Pasteurizer Downtime Detail'!Z160</f>
        <v>0</v>
      </c>
      <c r="T38" s="71">
        <f>'Labeler Downtime Detail'!AN158</f>
        <v>8</v>
      </c>
      <c r="U38" s="71">
        <f>'Videojet Downtime Detail '!O159</f>
        <v>0</v>
      </c>
      <c r="V38" s="71">
        <f>'Conveyor Downtime (new)'!AV154</f>
        <v>21</v>
      </c>
      <c r="W38" s="71">
        <f>'Packer Downtime Detail  '!AD159</f>
        <v>6</v>
      </c>
      <c r="X38" s="71">
        <f>'Carton Errector-sealer Detail'!P143</f>
        <v>0</v>
      </c>
      <c r="Y38" s="71"/>
      <c r="Z38" s="43">
        <v>45</v>
      </c>
      <c r="AA38" s="88"/>
      <c r="AB38" s="71">
        <v>2</v>
      </c>
      <c r="AC38" s="71"/>
      <c r="AD38" s="44">
        <f>SUM(H38:J38,K38:AB38)</f>
        <v>127</v>
      </c>
      <c r="AE38" s="754">
        <f>G40-D38</f>
        <v>1.1006944444444446</v>
      </c>
      <c r="AH38" s="3"/>
      <c r="AI38" s="23"/>
      <c r="AJ38" s="23"/>
      <c r="AK38" s="54"/>
      <c r="AL38" s="3"/>
      <c r="AM38" s="3"/>
      <c r="AN38" s="3"/>
      <c r="AO38" s="3"/>
      <c r="AP38" s="3"/>
      <c r="AQ38" s="3"/>
      <c r="AR38" s="3"/>
      <c r="AS38" s="3"/>
      <c r="AT38" s="3"/>
      <c r="AU38" s="3"/>
      <c r="AV38" s="3"/>
      <c r="AW38" s="3"/>
      <c r="AX38" s="3"/>
    </row>
    <row r="39" spans="1:50">
      <c r="A39" s="7">
        <f>[5]March_2026!C39</f>
        <v>17</v>
      </c>
      <c r="B39" s="559">
        <f>[5]March_2026!$B39</f>
        <v>46104</v>
      </c>
      <c r="C39" s="7" t="str">
        <f>[5]March_2026!$D39</f>
        <v>CARIB AMBER</v>
      </c>
      <c r="D39" s="681"/>
      <c r="E39" s="80">
        <v>1.4951388888888888</v>
      </c>
      <c r="F39" s="80">
        <v>1.76875</v>
      </c>
      <c r="G39" s="11"/>
      <c r="H39" s="14"/>
      <c r="I39" s="34">
        <f>8+11</f>
        <v>19</v>
      </c>
      <c r="J39" s="35">
        <v>5</v>
      </c>
      <c r="K39" s="34"/>
      <c r="L39" s="34"/>
      <c r="M39" s="34"/>
      <c r="N39" s="34"/>
      <c r="O39" s="34">
        <f>'Uncaser Downtime Detail '!AG159</f>
        <v>4</v>
      </c>
      <c r="P39" s="34">
        <f>'Washer Downtime Detail'!BH160</f>
        <v>0</v>
      </c>
      <c r="Q39" s="34">
        <f>'EBI Downtime Detail'!AI159</f>
        <v>8</v>
      </c>
      <c r="R39" s="34">
        <f>'Filler Downtime Detail'!AK158</f>
        <v>2</v>
      </c>
      <c r="S39" s="34">
        <f>'Pasteurizer Downtime Detail'!Z161</f>
        <v>12</v>
      </c>
      <c r="T39" s="71">
        <f>'Labeler Downtime Detail'!AN159</f>
        <v>4</v>
      </c>
      <c r="U39" s="71">
        <f>'Videojet Downtime Detail '!O160</f>
        <v>0</v>
      </c>
      <c r="V39" s="34">
        <f>'Conveyor Downtime (new)'!AV155</f>
        <v>7</v>
      </c>
      <c r="W39" s="34">
        <f>'Packer Downtime Detail  '!AD160</f>
        <v>0</v>
      </c>
      <c r="X39" s="34">
        <f>'Carton Errector-sealer Detail'!P144</f>
        <v>0</v>
      </c>
      <c r="Y39" s="35"/>
      <c r="Z39" s="34">
        <f>4+4</f>
        <v>8</v>
      </c>
      <c r="AA39" s="90">
        <f>2+1</f>
        <v>3</v>
      </c>
      <c r="AB39" s="89"/>
      <c r="AC39" s="89"/>
      <c r="AD39" s="44">
        <f t="shared" ref="AD39:AD61" si="2">SUM(H39:J39,K39:AB39)</f>
        <v>72</v>
      </c>
      <c r="AE39" s="754"/>
      <c r="AH39" s="3"/>
      <c r="AI39" s="23"/>
      <c r="AJ39" s="23"/>
      <c r="AK39" s="54"/>
      <c r="AL39" s="3"/>
      <c r="AM39" s="3"/>
      <c r="AN39" s="3"/>
      <c r="AO39" s="3"/>
      <c r="AP39" s="3"/>
      <c r="AQ39" s="3"/>
      <c r="AR39" s="3"/>
      <c r="AS39" s="3"/>
      <c r="AT39" s="3"/>
      <c r="AU39" s="3"/>
      <c r="AV39" s="3"/>
      <c r="AW39" s="3"/>
      <c r="AX39" s="3"/>
    </row>
    <row r="40" spans="1:50">
      <c r="A40" s="7">
        <f>[5]March_2026!C40</f>
        <v>17</v>
      </c>
      <c r="B40" s="559">
        <f>[5]March_2026!$B40</f>
        <v>46104</v>
      </c>
      <c r="C40" s="7" t="str">
        <f>[5]March_2026!$D40</f>
        <v>CARIB FLINT (LOC)</v>
      </c>
      <c r="D40" s="681"/>
      <c r="E40" s="80">
        <v>1.7722222222222221</v>
      </c>
      <c r="F40" s="80">
        <v>1.9916666666666667</v>
      </c>
      <c r="G40" s="11">
        <v>2.1006944444444446</v>
      </c>
      <c r="H40" s="82"/>
      <c r="I40" s="32">
        <f>5+4</f>
        <v>9</v>
      </c>
      <c r="J40" s="86"/>
      <c r="K40" s="71"/>
      <c r="L40" s="71"/>
      <c r="M40" s="71"/>
      <c r="N40" s="71"/>
      <c r="O40" s="71">
        <f>'Uncaser Downtime Detail '!AG160</f>
        <v>4</v>
      </c>
      <c r="P40" s="71">
        <f>'Washer Downtime Detail'!BH161</f>
        <v>0</v>
      </c>
      <c r="Q40" s="34">
        <f>'EBI Downtime Detail'!AI160</f>
        <v>8</v>
      </c>
      <c r="R40" s="71">
        <f>'Filler Downtime Detail'!AK159</f>
        <v>9</v>
      </c>
      <c r="S40" s="34">
        <f>'Pasteurizer Downtime Detail'!Z162</f>
        <v>4</v>
      </c>
      <c r="T40" s="71">
        <f>'Labeler Downtime Detail'!AN160</f>
        <v>12</v>
      </c>
      <c r="U40" s="71">
        <f>'Videojet Downtime Detail '!O161</f>
        <v>0</v>
      </c>
      <c r="V40" s="71">
        <f>'Conveyor Downtime (new)'!AV156</f>
        <v>0</v>
      </c>
      <c r="W40" s="71">
        <f>'Packer Downtime Detail  '!AD161</f>
        <v>8</v>
      </c>
      <c r="X40" s="71">
        <f>'Carton Errector-sealer Detail'!P145</f>
        <v>0</v>
      </c>
      <c r="Y40" s="71"/>
      <c r="Z40" s="43">
        <f>2+3+3+2+1+5</f>
        <v>16</v>
      </c>
      <c r="AA40" s="88"/>
      <c r="AB40" s="71">
        <f>4</f>
        <v>4</v>
      </c>
      <c r="AC40" s="71"/>
      <c r="AD40" s="44">
        <f t="shared" si="2"/>
        <v>74</v>
      </c>
      <c r="AE40" s="754"/>
      <c r="AH40" s="3"/>
      <c r="AI40" s="23"/>
      <c r="AJ40" s="23"/>
      <c r="AK40" s="54"/>
      <c r="AL40" s="3"/>
      <c r="AM40" s="3"/>
      <c r="AN40" s="3"/>
      <c r="AO40" s="3"/>
      <c r="AP40" s="3"/>
      <c r="AQ40" s="3"/>
      <c r="AR40" s="3"/>
      <c r="AS40" s="3"/>
      <c r="AT40" s="3"/>
      <c r="AU40" s="3"/>
      <c r="AV40" s="3"/>
      <c r="AW40" s="3"/>
      <c r="AX40" s="3"/>
    </row>
    <row r="41" spans="1:50">
      <c r="A41" s="7">
        <f>[5]March_2026!C41</f>
        <v>18</v>
      </c>
      <c r="B41" s="559">
        <f>[5]March_2026!$B41</f>
        <v>46105</v>
      </c>
      <c r="C41" s="7" t="s">
        <v>461</v>
      </c>
      <c r="D41" s="755">
        <v>1</v>
      </c>
      <c r="E41" s="80">
        <v>1.0874999999999999</v>
      </c>
      <c r="F41" s="80">
        <v>1.4208333333333334</v>
      </c>
      <c r="G41" s="11"/>
      <c r="H41" s="14"/>
      <c r="I41" s="34">
        <f>15+27</f>
        <v>42</v>
      </c>
      <c r="J41" s="35"/>
      <c r="K41" s="34"/>
      <c r="L41" s="34"/>
      <c r="M41" s="34"/>
      <c r="N41" s="34"/>
      <c r="O41" s="34">
        <f>'Uncaser Downtime Detail '!AG161</f>
        <v>7</v>
      </c>
      <c r="P41" s="34">
        <f>'Washer Downtime Detail'!BH162</f>
        <v>4</v>
      </c>
      <c r="Q41" s="34">
        <f>'EBI Downtime Detail'!AI161</f>
        <v>0</v>
      </c>
      <c r="R41" s="34">
        <f>'Filler Downtime Detail'!AK160</f>
        <v>1</v>
      </c>
      <c r="S41" s="34">
        <f>'Pasteurizer Downtime Detail'!Z163</f>
        <v>0</v>
      </c>
      <c r="T41" s="71">
        <f>'Labeler Downtime Detail'!AN161</f>
        <v>33</v>
      </c>
      <c r="U41" s="71">
        <f>'Videojet Downtime Detail '!O162</f>
        <v>0</v>
      </c>
      <c r="V41" s="34">
        <f>'Conveyor Downtime (new)'!AV157</f>
        <v>32</v>
      </c>
      <c r="W41" s="34">
        <f>'Packer Downtime Detail  '!AD162</f>
        <v>0</v>
      </c>
      <c r="X41" s="34">
        <f>'Carton Errector-sealer Detail'!P146</f>
        <v>0</v>
      </c>
      <c r="Y41" s="35"/>
      <c r="Z41" s="34">
        <f>15+30+15+60+60+22+10+19+6</f>
        <v>237</v>
      </c>
      <c r="AA41" s="90"/>
      <c r="AB41" s="89"/>
      <c r="AC41" s="89"/>
      <c r="AD41" s="44">
        <f t="shared" si="2"/>
        <v>356</v>
      </c>
      <c r="AE41" s="754">
        <f>G42-D41</f>
        <v>1.0291666666666668</v>
      </c>
      <c r="AH41" s="3"/>
      <c r="AI41" s="23"/>
      <c r="AJ41" s="23"/>
      <c r="AK41" s="54"/>
      <c r="AL41" s="3"/>
      <c r="AM41" s="3"/>
      <c r="AN41" s="3"/>
      <c r="AO41" s="3"/>
      <c r="AP41" s="3"/>
      <c r="AQ41" s="3"/>
      <c r="AR41" s="3"/>
      <c r="AS41" s="3"/>
      <c r="AT41" s="3"/>
      <c r="AU41" s="3"/>
      <c r="AV41" s="3"/>
      <c r="AW41" s="3"/>
      <c r="AX41" s="3"/>
    </row>
    <row r="42" spans="1:50">
      <c r="A42" s="7">
        <f>[5]March_2026!C43</f>
        <v>18</v>
      </c>
      <c r="B42" s="559">
        <f>[5]March_2026!$B43</f>
        <v>46105</v>
      </c>
      <c r="C42" s="7" t="str">
        <f>[5]March_2026!$D43</f>
        <v>STAR MALT</v>
      </c>
      <c r="D42" s="755"/>
      <c r="E42" s="80">
        <v>1.5569444444444445</v>
      </c>
      <c r="F42" s="80">
        <v>2</v>
      </c>
      <c r="G42" s="11">
        <v>2.0291666666666668</v>
      </c>
      <c r="H42" s="82"/>
      <c r="I42" s="32">
        <f>24</f>
        <v>24</v>
      </c>
      <c r="J42" s="86"/>
      <c r="K42" s="71"/>
      <c r="L42" s="71"/>
      <c r="M42" s="71"/>
      <c r="N42" s="71"/>
      <c r="O42" s="71">
        <f>'Uncaser Downtime Detail '!AG162</f>
        <v>12</v>
      </c>
      <c r="P42" s="71">
        <f>'Washer Downtime Detail'!BH163</f>
        <v>21</v>
      </c>
      <c r="Q42" s="34">
        <f>'EBI Downtime Detail'!AI162</f>
        <v>6</v>
      </c>
      <c r="R42" s="71">
        <f>'Filler Downtime Detail'!AK161</f>
        <v>1</v>
      </c>
      <c r="S42" s="34">
        <f>'Pasteurizer Downtime Detail'!Z164</f>
        <v>188</v>
      </c>
      <c r="T42" s="71">
        <f>'Labeler Downtime Detail'!AN162</f>
        <v>5</v>
      </c>
      <c r="U42" s="71">
        <f>'Videojet Downtime Detail '!O163</f>
        <v>0</v>
      </c>
      <c r="V42" s="71">
        <f>'Conveyor Downtime (new)'!AV158</f>
        <v>5</v>
      </c>
      <c r="W42" s="71">
        <f>'Packer Downtime Detail  '!AD163</f>
        <v>87</v>
      </c>
      <c r="X42" s="71">
        <f>'Carton Errector-sealer Detail'!P147</f>
        <v>0</v>
      </c>
      <c r="Y42" s="71"/>
      <c r="Z42" s="43">
        <f>4</f>
        <v>4</v>
      </c>
      <c r="AA42" s="88">
        <v>9</v>
      </c>
      <c r="AB42" s="71">
        <f>3+5</f>
        <v>8</v>
      </c>
      <c r="AC42" s="71"/>
      <c r="AD42" s="44">
        <f t="shared" si="2"/>
        <v>370</v>
      </c>
      <c r="AE42" s="754"/>
      <c r="AH42" s="3"/>
      <c r="AI42" s="23"/>
      <c r="AJ42" s="23"/>
      <c r="AK42" s="54"/>
      <c r="AL42" s="3"/>
      <c r="AM42" s="3"/>
      <c r="AN42" s="3"/>
      <c r="AO42" s="3"/>
      <c r="AP42" s="3"/>
      <c r="AQ42" s="3"/>
      <c r="AR42" s="3"/>
      <c r="AS42" s="3"/>
      <c r="AT42" s="3"/>
      <c r="AU42" s="3"/>
      <c r="AV42" s="3"/>
      <c r="AW42" s="3"/>
      <c r="AX42" s="3"/>
    </row>
    <row r="43" spans="1:50">
      <c r="A43" s="7">
        <f>[5]March_2026!C44</f>
        <v>19</v>
      </c>
      <c r="B43" s="559">
        <f>[5]March_2026!$B44</f>
        <v>46106</v>
      </c>
      <c r="C43" s="7" t="str">
        <f>[5]March_2026!$D44</f>
        <v>STAR MALT</v>
      </c>
      <c r="D43" s="681">
        <v>1</v>
      </c>
      <c r="E43" s="80">
        <v>1.0020833333333334</v>
      </c>
      <c r="F43" s="80">
        <v>1.2916666666666667</v>
      </c>
      <c r="G43" s="11">
        <v>1.3604166666666666</v>
      </c>
      <c r="H43" s="14"/>
      <c r="I43" s="34"/>
      <c r="J43" s="35"/>
      <c r="K43" s="34"/>
      <c r="L43" s="34"/>
      <c r="M43" s="34"/>
      <c r="N43" s="34"/>
      <c r="O43" s="34">
        <f>'Uncaser Downtime Detail '!AG163</f>
        <v>23</v>
      </c>
      <c r="P43" s="34">
        <f>'Washer Downtime Detail'!BH164</f>
        <v>24</v>
      </c>
      <c r="Q43" s="34">
        <f>'EBI Downtime Detail'!AI163</f>
        <v>17</v>
      </c>
      <c r="R43" s="34">
        <f>'Filler Downtime Detail'!AK162</f>
        <v>10</v>
      </c>
      <c r="S43" s="34">
        <f>'Pasteurizer Downtime Detail'!Z165</f>
        <v>0</v>
      </c>
      <c r="T43" s="71">
        <f>'Labeler Downtime Detail'!AN163</f>
        <v>0</v>
      </c>
      <c r="U43" s="71">
        <f>'Videojet Downtime Detail '!O164</f>
        <v>0</v>
      </c>
      <c r="V43" s="34">
        <f>'Conveyor Downtime (new)'!AV159</f>
        <v>6</v>
      </c>
      <c r="W43" s="34">
        <f>'Packer Downtime Detail  '!AD164</f>
        <v>27</v>
      </c>
      <c r="X43" s="34">
        <f>'Carton Errector-sealer Detail'!P148</f>
        <v>0</v>
      </c>
      <c r="Y43" s="35"/>
      <c r="Z43" s="34">
        <f>3</f>
        <v>3</v>
      </c>
      <c r="AA43" s="90"/>
      <c r="AB43" s="89">
        <f>3+4+3+6+4+8+4</f>
        <v>32</v>
      </c>
      <c r="AC43" s="89"/>
      <c r="AD43" s="44">
        <f t="shared" si="2"/>
        <v>142</v>
      </c>
      <c r="AE43" s="754">
        <f>G46-D43</f>
        <v>1.1694444444444443</v>
      </c>
      <c r="AH43" s="3"/>
      <c r="AI43" s="23"/>
      <c r="AJ43" s="23"/>
      <c r="AK43" s="54"/>
      <c r="AL43" s="3"/>
      <c r="AM43" s="3"/>
      <c r="AN43" s="3"/>
      <c r="AO43" s="3"/>
      <c r="AP43" s="3"/>
      <c r="AQ43" s="3"/>
      <c r="AR43" s="3"/>
      <c r="AS43" s="3"/>
      <c r="AT43" s="3"/>
      <c r="AU43" s="3"/>
      <c r="AV43" s="3"/>
      <c r="AW43" s="3"/>
      <c r="AX43" s="3"/>
    </row>
    <row r="44" spans="1:50">
      <c r="A44" s="7">
        <f>[5]March_2026!C45</f>
        <v>19</v>
      </c>
      <c r="B44" s="559">
        <f>[5]March_2026!$B45</f>
        <v>46106</v>
      </c>
      <c r="C44" s="7" t="str">
        <f>[5]March_2026!$D45</f>
        <v>CLUB SODA</v>
      </c>
      <c r="D44" s="681"/>
      <c r="E44" s="80">
        <v>1.4305555555555556</v>
      </c>
      <c r="F44" s="80">
        <v>1.4513888888888888</v>
      </c>
      <c r="G44" s="11">
        <v>1.4791666666666667</v>
      </c>
      <c r="H44" s="82"/>
      <c r="I44" s="32">
        <f>60+60</f>
        <v>120</v>
      </c>
      <c r="J44" s="86"/>
      <c r="K44" s="71"/>
      <c r="L44" s="71"/>
      <c r="M44" s="71"/>
      <c r="N44" s="71"/>
      <c r="O44" s="34">
        <f>'Uncaser Downtime Detail '!AG164</f>
        <v>0</v>
      </c>
      <c r="P44" s="71">
        <f>'Washer Downtime Detail'!BH165</f>
        <v>0</v>
      </c>
      <c r="Q44" s="34">
        <f>'EBI Downtime Detail'!AI164</f>
        <v>0</v>
      </c>
      <c r="R44" s="71">
        <f>'Filler Downtime Detail'!AK163</f>
        <v>80</v>
      </c>
      <c r="S44" s="34">
        <f>'Pasteurizer Downtime Detail'!Z166</f>
        <v>0</v>
      </c>
      <c r="T44" s="71">
        <f>'Labeler Downtime Detail'!AN164</f>
        <v>0</v>
      </c>
      <c r="U44" s="71">
        <f>'Videojet Downtime Detail '!O165</f>
        <v>0</v>
      </c>
      <c r="V44" s="71">
        <f>'Conveyor Downtime (new)'!AV160</f>
        <v>0</v>
      </c>
      <c r="W44" s="71">
        <f>'Packer Downtime Detail  '!AD165</f>
        <v>0</v>
      </c>
      <c r="X44" s="71">
        <f>'Carton Errector-sealer Detail'!P149</f>
        <v>0</v>
      </c>
      <c r="Y44" s="71"/>
      <c r="Z44" s="43"/>
      <c r="AA44" s="88"/>
      <c r="AB44" s="71"/>
      <c r="AC44" s="71"/>
      <c r="AD44" s="44">
        <f t="shared" si="2"/>
        <v>200</v>
      </c>
      <c r="AE44" s="754"/>
      <c r="AH44" s="3"/>
      <c r="AI44" s="23"/>
      <c r="AJ44" s="23"/>
      <c r="AK44" s="54"/>
      <c r="AL44" s="3"/>
      <c r="AM44" s="3"/>
      <c r="AN44" s="3"/>
      <c r="AO44" s="3"/>
      <c r="AP44" s="3"/>
      <c r="AQ44" s="3"/>
      <c r="AR44" s="3"/>
      <c r="AS44" s="3"/>
      <c r="AT44" s="3"/>
      <c r="AU44" s="3"/>
      <c r="AV44" s="3"/>
      <c r="AW44" s="3"/>
      <c r="AX44" s="3"/>
    </row>
    <row r="45" spans="1:50">
      <c r="A45" s="7">
        <f>[5]March_2026!C46</f>
        <v>19</v>
      </c>
      <c r="B45" s="559">
        <f>[5]March_2026!$B46</f>
        <v>46106</v>
      </c>
      <c r="C45" s="7" t="str">
        <f>[5]March_2026!$D46</f>
        <v>KOLA CHAMPAGNE (EXPORT)</v>
      </c>
      <c r="D45" s="681"/>
      <c r="E45" s="80">
        <v>1.4743055555555555</v>
      </c>
      <c r="F45" s="80">
        <v>1.6229166666666666</v>
      </c>
      <c r="G45" s="11">
        <v>0.8041666666666667</v>
      </c>
      <c r="H45" s="14"/>
      <c r="I45" s="34">
        <f>10</f>
        <v>10</v>
      </c>
      <c r="J45" s="35">
        <f>23</f>
        <v>23</v>
      </c>
      <c r="K45" s="34"/>
      <c r="L45" s="34"/>
      <c r="M45" s="34"/>
      <c r="N45" s="34"/>
      <c r="O45" s="34">
        <f>'Uncaser Downtime Detail '!AG165</f>
        <v>0</v>
      </c>
      <c r="P45" s="34">
        <f>'Washer Downtime Detail'!BH166</f>
        <v>0</v>
      </c>
      <c r="Q45" s="34">
        <f>'EBI Downtime Detail'!AI165</f>
        <v>5</v>
      </c>
      <c r="R45" s="71">
        <f>'Filler Downtime Detail'!AK164</f>
        <v>0</v>
      </c>
      <c r="S45" s="34">
        <f>'Pasteurizer Downtime Detail'!Z167</f>
        <v>0</v>
      </c>
      <c r="T45" s="71">
        <f>'Labeler Downtime Detail'!AN166</f>
        <v>4</v>
      </c>
      <c r="U45" s="71">
        <f>'Videojet Downtime Detail '!O166</f>
        <v>0</v>
      </c>
      <c r="V45" s="34">
        <f>'Conveyor Downtime (new)'!AV161</f>
        <v>9</v>
      </c>
      <c r="W45" s="71">
        <f>'Packer Downtime Detail  '!AD166</f>
        <v>0</v>
      </c>
      <c r="X45" s="34">
        <f>'Carton Errector-sealer Detail'!P150</f>
        <v>22</v>
      </c>
      <c r="Y45" s="35"/>
      <c r="Z45" s="34"/>
      <c r="AA45" s="90"/>
      <c r="AB45" s="89"/>
      <c r="AC45" s="89"/>
      <c r="AD45" s="44">
        <f t="shared" si="2"/>
        <v>73</v>
      </c>
      <c r="AE45" s="754"/>
      <c r="AH45" s="3"/>
      <c r="AI45" s="23"/>
      <c r="AJ45" s="23"/>
      <c r="AK45" s="54"/>
      <c r="AL45" s="3"/>
      <c r="AM45" s="3"/>
      <c r="AN45" s="3"/>
      <c r="AO45" s="3"/>
      <c r="AP45" s="3"/>
      <c r="AQ45" s="3"/>
      <c r="AR45" s="3"/>
      <c r="AS45" s="3"/>
      <c r="AT45" s="3"/>
      <c r="AU45" s="3"/>
      <c r="AV45" s="3"/>
      <c r="AW45" s="3"/>
      <c r="AX45" s="3"/>
    </row>
    <row r="46" spans="1:50">
      <c r="A46" s="7">
        <f>[5]March_2026!C47</f>
        <v>19</v>
      </c>
      <c r="B46" s="559">
        <f>[5]March_2026!$B47</f>
        <v>46106</v>
      </c>
      <c r="C46" s="7" t="str">
        <f>[5]March_2026!$D47</f>
        <v>CREAM SODA (EXPORT)</v>
      </c>
      <c r="D46" s="681"/>
      <c r="E46" s="80">
        <v>1.663888888888889</v>
      </c>
      <c r="F46" s="80">
        <v>2</v>
      </c>
      <c r="G46" s="11">
        <v>2.1694444444444443</v>
      </c>
      <c r="H46" s="82"/>
      <c r="I46" s="32">
        <f>56+3</f>
        <v>59</v>
      </c>
      <c r="J46" s="86"/>
      <c r="K46" s="71"/>
      <c r="L46" s="71"/>
      <c r="M46" s="71"/>
      <c r="N46" s="71"/>
      <c r="O46" s="34">
        <f>'Uncaser Downtime Detail '!AG166</f>
        <v>0</v>
      </c>
      <c r="P46" s="71">
        <f>'Washer Downtime Detail'!BH167</f>
        <v>0</v>
      </c>
      <c r="Q46" s="71">
        <f>'EBI Downtime Detail'!AI166</f>
        <v>5</v>
      </c>
      <c r="R46" s="71">
        <f>'Filler Downtime Detail'!AK165</f>
        <v>0</v>
      </c>
      <c r="S46" s="34">
        <f>'Pasteurizer Downtime Detail'!Z168</f>
        <v>0</v>
      </c>
      <c r="T46" s="71">
        <f>'Labeler Downtime Detail'!AN167</f>
        <v>0</v>
      </c>
      <c r="U46" s="71">
        <f>'Videojet Downtime Detail '!O167</f>
        <v>0</v>
      </c>
      <c r="V46" s="34">
        <f>'Conveyor Downtime (new)'!AV162</f>
        <v>5</v>
      </c>
      <c r="W46" s="71">
        <f>'Packer Downtime Detail  '!AD167</f>
        <v>88</v>
      </c>
      <c r="X46" s="71">
        <f>'Carton Errector-sealer Detail'!P151</f>
        <v>184</v>
      </c>
      <c r="Y46" s="71"/>
      <c r="Z46" s="43">
        <f>8</f>
        <v>8</v>
      </c>
      <c r="AA46" s="88">
        <v>3</v>
      </c>
      <c r="AB46" s="71">
        <f>7</f>
        <v>7</v>
      </c>
      <c r="AC46" s="71"/>
      <c r="AD46" s="44">
        <f t="shared" si="2"/>
        <v>359</v>
      </c>
      <c r="AE46" s="754"/>
      <c r="AH46" s="3"/>
      <c r="AI46" s="23"/>
      <c r="AJ46" s="23"/>
      <c r="AK46" s="54"/>
      <c r="AL46" s="3"/>
      <c r="AM46" s="3"/>
      <c r="AN46" s="3"/>
      <c r="AO46" s="3"/>
      <c r="AP46" s="3"/>
      <c r="AQ46" s="3"/>
      <c r="AR46" s="3"/>
      <c r="AS46" s="3"/>
      <c r="AT46" s="3"/>
      <c r="AU46" s="3"/>
      <c r="AV46" s="3"/>
      <c r="AW46" s="3"/>
      <c r="AX46" s="3"/>
    </row>
    <row r="47" spans="1:50">
      <c r="A47" s="7">
        <v>20</v>
      </c>
      <c r="B47" s="559">
        <f>[5]March_2026!$B48</f>
        <v>46107</v>
      </c>
      <c r="C47" s="7" t="str">
        <f>[5]March_2026!$D48</f>
        <v>BANANA (EXPORT)</v>
      </c>
      <c r="D47" s="681">
        <v>1</v>
      </c>
      <c r="E47" s="80">
        <v>1.1180555555555556</v>
      </c>
      <c r="F47" s="80">
        <v>1.351388888888889</v>
      </c>
      <c r="G47" s="11">
        <v>1.4236111111111112</v>
      </c>
      <c r="H47" s="14">
        <f>2</f>
        <v>2</v>
      </c>
      <c r="I47" s="34">
        <f>34+10+46+14</f>
        <v>104</v>
      </c>
      <c r="J47" s="35"/>
      <c r="K47" s="34"/>
      <c r="L47" s="34"/>
      <c r="M47" s="34">
        <f>6+14</f>
        <v>20</v>
      </c>
      <c r="N47" s="34"/>
      <c r="O47" s="34">
        <f>'Uncaser Downtime Detail '!AG167</f>
        <v>0</v>
      </c>
      <c r="P47" s="34"/>
      <c r="Q47" s="34"/>
      <c r="R47" s="71">
        <f>'Filler Downtime Detail'!AK166</f>
        <v>1</v>
      </c>
      <c r="S47" s="34">
        <f>'Pasteurizer Downtime Detail'!Z169</f>
        <v>0</v>
      </c>
      <c r="T47" s="71">
        <f>'Labeler Downtime Detail'!AN168</f>
        <v>12</v>
      </c>
      <c r="U47" s="71">
        <f>'Videojet Downtime Detail '!O168</f>
        <v>0</v>
      </c>
      <c r="V47" s="34">
        <f>'Conveyor Downtime (new)'!AV163</f>
        <v>6</v>
      </c>
      <c r="W47" s="71">
        <f>'Packer Downtime Detail  '!AD168</f>
        <v>95</v>
      </c>
      <c r="X47" s="34">
        <f>'Carton Errector-sealer Detail'!P152</f>
        <v>120</v>
      </c>
      <c r="Y47" s="35"/>
      <c r="Z47" s="34"/>
      <c r="AA47" s="90"/>
      <c r="AB47" s="89"/>
      <c r="AC47" s="89"/>
      <c r="AD47" s="44">
        <f t="shared" si="2"/>
        <v>360</v>
      </c>
      <c r="AE47" s="754">
        <f>G50-D47</f>
        <v>1.0736111111111111</v>
      </c>
      <c r="AH47" s="3"/>
      <c r="AI47" s="23"/>
      <c r="AJ47" s="23"/>
      <c r="AK47" s="54"/>
      <c r="AL47" s="3"/>
      <c r="AM47" s="3"/>
      <c r="AN47" s="3"/>
      <c r="AO47" s="3"/>
      <c r="AP47" s="3"/>
      <c r="AQ47" s="3"/>
      <c r="AR47" s="3"/>
      <c r="AS47" s="3"/>
      <c r="AT47" s="3"/>
      <c r="AU47" s="3"/>
      <c r="AV47" s="3"/>
      <c r="AW47" s="3"/>
      <c r="AX47" s="3"/>
    </row>
    <row r="48" spans="1:50">
      <c r="A48" s="7">
        <v>20</v>
      </c>
      <c r="B48" s="559">
        <f>[5]March_2026!$B49</f>
        <v>46107</v>
      </c>
      <c r="C48" s="7" t="str">
        <f>[5]March_2026!$D49</f>
        <v>GINGER (EXPORT)</v>
      </c>
      <c r="D48" s="681"/>
      <c r="E48" s="80">
        <v>1.3708333333333333</v>
      </c>
      <c r="F48" s="80">
        <v>1.5694444444444444</v>
      </c>
      <c r="G48" s="11">
        <v>1.6166666666666667</v>
      </c>
      <c r="H48" s="82"/>
      <c r="I48" s="32">
        <f>16+29</f>
        <v>45</v>
      </c>
      <c r="J48" s="86">
        <f>12</f>
        <v>12</v>
      </c>
      <c r="K48" s="71"/>
      <c r="L48" s="71"/>
      <c r="M48" s="71"/>
      <c r="N48" s="71"/>
      <c r="O48" s="34">
        <f>'Uncaser Downtime Detail '!AG168</f>
        <v>0</v>
      </c>
      <c r="P48" s="71"/>
      <c r="Q48" s="71"/>
      <c r="R48" s="71">
        <f>'Filler Downtime Detail'!AK167</f>
        <v>4</v>
      </c>
      <c r="S48" s="34">
        <f>'Pasteurizer Downtime Detail'!Z170</f>
        <v>0</v>
      </c>
      <c r="T48" s="71">
        <f>'Labeler Downtime Detail'!AN169</f>
        <v>0</v>
      </c>
      <c r="U48" s="71">
        <f>'Videojet Downtime Detail '!O169</f>
        <v>0</v>
      </c>
      <c r="V48" s="34">
        <f>'Conveyor Downtime (new)'!AV164</f>
        <v>2</v>
      </c>
      <c r="W48" s="71">
        <f>'Packer Downtime Detail  '!AD169</f>
        <v>9</v>
      </c>
      <c r="X48" s="34">
        <f>'Carton Errector-sealer Detail'!P153</f>
        <v>25</v>
      </c>
      <c r="Y48" s="71"/>
      <c r="Z48" s="43"/>
      <c r="AA48" s="88"/>
      <c r="AB48" s="71">
        <f>10</f>
        <v>10</v>
      </c>
      <c r="AC48" s="71"/>
      <c r="AD48" s="44">
        <f t="shared" si="2"/>
        <v>107</v>
      </c>
      <c r="AE48" s="754"/>
      <c r="AH48" s="3"/>
      <c r="AI48" s="23"/>
      <c r="AJ48" s="23"/>
      <c r="AK48" s="54"/>
      <c r="AL48" s="3"/>
      <c r="AM48" s="3"/>
      <c r="AN48" s="3"/>
      <c r="AO48" s="3"/>
      <c r="AP48" s="3"/>
      <c r="AQ48" s="3"/>
      <c r="AR48" s="3"/>
      <c r="AS48" s="3"/>
      <c r="AT48" s="3"/>
      <c r="AU48" s="3"/>
      <c r="AV48" s="3"/>
      <c r="AW48" s="3"/>
      <c r="AX48" s="3"/>
    </row>
    <row r="49" spans="1:50">
      <c r="A49" s="7">
        <v>20</v>
      </c>
      <c r="B49" s="559">
        <f>[5]March_2026!$B50</f>
        <v>46107</v>
      </c>
      <c r="C49" s="7" t="str">
        <f>[5]March_2026!$D50</f>
        <v>GRAPE (EXPORT)</v>
      </c>
      <c r="D49" s="681"/>
      <c r="E49" s="80">
        <v>1.5868055555555556</v>
      </c>
      <c r="F49" s="80">
        <v>1.8006944444444444</v>
      </c>
      <c r="G49" s="11"/>
      <c r="H49" s="14"/>
      <c r="I49" s="34">
        <f>20+5</f>
        <v>25</v>
      </c>
      <c r="J49" s="35"/>
      <c r="K49" s="34"/>
      <c r="L49" s="34"/>
      <c r="M49" s="34">
        <f>12+30</f>
        <v>42</v>
      </c>
      <c r="N49" s="34"/>
      <c r="O49" s="34">
        <f>'Uncaser Downtime Detail '!AG169</f>
        <v>0</v>
      </c>
      <c r="P49" s="34"/>
      <c r="Q49" s="34"/>
      <c r="R49" s="71">
        <f>'Filler Downtime Detail'!AK168</f>
        <v>4</v>
      </c>
      <c r="S49" s="34">
        <f>'Pasteurizer Downtime Detail'!Z171</f>
        <v>0</v>
      </c>
      <c r="T49" s="34"/>
      <c r="U49" s="71">
        <f>'Videojet Downtime Detail '!O170</f>
        <v>0</v>
      </c>
      <c r="V49" s="34">
        <f>'Conveyor Downtime (new)'!AV165</f>
        <v>4</v>
      </c>
      <c r="W49" s="71">
        <f>'Packer Downtime Detail  '!AD170</f>
        <v>0</v>
      </c>
      <c r="X49" s="34">
        <f>'Carton Errector-sealer Detail'!P154</f>
        <v>22</v>
      </c>
      <c r="Y49" s="35"/>
      <c r="Z49" s="34"/>
      <c r="AA49" s="90"/>
      <c r="AB49" s="89"/>
      <c r="AC49" s="89"/>
      <c r="AD49" s="44">
        <f t="shared" si="2"/>
        <v>97</v>
      </c>
      <c r="AE49" s="754"/>
      <c r="AH49" s="3"/>
      <c r="AI49" s="23"/>
      <c r="AJ49" s="23"/>
      <c r="AK49" s="54"/>
      <c r="AL49" s="3"/>
      <c r="AM49" s="3"/>
      <c r="AN49" s="3"/>
      <c r="AO49" s="3"/>
      <c r="AP49" s="3"/>
      <c r="AQ49" s="3"/>
      <c r="AR49" s="3"/>
      <c r="AS49" s="3"/>
      <c r="AT49" s="3"/>
      <c r="AU49" s="3"/>
      <c r="AV49" s="3"/>
      <c r="AW49" s="3"/>
      <c r="AX49" s="3"/>
    </row>
    <row r="50" spans="1:50">
      <c r="A50" s="7">
        <v>21</v>
      </c>
      <c r="B50" s="559">
        <f>[5]March_2026!$B51</f>
        <v>46107</v>
      </c>
      <c r="C50" s="7" t="str">
        <f>[5]March_2026!$D51</f>
        <v>JUICY COOL SORREL (EXPORT)</v>
      </c>
      <c r="D50" s="681"/>
      <c r="E50" s="80">
        <v>1.8486111111111112</v>
      </c>
      <c r="F50" s="80">
        <v>2</v>
      </c>
      <c r="G50" s="11">
        <v>2.0736111111111111</v>
      </c>
      <c r="H50" s="82"/>
      <c r="I50" s="32">
        <f>37</f>
        <v>37</v>
      </c>
      <c r="J50" s="86"/>
      <c r="K50" s="71"/>
      <c r="L50" s="71"/>
      <c r="M50" s="71"/>
      <c r="N50" s="71"/>
      <c r="O50" s="34">
        <f>'Uncaser Downtime Detail '!AG170</f>
        <v>20</v>
      </c>
      <c r="P50" s="71">
        <f>'Washer Downtime Detail'!$BH170</f>
        <v>0</v>
      </c>
      <c r="Q50" s="71">
        <f>'EBI Downtime Detail'!AI170</f>
        <v>0</v>
      </c>
      <c r="R50" s="71">
        <f>'Filler Downtime Detail'!AK169</f>
        <v>0</v>
      </c>
      <c r="S50" s="34">
        <f>'Pasteurizer Downtime Detail'!Z172</f>
        <v>0</v>
      </c>
      <c r="T50" s="71">
        <f>'Labeler Downtime Detail'!AN170</f>
        <v>2</v>
      </c>
      <c r="U50" s="71">
        <f>'Videojet Downtime Detail '!O171</f>
        <v>10</v>
      </c>
      <c r="V50" s="34">
        <f>'Conveyor Downtime (new)'!AV166</f>
        <v>0</v>
      </c>
      <c r="W50" s="71">
        <f>'Packer Downtime Detail  '!AD171</f>
        <v>0</v>
      </c>
      <c r="X50" s="34">
        <f>'Carton Errector-sealer Detail'!P155</f>
        <v>0</v>
      </c>
      <c r="Y50" s="71"/>
      <c r="Z50" s="43">
        <f>3+10+5</f>
        <v>18</v>
      </c>
      <c r="AA50" s="88"/>
      <c r="AB50" s="71">
        <f>22</f>
        <v>22</v>
      </c>
      <c r="AC50" s="71"/>
      <c r="AD50" s="44">
        <f t="shared" si="2"/>
        <v>109</v>
      </c>
      <c r="AE50" s="754"/>
      <c r="AH50" s="3"/>
      <c r="AI50" s="23"/>
      <c r="AJ50" s="23"/>
      <c r="AK50" s="54"/>
      <c r="AL50" s="3"/>
      <c r="AM50" s="3"/>
      <c r="AN50" s="3"/>
      <c r="AO50" s="3"/>
      <c r="AP50" s="3"/>
      <c r="AQ50" s="3"/>
      <c r="AR50" s="3"/>
      <c r="AS50" s="3"/>
      <c r="AT50" s="3"/>
      <c r="AU50" s="3"/>
      <c r="AV50" s="3"/>
      <c r="AW50" s="3"/>
      <c r="AX50" s="3"/>
    </row>
    <row r="51" spans="1:50">
      <c r="A51" s="7">
        <v>21</v>
      </c>
      <c r="B51" s="559">
        <f>[5]March_2026!$B52</f>
        <v>46108</v>
      </c>
      <c r="C51" s="7" t="str">
        <f>[5]March_2026!$D52</f>
        <v>JUICY COOL SORREL (EXPORT)</v>
      </c>
      <c r="D51" s="681">
        <v>1</v>
      </c>
      <c r="E51" s="80">
        <v>1.0034722222222223</v>
      </c>
      <c r="F51" s="80">
        <v>1.0687500000000001</v>
      </c>
      <c r="G51" s="11">
        <v>1.1284722222222223</v>
      </c>
      <c r="H51" s="14"/>
      <c r="I51" s="34"/>
      <c r="J51" s="35"/>
      <c r="K51" s="34"/>
      <c r="L51" s="34"/>
      <c r="M51" s="34">
        <f>11</f>
        <v>11</v>
      </c>
      <c r="N51" s="34"/>
      <c r="O51" s="34">
        <f>'Uncaser Downtime Detail '!AG171</f>
        <v>0</v>
      </c>
      <c r="P51" s="34">
        <f>'Washer Downtime Detail'!$BH171</f>
        <v>0</v>
      </c>
      <c r="Q51" s="34">
        <f>'EBI Downtime Detail'!AI171</f>
        <v>36</v>
      </c>
      <c r="R51" s="71">
        <f>'Filler Downtime Detail'!AK170</f>
        <v>0</v>
      </c>
      <c r="S51" s="34">
        <f>'Pasteurizer Downtime Detail'!Z173</f>
        <v>0</v>
      </c>
      <c r="T51" s="34">
        <f>'Labeler Downtime Detail'!AN171</f>
        <v>0</v>
      </c>
      <c r="U51" s="71">
        <f>'Videojet Downtime Detail '!O172</f>
        <v>0</v>
      </c>
      <c r="V51" s="34">
        <f>'Conveyor Downtime (new)'!AV167</f>
        <v>3</v>
      </c>
      <c r="W51" s="71">
        <f>'Packer Downtime Detail  '!AD172</f>
        <v>0</v>
      </c>
      <c r="X51" s="34">
        <f>'Carton Errector-sealer Detail'!P156</f>
        <v>24</v>
      </c>
      <c r="Y51" s="35"/>
      <c r="Z51" s="34">
        <f>5</f>
        <v>5</v>
      </c>
      <c r="AA51" s="90"/>
      <c r="AB51" s="89"/>
      <c r="AC51" s="89"/>
      <c r="AD51" s="44">
        <f t="shared" si="2"/>
        <v>79</v>
      </c>
      <c r="AE51" s="754">
        <f>G52-D51</f>
        <v>0.82638888888888884</v>
      </c>
      <c r="AH51" s="3"/>
      <c r="AI51" s="23"/>
      <c r="AJ51" s="23"/>
      <c r="AK51" s="54"/>
      <c r="AL51" s="3"/>
      <c r="AM51" s="3"/>
      <c r="AN51" s="3"/>
      <c r="AO51" s="3"/>
      <c r="AP51" s="3"/>
      <c r="AQ51" s="3"/>
      <c r="AR51" s="3"/>
      <c r="AS51" s="3"/>
      <c r="AT51" s="3"/>
      <c r="AU51" s="3"/>
      <c r="AV51" s="3"/>
      <c r="AW51" s="3"/>
      <c r="AX51" s="3"/>
    </row>
    <row r="52" spans="1:50">
      <c r="A52" s="7">
        <v>21</v>
      </c>
      <c r="B52" s="559">
        <f>[5]March_2026!$B53</f>
        <v>46108</v>
      </c>
      <c r="C52" s="7" t="str">
        <f>[5]March_2026!$D53</f>
        <v>STAG</v>
      </c>
      <c r="D52" s="681"/>
      <c r="E52" s="80">
        <v>1.2083333333333333</v>
      </c>
      <c r="F52" s="80">
        <v>1.79375</v>
      </c>
      <c r="G52" s="11">
        <v>1.8263888888888888</v>
      </c>
      <c r="H52" s="82"/>
      <c r="I52" s="32">
        <f>20+42+6</f>
        <v>68</v>
      </c>
      <c r="J52" s="86">
        <v>3</v>
      </c>
      <c r="K52" s="71"/>
      <c r="L52" s="71"/>
      <c r="M52" s="71"/>
      <c r="N52" s="71"/>
      <c r="O52" s="34">
        <f>'Uncaser Downtime Detail '!AG172</f>
        <v>19</v>
      </c>
      <c r="P52" s="71">
        <f>'Washer Downtime Detail'!$BH172</f>
        <v>3</v>
      </c>
      <c r="Q52" s="71">
        <f>'EBI Downtime Detail'!AI172</f>
        <v>10</v>
      </c>
      <c r="R52" s="71">
        <f>'Filler Downtime Detail'!AK171</f>
        <v>7</v>
      </c>
      <c r="S52" s="34">
        <f>'Pasteurizer Downtime Detail'!Z174</f>
        <v>132</v>
      </c>
      <c r="T52" s="71">
        <f>'Labeler Downtime Detail'!AN172</f>
        <v>10</v>
      </c>
      <c r="U52" s="71">
        <f>'Videojet Downtime Detail '!O173</f>
        <v>0</v>
      </c>
      <c r="V52" s="34">
        <f>'Conveyor Downtime (new)'!AV168</f>
        <v>5</v>
      </c>
      <c r="W52" s="71">
        <f>'Packer Downtime Detail  '!AD173</f>
        <v>44</v>
      </c>
      <c r="X52" s="34">
        <f>'Carton Errector-sealer Detail'!P157</f>
        <v>0</v>
      </c>
      <c r="Y52" s="71"/>
      <c r="Z52" s="43">
        <f>4+3</f>
        <v>7</v>
      </c>
      <c r="AA52" s="88"/>
      <c r="AB52" s="71">
        <v>3</v>
      </c>
      <c r="AC52" s="71"/>
      <c r="AD52" s="44">
        <f t="shared" si="2"/>
        <v>311</v>
      </c>
      <c r="AE52" s="754"/>
      <c r="AH52" s="3"/>
      <c r="AI52" s="23"/>
      <c r="AJ52" s="23"/>
      <c r="AK52" s="54"/>
      <c r="AL52" s="3"/>
      <c r="AM52" s="3"/>
      <c r="AN52" s="3"/>
      <c r="AO52" s="3"/>
      <c r="AP52" s="3"/>
      <c r="AQ52" s="3"/>
      <c r="AR52" s="3"/>
      <c r="AS52" s="3"/>
      <c r="AT52" s="3"/>
      <c r="AU52" s="3"/>
      <c r="AV52" s="3"/>
      <c r="AW52" s="3"/>
      <c r="AX52" s="3"/>
    </row>
    <row r="53" spans="1:50">
      <c r="A53" s="7">
        <v>22</v>
      </c>
      <c r="B53" s="559">
        <f>[5]March_2026!$B54</f>
        <v>46111</v>
      </c>
      <c r="C53" s="7" t="str">
        <f>[5]March_2026!$D54</f>
        <v>CARIB AMBER</v>
      </c>
      <c r="D53" s="159">
        <v>1</v>
      </c>
      <c r="E53" s="80">
        <v>1.34375</v>
      </c>
      <c r="F53" s="80">
        <v>2</v>
      </c>
      <c r="G53" s="11">
        <v>2.03125</v>
      </c>
      <c r="H53" s="14"/>
      <c r="I53" s="34"/>
      <c r="J53" s="35">
        <f>2+5</f>
        <v>7</v>
      </c>
      <c r="K53" s="34"/>
      <c r="L53" s="34"/>
      <c r="M53" s="34"/>
      <c r="N53" s="34"/>
      <c r="O53" s="34">
        <f>'Uncaser Downtime Detail '!AG173</f>
        <v>0</v>
      </c>
      <c r="P53" s="34">
        <f>'Washer Downtime Detail'!$BH173</f>
        <v>10</v>
      </c>
      <c r="Q53" s="34">
        <f>'EBI Downtime Detail'!AI173</f>
        <v>9</v>
      </c>
      <c r="R53" s="71">
        <f>'Filler Downtime Detail'!AK172</f>
        <v>18</v>
      </c>
      <c r="S53" s="34">
        <f>'Pasteurizer Downtime Detail'!Z175</f>
        <v>18</v>
      </c>
      <c r="T53" s="34">
        <f>'Labeler Downtime Detail'!AN173</f>
        <v>3</v>
      </c>
      <c r="U53" s="32">
        <f>'Videojet Downtime Detail '!O173</f>
        <v>0</v>
      </c>
      <c r="V53" s="34">
        <f>'Conveyor Downtime (new)'!AV169</f>
        <v>17</v>
      </c>
      <c r="W53" s="71">
        <f>'Packer Downtime Detail  '!AD174</f>
        <v>35</v>
      </c>
      <c r="X53" s="34">
        <f>'Carton Errector-sealer Detail'!P158</f>
        <v>0</v>
      </c>
      <c r="Y53" s="35"/>
      <c r="Z53" s="34">
        <f>360+60+15+3+3+3+10</f>
        <v>454</v>
      </c>
      <c r="AA53" s="90"/>
      <c r="AB53" s="89"/>
      <c r="AC53" s="89"/>
      <c r="AD53" s="44">
        <f t="shared" si="2"/>
        <v>571</v>
      </c>
      <c r="AE53" s="754">
        <f>G57-D53</f>
        <v>1.0381944444444446</v>
      </c>
      <c r="AH53" s="3"/>
      <c r="AI53" s="23"/>
      <c r="AJ53" s="23"/>
      <c r="AK53" s="54"/>
      <c r="AL53" s="3"/>
      <c r="AM53" s="3"/>
      <c r="AN53" s="3"/>
      <c r="AO53" s="3"/>
      <c r="AP53" s="3"/>
      <c r="AQ53" s="3"/>
      <c r="AR53" s="3"/>
      <c r="AS53" s="3"/>
      <c r="AT53" s="3"/>
      <c r="AU53" s="3"/>
      <c r="AV53" s="3"/>
      <c r="AW53" s="3"/>
      <c r="AX53" s="3"/>
    </row>
    <row r="54" spans="1:50">
      <c r="A54" s="7">
        <v>23</v>
      </c>
      <c r="B54" s="559">
        <f>[5]March_2026!$B55</f>
        <v>46112</v>
      </c>
      <c r="C54" s="7" t="str">
        <f>[5]March_2026!$D55</f>
        <v>CARIB AMBER</v>
      </c>
      <c r="D54" s="681">
        <v>1</v>
      </c>
      <c r="E54" s="80">
        <v>1.0048611111111112</v>
      </c>
      <c r="F54" s="80">
        <v>1.1770833333333333</v>
      </c>
      <c r="G54" s="11"/>
      <c r="H54" s="82"/>
      <c r="I54" s="32"/>
      <c r="J54" s="86"/>
      <c r="K54" s="71"/>
      <c r="L54" s="71"/>
      <c r="M54" s="71"/>
      <c r="N54" s="71"/>
      <c r="O54" s="34">
        <f>'Uncaser Downtime Detail '!AG174</f>
        <v>0</v>
      </c>
      <c r="P54" s="32">
        <f>'Washer Downtime Detail'!$BH174</f>
        <v>3</v>
      </c>
      <c r="Q54" s="32">
        <f>'EBI Downtime Detail'!AI174</f>
        <v>5</v>
      </c>
      <c r="R54" s="71">
        <f>'Filler Downtime Detail'!AK173</f>
        <v>2</v>
      </c>
      <c r="S54" s="34">
        <f>'Pasteurizer Downtime Detail'!Z176</f>
        <v>0</v>
      </c>
      <c r="T54" s="32">
        <f>'Labeler Downtime Detail'!AN174</f>
        <v>0</v>
      </c>
      <c r="U54" s="32">
        <f>'Videojet Downtime Detail '!O174</f>
        <v>4</v>
      </c>
      <c r="V54" s="34">
        <f>'Conveyor Downtime (new)'!AV170</f>
        <v>0</v>
      </c>
      <c r="W54" s="71">
        <f>'Packer Downtime Detail  '!AD175</f>
        <v>43</v>
      </c>
      <c r="X54" s="34">
        <f>'Carton Errector-sealer Detail'!P159</f>
        <v>0</v>
      </c>
      <c r="Y54" s="71"/>
      <c r="Z54" s="43">
        <f>7+3</f>
        <v>10</v>
      </c>
      <c r="AA54" s="88"/>
      <c r="AB54" s="71">
        <f>2+4</f>
        <v>6</v>
      </c>
      <c r="AC54" s="71"/>
      <c r="AD54" s="44">
        <f>SUM(H54:J54,K54:AB54)</f>
        <v>73</v>
      </c>
      <c r="AE54" s="754"/>
      <c r="AH54" s="3"/>
      <c r="AI54" s="23"/>
      <c r="AJ54" s="23"/>
      <c r="AK54" s="54"/>
      <c r="AL54" s="3"/>
      <c r="AM54" s="3"/>
      <c r="AN54" s="3"/>
      <c r="AO54" s="3"/>
      <c r="AP54" s="3"/>
      <c r="AQ54" s="3"/>
      <c r="AR54" s="3"/>
      <c r="AS54" s="3"/>
      <c r="AT54" s="3"/>
      <c r="AU54" s="3"/>
      <c r="AV54" s="3"/>
      <c r="AW54" s="3"/>
      <c r="AX54" s="3"/>
    </row>
    <row r="55" spans="1:50">
      <c r="A55" s="7">
        <v>24</v>
      </c>
      <c r="B55" s="559">
        <f>[5]March_2026!$B56</f>
        <v>46112</v>
      </c>
      <c r="C55" s="7" t="str">
        <f>[5]March_2026!$D56</f>
        <v>CARIB FLINT (LOC)</v>
      </c>
      <c r="D55" s="681"/>
      <c r="E55" s="80">
        <v>1.1819444444444445</v>
      </c>
      <c r="F55" s="80">
        <v>1.2875000000000001</v>
      </c>
      <c r="G55" s="11">
        <v>0.33194444444444443</v>
      </c>
      <c r="H55" s="14"/>
      <c r="I55" s="34">
        <v>7</v>
      </c>
      <c r="J55" s="35"/>
      <c r="K55" s="34"/>
      <c r="L55" s="34"/>
      <c r="M55" s="34"/>
      <c r="N55" s="34"/>
      <c r="O55" s="34">
        <f>'Uncaser Downtime Detail '!AG175</f>
        <v>9</v>
      </c>
      <c r="P55" s="32">
        <f>'Washer Downtime Detail'!$BH175</f>
        <v>11</v>
      </c>
      <c r="Q55" s="32">
        <f>'EBI Downtime Detail'!AI175</f>
        <v>6</v>
      </c>
      <c r="R55" s="71">
        <f>'Filler Downtime Detail'!AK174</f>
        <v>5</v>
      </c>
      <c r="S55" s="34">
        <f>'Pasteurizer Downtime Detail'!Z177</f>
        <v>0</v>
      </c>
      <c r="T55" s="32">
        <f>'Labeler Downtime Detail'!AN175</f>
        <v>3</v>
      </c>
      <c r="U55" s="32">
        <f>'Videojet Downtime Detail '!O175</f>
        <v>0</v>
      </c>
      <c r="V55" s="34">
        <f>'Conveyor Downtime (new)'!AV171</f>
        <v>0</v>
      </c>
      <c r="W55" s="71">
        <f>'Packer Downtime Detail  '!AD176</f>
        <v>0</v>
      </c>
      <c r="X55" s="34">
        <f>'Carton Errector-sealer Detail'!P160</f>
        <v>0</v>
      </c>
      <c r="Y55" s="35"/>
      <c r="Z55" s="34"/>
      <c r="AA55" s="90"/>
      <c r="AB55" s="89">
        <f>4+3</f>
        <v>7</v>
      </c>
      <c r="AC55" s="89"/>
      <c r="AD55" s="44">
        <f t="shared" si="2"/>
        <v>48</v>
      </c>
      <c r="AE55" s="754"/>
      <c r="AH55" s="3"/>
      <c r="AI55" s="23"/>
      <c r="AJ55" s="23"/>
      <c r="AK55" s="54"/>
      <c r="AL55" s="3"/>
      <c r="AM55" s="3"/>
      <c r="AN55" s="3"/>
      <c r="AO55" s="3"/>
      <c r="AP55" s="3"/>
      <c r="AQ55" s="3"/>
      <c r="AR55" s="3"/>
      <c r="AS55" s="3"/>
      <c r="AT55" s="3"/>
      <c r="AU55" s="3"/>
      <c r="AV55" s="3"/>
      <c r="AW55" s="3"/>
      <c r="AX55" s="3"/>
    </row>
    <row r="56" spans="1:50">
      <c r="A56" s="7">
        <v>25</v>
      </c>
      <c r="B56" s="559">
        <f>[5]March_2026!$B57</f>
        <v>46112</v>
      </c>
      <c r="C56" s="7" t="str">
        <f>[5]March_2026!$D57</f>
        <v>CARIB AMBER</v>
      </c>
      <c r="D56" s="681"/>
      <c r="E56" s="80">
        <v>1.2993055555555555</v>
      </c>
      <c r="F56" s="80">
        <v>1.5479166666666666</v>
      </c>
      <c r="G56" s="11">
        <v>0.61458333333333337</v>
      </c>
      <c r="H56" s="82"/>
      <c r="I56" s="32">
        <v>5</v>
      </c>
      <c r="J56" s="86"/>
      <c r="K56" s="71"/>
      <c r="L56" s="71"/>
      <c r="M56" s="71"/>
      <c r="N56" s="71"/>
      <c r="O56" s="34">
        <f>'Uncaser Downtime Detail '!AG176</f>
        <v>1</v>
      </c>
      <c r="P56" s="32">
        <f>'Washer Downtime Detail'!$BH176</f>
        <v>28</v>
      </c>
      <c r="Q56" s="32">
        <f>'EBI Downtime Detail'!AI176</f>
        <v>70</v>
      </c>
      <c r="R56" s="71">
        <f>'Filler Downtime Detail'!AK175</f>
        <v>1</v>
      </c>
      <c r="S56" s="34">
        <f>'Pasteurizer Downtime Detail'!Z178</f>
        <v>0</v>
      </c>
      <c r="T56" s="32">
        <f>'Labeler Downtime Detail'!AN176</f>
        <v>0</v>
      </c>
      <c r="U56" s="32">
        <f>'Videojet Downtime Detail '!O176</f>
        <v>0</v>
      </c>
      <c r="V56" s="34">
        <f>'Conveyor Downtime (new)'!AV172</f>
        <v>15</v>
      </c>
      <c r="W56" s="71">
        <f>'Packer Downtime Detail  '!AD177</f>
        <v>34</v>
      </c>
      <c r="X56" s="34">
        <f>'Carton Errector-sealer Detail'!P161</f>
        <v>0</v>
      </c>
      <c r="Y56" s="71">
        <v>11</v>
      </c>
      <c r="Z56" s="43">
        <f>11+4</f>
        <v>15</v>
      </c>
      <c r="AA56" s="88"/>
      <c r="AB56" s="71">
        <f>5</f>
        <v>5</v>
      </c>
      <c r="AC56" s="71"/>
      <c r="AD56" s="44">
        <f t="shared" si="2"/>
        <v>185</v>
      </c>
      <c r="AE56" s="754"/>
      <c r="AH56" s="3"/>
      <c r="AI56" s="23"/>
      <c r="AJ56" s="23"/>
      <c r="AK56" s="54"/>
      <c r="AL56" s="3"/>
      <c r="AM56" s="3"/>
      <c r="AN56" s="3"/>
      <c r="AO56" s="3"/>
      <c r="AP56" s="3"/>
      <c r="AQ56" s="3"/>
      <c r="AR56" s="3"/>
      <c r="AS56" s="3"/>
      <c r="AT56" s="3"/>
      <c r="AU56" s="3"/>
      <c r="AV56" s="3"/>
      <c r="AW56" s="3"/>
      <c r="AX56" s="3"/>
    </row>
    <row r="57" spans="1:50">
      <c r="A57" s="7">
        <v>25</v>
      </c>
      <c r="B57" s="559">
        <f>[5]March_2026!$B58</f>
        <v>46112</v>
      </c>
      <c r="C57" s="7" t="str">
        <f>[5]March_2026!$D58</f>
        <v>VITA MALT (CLASSIC</v>
      </c>
      <c r="D57" s="681"/>
      <c r="E57" s="80">
        <v>1.75</v>
      </c>
      <c r="F57" s="80">
        <v>2</v>
      </c>
      <c r="G57" s="11">
        <v>2.0381944444444446</v>
      </c>
      <c r="H57" s="14">
        <f>1</f>
        <v>1</v>
      </c>
      <c r="I57" s="34">
        <f>48+60</f>
        <v>108</v>
      </c>
      <c r="J57" s="35"/>
      <c r="K57" s="34"/>
      <c r="L57" s="34"/>
      <c r="M57" s="34"/>
      <c r="N57" s="34"/>
      <c r="O57" s="34">
        <f>'Uncaser Downtime Detail '!AG177</f>
        <v>0</v>
      </c>
      <c r="P57" s="32">
        <f>'Washer Downtime Detail'!$BH177</f>
        <v>0</v>
      </c>
      <c r="Q57" s="32">
        <f>'EBI Downtime Detail'!AI177</f>
        <v>0</v>
      </c>
      <c r="R57" s="71">
        <f>'Filler Downtime Detail'!AK176</f>
        <v>73</v>
      </c>
      <c r="S57" s="34">
        <f>'Pasteurizer Downtime Detail'!Z179</f>
        <v>74</v>
      </c>
      <c r="T57" s="32">
        <f>'Labeler Downtime Detail'!AN177</f>
        <v>3</v>
      </c>
      <c r="U57" s="32">
        <f>'Videojet Downtime Detail '!O177</f>
        <v>0</v>
      </c>
      <c r="V57" s="34">
        <f>'Conveyor Downtime (new)'!AV173</f>
        <v>4</v>
      </c>
      <c r="W57" s="71">
        <f>'Packer Downtime Detail  '!AD178</f>
        <v>0</v>
      </c>
      <c r="X57" s="34">
        <f>'Carton Errector-sealer Detail'!P162</f>
        <v>0</v>
      </c>
      <c r="Y57" s="35"/>
      <c r="Z57" s="34"/>
      <c r="AA57" s="90"/>
      <c r="AB57" s="89">
        <f>13</f>
        <v>13</v>
      </c>
      <c r="AC57" s="89"/>
      <c r="AD57" s="44">
        <f t="shared" si="2"/>
        <v>276</v>
      </c>
      <c r="AE57" s="754"/>
      <c r="AH57" s="3"/>
      <c r="AI57" s="23"/>
      <c r="AJ57" s="23"/>
      <c r="AK57" s="54"/>
      <c r="AL57" s="3"/>
      <c r="AM57" s="3"/>
      <c r="AN57" s="3"/>
      <c r="AO57" s="3"/>
      <c r="AP57" s="3"/>
      <c r="AQ57" s="3"/>
      <c r="AR57" s="3"/>
      <c r="AS57" s="3"/>
      <c r="AT57" s="3"/>
      <c r="AU57" s="3"/>
      <c r="AV57" s="3"/>
      <c r="AW57" s="3"/>
      <c r="AX57" s="3"/>
    </row>
    <row r="58" spans="1:50">
      <c r="A58" s="7"/>
      <c r="B58" s="177"/>
      <c r="C58" s="29"/>
      <c r="D58" s="85"/>
      <c r="E58" s="80"/>
      <c r="F58" s="80"/>
      <c r="G58" s="11"/>
      <c r="H58" s="82"/>
      <c r="I58" s="32"/>
      <c r="J58" s="86"/>
      <c r="K58" s="71"/>
      <c r="L58" s="71"/>
      <c r="M58" s="71"/>
      <c r="N58" s="71"/>
      <c r="O58" s="34">
        <f>'Uncaser Downtime Detail '!AG178</f>
        <v>0</v>
      </c>
      <c r="P58" s="32">
        <f>'Washer Downtime Detail'!$BH178</f>
        <v>0</v>
      </c>
      <c r="Q58" s="32">
        <f>'EBI Downtime Detail'!AI178</f>
        <v>0</v>
      </c>
      <c r="R58" s="71">
        <f>'Filler Downtime Detail'!AK177</f>
        <v>0</v>
      </c>
      <c r="S58" s="34">
        <f>'Pasteurizer Downtime Detail'!Z180</f>
        <v>0</v>
      </c>
      <c r="T58" s="32">
        <f>'Labeler Downtime Detail'!AN178</f>
        <v>0</v>
      </c>
      <c r="U58" s="32">
        <f>'Videojet Downtime Detail '!O178</f>
        <v>0</v>
      </c>
      <c r="V58" s="34">
        <f>'Conveyor Downtime (new)'!AV174</f>
        <v>0</v>
      </c>
      <c r="W58" s="71">
        <f>'Packer Downtime Detail  '!AD179</f>
        <v>0</v>
      </c>
      <c r="X58" s="34">
        <f>'Carton Errector-sealer Detail'!P163</f>
        <v>0</v>
      </c>
      <c r="Y58" s="71"/>
      <c r="Z58" s="43"/>
      <c r="AA58" s="88"/>
      <c r="AB58" s="71"/>
      <c r="AC58" s="71"/>
      <c r="AD58" s="44">
        <f t="shared" si="2"/>
        <v>0</v>
      </c>
      <c r="AE58" s="754">
        <f>G59-D58</f>
        <v>0</v>
      </c>
      <c r="AH58" s="3"/>
      <c r="AI58" s="23"/>
      <c r="AJ58" s="23"/>
      <c r="AK58" s="54"/>
      <c r="AL58" s="3"/>
      <c r="AM58" s="3"/>
      <c r="AN58" s="3"/>
      <c r="AO58" s="3"/>
      <c r="AP58" s="3"/>
      <c r="AQ58" s="3"/>
      <c r="AR58" s="3"/>
      <c r="AS58" s="3"/>
      <c r="AT58" s="3"/>
      <c r="AU58" s="3"/>
      <c r="AV58" s="3"/>
      <c r="AW58" s="3"/>
      <c r="AX58" s="3"/>
    </row>
    <row r="59" spans="1:50">
      <c r="A59" s="7"/>
      <c r="B59" s="177"/>
      <c r="C59" s="29"/>
      <c r="D59" s="85"/>
      <c r="E59" s="80"/>
      <c r="F59" s="80"/>
      <c r="G59" s="11"/>
      <c r="H59" s="14"/>
      <c r="I59" s="34"/>
      <c r="J59" s="35"/>
      <c r="K59" s="34"/>
      <c r="L59" s="34"/>
      <c r="M59" s="34"/>
      <c r="N59" s="34"/>
      <c r="O59" s="34">
        <f>'Uncaser Downtime Detail '!AG179</f>
        <v>0</v>
      </c>
      <c r="P59" s="32">
        <f>'Washer Downtime Detail'!$BH179</f>
        <v>0</v>
      </c>
      <c r="Q59" s="32">
        <f>'EBI Downtime Detail'!AI179</f>
        <v>0</v>
      </c>
      <c r="R59" s="71">
        <f>'Filler Downtime Detail'!AK178</f>
        <v>0</v>
      </c>
      <c r="S59" s="34">
        <f>'Pasteurizer Downtime Detail'!Z181</f>
        <v>0</v>
      </c>
      <c r="T59" s="32">
        <f>'Labeler Downtime Detail'!AN179</f>
        <v>0</v>
      </c>
      <c r="U59" s="32">
        <f>'Videojet Downtime Detail '!O179</f>
        <v>0</v>
      </c>
      <c r="V59" s="34">
        <f>'Conveyor Downtime (new)'!AV175</f>
        <v>0</v>
      </c>
      <c r="W59" s="71">
        <f>'Packer Downtime Detail  '!AD180</f>
        <v>0</v>
      </c>
      <c r="X59" s="34">
        <f>'Carton Errector-sealer Detail'!P164</f>
        <v>0</v>
      </c>
      <c r="Y59" s="35"/>
      <c r="Z59" s="34"/>
      <c r="AA59" s="90"/>
      <c r="AB59" s="89"/>
      <c r="AC59" s="89"/>
      <c r="AD59" s="44">
        <f t="shared" si="2"/>
        <v>0</v>
      </c>
      <c r="AE59" s="754"/>
      <c r="AH59" s="3"/>
      <c r="AI59" s="23"/>
      <c r="AJ59" s="23"/>
      <c r="AK59" s="54"/>
      <c r="AL59" s="3"/>
      <c r="AM59" s="3"/>
      <c r="AN59" s="3"/>
      <c r="AO59" s="3"/>
      <c r="AP59" s="3"/>
      <c r="AQ59" s="3"/>
      <c r="AR59" s="3"/>
      <c r="AS59" s="3"/>
      <c r="AT59" s="3"/>
      <c r="AU59" s="3"/>
      <c r="AV59" s="3"/>
      <c r="AW59" s="3"/>
      <c r="AX59" s="3"/>
    </row>
    <row r="60" spans="1:50">
      <c r="A60" s="7"/>
      <c r="B60" s="177"/>
      <c r="C60" s="29"/>
      <c r="D60" s="85"/>
      <c r="E60" s="80"/>
      <c r="F60" s="80"/>
      <c r="G60" s="11"/>
      <c r="H60" s="82"/>
      <c r="I60" s="32"/>
      <c r="J60" s="86"/>
      <c r="K60" s="71"/>
      <c r="L60" s="71"/>
      <c r="M60" s="71"/>
      <c r="N60" s="71"/>
      <c r="O60" s="32">
        <f>'Uncaser Downtime Detail '!AG178</f>
        <v>0</v>
      </c>
      <c r="P60" s="32">
        <f>'Washer Downtime Detail'!$BH180</f>
        <v>0</v>
      </c>
      <c r="Q60" s="32">
        <f>'EBI Downtime Detail'!AI180</f>
        <v>0</v>
      </c>
      <c r="R60" s="71">
        <f>'Filler Downtime Detail'!AK179</f>
        <v>0</v>
      </c>
      <c r="S60" s="34">
        <f>'Pasteurizer Downtime Detail'!Z182</f>
        <v>0</v>
      </c>
      <c r="T60" s="32">
        <f>'Labeler Downtime Detail'!AN180</f>
        <v>0</v>
      </c>
      <c r="U60" s="32">
        <f>'Videojet Downtime Detail '!O180</f>
        <v>0</v>
      </c>
      <c r="V60" s="32">
        <f>'Conveyor Downtime (new)'!AV177</f>
        <v>0</v>
      </c>
      <c r="W60" s="32">
        <f>'Packer Downtime Detail  '!AD180</f>
        <v>0</v>
      </c>
      <c r="X60" s="71"/>
      <c r="Y60" s="71"/>
      <c r="Z60" s="32"/>
      <c r="AA60" s="88"/>
      <c r="AB60" s="71"/>
      <c r="AC60" s="71"/>
      <c r="AD60" s="44"/>
      <c r="AE60" s="91"/>
      <c r="AH60" s="3"/>
      <c r="AI60" s="23"/>
      <c r="AJ60" s="23"/>
      <c r="AK60" s="54"/>
      <c r="AL60" s="3"/>
      <c r="AM60" s="3"/>
      <c r="AN60" s="3"/>
      <c r="AO60" s="3"/>
      <c r="AP60" s="3"/>
      <c r="AQ60" s="3"/>
      <c r="AR60" s="3"/>
      <c r="AS60" s="3"/>
      <c r="AT60" s="3"/>
      <c r="AU60" s="3"/>
      <c r="AV60" s="3"/>
      <c r="AW60" s="3"/>
      <c r="AX60" s="3"/>
    </row>
    <row r="61" spans="1:50">
      <c r="A61" s="7"/>
      <c r="B61" s="177"/>
      <c r="C61" s="29"/>
      <c r="D61" s="93"/>
      <c r="E61" s="80"/>
      <c r="F61" s="80"/>
      <c r="G61" s="11"/>
      <c r="H61" s="14"/>
      <c r="I61" s="34"/>
      <c r="J61" s="35"/>
      <c r="K61" s="34"/>
      <c r="L61" s="34"/>
      <c r="M61" s="34"/>
      <c r="N61" s="34"/>
      <c r="O61" s="34">
        <f>'Uncaser Downtime Detail '!AG179</f>
        <v>0</v>
      </c>
      <c r="P61" s="34">
        <f>'Washer Downtime Detail'!$BH181</f>
        <v>0</v>
      </c>
      <c r="Q61" s="34">
        <f>'EBI Downtime Detail'!AI181</f>
        <v>0</v>
      </c>
      <c r="R61" s="34">
        <f>'Filler Downtime Detail'!AK180</f>
        <v>0</v>
      </c>
      <c r="S61" s="34">
        <f>'Pasteurizer Downtime Detail'!Z183</f>
        <v>0</v>
      </c>
      <c r="T61" s="34">
        <f>'Labeler Downtime Detail'!AN181</f>
        <v>0</v>
      </c>
      <c r="U61" s="32">
        <f>'Videojet Downtime Detail '!O181</f>
        <v>0</v>
      </c>
      <c r="V61" s="34">
        <f>'Conveyor Downtime (new)'!AV178</f>
        <v>0</v>
      </c>
      <c r="W61" s="34">
        <f>'Packer Downtime Detail  '!AD181</f>
        <v>0</v>
      </c>
      <c r="X61" s="34"/>
      <c r="Y61" s="35"/>
      <c r="Z61" s="34"/>
      <c r="AA61" s="90"/>
      <c r="AB61" s="89"/>
      <c r="AC61" s="89"/>
      <c r="AD61" s="44">
        <f t="shared" si="2"/>
        <v>0</v>
      </c>
      <c r="AE61" s="68"/>
      <c r="AH61" s="3"/>
      <c r="AI61" s="23"/>
      <c r="AJ61" s="23"/>
      <c r="AK61" s="54"/>
      <c r="AL61" s="3"/>
      <c r="AM61" s="3"/>
      <c r="AN61" s="3"/>
      <c r="AO61" s="3"/>
      <c r="AP61" s="3"/>
      <c r="AQ61" s="3"/>
      <c r="AR61" s="3"/>
      <c r="AS61" s="3"/>
      <c r="AT61" s="3"/>
      <c r="AU61" s="3"/>
      <c r="AV61" s="3"/>
      <c r="AW61" s="3"/>
      <c r="AX61" s="3"/>
    </row>
    <row r="62" spans="1:50" ht="15.75" thickBot="1">
      <c r="A62" s="15" t="s">
        <v>427</v>
      </c>
      <c r="B62" s="16"/>
      <c r="C62" s="17"/>
      <c r="D62" s="18"/>
      <c r="E62" s="18"/>
      <c r="F62" s="18"/>
      <c r="G62" s="19">
        <f>SUM(G50:G61)</f>
        <v>10.044444444444444</v>
      </c>
      <c r="H62" s="16">
        <f>SUM(H8:H61)</f>
        <v>45</v>
      </c>
      <c r="I62" s="98">
        <f>SUM(I8:I61)</f>
        <v>1252</v>
      </c>
      <c r="J62" s="98">
        <f t="shared" ref="J62:AE62" si="3">SUM(J8:J61)</f>
        <v>451</v>
      </c>
      <c r="K62" s="98">
        <f t="shared" si="3"/>
        <v>224</v>
      </c>
      <c r="L62" s="98">
        <f t="shared" si="3"/>
        <v>14</v>
      </c>
      <c r="M62" s="98">
        <f t="shared" si="3"/>
        <v>73</v>
      </c>
      <c r="N62" s="98">
        <f t="shared" si="3"/>
        <v>69</v>
      </c>
      <c r="O62" s="98">
        <f t="shared" si="3"/>
        <v>774</v>
      </c>
      <c r="P62" s="98">
        <f t="shared" si="3"/>
        <v>4186</v>
      </c>
      <c r="Q62" s="98">
        <f t="shared" si="3"/>
        <v>823</v>
      </c>
      <c r="R62" s="98">
        <f t="shared" si="3"/>
        <v>654</v>
      </c>
      <c r="S62" s="98">
        <f t="shared" si="3"/>
        <v>602</v>
      </c>
      <c r="T62" s="98">
        <f t="shared" si="3"/>
        <v>296</v>
      </c>
      <c r="U62" s="98">
        <f t="shared" si="3"/>
        <v>59</v>
      </c>
      <c r="V62" s="98">
        <f t="shared" si="3"/>
        <v>817</v>
      </c>
      <c r="W62" s="98">
        <f t="shared" si="3"/>
        <v>600</v>
      </c>
      <c r="X62" s="98">
        <f t="shared" si="3"/>
        <v>460</v>
      </c>
      <c r="Y62" s="98">
        <f t="shared" si="3"/>
        <v>11</v>
      </c>
      <c r="Z62" s="98">
        <f t="shared" si="3"/>
        <v>1848</v>
      </c>
      <c r="AA62" s="98">
        <f t="shared" si="3"/>
        <v>25</v>
      </c>
      <c r="AB62" s="98">
        <f t="shared" si="3"/>
        <v>349</v>
      </c>
      <c r="AC62" s="98">
        <f t="shared" si="3"/>
        <v>0</v>
      </c>
      <c r="AD62" s="47">
        <f t="shared" si="3"/>
        <v>13632</v>
      </c>
      <c r="AE62" s="48">
        <f t="shared" si="3"/>
        <v>20.874305555555559</v>
      </c>
      <c r="AH62" s="3"/>
      <c r="AI62" s="3"/>
      <c r="AJ62" s="3"/>
      <c r="AK62" s="3"/>
      <c r="AL62" s="3"/>
      <c r="AM62" s="3"/>
      <c r="AN62" s="3"/>
      <c r="AO62" s="3"/>
      <c r="AP62" s="3"/>
      <c r="AQ62" s="3"/>
      <c r="AR62" s="3"/>
      <c r="AS62" s="3"/>
      <c r="AT62" s="3"/>
      <c r="AU62" s="3"/>
      <c r="AV62" s="3"/>
      <c r="AW62" s="3"/>
      <c r="AX62" s="3"/>
    </row>
    <row r="63" spans="1:50" ht="15.75" thickTop="1">
      <c r="A63" s="20" t="s">
        <v>45</v>
      </c>
      <c r="B63" s="1"/>
      <c r="C63" s="3"/>
      <c r="D63" s="3"/>
      <c r="E63" s="3"/>
      <c r="F63" s="3"/>
      <c r="G63" s="3"/>
      <c r="H63" s="175">
        <f>H62/$AD$62</f>
        <v>3.301056338028169E-3</v>
      </c>
      <c r="I63" s="175">
        <f t="shared" ref="I63:AC63" si="4">I62/$AD$62</f>
        <v>9.1842723004694829E-2</v>
      </c>
      <c r="J63" s="175">
        <f t="shared" si="4"/>
        <v>3.3083920187793429E-2</v>
      </c>
      <c r="K63" s="175">
        <f t="shared" si="4"/>
        <v>1.6431924882629109E-2</v>
      </c>
      <c r="L63" s="175">
        <f t="shared" si="4"/>
        <v>1.0269953051643193E-3</v>
      </c>
      <c r="M63" s="175">
        <f t="shared" si="4"/>
        <v>5.3550469483568076E-3</v>
      </c>
      <c r="N63" s="175">
        <f t="shared" si="4"/>
        <v>5.0616197183098594E-3</v>
      </c>
      <c r="O63" s="175">
        <f t="shared" si="4"/>
        <v>5.6778169014084508E-2</v>
      </c>
      <c r="P63" s="175">
        <f t="shared" si="4"/>
        <v>0.30707159624413144</v>
      </c>
      <c r="Q63" s="175">
        <f t="shared" si="4"/>
        <v>6.0372652582159625E-2</v>
      </c>
      <c r="R63" s="175">
        <f t="shared" si="4"/>
        <v>4.7975352112676055E-2</v>
      </c>
      <c r="S63" s="175">
        <f t="shared" si="4"/>
        <v>4.4160798122065727E-2</v>
      </c>
      <c r="T63" s="175">
        <f t="shared" si="4"/>
        <v>2.171361502347418E-2</v>
      </c>
      <c r="U63" s="175">
        <f t="shared" si="4"/>
        <v>4.3280516431924883E-3</v>
      </c>
      <c r="V63" s="175">
        <f t="shared" si="4"/>
        <v>5.9932511737089203E-2</v>
      </c>
      <c r="W63" s="175">
        <f t="shared" si="4"/>
        <v>4.401408450704225E-2</v>
      </c>
      <c r="X63" s="175">
        <f t="shared" si="4"/>
        <v>3.3744131455399062E-2</v>
      </c>
      <c r="Y63" s="175">
        <f t="shared" si="4"/>
        <v>8.0692488262910803E-4</v>
      </c>
      <c r="Z63" s="175">
        <f t="shared" si="4"/>
        <v>0.13556338028169015</v>
      </c>
      <c r="AA63" s="175">
        <f t="shared" si="4"/>
        <v>1.8339201877934272E-3</v>
      </c>
      <c r="AB63" s="175">
        <f t="shared" si="4"/>
        <v>2.5601525821596242E-2</v>
      </c>
      <c r="AC63" s="175">
        <f t="shared" si="4"/>
        <v>0</v>
      </c>
      <c r="AD63" s="3"/>
      <c r="AE63" s="49"/>
      <c r="AH63" s="3"/>
      <c r="AI63" s="3"/>
      <c r="AJ63" s="3"/>
      <c r="AK63" s="3"/>
      <c r="AL63" s="3"/>
      <c r="AM63" s="3"/>
      <c r="AN63" s="3"/>
      <c r="AO63" s="3"/>
      <c r="AP63" s="3"/>
      <c r="AQ63" s="3"/>
      <c r="AR63" s="3"/>
      <c r="AS63" s="3"/>
      <c r="AT63" s="3"/>
      <c r="AU63" s="3"/>
      <c r="AV63" s="3"/>
      <c r="AW63" s="3"/>
      <c r="AX63" s="3"/>
    </row>
    <row r="64" spans="1:50" ht="15">
      <c r="A64" s="20"/>
      <c r="B64" s="1"/>
      <c r="C64" s="3"/>
      <c r="D64" s="3"/>
      <c r="E64" s="3"/>
      <c r="F64" s="3"/>
      <c r="G64" s="3"/>
      <c r="H64" s="3"/>
      <c r="I64" s="36" t="s">
        <v>428</v>
      </c>
      <c r="J64" s="3"/>
      <c r="K64" s="37"/>
      <c r="L64" s="37"/>
      <c r="M64" s="3"/>
      <c r="N64" s="3"/>
      <c r="O64" s="3"/>
      <c r="P64" s="3"/>
      <c r="Q64" s="3"/>
      <c r="R64" s="3"/>
      <c r="S64" s="3"/>
      <c r="T64" s="3"/>
      <c r="U64" s="3"/>
      <c r="V64" s="3"/>
      <c r="W64" s="3"/>
      <c r="X64" s="3"/>
      <c r="Y64" s="3"/>
      <c r="Z64" s="3"/>
      <c r="AA64" s="3"/>
      <c r="AB64" s="3"/>
      <c r="AC64" s="3"/>
      <c r="AD64" s="3"/>
      <c r="AH64" s="3"/>
      <c r="AI64" s="3"/>
      <c r="AJ64" s="3"/>
      <c r="AK64" s="3"/>
      <c r="AL64" s="3"/>
      <c r="AM64" s="3"/>
      <c r="AN64" s="3"/>
      <c r="AO64" s="3"/>
      <c r="AP64" s="3"/>
      <c r="AQ64" s="3"/>
      <c r="AR64" s="3"/>
      <c r="AS64" s="3"/>
      <c r="AT64" s="3"/>
      <c r="AU64" s="3"/>
      <c r="AV64" s="3"/>
      <c r="AW64" s="3"/>
      <c r="AX64" s="3"/>
    </row>
    <row r="65" spans="1:50" ht="15">
      <c r="A65" s="1"/>
      <c r="B65" s="22"/>
      <c r="C65" t="s">
        <v>429</v>
      </c>
      <c r="D65" t="s">
        <v>430</v>
      </c>
      <c r="E65" t="s">
        <v>431</v>
      </c>
      <c r="F65" s="23"/>
      <c r="G65" s="53"/>
      <c r="H65" s="3"/>
      <c r="I65" s="38">
        <f>COUNT(I8:I61)</f>
        <v>29</v>
      </c>
      <c r="J65" s="3"/>
      <c r="K65" s="24"/>
      <c r="L65" s="24"/>
      <c r="M65" s="24"/>
      <c r="N65" s="24"/>
      <c r="O65" s="24"/>
      <c r="P65" s="24"/>
      <c r="Q65" s="24"/>
      <c r="R65" s="24"/>
      <c r="S65" s="24"/>
      <c r="T65" s="24"/>
      <c r="U65" s="24"/>
      <c r="V65" s="24"/>
      <c r="W65" s="24"/>
      <c r="X65" s="24"/>
      <c r="Y65" s="24"/>
      <c r="Z65" s="24"/>
      <c r="AA65" s="3"/>
      <c r="AB65" s="3"/>
      <c r="AC65" s="3"/>
      <c r="AH65" s="3"/>
      <c r="AI65" s="3"/>
      <c r="AJ65" s="3"/>
      <c r="AK65" s="3"/>
      <c r="AL65" s="3"/>
      <c r="AM65" s="3"/>
      <c r="AN65" s="3"/>
      <c r="AO65" s="3"/>
      <c r="AP65" s="3"/>
      <c r="AQ65" s="3"/>
      <c r="AR65" s="3"/>
      <c r="AS65" s="3"/>
      <c r="AT65" s="3"/>
      <c r="AU65" s="3"/>
      <c r="AV65" s="3"/>
      <c r="AW65" s="3"/>
      <c r="AX65" s="3"/>
    </row>
    <row r="66" spans="1:50">
      <c r="A66" s="1"/>
      <c r="B66" s="22"/>
      <c r="C66" s="24">
        <f>COUNTA(I8:I61)</f>
        <v>29</v>
      </c>
      <c r="D66" s="24">
        <f>COUNTA(C8:C61)</f>
        <v>50</v>
      </c>
      <c r="E66" s="24">
        <f>COUNTA(A8:A61)</f>
        <v>50</v>
      </c>
      <c r="F66" s="23"/>
      <c r="G66" s="23"/>
      <c r="H66" s="3"/>
      <c r="I66" s="1"/>
      <c r="J66" s="3"/>
      <c r="K66" s="24"/>
      <c r="L66" s="24"/>
      <c r="M66" s="24"/>
      <c r="N66" s="24"/>
      <c r="O66" s="24"/>
      <c r="P66" s="24"/>
      <c r="Q66" s="24"/>
      <c r="R66" s="24"/>
      <c r="S66" s="24"/>
      <c r="T66" s="24"/>
      <c r="U66" s="24"/>
      <c r="V66" s="24"/>
      <c r="W66" s="24"/>
      <c r="X66" s="24"/>
      <c r="Y66" s="24"/>
      <c r="Z66" s="24"/>
      <c r="AA66" s="3"/>
      <c r="AB66" s="3"/>
      <c r="AC66" s="3"/>
      <c r="AH66" s="3"/>
      <c r="AI66" s="3"/>
      <c r="AJ66" s="3"/>
      <c r="AK66" s="3"/>
      <c r="AL66" s="3"/>
      <c r="AM66" s="3"/>
      <c r="AN66" s="3"/>
      <c r="AO66" s="3"/>
      <c r="AP66" s="3"/>
      <c r="AQ66" s="3"/>
      <c r="AR66" s="3"/>
      <c r="AS66" s="3"/>
      <c r="AT66" s="3"/>
      <c r="AU66" s="3"/>
      <c r="AV66" s="3"/>
      <c r="AW66" s="3"/>
      <c r="AX66" s="3"/>
    </row>
    <row r="67" spans="1:50">
      <c r="A67" s="1"/>
      <c r="B67" s="22"/>
      <c r="C67" s="24"/>
      <c r="D67" s="25"/>
      <c r="E67" s="25"/>
      <c r="F67" s="23"/>
      <c r="G67" s="23"/>
      <c r="H67" s="679" t="s">
        <v>433</v>
      </c>
      <c r="I67" s="679"/>
      <c r="J67" s="679"/>
      <c r="K67" s="679"/>
      <c r="L67" s="679"/>
      <c r="M67" s="679"/>
      <c r="N67" s="679"/>
      <c r="O67" s="24"/>
      <c r="P67" s="680" t="s">
        <v>434</v>
      </c>
      <c r="Q67" s="680"/>
      <c r="R67" s="680"/>
      <c r="S67" s="680"/>
      <c r="T67" s="680"/>
      <c r="U67" s="24"/>
      <c r="V67" s="24"/>
      <c r="W67" s="24"/>
      <c r="X67" s="24"/>
      <c r="Y67" s="24"/>
      <c r="Z67" s="24"/>
      <c r="AA67" s="3"/>
      <c r="AB67" s="3"/>
      <c r="AC67" s="3"/>
      <c r="AD67" s="3"/>
      <c r="AH67" s="3"/>
      <c r="AI67" s="3"/>
      <c r="AJ67" s="3"/>
      <c r="AK67" s="3"/>
      <c r="AL67" s="3"/>
      <c r="AM67" s="3"/>
      <c r="AN67" s="3"/>
      <c r="AO67" s="3"/>
      <c r="AP67" s="3"/>
      <c r="AQ67" s="3"/>
      <c r="AR67" s="3"/>
      <c r="AS67" s="3"/>
      <c r="AT67" s="3"/>
      <c r="AU67" s="3"/>
      <c r="AV67" s="3"/>
      <c r="AW67" s="3"/>
    </row>
    <row r="68" spans="1:50" ht="25.5">
      <c r="A68" s="26"/>
      <c r="B68" s="26"/>
      <c r="C68" s="27" t="s">
        <v>432</v>
      </c>
      <c r="D68" s="28">
        <f>($D$66/$E$66)</f>
        <v>1</v>
      </c>
      <c r="E68" s="28">
        <f>($D$66/$E$66)*$I$63</f>
        <v>9.1842723004694829E-2</v>
      </c>
      <c r="F68" s="29"/>
      <c r="G68" s="29"/>
      <c r="H68" s="30" t="s">
        <v>81</v>
      </c>
      <c r="I68" s="30" t="s">
        <v>435</v>
      </c>
      <c r="J68" s="30" t="s">
        <v>436</v>
      </c>
      <c r="K68" s="30" t="s">
        <v>437</v>
      </c>
      <c r="L68" s="66" t="s">
        <v>438</v>
      </c>
      <c r="M68" s="66" t="s">
        <v>439</v>
      </c>
      <c r="N68" s="66" t="s">
        <v>440</v>
      </c>
      <c r="O68" s="26"/>
      <c r="P68" s="67" t="s">
        <v>81</v>
      </c>
      <c r="Q68" s="67" t="s">
        <v>435</v>
      </c>
      <c r="R68" s="39" t="s">
        <v>436</v>
      </c>
      <c r="S68" s="39" t="s">
        <v>437</v>
      </c>
      <c r="T68" s="73" t="s">
        <v>441</v>
      </c>
      <c r="U68" s="1"/>
      <c r="V68" s="1"/>
      <c r="W68" s="1"/>
      <c r="X68" s="1"/>
      <c r="Y68" s="1"/>
      <c r="Z68" s="1"/>
      <c r="AA68" s="3"/>
      <c r="AB68" s="3"/>
      <c r="AC68" s="3"/>
    </row>
    <row r="69" spans="1:50">
      <c r="A69" s="1"/>
      <c r="B69" s="1"/>
      <c r="C69" s="3"/>
      <c r="D69" s="3"/>
      <c r="E69" s="3"/>
      <c r="F69" s="3"/>
      <c r="G69" s="3"/>
      <c r="H69" s="65">
        <f>SUM(B8)</f>
        <v>46083</v>
      </c>
      <c r="I69" s="1" t="str">
        <f t="shared" ref="I69:I100" si="5">C8</f>
        <v>CARIB AMBER</v>
      </c>
      <c r="J69" s="23">
        <f t="shared" ref="J69:J101" si="6">E8</f>
        <v>1.0527777777777778</v>
      </c>
      <c r="K69" s="23">
        <f t="shared" ref="K69:K101" si="7">F8</f>
        <v>1.2652777777777777</v>
      </c>
      <c r="L69" s="68">
        <f>K69-J69</f>
        <v>0.21249999999999991</v>
      </c>
      <c r="M69" s="3">
        <v>306</v>
      </c>
      <c r="N69" s="69">
        <f>M69-(K8+L8+M8+N8+AA8+AB8+AC8+H8)</f>
        <v>297</v>
      </c>
      <c r="O69" s="3"/>
      <c r="P69" s="65">
        <f>H69</f>
        <v>46083</v>
      </c>
      <c r="Q69" s="74" t="str">
        <f>I69</f>
        <v>CARIB AMBER</v>
      </c>
      <c r="R69" s="76">
        <v>1.0416666666666667</v>
      </c>
      <c r="S69" s="23">
        <f>F8</f>
        <v>1.2652777777777777</v>
      </c>
      <c r="T69" s="668">
        <f>S70-R69</f>
        <v>0.95833333333333326</v>
      </c>
      <c r="U69" s="3"/>
      <c r="V69" s="3"/>
      <c r="W69" s="3"/>
      <c r="X69" s="3"/>
      <c r="Y69" s="3"/>
      <c r="Z69" s="3"/>
      <c r="AA69" s="3"/>
      <c r="AB69" s="3"/>
      <c r="AC69" s="3"/>
    </row>
    <row r="70" spans="1:50">
      <c r="A70" s="1"/>
      <c r="B70" s="1"/>
      <c r="C70" s="3"/>
      <c r="D70" s="3"/>
      <c r="E70" s="3"/>
      <c r="F70" s="3"/>
      <c r="G70" s="3"/>
      <c r="H70" s="22">
        <f>SUM(B9)</f>
        <v>46083</v>
      </c>
      <c r="I70" s="1" t="str">
        <f t="shared" si="5"/>
        <v>STAG</v>
      </c>
      <c r="J70" s="23">
        <f t="shared" si="6"/>
        <v>1.2958333333333334</v>
      </c>
      <c r="K70" s="23">
        <f t="shared" si="7"/>
        <v>2</v>
      </c>
      <c r="L70" s="68">
        <f>K70-J70</f>
        <v>0.70416666666666661</v>
      </c>
      <c r="M70" s="3">
        <v>1014</v>
      </c>
      <c r="N70" s="69">
        <f>M70-(J9+K9+L9+M9+N9+AA9+AB9+Z9+AC9+H9)</f>
        <v>976</v>
      </c>
      <c r="O70" s="3"/>
      <c r="P70" s="65">
        <f>H70</f>
        <v>46083</v>
      </c>
      <c r="Q70" s="74" t="str">
        <f t="shared" ref="P70:Q96" si="8">I70</f>
        <v>STAG</v>
      </c>
      <c r="R70" s="23">
        <f t="shared" ref="R70:S70" si="9">E9</f>
        <v>1.2958333333333334</v>
      </c>
      <c r="S70" s="23">
        <f t="shared" si="9"/>
        <v>2</v>
      </c>
      <c r="T70" s="668"/>
      <c r="U70" s="3"/>
      <c r="V70" s="3"/>
      <c r="W70" s="3"/>
      <c r="X70" s="3"/>
      <c r="Y70" s="3"/>
      <c r="Z70" s="3"/>
      <c r="AA70" s="3"/>
      <c r="AB70" s="3"/>
      <c r="AC70" s="3"/>
    </row>
    <row r="71" spans="1:50">
      <c r="H71" s="180"/>
      <c r="I71" s="1" t="str">
        <f t="shared" si="5"/>
        <v>STAG</v>
      </c>
      <c r="J71" s="23">
        <f t="shared" si="6"/>
        <v>1.0034722222222223</v>
      </c>
      <c r="K71" s="23">
        <f t="shared" si="7"/>
        <v>2</v>
      </c>
      <c r="L71" s="68">
        <f>K71-J71</f>
        <v>0.99652777777777768</v>
      </c>
      <c r="M71" s="3">
        <v>1417</v>
      </c>
      <c r="N71" s="69">
        <f t="shared" ref="N71:N120" si="10">M71-(J10+K10+L10+M10+N10+AA10+AB10+Z10+AC10+H10)</f>
        <v>1338</v>
      </c>
      <c r="P71" s="22">
        <f>B10</f>
        <v>46084</v>
      </c>
      <c r="Q71" s="74" t="str">
        <f t="shared" si="8"/>
        <v>STAG</v>
      </c>
      <c r="R71" s="76">
        <v>1</v>
      </c>
      <c r="S71" s="76">
        <v>2</v>
      </c>
      <c r="T71" s="75">
        <f>S71-R71</f>
        <v>1</v>
      </c>
    </row>
    <row r="72" spans="1:50">
      <c r="H72" s="65">
        <f t="shared" ref="H72:H122" si="11">SUM(B11)</f>
        <v>46085</v>
      </c>
      <c r="I72" s="1" t="str">
        <f t="shared" si="5"/>
        <v>STAG</v>
      </c>
      <c r="J72" s="23">
        <f t="shared" si="6"/>
        <v>1.0138888888888888</v>
      </c>
      <c r="K72" s="23">
        <f t="shared" si="7"/>
        <v>1.3888888888888888</v>
      </c>
      <c r="L72" s="68">
        <f t="shared" ref="L72:L101" si="12">K72-J72</f>
        <v>0.375</v>
      </c>
      <c r="M72" s="3">
        <v>540</v>
      </c>
      <c r="N72" s="69">
        <f t="shared" si="10"/>
        <v>509</v>
      </c>
      <c r="P72" s="65">
        <f t="shared" si="8"/>
        <v>46085</v>
      </c>
      <c r="Q72" s="74" t="str">
        <f t="shared" si="8"/>
        <v>STAG</v>
      </c>
      <c r="R72" s="76">
        <v>1</v>
      </c>
      <c r="S72" s="23">
        <f t="shared" ref="S72" si="13">F11</f>
        <v>1.3888888888888888</v>
      </c>
      <c r="T72" s="668">
        <f>S73-R72</f>
        <v>1</v>
      </c>
      <c r="W72" t="s">
        <v>209</v>
      </c>
    </row>
    <row r="73" spans="1:50">
      <c r="H73" s="65">
        <f t="shared" si="11"/>
        <v>46085</v>
      </c>
      <c r="I73" s="1" t="str">
        <f t="shared" si="5"/>
        <v>CARIB AMBER</v>
      </c>
      <c r="J73" s="23">
        <f t="shared" si="6"/>
        <v>1.4270833333333333</v>
      </c>
      <c r="K73" s="23">
        <f t="shared" si="7"/>
        <v>2</v>
      </c>
      <c r="L73" s="68">
        <f t="shared" si="12"/>
        <v>0.57291666666666674</v>
      </c>
      <c r="M73" s="3">
        <v>825</v>
      </c>
      <c r="N73" s="69">
        <f t="shared" si="10"/>
        <v>751</v>
      </c>
      <c r="P73" s="65">
        <f t="shared" si="8"/>
        <v>46085</v>
      </c>
      <c r="Q73" s="74" t="str">
        <f t="shared" si="8"/>
        <v>CARIB AMBER</v>
      </c>
      <c r="R73" s="23">
        <f t="shared" ref="R73" si="14">E12</f>
        <v>1.4270833333333333</v>
      </c>
      <c r="S73" s="23">
        <f t="shared" ref="S73" si="15">F12</f>
        <v>2</v>
      </c>
      <c r="T73" s="668"/>
    </row>
    <row r="74" spans="1:50">
      <c r="H74" s="65">
        <f t="shared" si="11"/>
        <v>46086</v>
      </c>
      <c r="I74" s="1" t="str">
        <f t="shared" si="5"/>
        <v>CARIB AMBER</v>
      </c>
      <c r="J74" s="23">
        <f t="shared" si="6"/>
        <v>1.0034722222222223</v>
      </c>
      <c r="K74" s="23">
        <f t="shared" si="7"/>
        <v>1.070138888888889</v>
      </c>
      <c r="L74" s="68">
        <f t="shared" si="12"/>
        <v>6.6666666666666652E-2</v>
      </c>
      <c r="M74" s="3">
        <v>96</v>
      </c>
      <c r="N74" s="69">
        <f t="shared" si="10"/>
        <v>96</v>
      </c>
      <c r="P74" s="65">
        <f t="shared" si="8"/>
        <v>46086</v>
      </c>
      <c r="Q74" s="74" t="str">
        <f t="shared" si="8"/>
        <v>CARIB AMBER</v>
      </c>
      <c r="R74" s="23">
        <f t="shared" ref="R74:R75" si="16">E13</f>
        <v>1.0034722222222223</v>
      </c>
      <c r="S74" s="23">
        <f>F13</f>
        <v>1.070138888888889</v>
      </c>
      <c r="T74" s="668">
        <f>S75-R74</f>
        <v>0.99652777777777768</v>
      </c>
    </row>
    <row r="75" spans="1:50">
      <c r="H75" s="65">
        <f t="shared" si="11"/>
        <v>46086</v>
      </c>
      <c r="I75" s="1" t="str">
        <f t="shared" si="5"/>
        <v>VITA MALT CLASSIC</v>
      </c>
      <c r="J75" s="23">
        <f t="shared" si="6"/>
        <v>1.3013888888888889</v>
      </c>
      <c r="K75" s="23">
        <f t="shared" si="7"/>
        <v>2</v>
      </c>
      <c r="L75" s="68">
        <f t="shared" si="12"/>
        <v>0.69861111111111107</v>
      </c>
      <c r="M75" s="3">
        <v>1006</v>
      </c>
      <c r="N75" s="69">
        <f t="shared" si="10"/>
        <v>825</v>
      </c>
      <c r="P75" s="65">
        <f t="shared" si="8"/>
        <v>46086</v>
      </c>
      <c r="Q75" s="74" t="str">
        <f t="shared" si="8"/>
        <v>VITA MALT CLASSIC</v>
      </c>
      <c r="R75" s="23">
        <f t="shared" si="16"/>
        <v>1.3013888888888889</v>
      </c>
      <c r="S75" s="23">
        <f t="shared" ref="S75" si="17">F14</f>
        <v>2</v>
      </c>
      <c r="T75" s="668"/>
    </row>
    <row r="76" spans="1:50">
      <c r="H76" s="65">
        <f t="shared" si="11"/>
        <v>46087</v>
      </c>
      <c r="I76" s="1" t="str">
        <f t="shared" si="5"/>
        <v>VITA MALT CLASSIC</v>
      </c>
      <c r="J76" s="23">
        <f t="shared" si="6"/>
        <v>1</v>
      </c>
      <c r="K76" s="23">
        <f t="shared" si="7"/>
        <v>1.2611111111111111</v>
      </c>
      <c r="L76" s="68">
        <f t="shared" si="12"/>
        <v>0.26111111111111107</v>
      </c>
      <c r="M76" s="3">
        <v>366</v>
      </c>
      <c r="N76" s="69">
        <f t="shared" si="10"/>
        <v>366</v>
      </c>
      <c r="P76" s="65">
        <f t="shared" si="8"/>
        <v>46087</v>
      </c>
      <c r="Q76" s="74" t="str">
        <f t="shared" si="8"/>
        <v>VITA MALT CLASSIC</v>
      </c>
      <c r="R76" s="23">
        <f t="shared" ref="R76:R78" si="18">E15</f>
        <v>1</v>
      </c>
      <c r="S76" s="23">
        <f t="shared" ref="S76:S81" si="19">F15</f>
        <v>1.2611111111111111</v>
      </c>
      <c r="T76" s="668">
        <f>S78-R76</f>
        <v>0.875</v>
      </c>
    </row>
    <row r="77" spans="1:50">
      <c r="H77" s="65">
        <f t="shared" si="11"/>
        <v>46087</v>
      </c>
      <c r="I77" s="1" t="str">
        <f t="shared" si="5"/>
        <v>VITA MALT GINGER</v>
      </c>
      <c r="J77" s="23">
        <f t="shared" si="6"/>
        <v>1.2673611111111112</v>
      </c>
      <c r="K77" s="23">
        <f t="shared" si="7"/>
        <v>1.3805555555555555</v>
      </c>
      <c r="L77" s="68">
        <f t="shared" si="12"/>
        <v>0.11319444444444438</v>
      </c>
      <c r="M77" s="3">
        <v>163</v>
      </c>
      <c r="N77" s="69">
        <f t="shared" si="10"/>
        <v>163</v>
      </c>
      <c r="P77" s="65">
        <f t="shared" si="8"/>
        <v>46087</v>
      </c>
      <c r="Q77" s="74" t="str">
        <f t="shared" si="8"/>
        <v>VITA MALT GINGER</v>
      </c>
      <c r="R77" s="23">
        <f t="shared" si="18"/>
        <v>1.2673611111111112</v>
      </c>
      <c r="S77" s="23">
        <f t="shared" si="19"/>
        <v>1.3805555555555555</v>
      </c>
      <c r="T77" s="668"/>
    </row>
    <row r="78" spans="1:50">
      <c r="H78" s="65">
        <f t="shared" si="11"/>
        <v>46087</v>
      </c>
      <c r="I78" s="1" t="str">
        <f t="shared" si="5"/>
        <v>GUINNESS</v>
      </c>
      <c r="J78" s="23">
        <f t="shared" si="6"/>
        <v>1.4638888888888888</v>
      </c>
      <c r="K78" s="23">
        <f t="shared" si="7"/>
        <v>1.8243055555555556</v>
      </c>
      <c r="L78" s="68">
        <f t="shared" si="12"/>
        <v>0.36041666666666683</v>
      </c>
      <c r="M78" s="3">
        <v>519</v>
      </c>
      <c r="N78" s="69">
        <f t="shared" si="10"/>
        <v>512</v>
      </c>
      <c r="P78" s="65">
        <f t="shared" si="8"/>
        <v>46087</v>
      </c>
      <c r="Q78" s="74" t="str">
        <f t="shared" si="8"/>
        <v>GUINNESS</v>
      </c>
      <c r="R78" s="23">
        <f t="shared" si="18"/>
        <v>1.4638888888888888</v>
      </c>
      <c r="S78" s="76">
        <v>1.875</v>
      </c>
      <c r="T78" s="668"/>
    </row>
    <row r="79" spans="1:50">
      <c r="H79" s="65">
        <f t="shared" si="11"/>
        <v>46089</v>
      </c>
      <c r="I79" s="1" t="str">
        <f t="shared" si="5"/>
        <v>CARIB AMBER</v>
      </c>
      <c r="J79" s="23">
        <f t="shared" si="6"/>
        <v>0.44444444444444442</v>
      </c>
      <c r="K79" s="23">
        <f t="shared" si="7"/>
        <v>1</v>
      </c>
      <c r="L79" s="68">
        <f t="shared" si="12"/>
        <v>0.55555555555555558</v>
      </c>
      <c r="M79" s="3">
        <v>800</v>
      </c>
      <c r="N79" s="69">
        <f t="shared" si="10"/>
        <v>621</v>
      </c>
      <c r="P79" s="65">
        <f t="shared" si="8"/>
        <v>46089</v>
      </c>
      <c r="Q79" s="74" t="str">
        <f t="shared" si="8"/>
        <v>CARIB AMBER</v>
      </c>
      <c r="R79" s="76">
        <v>0.3263888888888889</v>
      </c>
      <c r="S79" s="23">
        <f t="shared" si="19"/>
        <v>1</v>
      </c>
      <c r="T79" s="75">
        <f>S79-R79</f>
        <v>0.67361111111111116</v>
      </c>
    </row>
    <row r="80" spans="1:50">
      <c r="H80" s="65">
        <f t="shared" si="11"/>
        <v>46090</v>
      </c>
      <c r="I80" s="1" t="str">
        <f t="shared" si="5"/>
        <v>CARIB AMBER</v>
      </c>
      <c r="J80" s="23">
        <f t="shared" si="6"/>
        <v>1.007638888888889</v>
      </c>
      <c r="K80" s="23">
        <f t="shared" si="7"/>
        <v>2</v>
      </c>
      <c r="L80" s="68">
        <f t="shared" si="12"/>
        <v>0.99236111111111103</v>
      </c>
      <c r="M80" s="3">
        <v>1429</v>
      </c>
      <c r="N80" s="69">
        <f t="shared" si="10"/>
        <v>936</v>
      </c>
      <c r="P80" s="65">
        <f t="shared" si="8"/>
        <v>46090</v>
      </c>
      <c r="Q80" s="74" t="str">
        <f t="shared" si="8"/>
        <v>CARIB AMBER</v>
      </c>
      <c r="R80" s="76">
        <v>1</v>
      </c>
      <c r="S80" s="23">
        <f t="shared" si="19"/>
        <v>2</v>
      </c>
      <c r="T80" s="75">
        <f>S80-R80</f>
        <v>1</v>
      </c>
    </row>
    <row r="81" spans="8:20">
      <c r="H81" s="65">
        <f t="shared" si="11"/>
        <v>46091</v>
      </c>
      <c r="I81" s="1" t="str">
        <f t="shared" si="5"/>
        <v>CARIB AMBER</v>
      </c>
      <c r="J81" s="23">
        <f t="shared" si="6"/>
        <v>1.007638888888889</v>
      </c>
      <c r="K81" s="23">
        <f t="shared" si="7"/>
        <v>1.7083333333333333</v>
      </c>
      <c r="L81" s="68">
        <f t="shared" si="12"/>
        <v>0.70069444444444429</v>
      </c>
      <c r="M81" s="3">
        <v>1009</v>
      </c>
      <c r="N81" s="181">
        <f>M81-(J20+K20+L20+M20+N20+AA20+AB20+AC20+H20)</f>
        <v>974</v>
      </c>
      <c r="P81" s="65">
        <f t="shared" si="8"/>
        <v>46091</v>
      </c>
      <c r="Q81" s="74" t="str">
        <f t="shared" si="8"/>
        <v>CARIB AMBER</v>
      </c>
      <c r="R81" s="23">
        <f t="shared" ref="R81" si="20">E20</f>
        <v>1.007638888888889</v>
      </c>
      <c r="S81" s="23">
        <f t="shared" si="19"/>
        <v>1.7083333333333333</v>
      </c>
      <c r="T81" s="668">
        <f>S82-R81</f>
        <v>0.99236111111111103</v>
      </c>
    </row>
    <row r="82" spans="8:20">
      <c r="H82" s="65">
        <f t="shared" si="11"/>
        <v>46091</v>
      </c>
      <c r="I82" s="1" t="str">
        <f t="shared" si="5"/>
        <v>CARIBE PERSSECO (LOCAL )</v>
      </c>
      <c r="J82" s="23">
        <f t="shared" si="6"/>
        <v>1.8</v>
      </c>
      <c r="K82" s="23">
        <f t="shared" si="7"/>
        <v>2</v>
      </c>
      <c r="L82" s="68">
        <f t="shared" si="12"/>
        <v>0.19999999999999996</v>
      </c>
      <c r="M82" s="3">
        <v>288</v>
      </c>
      <c r="N82" s="69">
        <f t="shared" si="10"/>
        <v>248</v>
      </c>
      <c r="P82" s="65">
        <f t="shared" si="8"/>
        <v>46091</v>
      </c>
      <c r="Q82" s="74" t="str">
        <f t="shared" si="8"/>
        <v>CARIBE PERSSECO (LOCAL )</v>
      </c>
      <c r="R82" s="23">
        <f t="shared" ref="R82" si="21">E21</f>
        <v>1.8</v>
      </c>
      <c r="S82" s="23">
        <f t="shared" ref="S82" si="22">F21</f>
        <v>2</v>
      </c>
      <c r="T82" s="668"/>
    </row>
    <row r="83" spans="8:20">
      <c r="H83" s="65">
        <f t="shared" si="11"/>
        <v>46092</v>
      </c>
      <c r="I83" s="1" t="str">
        <f t="shared" si="5"/>
        <v>CARIBE PERSSECO (LOCAL )</v>
      </c>
      <c r="J83" s="23">
        <f t="shared" si="6"/>
        <v>1.0104166666666667</v>
      </c>
      <c r="K83" s="23">
        <f t="shared" si="7"/>
        <v>1.1944444444444444</v>
      </c>
      <c r="L83" s="68">
        <f t="shared" si="12"/>
        <v>0.18402777777777768</v>
      </c>
      <c r="M83" s="3">
        <v>265</v>
      </c>
      <c r="N83" s="69">
        <f>M83-(J22+K22+L22+M22+N22+AA22+AB22+Z22+AC22+H22+4)</f>
        <v>261</v>
      </c>
      <c r="P83" s="65">
        <f t="shared" si="8"/>
        <v>46092</v>
      </c>
      <c r="Q83" s="74" t="str">
        <f t="shared" si="8"/>
        <v>CARIBE PERSSECO (LOCAL )</v>
      </c>
      <c r="R83" s="76">
        <v>1</v>
      </c>
      <c r="S83" s="23">
        <f t="shared" ref="S83:S86" si="23">F22</f>
        <v>1.1944444444444444</v>
      </c>
      <c r="T83" s="668">
        <f>S85-R83</f>
        <v>1</v>
      </c>
    </row>
    <row r="84" spans="8:20">
      <c r="H84" s="65">
        <f t="shared" si="11"/>
        <v>46092</v>
      </c>
      <c r="I84" s="1" t="str">
        <f t="shared" si="5"/>
        <v>CARIBE ROSE (LOCAL)</v>
      </c>
      <c r="J84" s="23">
        <f t="shared" si="6"/>
        <v>1.2124999999999999</v>
      </c>
      <c r="K84" s="23">
        <f t="shared" si="7"/>
        <v>1.5375000000000001</v>
      </c>
      <c r="L84" s="68">
        <f t="shared" si="12"/>
        <v>0.32500000000000018</v>
      </c>
      <c r="M84" s="3">
        <v>468</v>
      </c>
      <c r="N84" s="69">
        <f>M84-(J23+K23+L23+M23+N23+AA23+Z23+AC23+H23)</f>
        <v>462</v>
      </c>
      <c r="P84" s="65">
        <f t="shared" si="8"/>
        <v>46092</v>
      </c>
      <c r="Q84" s="74" t="str">
        <f t="shared" si="8"/>
        <v>CARIBE ROSE (LOCAL)</v>
      </c>
      <c r="R84" s="23">
        <f t="shared" ref="R84:R86" si="24">E23</f>
        <v>1.2124999999999999</v>
      </c>
      <c r="S84" s="23">
        <f t="shared" si="23"/>
        <v>1.5375000000000001</v>
      </c>
      <c r="T84" s="668"/>
    </row>
    <row r="85" spans="8:20">
      <c r="H85" s="65">
        <f t="shared" si="11"/>
        <v>46092</v>
      </c>
      <c r="I85" s="1" t="str">
        <f t="shared" si="5"/>
        <v>STAG</v>
      </c>
      <c r="J85" s="23">
        <f t="shared" si="6"/>
        <v>1.6375</v>
      </c>
      <c r="K85" s="23">
        <f t="shared" si="7"/>
        <v>2</v>
      </c>
      <c r="L85" s="68">
        <f t="shared" ref="L85:L90" si="25">K85-J85</f>
        <v>0.36250000000000004</v>
      </c>
      <c r="M85" s="3">
        <v>522</v>
      </c>
      <c r="N85" s="69">
        <f>M85-(J24+K24+L24+M24+N24+AA24+Z24+AC24+H24)</f>
        <v>493</v>
      </c>
      <c r="P85" s="65">
        <f t="shared" si="8"/>
        <v>46092</v>
      </c>
      <c r="Q85" s="74" t="str">
        <f t="shared" si="8"/>
        <v>STAG</v>
      </c>
      <c r="R85" s="23">
        <f t="shared" si="24"/>
        <v>1.6375</v>
      </c>
      <c r="S85" s="23">
        <f t="shared" si="23"/>
        <v>2</v>
      </c>
      <c r="T85" s="668"/>
    </row>
    <row r="86" spans="8:20">
      <c r="H86" s="65">
        <f t="shared" si="11"/>
        <v>46093</v>
      </c>
      <c r="I86" s="1" t="str">
        <f t="shared" si="5"/>
        <v>STAG</v>
      </c>
      <c r="J86" s="23">
        <f t="shared" si="6"/>
        <v>1.0083333333333333</v>
      </c>
      <c r="K86" s="23">
        <f t="shared" si="7"/>
        <v>1.59375</v>
      </c>
      <c r="L86" s="68">
        <f t="shared" si="25"/>
        <v>0.5854166666666667</v>
      </c>
      <c r="M86" s="3">
        <v>843</v>
      </c>
      <c r="N86" s="69">
        <f t="shared" si="10"/>
        <v>811</v>
      </c>
      <c r="P86" s="65">
        <f t="shared" si="8"/>
        <v>46093</v>
      </c>
      <c r="Q86" s="74" t="str">
        <f t="shared" si="8"/>
        <v>STAG</v>
      </c>
      <c r="R86" s="23">
        <f t="shared" si="24"/>
        <v>1.0083333333333333</v>
      </c>
      <c r="S86" s="23">
        <f t="shared" si="23"/>
        <v>1.59375</v>
      </c>
      <c r="T86" s="668">
        <f>S87-R86</f>
        <v>0.9916666666666667</v>
      </c>
    </row>
    <row r="87" spans="8:20">
      <c r="H87" s="65">
        <f t="shared" si="11"/>
        <v>46093</v>
      </c>
      <c r="I87" s="182" t="str">
        <f t="shared" si="5"/>
        <v>STAR MALT</v>
      </c>
      <c r="J87" s="23">
        <f t="shared" si="6"/>
        <v>1.6666666666666667</v>
      </c>
      <c r="K87" s="23">
        <f t="shared" si="7"/>
        <v>2</v>
      </c>
      <c r="L87" s="68">
        <f t="shared" si="25"/>
        <v>0.33333333333333326</v>
      </c>
      <c r="M87" s="3">
        <v>480</v>
      </c>
      <c r="N87" s="69">
        <f t="shared" si="10"/>
        <v>480</v>
      </c>
      <c r="P87" s="65">
        <f t="shared" si="8"/>
        <v>46093</v>
      </c>
      <c r="Q87" s="74" t="str">
        <f t="shared" si="8"/>
        <v>STAR MALT</v>
      </c>
      <c r="R87" s="23">
        <f t="shared" ref="R87" si="26">E26</f>
        <v>1.6666666666666667</v>
      </c>
      <c r="S87" s="23">
        <f t="shared" ref="S87" si="27">F26</f>
        <v>2</v>
      </c>
      <c r="T87" s="668"/>
    </row>
    <row r="88" spans="8:20">
      <c r="H88" s="65">
        <f t="shared" si="11"/>
        <v>46094</v>
      </c>
      <c r="I88" s="182" t="str">
        <f t="shared" si="5"/>
        <v>STAR MALT</v>
      </c>
      <c r="J88" s="4">
        <f t="shared" si="6"/>
        <v>1.0069444444444444</v>
      </c>
      <c r="K88" s="4">
        <f t="shared" si="7"/>
        <v>1.4722222222222223</v>
      </c>
      <c r="L88" s="68">
        <f t="shared" si="25"/>
        <v>0.4652777777777779</v>
      </c>
      <c r="M88" s="3">
        <v>670</v>
      </c>
      <c r="N88" s="69">
        <f>M88-(J27+K27+L27+M27+N27+AA27+AB27+AC27+H27)</f>
        <v>665</v>
      </c>
      <c r="P88" s="65">
        <f t="shared" si="8"/>
        <v>46094</v>
      </c>
      <c r="Q88" s="74" t="str">
        <f t="shared" si="8"/>
        <v>STAR MALT</v>
      </c>
      <c r="R88" s="23">
        <f t="shared" ref="R88" si="28">E27</f>
        <v>1.0069444444444444</v>
      </c>
      <c r="S88" s="23">
        <f t="shared" ref="S88" si="29">F27</f>
        <v>1.4722222222222223</v>
      </c>
      <c r="T88" s="668">
        <f>S89-R88</f>
        <v>0.86805555555555558</v>
      </c>
    </row>
    <row r="89" spans="8:20">
      <c r="H89" s="65">
        <f t="shared" si="11"/>
        <v>46094</v>
      </c>
      <c r="I89" s="182" t="str">
        <f t="shared" si="5"/>
        <v>GUINNESS</v>
      </c>
      <c r="J89" s="4">
        <f t="shared" si="6"/>
        <v>1.6527777777777777</v>
      </c>
      <c r="K89" s="4">
        <f t="shared" si="7"/>
        <v>1.8333333333333333</v>
      </c>
      <c r="L89" s="68">
        <f t="shared" si="25"/>
        <v>0.18055555555555558</v>
      </c>
      <c r="M89" s="3">
        <v>260</v>
      </c>
      <c r="N89" s="69">
        <f>M89-(K28+L28+M28+N28+AA28+AB28+10+AC28+H28)</f>
        <v>250</v>
      </c>
      <c r="P89" s="65">
        <f t="shared" si="8"/>
        <v>46094</v>
      </c>
      <c r="Q89" s="74" t="str">
        <f t="shared" si="8"/>
        <v>GUINNESS</v>
      </c>
      <c r="R89" s="23">
        <f t="shared" ref="R89" si="30">E28</f>
        <v>1.6527777777777777</v>
      </c>
      <c r="S89" s="76">
        <v>1.875</v>
      </c>
      <c r="T89" s="668"/>
    </row>
    <row r="90" spans="8:20">
      <c r="H90" s="65">
        <f t="shared" si="11"/>
        <v>46097</v>
      </c>
      <c r="I90" s="182" t="str">
        <f t="shared" si="5"/>
        <v>GUINNESS</v>
      </c>
      <c r="J90" s="4">
        <f t="shared" ref="J90:J99" si="31">E29</f>
        <v>1.0555555555555556</v>
      </c>
      <c r="K90" s="4">
        <f t="shared" si="7"/>
        <v>1.425</v>
      </c>
      <c r="L90" s="68">
        <f t="shared" si="25"/>
        <v>0.36944444444444446</v>
      </c>
      <c r="M90" s="3">
        <v>532</v>
      </c>
      <c r="N90" s="69">
        <f t="shared" si="10"/>
        <v>286</v>
      </c>
      <c r="P90" s="65">
        <f t="shared" si="8"/>
        <v>46097</v>
      </c>
      <c r="Q90" s="74" t="str">
        <f t="shared" si="8"/>
        <v>GUINNESS</v>
      </c>
      <c r="R90" s="76">
        <v>1.0416666666666667</v>
      </c>
      <c r="S90" s="76">
        <v>2</v>
      </c>
      <c r="T90" s="75">
        <f>S90-R90</f>
        <v>0.95833333333333326</v>
      </c>
    </row>
    <row r="91" spans="8:20">
      <c r="H91" s="65">
        <f t="shared" si="11"/>
        <v>46098</v>
      </c>
      <c r="I91" s="182" t="str">
        <f t="shared" si="5"/>
        <v>WASHER BREAKDOWN</v>
      </c>
      <c r="J91" s="4">
        <f t="shared" si="31"/>
        <v>0</v>
      </c>
      <c r="K91" s="4">
        <f t="shared" si="7"/>
        <v>0</v>
      </c>
      <c r="L91" s="68">
        <f t="shared" si="12"/>
        <v>0</v>
      </c>
      <c r="M91" s="3"/>
      <c r="N91" s="69">
        <f>M91-(J30+K30+L30+M30+N30+AA30+AB30+AC30+H30)</f>
        <v>0</v>
      </c>
      <c r="P91" s="65">
        <f t="shared" si="8"/>
        <v>46098</v>
      </c>
      <c r="Q91" s="74" t="str">
        <f t="shared" si="8"/>
        <v>WASHER BREAKDOWN</v>
      </c>
      <c r="R91" s="23">
        <f t="shared" ref="R91:R93" si="32">E30</f>
        <v>0</v>
      </c>
      <c r="S91" s="23">
        <f t="shared" ref="S91:S93" si="33">F30</f>
        <v>0</v>
      </c>
      <c r="T91" s="135"/>
    </row>
    <row r="92" spans="8:20">
      <c r="H92" s="65">
        <f t="shared" si="11"/>
        <v>46099</v>
      </c>
      <c r="I92" s="182" t="str">
        <f t="shared" si="5"/>
        <v>GUINNESS</v>
      </c>
      <c r="J92" s="4">
        <f t="shared" si="31"/>
        <v>1.3333333333333333</v>
      </c>
      <c r="K92" s="4">
        <f t="shared" si="7"/>
        <v>1.6541666666666666</v>
      </c>
      <c r="L92" s="68">
        <f t="shared" si="12"/>
        <v>0.3208333333333333</v>
      </c>
      <c r="M92" s="72">
        <v>462</v>
      </c>
      <c r="N92" s="69">
        <f>M92-(J31+K31+L31+M31+N31+AA31+AB31+Z31+AC31+H31)</f>
        <v>427</v>
      </c>
      <c r="P92" s="65">
        <f t="shared" si="8"/>
        <v>46099</v>
      </c>
      <c r="Q92" s="74" t="str">
        <f t="shared" si="8"/>
        <v>GUINNESS</v>
      </c>
      <c r="R92" s="76">
        <v>1</v>
      </c>
      <c r="S92" s="23">
        <f t="shared" si="33"/>
        <v>1.6541666666666666</v>
      </c>
      <c r="T92" s="668">
        <f>S93-R92</f>
        <v>1</v>
      </c>
    </row>
    <row r="93" spans="8:20">
      <c r="H93" s="65">
        <f t="shared" si="11"/>
        <v>46099</v>
      </c>
      <c r="I93" s="182" t="str">
        <f t="shared" si="5"/>
        <v>CARIB AMBER</v>
      </c>
      <c r="J93" s="4">
        <f t="shared" si="31"/>
        <v>1.6979166666666667</v>
      </c>
      <c r="K93" s="4">
        <f t="shared" si="7"/>
        <v>2</v>
      </c>
      <c r="L93" s="68">
        <f t="shared" si="12"/>
        <v>0.30208333333333326</v>
      </c>
      <c r="M93" s="72">
        <v>435</v>
      </c>
      <c r="N93" s="69">
        <f t="shared" si="10"/>
        <v>435</v>
      </c>
      <c r="P93" s="65">
        <f t="shared" si="8"/>
        <v>46099</v>
      </c>
      <c r="Q93" s="74" t="str">
        <f t="shared" si="8"/>
        <v>CARIB AMBER</v>
      </c>
      <c r="R93" s="23">
        <f t="shared" si="32"/>
        <v>1.6979166666666667</v>
      </c>
      <c r="S93" s="23">
        <f t="shared" si="33"/>
        <v>2</v>
      </c>
      <c r="T93" s="668"/>
    </row>
    <row r="94" spans="8:20">
      <c r="H94" s="65">
        <f t="shared" si="11"/>
        <v>46100</v>
      </c>
      <c r="I94" s="182" t="str">
        <f t="shared" si="5"/>
        <v>CARIB AMBER</v>
      </c>
      <c r="J94" s="4">
        <f t="shared" si="31"/>
        <v>1.0069444444444444</v>
      </c>
      <c r="K94" s="4">
        <f t="shared" si="7"/>
        <v>1.6916666666666667</v>
      </c>
      <c r="L94" s="68">
        <f t="shared" si="12"/>
        <v>0.68472222222222223</v>
      </c>
      <c r="M94" s="3">
        <v>986</v>
      </c>
      <c r="N94" s="69">
        <f t="shared" si="10"/>
        <v>938</v>
      </c>
      <c r="P94" s="65">
        <f t="shared" si="8"/>
        <v>46100</v>
      </c>
      <c r="Q94" s="74" t="str">
        <f t="shared" si="8"/>
        <v>CARIB AMBER</v>
      </c>
      <c r="R94" s="23">
        <f t="shared" ref="R94:R96" si="34">E33</f>
        <v>1.0069444444444444</v>
      </c>
      <c r="S94" s="23">
        <f t="shared" ref="S94:S96" si="35">F33</f>
        <v>1.6916666666666667</v>
      </c>
      <c r="T94" s="668">
        <f>S96-R94</f>
        <v>0.99305555555555558</v>
      </c>
    </row>
    <row r="95" spans="8:20">
      <c r="H95" s="65">
        <f t="shared" si="11"/>
        <v>46100</v>
      </c>
      <c r="I95" s="182" t="str">
        <f t="shared" si="5"/>
        <v>CARIB FLINT (LOC)</v>
      </c>
      <c r="J95" s="4">
        <f t="shared" si="31"/>
        <v>1.6916666666666667</v>
      </c>
      <c r="K95" s="4">
        <f t="shared" si="7"/>
        <v>1.8305555555555555</v>
      </c>
      <c r="L95" s="68">
        <f t="shared" si="12"/>
        <v>0.13888888888888884</v>
      </c>
      <c r="M95" s="3">
        <v>200</v>
      </c>
      <c r="N95" s="69">
        <f t="shared" si="10"/>
        <v>190</v>
      </c>
      <c r="P95" s="65">
        <f t="shared" si="8"/>
        <v>46100</v>
      </c>
      <c r="Q95" s="74" t="str">
        <f t="shared" si="8"/>
        <v>CARIB FLINT (LOC)</v>
      </c>
      <c r="R95" s="23">
        <f t="shared" si="34"/>
        <v>1.6916666666666667</v>
      </c>
      <c r="S95" s="23">
        <f t="shared" si="35"/>
        <v>1.8305555555555555</v>
      </c>
      <c r="T95" s="668"/>
    </row>
    <row r="96" spans="8:20">
      <c r="H96" s="65">
        <f t="shared" si="11"/>
        <v>46100</v>
      </c>
      <c r="I96" s="182" t="str">
        <f t="shared" si="5"/>
        <v>CARIB AMBER</v>
      </c>
      <c r="J96" s="4">
        <f t="shared" si="31"/>
        <v>1.8333333333333333</v>
      </c>
      <c r="K96" s="4">
        <f t="shared" si="7"/>
        <v>2</v>
      </c>
      <c r="L96" s="68">
        <f t="shared" si="12"/>
        <v>0.16666666666666674</v>
      </c>
      <c r="M96" s="3">
        <v>240</v>
      </c>
      <c r="N96" s="69">
        <f>M96-(3+K35+L35+M35+N35+AA35+AB35+Z35+AC35+H35)</f>
        <v>221</v>
      </c>
      <c r="P96" s="65">
        <f t="shared" si="8"/>
        <v>46100</v>
      </c>
      <c r="Q96" s="74" t="str">
        <f t="shared" si="8"/>
        <v>CARIB AMBER</v>
      </c>
      <c r="R96" s="23">
        <f t="shared" si="34"/>
        <v>1.8333333333333333</v>
      </c>
      <c r="S96" s="23">
        <f t="shared" si="35"/>
        <v>2</v>
      </c>
      <c r="T96" s="668"/>
    </row>
    <row r="97" spans="8:24">
      <c r="H97" s="65">
        <f t="shared" si="11"/>
        <v>46101</v>
      </c>
      <c r="I97" s="182" t="str">
        <f t="shared" si="5"/>
        <v>CARIB AMBER</v>
      </c>
      <c r="J97" s="4">
        <f t="shared" si="31"/>
        <v>1.0069444444444444</v>
      </c>
      <c r="K97" s="4">
        <f t="shared" si="7"/>
        <v>1.5611111111111111</v>
      </c>
      <c r="L97" s="68">
        <f t="shared" si="12"/>
        <v>0.5541666666666667</v>
      </c>
      <c r="M97" s="3">
        <v>798</v>
      </c>
      <c r="N97" s="69">
        <f>M97-(J36+K36+L36+M36+N36+AA36+AB36+Z36+AC36+H36)</f>
        <v>696</v>
      </c>
      <c r="P97" s="65">
        <f t="shared" ref="P97:P110" si="36">H97</f>
        <v>46101</v>
      </c>
      <c r="Q97" s="74" t="str">
        <f t="shared" ref="Q97:Q110" si="37">I97</f>
        <v>CARIB AMBER</v>
      </c>
      <c r="R97" s="23">
        <f t="shared" ref="R97:R98" si="38">E36</f>
        <v>1.0069444444444444</v>
      </c>
      <c r="S97" s="23">
        <f t="shared" ref="S97:S99" si="39">F36</f>
        <v>1.5611111111111111</v>
      </c>
      <c r="T97" s="668">
        <f>S98-R97</f>
        <v>0.86805555555555558</v>
      </c>
    </row>
    <row r="98" spans="8:24">
      <c r="H98" s="65">
        <f t="shared" si="11"/>
        <v>46101</v>
      </c>
      <c r="I98" s="182" t="str">
        <f t="shared" si="5"/>
        <v>STAG</v>
      </c>
      <c r="J98" s="4">
        <f t="shared" si="31"/>
        <v>1.5958333333333334</v>
      </c>
      <c r="K98" s="4">
        <f t="shared" si="7"/>
        <v>1.8465277777777778</v>
      </c>
      <c r="L98" s="68">
        <f t="shared" si="12"/>
        <v>0.25069444444444433</v>
      </c>
      <c r="M98" s="3">
        <v>361</v>
      </c>
      <c r="N98" s="69">
        <f>M98-(J37+K37+L37+M37+N37+AA37+11+Z37)</f>
        <v>322</v>
      </c>
      <c r="P98" s="65">
        <f t="shared" si="36"/>
        <v>46101</v>
      </c>
      <c r="Q98" s="74" t="str">
        <f t="shared" si="37"/>
        <v>STAG</v>
      </c>
      <c r="R98" s="23">
        <f t="shared" si="38"/>
        <v>1.5958333333333334</v>
      </c>
      <c r="S98" s="76">
        <v>1.875</v>
      </c>
      <c r="T98" s="668"/>
    </row>
    <row r="99" spans="8:24">
      <c r="H99" s="65">
        <f t="shared" si="11"/>
        <v>46104</v>
      </c>
      <c r="I99" s="182" t="str">
        <f t="shared" si="5"/>
        <v>STAG</v>
      </c>
      <c r="J99" s="4">
        <f t="shared" si="31"/>
        <v>1.0729166666666667</v>
      </c>
      <c r="K99" s="4">
        <f t="shared" si="7"/>
        <v>1.4819444444444445</v>
      </c>
      <c r="L99" s="68">
        <f t="shared" si="12"/>
        <v>0.40902777777777777</v>
      </c>
      <c r="M99" s="3">
        <v>589</v>
      </c>
      <c r="N99" s="69">
        <f>M99-(9+K38+L38+M38+N38+AA38+AB38+Z38+AC38+H38)</f>
        <v>533</v>
      </c>
      <c r="P99" s="65">
        <f t="shared" si="36"/>
        <v>46104</v>
      </c>
      <c r="Q99" s="74" t="str">
        <f t="shared" si="37"/>
        <v>STAG</v>
      </c>
      <c r="R99" s="76">
        <v>1.0416666666666667</v>
      </c>
      <c r="S99" s="23">
        <f t="shared" si="39"/>
        <v>1.4819444444444445</v>
      </c>
      <c r="T99" s="668">
        <f>S101-R99</f>
        <v>0.95833333333333326</v>
      </c>
      <c r="X99" t="s">
        <v>472</v>
      </c>
    </row>
    <row r="100" spans="8:24">
      <c r="H100" s="65">
        <f t="shared" si="11"/>
        <v>46104</v>
      </c>
      <c r="I100" s="182" t="str">
        <f t="shared" si="5"/>
        <v>CARIB AMBER</v>
      </c>
      <c r="J100" s="23">
        <f t="shared" si="6"/>
        <v>1.4951388888888888</v>
      </c>
      <c r="K100" s="23">
        <f t="shared" si="7"/>
        <v>1.76875</v>
      </c>
      <c r="L100" s="68">
        <f t="shared" si="12"/>
        <v>0.27361111111111125</v>
      </c>
      <c r="M100" s="3">
        <v>394</v>
      </c>
      <c r="N100" s="69">
        <f t="shared" si="10"/>
        <v>378</v>
      </c>
      <c r="P100" s="65">
        <f t="shared" si="36"/>
        <v>46104</v>
      </c>
      <c r="Q100" s="74" t="str">
        <f t="shared" si="37"/>
        <v>CARIB AMBER</v>
      </c>
      <c r="R100" s="23">
        <f t="shared" ref="R100:R103" si="40">E39</f>
        <v>1.4951388888888888</v>
      </c>
      <c r="S100" s="23">
        <f t="shared" ref="S100:S103" si="41">F39</f>
        <v>1.76875</v>
      </c>
      <c r="T100" s="668"/>
    </row>
    <row r="101" spans="8:24">
      <c r="H101" s="65">
        <f t="shared" si="11"/>
        <v>46104</v>
      </c>
      <c r="I101" s="182" t="str">
        <f t="shared" ref="I101:I122" si="42">C40</f>
        <v>CARIB FLINT (LOC)</v>
      </c>
      <c r="J101" s="23">
        <f t="shared" si="6"/>
        <v>1.7722222222222221</v>
      </c>
      <c r="K101" s="23">
        <f t="shared" si="7"/>
        <v>1.9916666666666667</v>
      </c>
      <c r="L101" s="68">
        <f t="shared" si="12"/>
        <v>0.21944444444444455</v>
      </c>
      <c r="M101" s="3">
        <v>316</v>
      </c>
      <c r="N101" s="69">
        <f>M101-(J40+K40+L40+M40+N40+AA40+AB40+AC40+H40)</f>
        <v>312</v>
      </c>
      <c r="P101" s="65">
        <f t="shared" si="36"/>
        <v>46104</v>
      </c>
      <c r="Q101" s="74" t="str">
        <f t="shared" si="37"/>
        <v>CARIB FLINT (LOC)</v>
      </c>
      <c r="R101" s="23">
        <f t="shared" si="40"/>
        <v>1.7722222222222221</v>
      </c>
      <c r="S101" s="76">
        <v>2</v>
      </c>
      <c r="T101" s="668"/>
    </row>
    <row r="102" spans="8:24">
      <c r="H102" s="65">
        <f t="shared" ref="H102:H108" si="43">SUM(B41)</f>
        <v>46105</v>
      </c>
      <c r="I102" s="182" t="str">
        <f t="shared" ref="I102:I108" si="44">C41</f>
        <v>SHANDY GINGER LOCAL/ EXPORT</v>
      </c>
      <c r="J102" s="23">
        <f t="shared" ref="J102:J108" si="45">E41</f>
        <v>1.0874999999999999</v>
      </c>
      <c r="K102" s="23">
        <f t="shared" ref="K102:K108" si="46">F41</f>
        <v>1.4208333333333334</v>
      </c>
      <c r="L102" s="68">
        <f t="shared" ref="L102:L112" si="47">K102-J102</f>
        <v>0.33333333333333348</v>
      </c>
      <c r="M102" s="3">
        <v>480</v>
      </c>
      <c r="N102" s="69">
        <f>M102-(J41+K41+L41+M41+N41+AA41+AB41+Z41+AC41+H41)</f>
        <v>243</v>
      </c>
      <c r="P102" s="65">
        <f t="shared" si="36"/>
        <v>46105</v>
      </c>
      <c r="Q102" s="74" t="str">
        <f t="shared" si="37"/>
        <v>SHANDY GINGER LOCAL/ EXPORT</v>
      </c>
      <c r="R102" s="76">
        <v>1</v>
      </c>
      <c r="S102" s="23">
        <f t="shared" si="41"/>
        <v>1.4208333333333334</v>
      </c>
      <c r="T102" s="668">
        <f>S103-R102</f>
        <v>1</v>
      </c>
    </row>
    <row r="103" spans="8:24">
      <c r="H103" s="65">
        <f t="shared" si="43"/>
        <v>46105</v>
      </c>
      <c r="I103" s="182" t="str">
        <f t="shared" si="44"/>
        <v>STAR MALT</v>
      </c>
      <c r="J103" s="23">
        <f t="shared" si="45"/>
        <v>1.5569444444444445</v>
      </c>
      <c r="K103" s="23">
        <f t="shared" si="46"/>
        <v>2</v>
      </c>
      <c r="L103" s="68">
        <f t="shared" si="47"/>
        <v>0.44305555555555554</v>
      </c>
      <c r="M103" s="3">
        <v>638</v>
      </c>
      <c r="N103" s="69">
        <f>M103-(J42+K42+L42+M42+N42+AA42+AB42+Z42+AC42+H42)</f>
        <v>617</v>
      </c>
      <c r="P103" s="65">
        <f t="shared" si="36"/>
        <v>46105</v>
      </c>
      <c r="Q103" s="74" t="str">
        <f t="shared" si="37"/>
        <v>STAR MALT</v>
      </c>
      <c r="R103" s="23">
        <f t="shared" si="40"/>
        <v>1.5569444444444445</v>
      </c>
      <c r="S103" s="23">
        <f t="shared" si="41"/>
        <v>2</v>
      </c>
      <c r="T103" s="668"/>
    </row>
    <row r="104" spans="8:24">
      <c r="H104" s="65">
        <f t="shared" si="43"/>
        <v>46106</v>
      </c>
      <c r="I104" s="182" t="str">
        <f t="shared" si="44"/>
        <v>STAR MALT</v>
      </c>
      <c r="J104" s="23">
        <f t="shared" si="45"/>
        <v>1.0020833333333334</v>
      </c>
      <c r="K104" s="23">
        <f t="shared" si="46"/>
        <v>1.2916666666666667</v>
      </c>
      <c r="L104" s="68">
        <f t="shared" si="47"/>
        <v>0.2895833333333333</v>
      </c>
      <c r="M104" s="3">
        <v>417</v>
      </c>
      <c r="N104" s="69">
        <f t="shared" si="10"/>
        <v>382</v>
      </c>
      <c r="P104" s="65">
        <f t="shared" si="36"/>
        <v>46106</v>
      </c>
      <c r="Q104" s="74" t="str">
        <f t="shared" si="37"/>
        <v>STAR MALT</v>
      </c>
      <c r="R104" s="76">
        <v>1</v>
      </c>
      <c r="S104" s="23">
        <f t="shared" ref="S104:S107" si="48">F43</f>
        <v>1.2916666666666667</v>
      </c>
      <c r="T104" s="668">
        <f>S107-R104</f>
        <v>1</v>
      </c>
    </row>
    <row r="105" spans="8:24">
      <c r="H105" s="65">
        <f t="shared" si="43"/>
        <v>46106</v>
      </c>
      <c r="I105" s="182" t="str">
        <f t="shared" si="44"/>
        <v>CLUB SODA</v>
      </c>
      <c r="J105" s="23">
        <f t="shared" si="45"/>
        <v>1.4305555555555556</v>
      </c>
      <c r="K105" s="23">
        <f t="shared" si="46"/>
        <v>1.4513888888888888</v>
      </c>
      <c r="L105" s="68">
        <f t="shared" si="47"/>
        <v>2.0833333333333259E-2</v>
      </c>
      <c r="M105" s="3">
        <v>30</v>
      </c>
      <c r="N105" s="69">
        <f t="shared" si="10"/>
        <v>30</v>
      </c>
      <c r="P105" s="65">
        <f t="shared" si="36"/>
        <v>46106</v>
      </c>
      <c r="Q105" s="74" t="str">
        <f t="shared" si="37"/>
        <v>CLUB SODA</v>
      </c>
      <c r="R105" s="23">
        <f t="shared" ref="R105:R107" si="49">E44</f>
        <v>1.4305555555555556</v>
      </c>
      <c r="S105" s="23">
        <f t="shared" si="48"/>
        <v>1.4513888888888888</v>
      </c>
      <c r="T105" s="668"/>
    </row>
    <row r="106" spans="8:24">
      <c r="H106" s="65">
        <f t="shared" si="43"/>
        <v>46106</v>
      </c>
      <c r="I106" s="182" t="str">
        <f t="shared" si="44"/>
        <v>KOLA CHAMPAGNE (EXPORT)</v>
      </c>
      <c r="J106" s="23">
        <f t="shared" si="45"/>
        <v>1.4743055555555555</v>
      </c>
      <c r="K106" s="23">
        <f t="shared" si="46"/>
        <v>1.6229166666666666</v>
      </c>
      <c r="L106" s="68">
        <f t="shared" si="47"/>
        <v>0.14861111111111103</v>
      </c>
      <c r="M106" s="3">
        <v>214</v>
      </c>
      <c r="N106" s="69">
        <f t="shared" si="10"/>
        <v>191</v>
      </c>
      <c r="P106" s="65">
        <f t="shared" si="36"/>
        <v>46106</v>
      </c>
      <c r="Q106" s="74" t="str">
        <f t="shared" si="37"/>
        <v>KOLA CHAMPAGNE (EXPORT)</v>
      </c>
      <c r="R106" s="23">
        <f t="shared" si="49"/>
        <v>1.4743055555555555</v>
      </c>
      <c r="S106" s="23">
        <f t="shared" si="48"/>
        <v>1.6229166666666666</v>
      </c>
      <c r="T106" s="668"/>
    </row>
    <row r="107" spans="8:24">
      <c r="H107" s="65">
        <f t="shared" si="43"/>
        <v>46106</v>
      </c>
      <c r="I107" s="182" t="str">
        <f t="shared" si="44"/>
        <v>CREAM SODA (EXPORT)</v>
      </c>
      <c r="J107" s="23">
        <f t="shared" si="45"/>
        <v>1.663888888888889</v>
      </c>
      <c r="K107" s="23">
        <f t="shared" si="46"/>
        <v>2</v>
      </c>
      <c r="L107" s="68">
        <f t="shared" si="47"/>
        <v>0.33611111111111103</v>
      </c>
      <c r="M107" s="3">
        <v>484</v>
      </c>
      <c r="N107" s="69">
        <f t="shared" si="10"/>
        <v>466</v>
      </c>
      <c r="P107" s="65">
        <f t="shared" si="36"/>
        <v>46106</v>
      </c>
      <c r="Q107" s="74" t="str">
        <f t="shared" si="37"/>
        <v>CREAM SODA (EXPORT)</v>
      </c>
      <c r="R107" s="23">
        <f t="shared" si="49"/>
        <v>1.663888888888889</v>
      </c>
      <c r="S107" s="23">
        <f t="shared" si="48"/>
        <v>2</v>
      </c>
      <c r="T107" s="668"/>
    </row>
    <row r="108" spans="8:24">
      <c r="H108" s="65">
        <f t="shared" si="43"/>
        <v>46107</v>
      </c>
      <c r="I108" s="182" t="str">
        <f t="shared" si="44"/>
        <v>BANANA (EXPORT)</v>
      </c>
      <c r="J108" s="23">
        <f t="shared" si="45"/>
        <v>1.1180555555555556</v>
      </c>
      <c r="K108" s="23">
        <f t="shared" si="46"/>
        <v>1.351388888888889</v>
      </c>
      <c r="L108" s="68">
        <f t="shared" si="47"/>
        <v>0.23333333333333339</v>
      </c>
      <c r="M108" s="3">
        <v>336</v>
      </c>
      <c r="N108" s="69">
        <f t="shared" si="10"/>
        <v>314</v>
      </c>
      <c r="P108" s="65">
        <f t="shared" si="36"/>
        <v>46107</v>
      </c>
      <c r="Q108" s="74" t="str">
        <f t="shared" si="37"/>
        <v>BANANA (EXPORT)</v>
      </c>
      <c r="R108" s="76">
        <v>1</v>
      </c>
      <c r="S108" s="23">
        <f t="shared" ref="S108:S118" si="50">F47</f>
        <v>1.351388888888889</v>
      </c>
      <c r="T108" s="668">
        <f>S111-R108</f>
        <v>1</v>
      </c>
    </row>
    <row r="109" spans="8:24">
      <c r="H109" s="65">
        <f t="shared" si="11"/>
        <v>46107</v>
      </c>
      <c r="I109" s="1" t="str">
        <f t="shared" si="42"/>
        <v>GINGER (EXPORT)</v>
      </c>
      <c r="J109" s="23">
        <f t="shared" ref="J109:J119" si="51">E48</f>
        <v>1.3708333333333333</v>
      </c>
      <c r="K109" s="23">
        <f t="shared" ref="K109:K119" si="52">F48</f>
        <v>1.5694444444444444</v>
      </c>
      <c r="L109" s="68">
        <f t="shared" si="47"/>
        <v>0.19861111111111107</v>
      </c>
      <c r="M109" s="3">
        <v>286</v>
      </c>
      <c r="N109" s="69">
        <f t="shared" si="10"/>
        <v>264</v>
      </c>
      <c r="P109" s="65">
        <f t="shared" si="36"/>
        <v>46107</v>
      </c>
      <c r="Q109" s="74" t="str">
        <f t="shared" si="37"/>
        <v>GINGER (EXPORT)</v>
      </c>
      <c r="R109" s="23">
        <f t="shared" ref="R109:R112" si="53">E48</f>
        <v>1.3708333333333333</v>
      </c>
      <c r="S109" s="23">
        <f t="shared" si="50"/>
        <v>1.5694444444444444</v>
      </c>
      <c r="T109" s="668"/>
    </row>
    <row r="110" spans="8:24">
      <c r="H110" s="65">
        <f t="shared" si="11"/>
        <v>46107</v>
      </c>
      <c r="I110" s="1" t="str">
        <f t="shared" si="42"/>
        <v>GRAPE (EXPORT)</v>
      </c>
      <c r="J110" s="23">
        <f t="shared" si="51"/>
        <v>1.5868055555555556</v>
      </c>
      <c r="K110" s="23">
        <f t="shared" si="52"/>
        <v>1.8006944444444444</v>
      </c>
      <c r="L110" s="68">
        <f t="shared" si="47"/>
        <v>0.2138888888888888</v>
      </c>
      <c r="M110" s="3">
        <v>308</v>
      </c>
      <c r="N110" s="69">
        <f t="shared" si="10"/>
        <v>266</v>
      </c>
      <c r="P110" s="65">
        <f t="shared" si="36"/>
        <v>46107</v>
      </c>
      <c r="Q110" s="74" t="str">
        <f t="shared" si="37"/>
        <v>GRAPE (EXPORT)</v>
      </c>
      <c r="R110" s="23">
        <f t="shared" si="53"/>
        <v>1.5868055555555556</v>
      </c>
      <c r="S110" s="23">
        <f t="shared" si="50"/>
        <v>1.8006944444444444</v>
      </c>
      <c r="T110" s="668"/>
    </row>
    <row r="111" spans="8:24">
      <c r="H111" s="65">
        <f t="shared" si="11"/>
        <v>46107</v>
      </c>
      <c r="I111" s="1" t="str">
        <f t="shared" si="42"/>
        <v>JUICY COOL SORREL (EXPORT)</v>
      </c>
      <c r="J111" s="23">
        <f t="shared" ref="J111:J115" si="54">E50</f>
        <v>1.8486111111111112</v>
      </c>
      <c r="K111" s="23">
        <f t="shared" ref="K111:K115" si="55">F50</f>
        <v>2</v>
      </c>
      <c r="L111" s="68">
        <f t="shared" si="47"/>
        <v>0.1513888888888888</v>
      </c>
      <c r="M111" s="3">
        <v>218</v>
      </c>
      <c r="N111" s="69">
        <f t="shared" si="10"/>
        <v>178</v>
      </c>
      <c r="P111" s="65">
        <f t="shared" ref="P111:P116" si="56">H111</f>
        <v>46107</v>
      </c>
      <c r="Q111" s="74" t="str">
        <f t="shared" ref="Q111:Q116" si="57">I111</f>
        <v>JUICY COOL SORREL (EXPORT)</v>
      </c>
      <c r="R111" s="23">
        <f t="shared" si="53"/>
        <v>1.8486111111111112</v>
      </c>
      <c r="S111" s="23">
        <f t="shared" si="50"/>
        <v>2</v>
      </c>
      <c r="T111" s="668"/>
    </row>
    <row r="112" spans="8:24">
      <c r="H112" s="65">
        <f t="shared" si="11"/>
        <v>46108</v>
      </c>
      <c r="I112" s="1" t="str">
        <f t="shared" si="42"/>
        <v>JUICY COOL SORREL (EXPORT)</v>
      </c>
      <c r="J112" s="23">
        <f t="shared" si="54"/>
        <v>1.0034722222222223</v>
      </c>
      <c r="K112" s="23">
        <f t="shared" si="55"/>
        <v>1.0687500000000001</v>
      </c>
      <c r="L112" s="68">
        <f t="shared" si="47"/>
        <v>6.5277777777777768E-2</v>
      </c>
      <c r="M112" s="3">
        <v>94</v>
      </c>
      <c r="N112" s="69">
        <f t="shared" si="10"/>
        <v>78</v>
      </c>
      <c r="P112" s="65">
        <f t="shared" si="56"/>
        <v>46108</v>
      </c>
      <c r="Q112" s="74" t="str">
        <f t="shared" si="57"/>
        <v>JUICY COOL SORREL (EXPORT)</v>
      </c>
      <c r="R112" s="23">
        <f t="shared" si="53"/>
        <v>1.0034722222222223</v>
      </c>
      <c r="S112" s="23">
        <f t="shared" si="50"/>
        <v>1.0687500000000001</v>
      </c>
      <c r="T112" s="668">
        <f>S113-R112</f>
        <v>0.87152777777777768</v>
      </c>
    </row>
    <row r="113" spans="8:20">
      <c r="H113" s="65">
        <f t="shared" si="11"/>
        <v>46108</v>
      </c>
      <c r="I113" s="1" t="str">
        <f t="shared" si="42"/>
        <v>STAG</v>
      </c>
      <c r="J113" s="23">
        <f t="shared" si="54"/>
        <v>1.2083333333333333</v>
      </c>
      <c r="K113" s="23">
        <f t="shared" si="55"/>
        <v>1.79375</v>
      </c>
      <c r="L113" s="68">
        <f t="shared" ref="L113:L122" si="58">K113-J113</f>
        <v>0.5854166666666667</v>
      </c>
      <c r="M113" s="3">
        <v>843</v>
      </c>
      <c r="N113" s="69">
        <f t="shared" si="10"/>
        <v>830</v>
      </c>
      <c r="P113" s="65">
        <f t="shared" si="56"/>
        <v>46108</v>
      </c>
      <c r="Q113" s="74" t="str">
        <f t="shared" si="57"/>
        <v>STAG</v>
      </c>
      <c r="R113" s="23">
        <f t="shared" ref="R113:R116" si="59">E52</f>
        <v>1.2083333333333333</v>
      </c>
      <c r="S113" s="76">
        <v>1.875</v>
      </c>
      <c r="T113" s="668"/>
    </row>
    <row r="114" spans="8:20">
      <c r="H114" s="65">
        <f t="shared" si="11"/>
        <v>46111</v>
      </c>
      <c r="I114" s="1" t="str">
        <f t="shared" si="42"/>
        <v>CARIB AMBER</v>
      </c>
      <c r="J114" s="23">
        <f t="shared" si="54"/>
        <v>1.34375</v>
      </c>
      <c r="K114" s="23">
        <f t="shared" si="55"/>
        <v>2</v>
      </c>
      <c r="L114" s="68">
        <f t="shared" si="58"/>
        <v>0.65625</v>
      </c>
      <c r="M114" s="3">
        <v>945</v>
      </c>
      <c r="N114" s="69">
        <f>M114-(J53+K53+L53+M53+N53+AA53+AB53+3+3+3+10+AC53+H53)</f>
        <v>919</v>
      </c>
      <c r="P114" s="65">
        <f t="shared" si="56"/>
        <v>46111</v>
      </c>
      <c r="Q114" s="74" t="str">
        <f t="shared" si="57"/>
        <v>CARIB AMBER</v>
      </c>
      <c r="R114" s="76">
        <v>1.0416666666666667</v>
      </c>
      <c r="S114" s="23">
        <f t="shared" si="50"/>
        <v>2</v>
      </c>
      <c r="T114" s="75">
        <f t="shared" ref="T114:T120" si="60">S114-R114</f>
        <v>0.95833333333333326</v>
      </c>
    </row>
    <row r="115" spans="8:20">
      <c r="H115" s="65">
        <f t="shared" si="11"/>
        <v>46112</v>
      </c>
      <c r="I115" s="1" t="str">
        <f t="shared" si="42"/>
        <v>CARIB AMBER</v>
      </c>
      <c r="J115" s="23">
        <f t="shared" si="54"/>
        <v>1.0048611111111112</v>
      </c>
      <c r="K115" s="23">
        <f t="shared" si="55"/>
        <v>1.1770833333333333</v>
      </c>
      <c r="L115" s="68">
        <f t="shared" si="58"/>
        <v>0.17222222222222205</v>
      </c>
      <c r="M115" s="3">
        <v>248</v>
      </c>
      <c r="N115" s="69">
        <f t="shared" si="10"/>
        <v>232</v>
      </c>
      <c r="P115" s="65">
        <f t="shared" si="56"/>
        <v>46112</v>
      </c>
      <c r="Q115" s="74" t="str">
        <f t="shared" si="57"/>
        <v>CARIB AMBER</v>
      </c>
      <c r="R115" s="76">
        <v>1</v>
      </c>
      <c r="S115" s="23">
        <f t="shared" si="50"/>
        <v>1.1770833333333333</v>
      </c>
      <c r="T115" s="668">
        <f>S118-R115</f>
        <v>1</v>
      </c>
    </row>
    <row r="116" spans="8:20">
      <c r="H116" s="65">
        <f t="shared" si="11"/>
        <v>46112</v>
      </c>
      <c r="I116" s="1" t="str">
        <f t="shared" si="42"/>
        <v>CARIB FLINT (LOC)</v>
      </c>
      <c r="J116" s="23">
        <f t="shared" si="51"/>
        <v>1.1819444444444445</v>
      </c>
      <c r="K116" s="23">
        <f t="shared" si="52"/>
        <v>1.2875000000000001</v>
      </c>
      <c r="L116" s="68">
        <f t="shared" si="58"/>
        <v>0.10555555555555562</v>
      </c>
      <c r="M116" s="3">
        <v>152</v>
      </c>
      <c r="N116" s="69">
        <f t="shared" si="10"/>
        <v>145</v>
      </c>
      <c r="P116" s="65">
        <f t="shared" si="56"/>
        <v>46112</v>
      </c>
      <c r="Q116" s="74" t="str">
        <f t="shared" si="57"/>
        <v>CARIB FLINT (LOC)</v>
      </c>
      <c r="R116" s="23">
        <f t="shared" si="59"/>
        <v>1.1819444444444445</v>
      </c>
      <c r="S116" s="23">
        <f t="shared" si="50"/>
        <v>1.2875000000000001</v>
      </c>
      <c r="T116" s="668"/>
    </row>
    <row r="117" spans="8:20">
      <c r="H117" s="65">
        <f t="shared" si="11"/>
        <v>46112</v>
      </c>
      <c r="I117" s="1" t="str">
        <f t="shared" si="42"/>
        <v>CARIB AMBER</v>
      </c>
      <c r="J117" s="23">
        <f t="shared" si="51"/>
        <v>1.2993055555555555</v>
      </c>
      <c r="K117" s="23">
        <f t="shared" si="52"/>
        <v>1.5479166666666666</v>
      </c>
      <c r="L117" s="68">
        <f t="shared" si="58"/>
        <v>0.24861111111111112</v>
      </c>
      <c r="M117" s="3">
        <v>358</v>
      </c>
      <c r="N117" s="69">
        <f t="shared" si="10"/>
        <v>338</v>
      </c>
      <c r="P117" s="65">
        <f t="shared" ref="P117:P118" si="61">H117</f>
        <v>46112</v>
      </c>
      <c r="Q117" s="74" t="str">
        <f t="shared" ref="Q117:Q118" si="62">I117</f>
        <v>CARIB AMBER</v>
      </c>
      <c r="R117" s="23">
        <f t="shared" ref="R117:R118" si="63">E56</f>
        <v>1.2993055555555555</v>
      </c>
      <c r="S117" s="23">
        <f t="shared" si="50"/>
        <v>1.5479166666666666</v>
      </c>
      <c r="T117" s="668"/>
    </row>
    <row r="118" spans="8:20">
      <c r="H118" s="65">
        <f t="shared" si="11"/>
        <v>46112</v>
      </c>
      <c r="I118" s="1" t="str">
        <f t="shared" si="42"/>
        <v>VITA MALT (CLASSIC</v>
      </c>
      <c r="J118" s="23">
        <f t="shared" ref="J118" si="64">E57</f>
        <v>1.75</v>
      </c>
      <c r="K118" s="23">
        <f t="shared" ref="K118" si="65">F57</f>
        <v>2</v>
      </c>
      <c r="L118" s="68">
        <f t="shared" si="58"/>
        <v>0.25</v>
      </c>
      <c r="M118" s="3">
        <v>360</v>
      </c>
      <c r="N118" s="69">
        <f t="shared" si="10"/>
        <v>346</v>
      </c>
      <c r="P118" s="65">
        <f t="shared" si="61"/>
        <v>46112</v>
      </c>
      <c r="Q118" s="74" t="str">
        <f t="shared" si="62"/>
        <v>VITA MALT (CLASSIC</v>
      </c>
      <c r="R118" s="23">
        <f t="shared" si="63"/>
        <v>1.75</v>
      </c>
      <c r="S118" s="23">
        <f t="shared" si="50"/>
        <v>2</v>
      </c>
      <c r="T118" s="668"/>
    </row>
    <row r="119" spans="8:20">
      <c r="H119" s="65">
        <f t="shared" si="11"/>
        <v>0</v>
      </c>
      <c r="I119" s="1">
        <f t="shared" si="42"/>
        <v>0</v>
      </c>
      <c r="J119" s="23">
        <f t="shared" si="51"/>
        <v>0</v>
      </c>
      <c r="K119" s="23">
        <f t="shared" si="52"/>
        <v>0</v>
      </c>
      <c r="L119" s="68">
        <f t="shared" si="58"/>
        <v>0</v>
      </c>
      <c r="M119" s="3"/>
      <c r="N119" s="69">
        <f t="shared" si="10"/>
        <v>0</v>
      </c>
      <c r="P119" s="65"/>
      <c r="Q119" s="74"/>
      <c r="R119" s="23"/>
      <c r="S119" s="23"/>
      <c r="T119" s="135">
        <f t="shared" si="60"/>
        <v>0</v>
      </c>
    </row>
    <row r="120" spans="8:20">
      <c r="H120" s="65">
        <f t="shared" si="11"/>
        <v>0</v>
      </c>
      <c r="I120" s="1">
        <f t="shared" si="42"/>
        <v>0</v>
      </c>
      <c r="J120" s="23">
        <f t="shared" ref="J120:K122" si="66">E59</f>
        <v>0</v>
      </c>
      <c r="K120" s="23">
        <f t="shared" si="66"/>
        <v>0</v>
      </c>
      <c r="L120" s="68">
        <f t="shared" si="58"/>
        <v>0</v>
      </c>
      <c r="M120" s="3"/>
      <c r="N120" s="69">
        <f t="shared" si="10"/>
        <v>0</v>
      </c>
      <c r="P120" s="65"/>
      <c r="Q120" s="74"/>
      <c r="R120" s="23"/>
      <c r="S120" s="23"/>
      <c r="T120" s="135">
        <f t="shared" si="60"/>
        <v>0</v>
      </c>
    </row>
    <row r="121" spans="8:20">
      <c r="H121" s="65">
        <f t="shared" si="11"/>
        <v>0</v>
      </c>
      <c r="I121" s="1">
        <f t="shared" si="42"/>
        <v>0</v>
      </c>
      <c r="J121" s="23">
        <f t="shared" si="66"/>
        <v>0</v>
      </c>
      <c r="K121" s="23">
        <f t="shared" si="66"/>
        <v>0</v>
      </c>
      <c r="L121" s="68">
        <f t="shared" si="58"/>
        <v>0</v>
      </c>
      <c r="M121" s="3"/>
      <c r="N121" s="69"/>
      <c r="P121" s="65"/>
      <c r="Q121" s="74"/>
      <c r="R121" s="23"/>
      <c r="S121" s="23"/>
    </row>
    <row r="122" spans="8:20">
      <c r="H122" s="65">
        <f t="shared" si="11"/>
        <v>0</v>
      </c>
      <c r="I122" s="1">
        <f t="shared" si="42"/>
        <v>0</v>
      </c>
      <c r="J122" s="23">
        <f t="shared" si="66"/>
        <v>0</v>
      </c>
      <c r="K122" s="23">
        <f t="shared" si="66"/>
        <v>0</v>
      </c>
      <c r="L122" s="68">
        <f t="shared" si="58"/>
        <v>0</v>
      </c>
      <c r="M122" s="3"/>
      <c r="N122" s="69"/>
      <c r="P122" s="65"/>
      <c r="Q122" s="74"/>
      <c r="R122" s="23"/>
      <c r="S122" s="23"/>
    </row>
    <row r="123" spans="8:20">
      <c r="H123" s="65"/>
      <c r="I123" s="1"/>
      <c r="J123" s="23"/>
      <c r="K123" s="23"/>
      <c r="L123" s="68"/>
      <c r="M123" s="3"/>
      <c r="N123" s="69"/>
      <c r="P123" s="65"/>
      <c r="Q123" s="74"/>
      <c r="R123" s="23"/>
      <c r="S123" s="23"/>
    </row>
    <row r="124" spans="8:20">
      <c r="H124" s="65"/>
      <c r="I124" s="1"/>
      <c r="J124" s="23"/>
      <c r="K124" s="23"/>
      <c r="L124" s="68"/>
      <c r="M124" s="3"/>
      <c r="N124" s="69"/>
      <c r="P124" s="65"/>
      <c r="Q124" s="74"/>
      <c r="R124" s="23"/>
      <c r="S124" s="23"/>
    </row>
    <row r="125" spans="8:20">
      <c r="H125" s="65"/>
      <c r="I125" s="1"/>
      <c r="J125" s="23"/>
      <c r="K125" s="23"/>
      <c r="L125" s="68"/>
      <c r="M125" s="3"/>
      <c r="N125" s="69"/>
      <c r="P125" s="65"/>
      <c r="Q125" s="74"/>
      <c r="R125" s="23"/>
      <c r="S125" s="23"/>
    </row>
    <row r="126" spans="8:20">
      <c r="H126" s="65"/>
      <c r="I126" s="1"/>
      <c r="J126" s="23"/>
      <c r="K126" s="23"/>
      <c r="L126" s="68"/>
      <c r="M126" s="3"/>
      <c r="N126" s="69"/>
      <c r="P126" s="65"/>
      <c r="Q126" s="74"/>
      <c r="R126" s="23"/>
      <c r="S126" s="23"/>
    </row>
    <row r="127" spans="8:20">
      <c r="H127" s="65"/>
      <c r="I127" s="1"/>
      <c r="J127" s="23"/>
      <c r="K127" s="23"/>
      <c r="L127" s="68"/>
      <c r="M127" s="3"/>
      <c r="N127" s="69"/>
      <c r="P127" s="65"/>
      <c r="Q127" s="74"/>
      <c r="R127" s="23"/>
      <c r="S127" s="23"/>
    </row>
  </sheetData>
  <mergeCells count="88">
    <mergeCell ref="T115:T118"/>
    <mergeCell ref="T102:T103"/>
    <mergeCell ref="AE41:AE42"/>
    <mergeCell ref="T99:T101"/>
    <mergeCell ref="D38:D40"/>
    <mergeCell ref="AE38:AE40"/>
    <mergeCell ref="D43:D46"/>
    <mergeCell ref="AE43:AE46"/>
    <mergeCell ref="T97:T98"/>
    <mergeCell ref="T74:T75"/>
    <mergeCell ref="T92:T93"/>
    <mergeCell ref="T88:T89"/>
    <mergeCell ref="T94:T96"/>
    <mergeCell ref="T86:T87"/>
    <mergeCell ref="D54:D57"/>
    <mergeCell ref="AE53:AE57"/>
    <mergeCell ref="D27:D28"/>
    <mergeCell ref="AE27:AE28"/>
    <mergeCell ref="D31:D32"/>
    <mergeCell ref="AE58:AE59"/>
    <mergeCell ref="AE33:AE35"/>
    <mergeCell ref="D36:D37"/>
    <mergeCell ref="AE36:AE37"/>
    <mergeCell ref="D41:D42"/>
    <mergeCell ref="D33:D35"/>
    <mergeCell ref="D47:D50"/>
    <mergeCell ref="AE47:AE50"/>
    <mergeCell ref="AE51:AE52"/>
    <mergeCell ref="D51:D52"/>
    <mergeCell ref="T104:T107"/>
    <mergeCell ref="AE15:AE17"/>
    <mergeCell ref="D15:D17"/>
    <mergeCell ref="D8:D9"/>
    <mergeCell ref="D11:D12"/>
    <mergeCell ref="AE11:AE12"/>
    <mergeCell ref="AE8:AE9"/>
    <mergeCell ref="D13:D14"/>
    <mergeCell ref="AE13:AE14"/>
    <mergeCell ref="D20:D21"/>
    <mergeCell ref="AE20:AE21"/>
    <mergeCell ref="D25:D26"/>
    <mergeCell ref="AE25:AE26"/>
    <mergeCell ref="D22:D24"/>
    <mergeCell ref="AE22:AE24"/>
    <mergeCell ref="T83:T85"/>
    <mergeCell ref="T5:T7"/>
    <mergeCell ref="T69:T70"/>
    <mergeCell ref="T76:T78"/>
    <mergeCell ref="T72:T73"/>
    <mergeCell ref="T81:T82"/>
    <mergeCell ref="Q5:Q7"/>
    <mergeCell ref="A4:A7"/>
    <mergeCell ref="B4:B7"/>
    <mergeCell ref="C4:C7"/>
    <mergeCell ref="D4:D7"/>
    <mergeCell ref="E4:E7"/>
    <mergeCell ref="V5:V7"/>
    <mergeCell ref="AL4:AV4"/>
    <mergeCell ref="H67:N67"/>
    <mergeCell ref="P67:T67"/>
    <mergeCell ref="F4:F7"/>
    <mergeCell ref="G4:G7"/>
    <mergeCell ref="H5:H7"/>
    <mergeCell ref="I5:I7"/>
    <mergeCell ref="J5:J7"/>
    <mergeCell ref="K5:K7"/>
    <mergeCell ref="L5:L7"/>
    <mergeCell ref="M5:M7"/>
    <mergeCell ref="N5:N7"/>
    <mergeCell ref="O5:O7"/>
    <mergeCell ref="P5:P7"/>
    <mergeCell ref="AE31:AE32"/>
    <mergeCell ref="T112:T113"/>
    <mergeCell ref="T108:T111"/>
    <mergeCell ref="B2:AE2"/>
    <mergeCell ref="H4:AA4"/>
    <mergeCell ref="S5:S7"/>
    <mergeCell ref="W5:W7"/>
    <mergeCell ref="X5:X7"/>
    <mergeCell ref="Y5:Y7"/>
    <mergeCell ref="Z5:Z7"/>
    <mergeCell ref="AA5:AA7"/>
    <mergeCell ref="AB4:AB7"/>
    <mergeCell ref="AC5:AC7"/>
    <mergeCell ref="AD5:AD7"/>
    <mergeCell ref="AE5:AE7"/>
    <mergeCell ref="R5:R7"/>
    <mergeCell ref="U5:U7"/>
  </mergeCells>
  <conditionalFormatting sqref="D8">
    <cfRule type="cellIs" dxfId="33" priority="13" stopIfTrue="1" operator="greaterThan">
      <formula>$E$3</formula>
    </cfRule>
  </conditionalFormatting>
  <conditionalFormatting sqref="E9:E55">
    <cfRule type="cellIs" dxfId="32" priority="1" stopIfTrue="1" operator="greaterThan">
      <formula>$E$3</formula>
    </cfRule>
  </conditionalFormatting>
  <conditionalFormatting sqref="E57 E61">
    <cfRule type="cellIs" dxfId="31" priority="2" stopIfTrue="1" operator="greaterThan">
      <formula>$E$3</formula>
    </cfRule>
  </conditionalFormatting>
  <pageMargins left="0.75" right="0.75" top="1" bottom="1" header="0.5" footer="0.5"/>
  <pageSetup scale="35" fitToHeight="2" orientation="landscape" r:id="rId1"/>
  <headerFooter alignWithMargins="0"/>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1">
    <tabColor rgb="FFFFC000"/>
    <pageSetUpPr fitToPage="1"/>
  </sheetPr>
  <dimension ref="A1:AX110"/>
  <sheetViews>
    <sheetView showZeros="0" zoomScale="110" zoomScaleNormal="110" workbookViewId="0">
      <pane xSplit="7" ySplit="7" topLeftCell="AB50" activePane="bottomRight" state="frozen"/>
      <selection pane="topRight"/>
      <selection pane="bottomLeft"/>
      <selection pane="bottomRight" activeCell="AD60" sqref="AD60"/>
    </sheetView>
  </sheetViews>
  <sheetFormatPr defaultColWidth="9" defaultRowHeight="12.75"/>
  <cols>
    <col min="1" max="1" width="8.42578125" style="3" customWidth="1"/>
    <col min="2" max="2" width="7.5703125" style="3" customWidth="1"/>
    <col min="3" max="3" width="27.5703125" customWidth="1"/>
    <col min="4" max="4" width="7.5703125" customWidth="1"/>
    <col min="5" max="5" width="6.5703125" customWidth="1"/>
    <col min="6" max="6" width="7" customWidth="1"/>
    <col min="7" max="7" width="7.5703125" customWidth="1"/>
    <col min="8" max="8" width="9.5703125" customWidth="1"/>
    <col min="9" max="9" width="12.42578125" customWidth="1"/>
    <col min="10" max="10" width="9" customWidth="1"/>
    <col min="11" max="11" width="11" customWidth="1"/>
    <col min="12" max="12" width="11.42578125" customWidth="1"/>
    <col min="13" max="13" width="9.5703125" customWidth="1"/>
    <col min="14" max="14" width="11.42578125" customWidth="1"/>
    <col min="15" max="15" width="9" customWidth="1"/>
    <col min="16" max="16" width="9.42578125" customWidth="1"/>
    <col min="17" max="18" width="8.42578125" customWidth="1"/>
    <col min="19" max="19" width="10.42578125" customWidth="1"/>
    <col min="20" max="20" width="10" customWidth="1"/>
    <col min="21" max="21" width="10.85546875" customWidth="1"/>
    <col min="22" max="22" width="11.42578125" customWidth="1"/>
    <col min="23" max="23" width="7.5703125" customWidth="1"/>
    <col min="24" max="24" width="11.5703125" customWidth="1"/>
    <col min="25" max="26" width="10.140625" customWidth="1"/>
    <col min="27" max="27" width="12.140625" customWidth="1"/>
    <col min="28" max="29" width="11.42578125" customWidth="1"/>
    <col min="30" max="30" width="14.5703125" customWidth="1"/>
    <col min="31" max="31" width="10.42578125" customWidth="1"/>
    <col min="32" max="32" width="14.42578125" customWidth="1"/>
  </cols>
  <sheetData>
    <row r="1" spans="1:50">
      <c r="I1" s="3"/>
    </row>
    <row r="2" spans="1:50" ht="27.75">
      <c r="B2" s="670" t="s">
        <v>481</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B3" s="3" t="s">
        <v>455</v>
      </c>
      <c r="D3" s="5">
        <v>0.29166666666666702</v>
      </c>
      <c r="E3" s="5">
        <v>0.33333333333333298</v>
      </c>
      <c r="H3" s="6"/>
      <c r="I3" s="3"/>
      <c r="S3" s="3"/>
      <c r="AM3" s="6"/>
    </row>
    <row r="4" spans="1:50"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769" t="s">
        <v>56</v>
      </c>
      <c r="AC4" s="156"/>
      <c r="AD4" s="155"/>
      <c r="AE4" s="157"/>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774" t="s">
        <v>456</v>
      </c>
      <c r="I5" s="765" t="s">
        <v>7</v>
      </c>
      <c r="J5" s="765" t="s">
        <v>8</v>
      </c>
      <c r="K5" s="765" t="s">
        <v>9</v>
      </c>
      <c r="L5" s="765" t="s">
        <v>418</v>
      </c>
      <c r="M5" s="765" t="s">
        <v>11</v>
      </c>
      <c r="N5" s="771" t="s">
        <v>12</v>
      </c>
      <c r="O5" s="689" t="s">
        <v>13</v>
      </c>
      <c r="P5" s="689" t="s">
        <v>14</v>
      </c>
      <c r="Q5" s="689" t="s">
        <v>15</v>
      </c>
      <c r="R5" s="689" t="s">
        <v>16</v>
      </c>
      <c r="S5" s="689" t="s">
        <v>419</v>
      </c>
      <c r="T5" s="689" t="s">
        <v>18</v>
      </c>
      <c r="U5" s="689" t="s">
        <v>420</v>
      </c>
      <c r="V5" s="689" t="s">
        <v>20</v>
      </c>
      <c r="W5" s="689" t="s">
        <v>21</v>
      </c>
      <c r="X5" s="689" t="s">
        <v>22</v>
      </c>
      <c r="Y5" s="765" t="s">
        <v>421</v>
      </c>
      <c r="Z5" s="765" t="s">
        <v>24</v>
      </c>
      <c r="AA5" s="767" t="s">
        <v>25</v>
      </c>
      <c r="AB5" s="769"/>
      <c r="AC5" s="772"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774"/>
      <c r="I6" s="765"/>
      <c r="J6" s="765"/>
      <c r="K6" s="765"/>
      <c r="L6" s="765"/>
      <c r="M6" s="765"/>
      <c r="N6" s="765"/>
      <c r="O6" s="689"/>
      <c r="P6" s="689"/>
      <c r="Q6" s="689"/>
      <c r="R6" s="689"/>
      <c r="S6" s="689"/>
      <c r="T6" s="689"/>
      <c r="U6" s="689"/>
      <c r="V6" s="689"/>
      <c r="W6" s="689"/>
      <c r="X6" s="689"/>
      <c r="Y6" s="765"/>
      <c r="Z6" s="765"/>
      <c r="AA6" s="767"/>
      <c r="AB6" s="769"/>
      <c r="AC6" s="772"/>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4"/>
      <c r="B7" s="687"/>
      <c r="C7" s="687"/>
      <c r="D7" s="690"/>
      <c r="E7" s="690"/>
      <c r="F7" s="690"/>
      <c r="G7" s="694"/>
      <c r="H7" s="775"/>
      <c r="I7" s="766"/>
      <c r="J7" s="766"/>
      <c r="K7" s="766"/>
      <c r="L7" s="766"/>
      <c r="M7" s="766"/>
      <c r="N7" s="766"/>
      <c r="O7" s="690"/>
      <c r="P7" s="690"/>
      <c r="Q7" s="690"/>
      <c r="R7" s="690"/>
      <c r="S7" s="690"/>
      <c r="T7" s="690"/>
      <c r="U7" s="690"/>
      <c r="V7" s="690"/>
      <c r="W7" s="690"/>
      <c r="X7" s="690"/>
      <c r="Y7" s="766"/>
      <c r="Z7" s="766"/>
      <c r="AA7" s="768"/>
      <c r="AB7" s="770"/>
      <c r="AC7" s="773"/>
      <c r="AD7" s="696"/>
      <c r="AE7" s="764"/>
      <c r="AF7" s="42" t="s">
        <v>426</v>
      </c>
      <c r="AH7" s="3"/>
      <c r="AI7" s="3"/>
      <c r="AJ7" s="3"/>
      <c r="AK7" s="3"/>
      <c r="AL7" s="3"/>
      <c r="AM7" s="3"/>
      <c r="AN7" s="3"/>
      <c r="AO7" s="3"/>
      <c r="AP7" s="3"/>
      <c r="AQ7" s="3"/>
      <c r="AR7" s="3"/>
      <c r="AS7" s="3"/>
      <c r="AT7" s="3"/>
      <c r="AU7" s="3"/>
      <c r="AV7" s="3"/>
      <c r="AW7" s="3"/>
      <c r="AX7" s="3"/>
    </row>
    <row r="8" spans="1:50" ht="13.5" thickTop="1">
      <c r="A8" s="7">
        <f>'[5]April_2026 '!C8</f>
        <v>1</v>
      </c>
      <c r="B8" s="139">
        <f>'[5]April_2026 '!$B8</f>
        <v>46113</v>
      </c>
      <c r="C8" s="8" t="str">
        <f>'[5]April_2026 '!D8</f>
        <v>VITAMALT CLASSIC</v>
      </c>
      <c r="D8" s="691">
        <v>1</v>
      </c>
      <c r="E8" s="79">
        <v>1.0055555555555555</v>
      </c>
      <c r="F8" s="80">
        <v>1.2381944444444444</v>
      </c>
      <c r="G8" s="174"/>
      <c r="H8" s="82"/>
      <c r="I8" s="32">
        <v>3</v>
      </c>
      <c r="J8" s="86"/>
      <c r="K8" s="71"/>
      <c r="L8" s="71"/>
      <c r="M8" s="71"/>
      <c r="N8" s="71"/>
      <c r="O8" s="71">
        <f>'Uncaser Downtime Detail '!AG187</f>
        <v>0</v>
      </c>
      <c r="P8" s="71">
        <f>'Washer Downtime Detail'!BH189</f>
        <v>5</v>
      </c>
      <c r="Q8" s="71">
        <f>'EBI Downtime Detail'!$AI189</f>
        <v>2</v>
      </c>
      <c r="R8" s="71">
        <f>'Filler Downtime Detail'!AK189</f>
        <v>4</v>
      </c>
      <c r="S8" s="71">
        <f>'Pasteurizer Downtime Detail'!Z189</f>
        <v>0</v>
      </c>
      <c r="T8" s="71">
        <f>'Labeler Downtime Detail'!AN186</f>
        <v>0</v>
      </c>
      <c r="U8" s="71">
        <f>'Videojet Downtime Detail '!O187</f>
        <v>0</v>
      </c>
      <c r="V8" s="71">
        <f>'Conveyor Downtime (new)'!AV187</f>
        <v>13</v>
      </c>
      <c r="W8" s="71">
        <f>'Packer Downtime Detail  '!AD187</f>
        <v>12</v>
      </c>
      <c r="X8" s="71">
        <f>'Carton Errector-sealer Detail'!P175</f>
        <v>0</v>
      </c>
      <c r="Y8" s="71"/>
      <c r="Z8" s="43">
        <v>8</v>
      </c>
      <c r="AA8" s="88">
        <v>3</v>
      </c>
      <c r="AB8" s="71"/>
      <c r="AC8" s="71"/>
      <c r="AD8" s="44">
        <f>SUM(H8:J8,K8:AC8)</f>
        <v>50</v>
      </c>
      <c r="AE8" s="776">
        <f>G10-D8</f>
        <v>1</v>
      </c>
      <c r="AH8" s="3"/>
      <c r="AI8" s="23"/>
      <c r="AJ8" s="23"/>
      <c r="AK8" s="54"/>
      <c r="AL8" s="3"/>
      <c r="AM8" s="3"/>
      <c r="AN8" s="3"/>
      <c r="AO8" s="3"/>
      <c r="AP8" s="3"/>
      <c r="AQ8" s="3"/>
      <c r="AR8" s="3"/>
      <c r="AS8" s="3"/>
      <c r="AT8" s="3"/>
      <c r="AU8" s="3"/>
      <c r="AV8" s="3"/>
      <c r="AW8" s="3"/>
      <c r="AX8" s="3"/>
    </row>
    <row r="9" spans="1:50">
      <c r="A9" s="7">
        <f>'[5]April_2026 '!C9</f>
        <v>1</v>
      </c>
      <c r="B9" s="139">
        <f>'[5]April_2026 '!$B9</f>
        <v>46113</v>
      </c>
      <c r="C9" s="8" t="str">
        <f>'[5]April_2026 '!D9</f>
        <v>VITAMALT GINGER</v>
      </c>
      <c r="D9" s="681"/>
      <c r="E9" s="13">
        <v>1.2486111111111111</v>
      </c>
      <c r="F9" s="80">
        <v>1.3291666666666666</v>
      </c>
      <c r="G9" s="94">
        <v>1.3652777777777778</v>
      </c>
      <c r="H9" s="14"/>
      <c r="I9" s="34">
        <f>58-43</f>
        <v>15</v>
      </c>
      <c r="J9" s="35"/>
      <c r="K9" s="34"/>
      <c r="L9" s="34"/>
      <c r="M9" s="34"/>
      <c r="N9" s="34"/>
      <c r="O9" s="34">
        <f>'Uncaser Downtime Detail '!AG188</f>
        <v>0</v>
      </c>
      <c r="P9" s="34">
        <f>'Washer Downtime Detail'!BH190</f>
        <v>0</v>
      </c>
      <c r="Q9" s="34">
        <f>'EBI Downtime Detail'!$AI190</f>
        <v>0</v>
      </c>
      <c r="R9" s="34">
        <f>'Filler Downtime Detail'!AK190</f>
        <v>6</v>
      </c>
      <c r="S9" s="34">
        <f>'Pasteurizer Downtime Detail'!Z190</f>
        <v>0</v>
      </c>
      <c r="T9" s="34">
        <f>'Labeler Downtime Detail'!AN187</f>
        <v>0</v>
      </c>
      <c r="U9" s="34">
        <f>'Videojet Downtime Detail '!O188</f>
        <v>0</v>
      </c>
      <c r="V9" s="34">
        <f>'Conveyor Downtime (new)'!AV188</f>
        <v>6</v>
      </c>
      <c r="W9" s="34">
        <f>'Packer Downtime Detail  '!AD188</f>
        <v>0</v>
      </c>
      <c r="X9" s="34">
        <f>'Carton Errector-sealer Detail'!P176</f>
        <v>0</v>
      </c>
      <c r="Y9" s="35"/>
      <c r="Z9" s="34"/>
      <c r="AA9" s="90"/>
      <c r="AB9" s="89"/>
      <c r="AC9" s="89"/>
      <c r="AD9" s="44">
        <f t="shared" ref="AD9:AD49" si="0">SUM(H9:J9,K9:AC9)</f>
        <v>27</v>
      </c>
      <c r="AE9" s="754"/>
      <c r="AH9" s="3"/>
      <c r="AI9" s="23"/>
      <c r="AJ9" s="23"/>
      <c r="AK9" s="54"/>
      <c r="AL9" s="3"/>
      <c r="AM9" s="3"/>
      <c r="AN9" s="3"/>
      <c r="AO9" s="3"/>
      <c r="AP9" s="3"/>
      <c r="AQ9" s="3"/>
      <c r="AR9" s="3"/>
      <c r="AS9" s="3"/>
      <c r="AT9" s="3"/>
      <c r="AU9" s="3"/>
      <c r="AV9" s="3"/>
      <c r="AW9" s="3"/>
      <c r="AX9" s="3"/>
    </row>
    <row r="10" spans="1:50" s="497" customFormat="1">
      <c r="A10" s="486">
        <f>'[5]April_2026 '!C10</f>
        <v>1</v>
      </c>
      <c r="B10" s="510">
        <f>'[5]April_2026 '!$B10</f>
        <v>46113</v>
      </c>
      <c r="C10" s="487" t="str">
        <f>'[5]April_2026 '!D10</f>
        <v>PEARSECCO</v>
      </c>
      <c r="D10" s="511"/>
      <c r="E10" s="488"/>
      <c r="F10" s="488"/>
      <c r="G10" s="489">
        <v>2</v>
      </c>
      <c r="H10" s="506"/>
      <c r="I10" s="491">
        <f>6+39</f>
        <v>45</v>
      </c>
      <c r="J10" s="507"/>
      <c r="K10" s="494"/>
      <c r="L10" s="494"/>
      <c r="M10" s="494"/>
      <c r="N10" s="494"/>
      <c r="O10" s="494">
        <f>'Uncaser Downtime Detail '!AG189</f>
        <v>0</v>
      </c>
      <c r="P10" s="494">
        <f>'Washer Downtime Detail'!BH191</f>
        <v>0</v>
      </c>
      <c r="Q10" s="494">
        <f>'EBI Downtime Detail'!$AI191</f>
        <v>0</v>
      </c>
      <c r="R10" s="494">
        <f>'Filler Downtime Detail'!AK191</f>
        <v>929</v>
      </c>
      <c r="S10" s="494">
        <f>'Pasteurizer Downtime Detail'!Z191</f>
        <v>0</v>
      </c>
      <c r="T10" s="494">
        <f>'Labeler Downtime Detail'!AN188</f>
        <v>0</v>
      </c>
      <c r="U10" s="494">
        <f>'Videojet Downtime Detail '!O189</f>
        <v>0</v>
      </c>
      <c r="V10" s="494">
        <f>'Conveyor Downtime (new)'!AV189</f>
        <v>0</v>
      </c>
      <c r="W10" s="494">
        <f>'Packer Downtime Detail  '!AD189</f>
        <v>0</v>
      </c>
      <c r="X10" s="494">
        <f>'Carton Errector-sealer Detail'!P177</f>
        <v>0</v>
      </c>
      <c r="Y10" s="494"/>
      <c r="Z10" s="508"/>
      <c r="AA10" s="493"/>
      <c r="AB10" s="494"/>
      <c r="AC10" s="494"/>
      <c r="AD10" s="495">
        <f t="shared" si="0"/>
        <v>974</v>
      </c>
      <c r="AE10" s="754"/>
      <c r="AH10" s="498"/>
      <c r="AI10" s="504"/>
      <c r="AJ10" s="504"/>
      <c r="AK10" s="505"/>
      <c r="AL10" s="498"/>
      <c r="AM10" s="498"/>
      <c r="AN10" s="498"/>
      <c r="AO10" s="498"/>
      <c r="AP10" s="498"/>
      <c r="AQ10" s="498"/>
      <c r="AR10" s="498"/>
      <c r="AS10" s="498"/>
      <c r="AT10" s="498"/>
      <c r="AU10" s="498"/>
      <c r="AV10" s="498"/>
      <c r="AW10" s="498"/>
      <c r="AX10" s="498"/>
    </row>
    <row r="11" spans="1:50">
      <c r="A11" s="7">
        <f>'[5]April_2026 '!C11</f>
        <v>2</v>
      </c>
      <c r="B11" s="139">
        <f>'[5]April_2026 '!$B11</f>
        <v>46114</v>
      </c>
      <c r="C11" s="8" t="str">
        <f>'[5]April_2026 '!D11</f>
        <v>PEARSECCO</v>
      </c>
      <c r="D11" s="681">
        <v>1</v>
      </c>
      <c r="E11" s="80">
        <v>1.2916666666666667</v>
      </c>
      <c r="F11" s="80">
        <v>1.4166666666666667</v>
      </c>
      <c r="G11" s="81">
        <v>0.42986111111111114</v>
      </c>
      <c r="H11" s="14"/>
      <c r="I11" s="34"/>
      <c r="J11" s="35"/>
      <c r="K11" s="34"/>
      <c r="L11" s="34"/>
      <c r="M11" s="34"/>
      <c r="N11" s="34"/>
      <c r="O11" s="34">
        <f>'Uncaser Downtime Detail '!AG190</f>
        <v>0</v>
      </c>
      <c r="P11" s="34">
        <f>'Washer Downtime Detail'!BH192</f>
        <v>0</v>
      </c>
      <c r="Q11" s="34">
        <f>'EBI Downtime Detail'!$AI192</f>
        <v>0</v>
      </c>
      <c r="R11" s="34">
        <f>'Filler Downtime Detail'!AK192</f>
        <v>690</v>
      </c>
      <c r="S11" s="34">
        <f>'Pasteurizer Downtime Detail'!Z192</f>
        <v>0</v>
      </c>
      <c r="T11" s="34">
        <f>'Labeler Downtime Detail'!AN189</f>
        <v>0</v>
      </c>
      <c r="U11" s="34">
        <f>'Videojet Downtime Detail '!O190</f>
        <v>0</v>
      </c>
      <c r="V11" s="34">
        <f>'Conveyor Downtime (new)'!AV190</f>
        <v>0</v>
      </c>
      <c r="W11" s="34">
        <f>'Packer Downtime Detail  '!AD190</f>
        <v>0</v>
      </c>
      <c r="X11" s="34">
        <f>'Carton Errector-sealer Detail'!P178</f>
        <v>0</v>
      </c>
      <c r="Y11" s="35"/>
      <c r="Z11" s="34"/>
      <c r="AA11" s="90"/>
      <c r="AB11" s="89"/>
      <c r="AC11" s="89"/>
      <c r="AD11" s="44">
        <f t="shared" si="0"/>
        <v>690</v>
      </c>
      <c r="AE11" s="754">
        <f>G12-D11</f>
        <v>0.94444444444444442</v>
      </c>
      <c r="AH11" s="3"/>
      <c r="AI11" s="23"/>
      <c r="AJ11" s="23"/>
      <c r="AK11" s="54"/>
      <c r="AL11" s="3"/>
      <c r="AM11" s="3"/>
      <c r="AN11" s="3"/>
      <c r="AO11" s="3"/>
      <c r="AP11" s="3"/>
      <c r="AQ11" s="3"/>
      <c r="AR11" s="3"/>
      <c r="AS11" s="3"/>
      <c r="AT11" s="3"/>
      <c r="AU11" s="3"/>
      <c r="AV11" s="3"/>
      <c r="AW11" s="3"/>
      <c r="AX11" s="3"/>
    </row>
    <row r="12" spans="1:50">
      <c r="A12" s="7">
        <f>'[5]April_2026 '!C12</f>
        <v>2</v>
      </c>
      <c r="B12" s="139">
        <f>'[5]April_2026 '!$B12</f>
        <v>46114</v>
      </c>
      <c r="C12" s="8" t="str">
        <f>'[5]April_2026 '!D12</f>
        <v>CARIB AMBER</v>
      </c>
      <c r="D12" s="681"/>
      <c r="E12" s="80">
        <v>1.5243055555555556</v>
      </c>
      <c r="F12" s="80">
        <v>1.9152777777777779</v>
      </c>
      <c r="G12" s="81">
        <v>1.9444444444444444</v>
      </c>
      <c r="H12" s="82"/>
      <c r="I12" s="32">
        <f>30+60+35</f>
        <v>125</v>
      </c>
      <c r="J12" s="86">
        <f>2</f>
        <v>2</v>
      </c>
      <c r="K12" s="71"/>
      <c r="L12" s="71"/>
      <c r="M12" s="71"/>
      <c r="N12" s="71"/>
      <c r="O12" s="71">
        <f>'Uncaser Downtime Detail '!AG191</f>
        <v>117</v>
      </c>
      <c r="P12" s="71">
        <f>'Washer Downtime Detail'!BH193</f>
        <v>0</v>
      </c>
      <c r="Q12" s="71">
        <f>'EBI Downtime Detail'!$AI193</f>
        <v>0</v>
      </c>
      <c r="R12" s="71">
        <f>'Filler Downtime Detail'!AK193</f>
        <v>45</v>
      </c>
      <c r="S12" s="71">
        <f>'Pasteurizer Downtime Detail'!Z193</f>
        <v>0</v>
      </c>
      <c r="T12" s="71">
        <f>'Labeler Downtime Detail'!AN190</f>
        <v>0</v>
      </c>
      <c r="U12" s="71">
        <f>'Videojet Downtime Detail '!O191</f>
        <v>28</v>
      </c>
      <c r="V12" s="71">
        <f>'Conveyor Downtime (new)'!AV191</f>
        <v>9</v>
      </c>
      <c r="W12" s="71">
        <f>'Packer Downtime Detail  '!AD191</f>
        <v>0</v>
      </c>
      <c r="X12" s="71">
        <f>'Carton Errector-sealer Detail'!P179</f>
        <v>0</v>
      </c>
      <c r="Y12" s="71"/>
      <c r="Z12" s="43">
        <f>6+7</f>
        <v>13</v>
      </c>
      <c r="AA12" s="88"/>
      <c r="AB12" s="71"/>
      <c r="AC12" s="71"/>
      <c r="AD12" s="44">
        <f t="shared" si="0"/>
        <v>339</v>
      </c>
      <c r="AE12" s="754"/>
      <c r="AH12" s="3"/>
      <c r="AI12" s="23"/>
      <c r="AJ12" s="23"/>
      <c r="AK12" s="54"/>
      <c r="AL12" s="3"/>
      <c r="AM12" s="3"/>
      <c r="AN12" s="3"/>
      <c r="AO12" s="3"/>
      <c r="AP12" s="3"/>
      <c r="AQ12" s="3"/>
      <c r="AR12" s="3"/>
      <c r="AS12" s="3"/>
      <c r="AT12" s="3"/>
      <c r="AU12" s="3"/>
      <c r="AV12" s="3"/>
      <c r="AW12" s="3"/>
      <c r="AX12" s="3"/>
    </row>
    <row r="13" spans="1:50">
      <c r="A13" s="7">
        <f>'[5]April_2026 '!C13</f>
        <v>3</v>
      </c>
      <c r="B13" s="139">
        <f>'[5]April_2026 '!$B13</f>
        <v>46119</v>
      </c>
      <c r="C13" s="8" t="str">
        <f>'[5]April_2026 '!D13</f>
        <v>PEARSECCO</v>
      </c>
      <c r="D13" s="681">
        <v>1</v>
      </c>
      <c r="E13" s="80">
        <v>1.5</v>
      </c>
      <c r="F13" s="80">
        <v>1.8715277777777777</v>
      </c>
      <c r="G13" s="81">
        <v>1.9215277777777777</v>
      </c>
      <c r="H13" s="14"/>
      <c r="I13" s="34"/>
      <c r="J13" s="35"/>
      <c r="K13" s="34"/>
      <c r="L13" s="34"/>
      <c r="M13" s="34"/>
      <c r="N13" s="34"/>
      <c r="O13" s="34">
        <f>'Uncaser Downtime Detail '!AG192</f>
        <v>0</v>
      </c>
      <c r="P13" s="34">
        <f>'Washer Downtime Detail'!BH194</f>
        <v>5</v>
      </c>
      <c r="Q13" s="34">
        <f>'EBI Downtime Detail'!$AI194</f>
        <v>116</v>
      </c>
      <c r="R13" s="34">
        <f>'Filler Downtime Detail'!AK194</f>
        <v>308</v>
      </c>
      <c r="S13" s="34">
        <f>'Pasteurizer Downtime Detail'!Z194</f>
        <v>0</v>
      </c>
      <c r="T13" s="34">
        <f>'Labeler Downtime Detail'!AN191</f>
        <v>0</v>
      </c>
      <c r="U13" s="34">
        <f>'Videojet Downtime Detail '!O192</f>
        <v>0</v>
      </c>
      <c r="V13" s="34">
        <f>'Conveyor Downtime (new)'!AV192</f>
        <v>0</v>
      </c>
      <c r="W13" s="34">
        <f>'Packer Downtime Detail  '!AD192</f>
        <v>0</v>
      </c>
      <c r="X13" s="34">
        <f>'Carton Errector-sealer Detail'!P180</f>
        <v>0</v>
      </c>
      <c r="Y13" s="35"/>
      <c r="Z13" s="587">
        <f>360+7+60+60+60+60</f>
        <v>607</v>
      </c>
      <c r="AA13" s="90"/>
      <c r="AB13" s="89">
        <f>7+4</f>
        <v>11</v>
      </c>
      <c r="AC13" s="89"/>
      <c r="AD13" s="44">
        <f t="shared" si="0"/>
        <v>1047</v>
      </c>
      <c r="AE13" s="754">
        <f>G14-D13</f>
        <v>1</v>
      </c>
      <c r="AH13" s="3"/>
      <c r="AI13" s="23"/>
      <c r="AJ13" s="23"/>
      <c r="AK13" s="54"/>
      <c r="AL13" s="3"/>
      <c r="AM13" s="3"/>
      <c r="AN13" s="3"/>
      <c r="AO13" s="3"/>
      <c r="AP13" s="3"/>
      <c r="AQ13" s="3"/>
      <c r="AR13" s="3"/>
      <c r="AS13" s="3"/>
      <c r="AT13" s="3"/>
      <c r="AU13" s="3"/>
      <c r="AV13" s="3"/>
      <c r="AW13" s="3"/>
      <c r="AX13" s="3"/>
    </row>
    <row r="14" spans="1:50">
      <c r="A14" s="7">
        <f>'[5]April_2026 '!C14</f>
        <v>3</v>
      </c>
      <c r="B14" s="139">
        <f>'[5]April_2026 '!$B14</f>
        <v>46119</v>
      </c>
      <c r="C14" s="8" t="str">
        <f>'[5]April_2026 '!D14</f>
        <v>CARIB AMBER</v>
      </c>
      <c r="D14" s="681"/>
      <c r="E14" s="80">
        <v>1.9930555555555556</v>
      </c>
      <c r="F14" s="80">
        <v>2</v>
      </c>
      <c r="G14" s="81">
        <v>2</v>
      </c>
      <c r="H14" s="82"/>
      <c r="I14" s="32">
        <f>71+50</f>
        <v>121</v>
      </c>
      <c r="J14" s="86">
        <f>6</f>
        <v>6</v>
      </c>
      <c r="K14" s="71"/>
      <c r="L14" s="71"/>
      <c r="M14" s="71"/>
      <c r="N14" s="71"/>
      <c r="O14" s="71">
        <f>'Uncaser Downtime Detail '!AG193</f>
        <v>0</v>
      </c>
      <c r="P14" s="71">
        <f>'Washer Downtime Detail'!BH195</f>
        <v>0</v>
      </c>
      <c r="Q14" s="71">
        <f>'EBI Downtime Detail'!$AI195</f>
        <v>96</v>
      </c>
      <c r="R14" s="71">
        <f>'Filler Downtime Detail'!AK195</f>
        <v>0</v>
      </c>
      <c r="S14" s="71">
        <f>'Pasteurizer Downtime Detail'!Z195</f>
        <v>0</v>
      </c>
      <c r="T14" s="71">
        <f>'Labeler Downtime Detail'!AN192</f>
        <v>0</v>
      </c>
      <c r="U14" s="71">
        <f>'Videojet Downtime Detail '!O193</f>
        <v>0</v>
      </c>
      <c r="V14" s="71">
        <f>'Conveyor Downtime (new)'!AV193</f>
        <v>0</v>
      </c>
      <c r="W14" s="71">
        <f>'Packer Downtime Detail  '!AD193</f>
        <v>0</v>
      </c>
      <c r="X14" s="71">
        <f>'Carton Errector-sealer Detail'!P181</f>
        <v>0</v>
      </c>
      <c r="Y14" s="71"/>
      <c r="Z14" s="43"/>
      <c r="AA14" s="88"/>
      <c r="AB14" s="71"/>
      <c r="AC14" s="71"/>
      <c r="AD14" s="44">
        <f t="shared" si="0"/>
        <v>223</v>
      </c>
      <c r="AE14" s="754"/>
      <c r="AF14" s="358" t="s">
        <v>482</v>
      </c>
      <c r="AG14" s="358" t="s">
        <v>483</v>
      </c>
      <c r="AH14" s="596" t="s">
        <v>484</v>
      </c>
      <c r="AI14" s="23"/>
      <c r="AJ14" s="23"/>
      <c r="AK14" s="54"/>
      <c r="AL14" s="3"/>
      <c r="AM14" s="3"/>
      <c r="AN14" s="3"/>
      <c r="AO14" s="3"/>
      <c r="AP14" s="3"/>
      <c r="AQ14" s="3"/>
      <c r="AR14" s="3"/>
      <c r="AS14" s="3"/>
      <c r="AT14" s="3"/>
      <c r="AU14" s="3"/>
      <c r="AV14" s="3"/>
      <c r="AW14" s="3"/>
      <c r="AX14" s="3"/>
    </row>
    <row r="15" spans="1:50">
      <c r="A15" s="7">
        <f>'[5]April_2026 '!C15</f>
        <v>4</v>
      </c>
      <c r="B15" s="139">
        <f>'[5]April_2026 '!$B15</f>
        <v>46120</v>
      </c>
      <c r="C15" s="8" t="str">
        <f>'[5]April_2026 '!D15</f>
        <v>CARIB AMBER</v>
      </c>
      <c r="D15" s="681">
        <v>1</v>
      </c>
      <c r="E15" s="80">
        <v>1</v>
      </c>
      <c r="F15" s="80">
        <v>1.8215277777777779</v>
      </c>
      <c r="G15" s="81">
        <v>0.85347222222222219</v>
      </c>
      <c r="H15" s="14">
        <v>3</v>
      </c>
      <c r="I15" s="34"/>
      <c r="J15" s="35"/>
      <c r="K15" s="34"/>
      <c r="L15" s="34">
        <f>10</f>
        <v>10</v>
      </c>
      <c r="M15" s="34"/>
      <c r="N15" s="34"/>
      <c r="O15" s="34">
        <f>'Uncaser Downtime Detail '!AG194</f>
        <v>27</v>
      </c>
      <c r="P15" s="34">
        <f>'Washer Downtime Detail'!BH196</f>
        <v>78</v>
      </c>
      <c r="Q15" s="34">
        <f>'EBI Downtime Detail'!$AI196</f>
        <v>9</v>
      </c>
      <c r="R15" s="34">
        <f>'Filler Downtime Detail'!AK196</f>
        <v>111</v>
      </c>
      <c r="S15" s="34">
        <f>'Pasteurizer Downtime Detail'!Z196</f>
        <v>0</v>
      </c>
      <c r="T15" s="34">
        <f>'Labeler Downtime Detail'!AN193</f>
        <v>4</v>
      </c>
      <c r="U15" s="34">
        <f>'Videojet Downtime Detail '!O194</f>
        <v>0</v>
      </c>
      <c r="V15" s="34">
        <f>'Conveyor Downtime (new)'!AV194</f>
        <v>13</v>
      </c>
      <c r="W15" s="34">
        <f>'Packer Downtime Detail  '!AD194</f>
        <v>4</v>
      </c>
      <c r="X15" s="34">
        <f>'Carton Errector-sealer Detail'!P182</f>
        <v>0</v>
      </c>
      <c r="Y15" s="35"/>
      <c r="Z15" s="34">
        <f>2+2+3+4</f>
        <v>11</v>
      </c>
      <c r="AA15" s="90"/>
      <c r="AB15" s="89">
        <f>2+5+4</f>
        <v>11</v>
      </c>
      <c r="AC15" s="89"/>
      <c r="AD15" s="44">
        <f t="shared" si="0"/>
        <v>281</v>
      </c>
      <c r="AE15" s="754">
        <f>G16-D15</f>
        <v>1.0277777777777777</v>
      </c>
      <c r="AF15">
        <f>45+36+15</f>
        <v>96</v>
      </c>
      <c r="AG15">
        <f>360+7+36+9</f>
        <v>412</v>
      </c>
      <c r="AH15" s="3">
        <f>240</f>
        <v>240</v>
      </c>
      <c r="AI15" s="23"/>
      <c r="AJ15" s="23"/>
      <c r="AK15" s="54"/>
      <c r="AL15" s="3"/>
      <c r="AM15" s="3"/>
      <c r="AN15" s="3"/>
      <c r="AO15" s="3"/>
      <c r="AP15" s="3"/>
      <c r="AQ15" s="3"/>
      <c r="AR15" s="3"/>
      <c r="AS15" s="3"/>
      <c r="AT15" s="3"/>
      <c r="AU15" s="3"/>
      <c r="AV15" s="3"/>
      <c r="AW15" s="3"/>
      <c r="AX15" s="3"/>
    </row>
    <row r="16" spans="1:50">
      <c r="A16" s="7">
        <f>'[5]April_2026 '!C16</f>
        <v>4</v>
      </c>
      <c r="B16" s="139">
        <f>'[5]April_2026 '!$B16</f>
        <v>46120</v>
      </c>
      <c r="C16" s="8" t="str">
        <f>'[5]April_2026 '!D16</f>
        <v>STAG</v>
      </c>
      <c r="D16" s="681"/>
      <c r="E16" s="80">
        <v>1.8402777777777777</v>
      </c>
      <c r="F16" s="80">
        <v>2</v>
      </c>
      <c r="G16" s="81">
        <v>2.0277777777777777</v>
      </c>
      <c r="H16" s="82"/>
      <c r="I16" s="32">
        <f>15+10+5+18</f>
        <v>48</v>
      </c>
      <c r="J16" s="86"/>
      <c r="K16" s="71"/>
      <c r="L16" s="71"/>
      <c r="M16" s="71"/>
      <c r="N16" s="71"/>
      <c r="O16" s="71">
        <f>'Uncaser Downtime Detail '!AG195</f>
        <v>13</v>
      </c>
      <c r="P16" s="71">
        <f>'Washer Downtime Detail'!BH197</f>
        <v>19</v>
      </c>
      <c r="Q16" s="71">
        <f>'EBI Downtime Detail'!$AI197</f>
        <v>19</v>
      </c>
      <c r="R16" s="71">
        <f>'Filler Downtime Detail'!AK197</f>
        <v>6</v>
      </c>
      <c r="S16" s="71">
        <f>'Pasteurizer Downtime Detail'!Z197</f>
        <v>0</v>
      </c>
      <c r="T16" s="71">
        <f>'Labeler Downtime Detail'!AN194</f>
        <v>0</v>
      </c>
      <c r="U16" s="71">
        <f>'Videojet Downtime Detail '!O195</f>
        <v>0</v>
      </c>
      <c r="V16" s="71">
        <f>'Conveyor Downtime (new)'!AV195</f>
        <v>0</v>
      </c>
      <c r="W16" s="71">
        <f>'Packer Downtime Detail  '!AD195</f>
        <v>0</v>
      </c>
      <c r="X16" s="71">
        <f>'Carton Errector-sealer Detail'!P183</f>
        <v>0</v>
      </c>
      <c r="Y16" s="71"/>
      <c r="Z16" s="43"/>
      <c r="AA16" s="88"/>
      <c r="AB16" s="71">
        <f>5</f>
        <v>5</v>
      </c>
      <c r="AC16" s="71"/>
      <c r="AD16" s="44">
        <f t="shared" si="0"/>
        <v>110</v>
      </c>
      <c r="AE16" s="754"/>
      <c r="AF16">
        <f>AF15/60</f>
        <v>1.6</v>
      </c>
      <c r="AG16">
        <f t="shared" ref="AG16:AH16" si="1">AG15/60</f>
        <v>6.8666666666666663</v>
      </c>
      <c r="AH16">
        <f t="shared" si="1"/>
        <v>4</v>
      </c>
      <c r="AI16" s="23"/>
      <c r="AJ16" s="23"/>
      <c r="AK16" s="54"/>
      <c r="AL16" s="3"/>
      <c r="AM16" s="3"/>
      <c r="AN16" s="3"/>
      <c r="AO16" s="3"/>
      <c r="AP16" s="3"/>
      <c r="AQ16" s="3"/>
      <c r="AR16" s="3"/>
      <c r="AS16" s="3"/>
      <c r="AT16" s="3"/>
      <c r="AU16" s="3"/>
      <c r="AV16" s="3"/>
      <c r="AW16" s="3"/>
      <c r="AX16" s="3"/>
    </row>
    <row r="17" spans="1:50">
      <c r="A17" s="7">
        <f>'[5]April_2026 '!C17</f>
        <v>5</v>
      </c>
      <c r="B17" s="139">
        <f>'[5]April_2026 '!$B17</f>
        <v>38451</v>
      </c>
      <c r="C17" s="8" t="str">
        <f>'[5]April_2026 '!D17</f>
        <v>STAG</v>
      </c>
      <c r="D17" s="93">
        <v>1</v>
      </c>
      <c r="E17" s="80">
        <v>1.0069444444444444</v>
      </c>
      <c r="F17" s="80">
        <v>1.9916666666666667</v>
      </c>
      <c r="G17" s="81">
        <v>2.0194444444444444</v>
      </c>
      <c r="H17" s="14"/>
      <c r="I17" s="34">
        <f>12</f>
        <v>12</v>
      </c>
      <c r="J17" s="35">
        <f>7</f>
        <v>7</v>
      </c>
      <c r="K17" s="34"/>
      <c r="L17" s="34">
        <f>7</f>
        <v>7</v>
      </c>
      <c r="M17" s="34"/>
      <c r="N17" s="34"/>
      <c r="O17" s="34">
        <f>'Uncaser Downtime Detail '!AG196</f>
        <v>24</v>
      </c>
      <c r="P17" s="34">
        <f>'Washer Downtime Detail'!BH198</f>
        <v>77</v>
      </c>
      <c r="Q17" s="34">
        <f>'EBI Downtime Detail'!$AI198</f>
        <v>26</v>
      </c>
      <c r="R17" s="34">
        <f>'Filler Downtime Detail'!AK198</f>
        <v>54</v>
      </c>
      <c r="S17" s="34">
        <f>'Pasteurizer Downtime Detail'!Z198</f>
        <v>0</v>
      </c>
      <c r="T17" s="34">
        <f>'Labeler Downtime Detail'!AN195</f>
        <v>6</v>
      </c>
      <c r="U17" s="34">
        <f>'Videojet Downtime Detail '!O196</f>
        <v>0</v>
      </c>
      <c r="V17" s="34">
        <f>'Conveyor Downtime (new)'!AV196</f>
        <v>21</v>
      </c>
      <c r="W17" s="34">
        <f>'Packer Downtime Detail  '!AD196</f>
        <v>11</v>
      </c>
      <c r="X17" s="34">
        <f>'Carton Errector-sealer Detail'!P184</f>
        <v>0</v>
      </c>
      <c r="Y17" s="35"/>
      <c r="Z17" s="34">
        <f>10+4</f>
        <v>14</v>
      </c>
      <c r="AA17" s="90"/>
      <c r="AB17" s="89">
        <f>3+2</f>
        <v>5</v>
      </c>
      <c r="AC17" s="89"/>
      <c r="AD17" s="44">
        <f t="shared" si="0"/>
        <v>264</v>
      </c>
      <c r="AE17" s="45">
        <f>G17-D17</f>
        <v>1.0194444444444444</v>
      </c>
      <c r="AH17" s="3"/>
      <c r="AI17" s="23"/>
      <c r="AJ17" s="23"/>
      <c r="AK17" s="54"/>
      <c r="AL17" s="3"/>
      <c r="AM17" s="3"/>
      <c r="AN17" s="3"/>
      <c r="AO17" s="3"/>
      <c r="AP17" s="3"/>
      <c r="AQ17" s="3"/>
      <c r="AR17" s="3"/>
      <c r="AS17" s="3"/>
      <c r="AT17" s="3"/>
      <c r="AU17" s="3"/>
      <c r="AV17" s="3"/>
      <c r="AW17" s="3"/>
      <c r="AX17" s="3"/>
    </row>
    <row r="18" spans="1:50">
      <c r="A18" s="7">
        <f>'[5]April_2026 '!C18</f>
        <v>6</v>
      </c>
      <c r="B18" s="139">
        <f>'[5]April_2026 '!$B18</f>
        <v>46122</v>
      </c>
      <c r="C18" s="8" t="str">
        <f>'[5]April_2026 '!D18</f>
        <v>CARIB AMBER</v>
      </c>
      <c r="D18" s="93">
        <v>1</v>
      </c>
      <c r="E18" s="80">
        <v>1.03125</v>
      </c>
      <c r="F18" s="80">
        <v>1.7944444444444445</v>
      </c>
      <c r="G18" s="81">
        <v>1.8222222222222222</v>
      </c>
      <c r="H18" s="82"/>
      <c r="I18" s="32"/>
      <c r="J18" s="86"/>
      <c r="K18" s="71"/>
      <c r="L18" s="71">
        <f>23</f>
        <v>23</v>
      </c>
      <c r="M18" s="71"/>
      <c r="N18" s="71"/>
      <c r="O18" s="71">
        <f>'Uncaser Downtime Detail '!AG197</f>
        <v>12</v>
      </c>
      <c r="P18" s="71">
        <f>'Washer Downtime Detail'!BH199</f>
        <v>52</v>
      </c>
      <c r="Q18" s="71">
        <f>'EBI Downtime Detail'!$AI199</f>
        <v>16</v>
      </c>
      <c r="R18" s="71">
        <f>'Filler Downtime Detail'!AK199</f>
        <v>8</v>
      </c>
      <c r="S18" s="71">
        <f>'Pasteurizer Downtime Detail'!Z199</f>
        <v>0</v>
      </c>
      <c r="T18" s="71">
        <f>'Labeler Downtime Detail'!AN196</f>
        <v>5</v>
      </c>
      <c r="U18" s="71">
        <f>'Videojet Downtime Detail '!O197</f>
        <v>0</v>
      </c>
      <c r="V18" s="71">
        <f>'Conveyor Downtime (new)'!AV197</f>
        <v>21</v>
      </c>
      <c r="W18" s="71">
        <f>'Packer Downtime Detail  '!AD197</f>
        <v>0</v>
      </c>
      <c r="X18" s="71">
        <f>'Carton Errector-sealer Detail'!P185</f>
        <v>140</v>
      </c>
      <c r="Y18" s="71"/>
      <c r="Z18" s="43">
        <f>45+5+15+15+2</f>
        <v>82</v>
      </c>
      <c r="AA18" s="88"/>
      <c r="AB18" s="71">
        <f>2+2+4</f>
        <v>8</v>
      </c>
      <c r="AC18" s="71"/>
      <c r="AD18" s="44">
        <f t="shared" si="0"/>
        <v>367</v>
      </c>
      <c r="AE18" s="45">
        <f>G18-D18</f>
        <v>0.82222222222222219</v>
      </c>
      <c r="AH18" s="3"/>
      <c r="AI18" s="23"/>
      <c r="AJ18" s="23"/>
      <c r="AK18" s="54"/>
      <c r="AL18" s="3"/>
      <c r="AM18" s="3"/>
      <c r="AN18" s="3"/>
      <c r="AO18" s="3"/>
      <c r="AP18" s="3"/>
      <c r="AQ18" s="3"/>
      <c r="AR18" s="3"/>
      <c r="AS18" s="3"/>
      <c r="AT18" s="3"/>
      <c r="AU18" s="3"/>
      <c r="AV18" s="3"/>
      <c r="AW18" s="3"/>
      <c r="AX18" s="3"/>
    </row>
    <row r="19" spans="1:50">
      <c r="A19" s="7">
        <f>'[5]April_2026 '!C19</f>
        <v>7</v>
      </c>
      <c r="B19" s="139">
        <f>'[5]April_2026 '!$B19</f>
        <v>46125</v>
      </c>
      <c r="C19" s="8" t="str">
        <f>'[5]April_2026 '!D19</f>
        <v>CARIBE ROSE'</v>
      </c>
      <c r="D19" s="681">
        <v>1</v>
      </c>
      <c r="E19" s="80">
        <v>1.1111111111111112</v>
      </c>
      <c r="F19" s="80">
        <v>1.5104166666666667</v>
      </c>
      <c r="G19" s="81"/>
      <c r="H19" s="14"/>
      <c r="I19" s="34"/>
      <c r="J19" s="35">
        <v>30</v>
      </c>
      <c r="K19" s="34"/>
      <c r="L19" s="34"/>
      <c r="M19" s="34"/>
      <c r="N19" s="34"/>
      <c r="O19" s="34">
        <f>'Uncaser Downtime Detail '!AG198</f>
        <v>32</v>
      </c>
      <c r="P19" s="34">
        <f>'Washer Downtime Detail'!BH200</f>
        <v>5</v>
      </c>
      <c r="Q19" s="34">
        <f>'EBI Downtime Detail'!$AI200</f>
        <v>16</v>
      </c>
      <c r="R19" s="34">
        <f>'Filler Downtime Detail'!AK200</f>
        <v>21</v>
      </c>
      <c r="S19" s="34">
        <f>'Pasteurizer Downtime Detail'!Z200</f>
        <v>73</v>
      </c>
      <c r="T19" s="34">
        <f>'Labeler Downtime Detail'!AN197</f>
        <v>0</v>
      </c>
      <c r="U19" s="34">
        <f>'Videojet Downtime Detail '!O198</f>
        <v>80</v>
      </c>
      <c r="V19" s="34">
        <f>'Conveyor Downtime (new)'!AV198</f>
        <v>22</v>
      </c>
      <c r="W19" s="34">
        <f>'Packer Downtime Detail  '!AD198</f>
        <v>0</v>
      </c>
      <c r="X19" s="34">
        <f>'Carton Errector-sealer Detail'!P186</f>
        <v>25</v>
      </c>
      <c r="Y19" s="35"/>
      <c r="Z19" s="34"/>
      <c r="AA19" s="90"/>
      <c r="AB19" s="89">
        <f>5+3+2+2+4+4</f>
        <v>20</v>
      </c>
      <c r="AC19" s="89"/>
      <c r="AD19" s="44">
        <f t="shared" si="0"/>
        <v>324</v>
      </c>
      <c r="AE19" s="754">
        <f>G20-D19</f>
        <v>1.0458333333333334</v>
      </c>
      <c r="AH19" s="3"/>
      <c r="AI19" s="23"/>
      <c r="AJ19" s="23"/>
      <c r="AK19" s="54"/>
      <c r="AL19" s="3"/>
      <c r="AM19" s="3"/>
      <c r="AN19" s="3"/>
      <c r="AO19" s="3"/>
      <c r="AP19" s="3"/>
      <c r="AQ19" s="3"/>
      <c r="AR19" s="3"/>
      <c r="AS19" s="3"/>
      <c r="AT19" s="3"/>
      <c r="AU19" s="3"/>
      <c r="AV19" s="3"/>
      <c r="AW19" s="3"/>
      <c r="AX19" s="3"/>
    </row>
    <row r="20" spans="1:50">
      <c r="A20" s="7">
        <f>'[5]April_2026 '!C20</f>
        <v>7</v>
      </c>
      <c r="B20" s="139">
        <f>'[5]April_2026 '!$B20</f>
        <v>46125</v>
      </c>
      <c r="C20" s="8" t="str">
        <f>'[5]April_2026 '!D20</f>
        <v>CARIB AMBER</v>
      </c>
      <c r="D20" s="681"/>
      <c r="E20" s="80">
        <v>1.5833333333333333</v>
      </c>
      <c r="F20" s="80">
        <v>2</v>
      </c>
      <c r="G20" s="81">
        <v>2.0458333333333334</v>
      </c>
      <c r="H20" s="82"/>
      <c r="I20" s="32">
        <f>45+20</f>
        <v>65</v>
      </c>
      <c r="J20" s="86"/>
      <c r="K20" s="71"/>
      <c r="L20" s="71"/>
      <c r="M20" s="71"/>
      <c r="N20" s="71"/>
      <c r="O20" s="71">
        <f>'Uncaser Downtime Detail '!AG199</f>
        <v>3</v>
      </c>
      <c r="P20" s="71">
        <f>'Washer Downtime Detail'!BH201</f>
        <v>6</v>
      </c>
      <c r="Q20" s="71">
        <f>'EBI Downtime Detail'!$AI201</f>
        <v>68</v>
      </c>
      <c r="R20" s="71">
        <f>'Filler Downtime Detail'!AK201</f>
        <v>9</v>
      </c>
      <c r="S20" s="71">
        <f>'Pasteurizer Downtime Detail'!Z201</f>
        <v>0</v>
      </c>
      <c r="T20" s="71">
        <f>'Labeler Downtime Detail'!AN198</f>
        <v>8</v>
      </c>
      <c r="U20" s="71">
        <f>'Videojet Downtime Detail '!O199</f>
        <v>0</v>
      </c>
      <c r="V20" s="71">
        <f>'Conveyor Downtime (new)'!AV199</f>
        <v>14</v>
      </c>
      <c r="W20" s="71">
        <f>'Packer Downtime Detail  '!AD199</f>
        <v>72</v>
      </c>
      <c r="X20" s="71">
        <f>'Carton Errector-sealer Detail'!P187</f>
        <v>0</v>
      </c>
      <c r="Y20" s="71"/>
      <c r="Z20" s="43"/>
      <c r="AA20" s="88"/>
      <c r="AB20" s="71"/>
      <c r="AC20" s="71"/>
      <c r="AD20" s="44">
        <f t="shared" si="0"/>
        <v>245</v>
      </c>
      <c r="AE20" s="754"/>
      <c r="AH20" s="3"/>
      <c r="AI20" s="23"/>
      <c r="AJ20" s="23"/>
      <c r="AK20" s="54"/>
      <c r="AL20" s="3"/>
      <c r="AM20" s="3"/>
      <c r="AN20" s="3"/>
      <c r="AO20" s="3"/>
      <c r="AP20" s="3"/>
      <c r="AQ20" s="3"/>
      <c r="AR20" s="3"/>
      <c r="AS20" s="3"/>
      <c r="AT20" s="3"/>
      <c r="AU20" s="3"/>
      <c r="AV20" s="3"/>
      <c r="AW20" s="3"/>
      <c r="AX20" s="3"/>
    </row>
    <row r="21" spans="1:50">
      <c r="A21" s="7">
        <f>'[5]April_2026 '!C21</f>
        <v>8</v>
      </c>
      <c r="B21" s="139">
        <f>'[5]April_2026 '!$B21</f>
        <v>46126</v>
      </c>
      <c r="C21" s="8" t="str">
        <f>'[5]April_2026 '!D21</f>
        <v>CARIB AMBER</v>
      </c>
      <c r="D21" s="681">
        <v>1</v>
      </c>
      <c r="E21" s="80">
        <v>1.0041666666666667</v>
      </c>
      <c r="F21" s="80">
        <v>1.3645833333333333</v>
      </c>
      <c r="G21" s="81">
        <v>1.39375</v>
      </c>
      <c r="H21" s="14"/>
      <c r="I21" s="34"/>
      <c r="J21" s="35">
        <v>4</v>
      </c>
      <c r="K21" s="34"/>
      <c r="L21" s="34"/>
      <c r="M21" s="34"/>
      <c r="N21" s="34"/>
      <c r="O21" s="34">
        <f>'Uncaser Downtime Detail '!AG200</f>
        <v>30</v>
      </c>
      <c r="P21" s="34">
        <f>'Washer Downtime Detail'!BH202</f>
        <v>46</v>
      </c>
      <c r="Q21" s="34">
        <f>'EBI Downtime Detail'!$AI202</f>
        <v>4</v>
      </c>
      <c r="R21" s="34">
        <f>'Filler Downtime Detail'!AK202</f>
        <v>7</v>
      </c>
      <c r="S21" s="34">
        <f>'Pasteurizer Downtime Detail'!Z202</f>
        <v>0</v>
      </c>
      <c r="T21" s="34">
        <f>'Labeler Downtime Detail'!AN199</f>
        <v>0</v>
      </c>
      <c r="U21" s="34">
        <f>'Videojet Downtime Detail '!O200</f>
        <v>0</v>
      </c>
      <c r="V21" s="34">
        <f>'Conveyor Downtime (new)'!AV200</f>
        <v>8</v>
      </c>
      <c r="W21" s="34">
        <f>'Packer Downtime Detail  '!AD200</f>
        <v>0</v>
      </c>
      <c r="X21" s="34">
        <f>'Carton Errector-sealer Detail'!P188</f>
        <v>0</v>
      </c>
      <c r="Y21" s="35"/>
      <c r="Z21" s="34">
        <f>6+5+4</f>
        <v>15</v>
      </c>
      <c r="AA21" s="90"/>
      <c r="AB21" s="89">
        <f>3+4+3+3+10+4</f>
        <v>27</v>
      </c>
      <c r="AC21" s="89"/>
      <c r="AD21" s="44">
        <f t="shared" si="0"/>
        <v>141</v>
      </c>
      <c r="AE21" s="754">
        <f>G24-D21</f>
        <v>1.0333333333333332</v>
      </c>
      <c r="AH21" s="3"/>
      <c r="AI21" s="23"/>
      <c r="AJ21" s="23"/>
      <c r="AK21" s="54"/>
      <c r="AL21" s="3"/>
      <c r="AM21" s="3"/>
      <c r="AN21" s="3"/>
      <c r="AO21" s="3"/>
      <c r="AP21" s="3"/>
      <c r="AQ21" s="3"/>
      <c r="AR21" s="3"/>
      <c r="AS21" s="3"/>
      <c r="AT21" s="3"/>
      <c r="AU21" s="3"/>
      <c r="AV21" s="3"/>
      <c r="AW21" s="3"/>
      <c r="AX21" s="3"/>
    </row>
    <row r="22" spans="1:50" ht="12" customHeight="1">
      <c r="A22" s="7">
        <f>'[5]April_2026 '!C22</f>
        <v>8</v>
      </c>
      <c r="B22" s="139">
        <f>'[5]April_2026 '!$B22</f>
        <v>46126</v>
      </c>
      <c r="C22" s="8" t="str">
        <f>'[5]April_2026 '!D22</f>
        <v xml:space="preserve">SHANDY LIME ( LOC ) </v>
      </c>
      <c r="D22" s="681"/>
      <c r="E22" s="80">
        <v>1.3715277777777777</v>
      </c>
      <c r="F22" s="80">
        <v>1.6333333333333333</v>
      </c>
      <c r="G22" s="81"/>
      <c r="H22" s="82"/>
      <c r="I22" s="32">
        <f>15+55+4+60</f>
        <v>134</v>
      </c>
      <c r="J22" s="86"/>
      <c r="K22" s="71"/>
      <c r="L22" s="71"/>
      <c r="M22" s="71"/>
      <c r="N22" s="71"/>
      <c r="O22" s="71">
        <f>'Uncaser Downtime Detail '!AG201</f>
        <v>7</v>
      </c>
      <c r="P22" s="71">
        <f>'Washer Downtime Detail'!BH203</f>
        <v>3</v>
      </c>
      <c r="Q22" s="71">
        <f>'EBI Downtime Detail'!$AI203</f>
        <v>7</v>
      </c>
      <c r="R22" s="71">
        <f>'Filler Downtime Detail'!AK203</f>
        <v>1</v>
      </c>
      <c r="S22" s="71">
        <f>'Pasteurizer Downtime Detail'!Z203</f>
        <v>4</v>
      </c>
      <c r="T22" s="71">
        <f>'Labeler Downtime Detail'!AN200</f>
        <v>0</v>
      </c>
      <c r="U22" s="71">
        <f>'Videojet Downtime Detail '!O201</f>
        <v>0</v>
      </c>
      <c r="V22" s="71">
        <f>'Conveyor Downtime (new)'!AV201</f>
        <v>4</v>
      </c>
      <c r="W22" s="71">
        <f>'Packer Downtime Detail  '!AD201</f>
        <v>0</v>
      </c>
      <c r="X22" s="71">
        <f>'Carton Errector-sealer Detail'!P189</f>
        <v>0</v>
      </c>
      <c r="Y22" s="71"/>
      <c r="Z22" s="43">
        <f>2+4+4</f>
        <v>10</v>
      </c>
      <c r="AA22" s="88"/>
      <c r="AB22" s="71"/>
      <c r="AC22" s="71"/>
      <c r="AD22" s="44">
        <f t="shared" si="0"/>
        <v>170</v>
      </c>
      <c r="AE22" s="754"/>
      <c r="AF22" s="134"/>
      <c r="AH22" s="3"/>
      <c r="AI22" s="23"/>
      <c r="AJ22" s="23"/>
      <c r="AK22" s="54"/>
      <c r="AL22" s="3"/>
      <c r="AM22" s="3"/>
      <c r="AN22" s="3"/>
      <c r="AO22" s="3"/>
      <c r="AP22" s="3"/>
      <c r="AQ22" s="3"/>
      <c r="AR22" s="3"/>
      <c r="AS22" s="3"/>
      <c r="AT22" s="3"/>
      <c r="AU22" s="3"/>
      <c r="AV22" s="3"/>
      <c r="AW22" s="3"/>
      <c r="AX22" s="3"/>
    </row>
    <row r="23" spans="1:50">
      <c r="A23" s="7">
        <f>'[5]April_2026 '!C23</f>
        <v>8</v>
      </c>
      <c r="B23" s="139">
        <f>'[5]April_2026 '!$B23</f>
        <v>46126</v>
      </c>
      <c r="C23" s="8" t="str">
        <f>'[5]April_2026 '!D23</f>
        <v>SHANDY LIME( EXP)</v>
      </c>
      <c r="D23" s="681"/>
      <c r="E23" s="80">
        <v>1.6388888888888888</v>
      </c>
      <c r="F23" s="80">
        <v>1.95625</v>
      </c>
      <c r="G23" s="81">
        <v>0.99791666666666667</v>
      </c>
      <c r="H23" s="14"/>
      <c r="I23" s="34">
        <f>8</f>
        <v>8</v>
      </c>
      <c r="J23" s="35"/>
      <c r="K23" s="34"/>
      <c r="L23" s="34"/>
      <c r="M23" s="34"/>
      <c r="N23" s="34"/>
      <c r="O23" s="34">
        <f>'Uncaser Downtime Detail '!AG202</f>
        <v>0</v>
      </c>
      <c r="P23" s="34">
        <f>'Washer Downtime Detail'!BH204</f>
        <v>0</v>
      </c>
      <c r="Q23" s="34">
        <f>'EBI Downtime Detail'!$AI204</f>
        <v>2</v>
      </c>
      <c r="R23" s="34">
        <f>'Filler Downtime Detail'!AK204</f>
        <v>0</v>
      </c>
      <c r="S23" s="34">
        <f>'Pasteurizer Downtime Detail'!Z204</f>
        <v>17</v>
      </c>
      <c r="T23" s="34">
        <f>'Labeler Downtime Detail'!AN201</f>
        <v>139</v>
      </c>
      <c r="U23" s="34">
        <f>'Videojet Downtime Detail '!O202</f>
        <v>0</v>
      </c>
      <c r="V23" s="34">
        <f>'Conveyor Downtime (new)'!AV202</f>
        <v>2</v>
      </c>
      <c r="W23" s="34">
        <f>'Packer Downtime Detail  '!AD202</f>
        <v>0</v>
      </c>
      <c r="X23" s="34">
        <f>'Carton Errector-sealer Detail'!P190</f>
        <v>142</v>
      </c>
      <c r="Y23" s="35"/>
      <c r="Z23" s="89"/>
      <c r="AA23" s="90"/>
      <c r="AB23" s="89">
        <f>2</f>
        <v>2</v>
      </c>
      <c r="AC23" s="89"/>
      <c r="AD23" s="44">
        <f t="shared" si="0"/>
        <v>312</v>
      </c>
      <c r="AE23" s="754"/>
      <c r="AH23" s="3"/>
      <c r="AI23" s="23"/>
      <c r="AJ23" s="23"/>
      <c r="AK23" s="54"/>
      <c r="AL23" s="3"/>
      <c r="AM23" s="3"/>
      <c r="AN23" s="3"/>
      <c r="AO23" s="3"/>
      <c r="AP23" s="3"/>
      <c r="AQ23" s="3"/>
      <c r="AR23" s="3"/>
      <c r="AS23" s="3"/>
      <c r="AT23" s="3"/>
      <c r="AU23" s="3"/>
      <c r="AV23" s="3"/>
      <c r="AW23" s="3"/>
      <c r="AX23" s="3"/>
    </row>
    <row r="24" spans="1:50">
      <c r="A24" s="7">
        <f>'[5]April_2026 '!C24</f>
        <v>8</v>
      </c>
      <c r="B24" s="139">
        <f>'[5]April_2026 '!$B24</f>
        <v>46126</v>
      </c>
      <c r="C24" s="8" t="str">
        <f>'[5]April_2026 '!D24</f>
        <v>SHANDY SORREL(EXP</v>
      </c>
      <c r="D24" s="681"/>
      <c r="E24" s="80">
        <v>1.9791666666666667</v>
      </c>
      <c r="F24" s="80">
        <v>2</v>
      </c>
      <c r="G24" s="81">
        <v>2.0333333333333332</v>
      </c>
      <c r="H24" s="82"/>
      <c r="I24" s="32">
        <f>30</f>
        <v>30</v>
      </c>
      <c r="J24" s="86"/>
      <c r="K24" s="71"/>
      <c r="L24" s="71"/>
      <c r="M24" s="71"/>
      <c r="N24" s="71"/>
      <c r="O24" s="71">
        <f>'Uncaser Downtime Detail '!AG203</f>
        <v>0</v>
      </c>
      <c r="P24" s="71">
        <f>'Washer Downtime Detail'!BH205</f>
        <v>0</v>
      </c>
      <c r="Q24" s="71">
        <f>'EBI Downtime Detail'!$AI205</f>
        <v>0</v>
      </c>
      <c r="R24" s="71">
        <f>'Filler Downtime Detail'!AK205</f>
        <v>0</v>
      </c>
      <c r="S24" s="71">
        <f>'Pasteurizer Downtime Detail'!Z205</f>
        <v>0</v>
      </c>
      <c r="T24" s="71">
        <f>'Labeler Downtime Detail'!AN202</f>
        <v>0</v>
      </c>
      <c r="U24" s="71">
        <f>'Videojet Downtime Detail '!O203</f>
        <v>0</v>
      </c>
      <c r="V24" s="71">
        <f>'Conveyor Downtime (new)'!AV203</f>
        <v>0</v>
      </c>
      <c r="W24" s="71">
        <f>'Packer Downtime Detail  '!AD203</f>
        <v>0</v>
      </c>
      <c r="X24" s="71">
        <f>'Carton Errector-sealer Detail'!P191</f>
        <v>0</v>
      </c>
      <c r="Y24" s="71"/>
      <c r="Z24" s="43"/>
      <c r="AA24" s="88"/>
      <c r="AB24" s="71"/>
      <c r="AC24" s="71"/>
      <c r="AD24" s="44">
        <f t="shared" si="0"/>
        <v>30</v>
      </c>
      <c r="AE24" s="754"/>
      <c r="AH24" s="3"/>
      <c r="AI24" s="23"/>
      <c r="AJ24" s="23"/>
      <c r="AK24" s="54"/>
      <c r="AL24" s="3"/>
      <c r="AM24" s="3"/>
      <c r="AN24" s="3"/>
      <c r="AO24" s="3"/>
      <c r="AP24" s="3"/>
      <c r="AQ24" s="3"/>
      <c r="AR24" s="3"/>
      <c r="AS24" s="3"/>
      <c r="AT24" s="3"/>
      <c r="AU24" s="3"/>
      <c r="AV24" s="3"/>
      <c r="AW24" s="3"/>
      <c r="AX24" s="3"/>
    </row>
    <row r="25" spans="1:50">
      <c r="A25" s="7">
        <f>'[5]April_2026 '!C25</f>
        <v>9</v>
      </c>
      <c r="B25" s="139">
        <f>'[5]April_2026 '!$B25</f>
        <v>46127</v>
      </c>
      <c r="C25" s="8" t="str">
        <f>'[5]April_2026 '!D25</f>
        <v>SHANDY SORREL(EXP</v>
      </c>
      <c r="D25" s="681">
        <v>1</v>
      </c>
      <c r="E25" s="80">
        <v>1.0034722222222223</v>
      </c>
      <c r="F25" s="80">
        <v>1.09375</v>
      </c>
      <c r="G25" s="81">
        <v>0.10208333333333333</v>
      </c>
      <c r="H25" s="14"/>
      <c r="I25" s="34"/>
      <c r="J25" s="35"/>
      <c r="K25" s="34"/>
      <c r="L25" s="34"/>
      <c r="M25" s="34"/>
      <c r="N25" s="34"/>
      <c r="O25" s="34">
        <f>'Uncaser Downtime Detail '!AG204</f>
        <v>0</v>
      </c>
      <c r="P25" s="34">
        <f>'Washer Downtime Detail'!BH206</f>
        <v>12</v>
      </c>
      <c r="Q25" s="34">
        <f>'EBI Downtime Detail'!$AI206</f>
        <v>9</v>
      </c>
      <c r="R25" s="34">
        <f>'Filler Downtime Detail'!AK206</f>
        <v>1</v>
      </c>
      <c r="S25" s="34">
        <f>'Pasteurizer Downtime Detail'!Z206</f>
        <v>0</v>
      </c>
      <c r="T25" s="34">
        <f>'Labeler Downtime Detail'!AN203</f>
        <v>0</v>
      </c>
      <c r="U25" s="34">
        <f>'Videojet Downtime Detail '!O204</f>
        <v>0</v>
      </c>
      <c r="V25" s="34">
        <f>'Conveyor Downtime (new)'!AV204</f>
        <v>0</v>
      </c>
      <c r="W25" s="34">
        <f>'Packer Downtime Detail  '!AD204</f>
        <v>0</v>
      </c>
      <c r="X25" s="34">
        <f>'Carton Errector-sealer Detail'!P192</f>
        <v>0</v>
      </c>
      <c r="Y25" s="35"/>
      <c r="Z25" s="34">
        <f>5</f>
        <v>5</v>
      </c>
      <c r="AA25" s="90"/>
      <c r="AB25" s="89">
        <f>2+9</f>
        <v>11</v>
      </c>
      <c r="AC25" s="89"/>
      <c r="AD25" s="44">
        <f t="shared" si="0"/>
        <v>38</v>
      </c>
      <c r="AE25" s="754">
        <f>G27-D25</f>
        <v>1.0298611111111109</v>
      </c>
      <c r="AH25" s="3"/>
      <c r="AI25" s="23"/>
      <c r="AJ25" s="23"/>
      <c r="AK25" s="54"/>
      <c r="AL25" s="3"/>
      <c r="AM25" s="3"/>
      <c r="AN25" s="3"/>
      <c r="AO25" s="3"/>
      <c r="AP25" s="3"/>
      <c r="AQ25" s="3"/>
      <c r="AR25" s="3"/>
      <c r="AS25" s="3"/>
      <c r="AT25" s="3"/>
      <c r="AU25" s="3"/>
      <c r="AV25" s="3"/>
      <c r="AW25" s="3"/>
      <c r="AX25" s="3"/>
    </row>
    <row r="26" spans="1:50">
      <c r="A26" s="7">
        <f>'[5]April_2026 '!C26</f>
        <v>9</v>
      </c>
      <c r="B26" s="139">
        <f>'[5]April_2026 '!$B26</f>
        <v>46127</v>
      </c>
      <c r="C26" s="8" t="str">
        <f>'[5]April_2026 '!D26</f>
        <v>SHANDY SOREL (LOC)</v>
      </c>
      <c r="D26" s="681"/>
      <c r="E26" s="80">
        <v>1.1076388888888888</v>
      </c>
      <c r="F26" s="80">
        <v>1.3333333333333333</v>
      </c>
      <c r="G26" s="81"/>
      <c r="H26" s="82">
        <v>2</v>
      </c>
      <c r="I26" s="32">
        <f>20</f>
        <v>20</v>
      </c>
      <c r="J26" s="86"/>
      <c r="K26" s="71"/>
      <c r="L26" s="71"/>
      <c r="M26" s="71"/>
      <c r="N26" s="71"/>
      <c r="O26" s="71">
        <f>'Uncaser Downtime Detail '!AG205</f>
        <v>0</v>
      </c>
      <c r="P26" s="71">
        <f>'Washer Downtime Detail'!BH207</f>
        <v>37</v>
      </c>
      <c r="Q26" s="71">
        <f>'EBI Downtime Detail'!$AI207</f>
        <v>29</v>
      </c>
      <c r="R26" s="71">
        <f>'Filler Downtime Detail'!AK207</f>
        <v>4</v>
      </c>
      <c r="S26" s="71">
        <f>'Pasteurizer Downtime Detail'!Z207</f>
        <v>0</v>
      </c>
      <c r="T26" s="71">
        <f>'Labeler Downtime Detail'!AN204</f>
        <v>0</v>
      </c>
      <c r="U26" s="71">
        <f>'Videojet Downtime Detail '!O205</f>
        <v>0</v>
      </c>
      <c r="V26" s="71">
        <f>'Conveyor Downtime (new)'!AV205</f>
        <v>12</v>
      </c>
      <c r="W26" s="71"/>
      <c r="X26" s="71">
        <f>'Carton Errector-sealer Detail'!P193</f>
        <v>0</v>
      </c>
      <c r="Y26" s="71"/>
      <c r="Z26" s="43"/>
      <c r="AA26" s="88"/>
      <c r="AB26" s="71"/>
      <c r="AC26" s="71"/>
      <c r="AD26" s="44">
        <f t="shared" si="0"/>
        <v>104</v>
      </c>
      <c r="AE26" s="754"/>
      <c r="AH26" s="3"/>
      <c r="AI26" s="23"/>
      <c r="AJ26" s="23"/>
      <c r="AK26" s="54"/>
      <c r="AL26" s="3"/>
      <c r="AM26" s="3"/>
      <c r="AN26" s="3"/>
      <c r="AO26" s="3"/>
      <c r="AP26" s="3"/>
      <c r="AQ26" s="3"/>
      <c r="AR26" s="3"/>
      <c r="AS26" s="3"/>
      <c r="AT26" s="3"/>
      <c r="AU26" s="3"/>
      <c r="AV26" s="3"/>
      <c r="AW26" s="3"/>
      <c r="AX26" s="3"/>
    </row>
    <row r="27" spans="1:50">
      <c r="A27" s="7">
        <f>'[5]April_2026 '!C27</f>
        <v>9</v>
      </c>
      <c r="B27" s="139">
        <f>'[5]April_2026 '!$B27</f>
        <v>46127</v>
      </c>
      <c r="C27" s="8" t="str">
        <f>'[5]April_2026 '!D27</f>
        <v>STAG</v>
      </c>
      <c r="D27" s="681"/>
      <c r="E27" s="80">
        <v>1.3798611111111112</v>
      </c>
      <c r="F27" s="80">
        <v>2</v>
      </c>
      <c r="G27" s="81">
        <v>2.0298611111111109</v>
      </c>
      <c r="H27" s="14"/>
      <c r="I27" s="34">
        <f>60+7</f>
        <v>67</v>
      </c>
      <c r="J27" s="35"/>
      <c r="K27" s="34"/>
      <c r="L27" s="34"/>
      <c r="M27" s="34"/>
      <c r="N27" s="34"/>
      <c r="O27" s="34">
        <f>'Uncaser Downtime Detail '!AG206</f>
        <v>0</v>
      </c>
      <c r="P27" s="34">
        <f>'Washer Downtime Detail'!BH208</f>
        <v>35</v>
      </c>
      <c r="Q27" s="34">
        <f>'EBI Downtime Detail'!$AI208</f>
        <v>10</v>
      </c>
      <c r="R27" s="34">
        <f>'Filler Downtime Detail'!AK208</f>
        <v>124</v>
      </c>
      <c r="S27" s="34">
        <f>'Pasteurizer Downtime Detail'!Z208</f>
        <v>0</v>
      </c>
      <c r="T27" s="34">
        <f>'Labeler Downtime Detail'!AN205</f>
        <v>0</v>
      </c>
      <c r="U27" s="34">
        <f>'Videojet Downtime Detail '!O206</f>
        <v>0</v>
      </c>
      <c r="V27" s="34">
        <f>'Conveyor Downtime (new)'!AV206</f>
        <v>28</v>
      </c>
      <c r="W27" s="34">
        <f>'Packer Downtime Detail  '!AD206</f>
        <v>2</v>
      </c>
      <c r="X27" s="34">
        <f>'Carton Errector-sealer Detail'!P194</f>
        <v>0</v>
      </c>
      <c r="Y27" s="35"/>
      <c r="Z27" s="34">
        <f>14+9+10+15</f>
        <v>48</v>
      </c>
      <c r="AA27" s="90"/>
      <c r="AB27" s="89"/>
      <c r="AC27" s="89"/>
      <c r="AD27" s="44">
        <f t="shared" si="0"/>
        <v>314</v>
      </c>
      <c r="AE27" s="754"/>
      <c r="AH27" s="3"/>
      <c r="AI27" s="23"/>
      <c r="AJ27" s="23"/>
      <c r="AK27" s="54"/>
      <c r="AL27" s="3"/>
      <c r="AM27" s="3"/>
      <c r="AN27" s="3"/>
      <c r="AO27" s="3"/>
      <c r="AP27" s="3"/>
      <c r="AQ27" s="3"/>
      <c r="AR27" s="3"/>
      <c r="AS27" s="3"/>
      <c r="AT27" s="3"/>
      <c r="AU27" s="3"/>
      <c r="AV27" s="3"/>
      <c r="AW27" s="3"/>
      <c r="AX27" s="3"/>
    </row>
    <row r="28" spans="1:50">
      <c r="A28" s="7">
        <f>'[5]April_2026 '!C28</f>
        <v>10</v>
      </c>
      <c r="B28" s="139">
        <f>'[5]April_2026 '!$B28</f>
        <v>46128</v>
      </c>
      <c r="C28" s="8" t="str">
        <f>'[5]April_2026 '!D28</f>
        <v>STAG</v>
      </c>
      <c r="D28" s="681">
        <v>1</v>
      </c>
      <c r="E28" s="80">
        <v>1.0055555555555555</v>
      </c>
      <c r="F28" s="80">
        <v>1.375</v>
      </c>
      <c r="G28" s="81"/>
      <c r="H28" s="82"/>
      <c r="I28" s="32"/>
      <c r="J28" s="86"/>
      <c r="K28" s="71">
        <v>7</v>
      </c>
      <c r="L28" s="71"/>
      <c r="M28" s="71"/>
      <c r="N28" s="71"/>
      <c r="O28" s="71">
        <f>'Uncaser Downtime Detail '!AG207</f>
        <v>0</v>
      </c>
      <c r="P28" s="71">
        <f>'Washer Downtime Detail'!BH209</f>
        <v>23</v>
      </c>
      <c r="Q28" s="71">
        <f>'EBI Downtime Detail'!$AI209</f>
        <v>9</v>
      </c>
      <c r="R28" s="71">
        <f>'Filler Downtime Detail'!AK209</f>
        <v>7</v>
      </c>
      <c r="S28" s="71">
        <f>'Pasteurizer Downtime Detail'!Z209</f>
        <v>0</v>
      </c>
      <c r="T28" s="71">
        <f>'Labeler Downtime Detail'!AN206</f>
        <v>8</v>
      </c>
      <c r="U28" s="71">
        <f>'Videojet Downtime Detail '!O207</f>
        <v>74</v>
      </c>
      <c r="V28" s="71">
        <f>'Conveyor Downtime (new)'!AV207</f>
        <v>23</v>
      </c>
      <c r="W28" s="71">
        <f>'Packer Downtime Detail  '!AD207</f>
        <v>6</v>
      </c>
      <c r="X28" s="71">
        <f>'Carton Errector-sealer Detail'!P195</f>
        <v>0</v>
      </c>
      <c r="Y28" s="71"/>
      <c r="Z28" s="43">
        <f>8</f>
        <v>8</v>
      </c>
      <c r="AA28" s="88"/>
      <c r="AB28" s="71">
        <f>5+3</f>
        <v>8</v>
      </c>
      <c r="AC28" s="71"/>
      <c r="AD28" s="44">
        <f t="shared" si="0"/>
        <v>173</v>
      </c>
      <c r="AE28" s="754">
        <f>G29-D28</f>
        <v>1.0326388888888891</v>
      </c>
      <c r="AH28" s="3"/>
      <c r="AI28" s="23"/>
      <c r="AJ28" s="23"/>
      <c r="AK28" s="54"/>
      <c r="AL28" s="3"/>
      <c r="AM28" s="3"/>
      <c r="AN28" s="3"/>
      <c r="AO28" s="3"/>
      <c r="AP28" s="3"/>
      <c r="AQ28" s="3"/>
      <c r="AR28" s="3"/>
      <c r="AS28" s="3"/>
      <c r="AT28" s="3"/>
      <c r="AU28" s="3"/>
      <c r="AV28" s="3"/>
      <c r="AW28" s="3"/>
      <c r="AX28" s="3"/>
    </row>
    <row r="29" spans="1:50">
      <c r="A29" s="7">
        <f>'[5]April_2026 '!C29</f>
        <v>10</v>
      </c>
      <c r="B29" s="139">
        <f>'[5]April_2026 '!$B29</f>
        <v>46128</v>
      </c>
      <c r="C29" s="8" t="str">
        <f>'[5]April_2026 '!D29</f>
        <v>CARIB AMBER</v>
      </c>
      <c r="D29" s="681"/>
      <c r="E29" s="80">
        <v>1.3923611111111112</v>
      </c>
      <c r="F29" s="80">
        <v>2</v>
      </c>
      <c r="G29" s="81">
        <v>2.0326388888888891</v>
      </c>
      <c r="H29" s="14"/>
      <c r="I29" s="34">
        <f>10</f>
        <v>10</v>
      </c>
      <c r="J29" s="35"/>
      <c r="K29" s="34"/>
      <c r="L29" s="34"/>
      <c r="M29" s="34"/>
      <c r="N29" s="34"/>
      <c r="O29" s="34">
        <f>'Uncaser Downtime Detail '!AG208</f>
        <v>14</v>
      </c>
      <c r="P29" s="34">
        <f>'Washer Downtime Detail'!BH210</f>
        <v>17</v>
      </c>
      <c r="Q29" s="34">
        <f>'EBI Downtime Detail'!$AI210</f>
        <v>0</v>
      </c>
      <c r="R29" s="34">
        <f>'Filler Downtime Detail'!AK210</f>
        <v>7</v>
      </c>
      <c r="S29" s="34">
        <f>'Pasteurizer Downtime Detail'!Z210</f>
        <v>0</v>
      </c>
      <c r="T29" s="34">
        <f>'Labeler Downtime Detail'!AN207</f>
        <v>3</v>
      </c>
      <c r="U29" s="34">
        <f>'Videojet Downtime Detail '!O208</f>
        <v>0</v>
      </c>
      <c r="V29" s="34">
        <f>'Conveyor Downtime (new)'!AV208</f>
        <v>12</v>
      </c>
      <c r="W29" s="34">
        <f>'Packer Downtime Detail  '!AD208</f>
        <v>39</v>
      </c>
      <c r="X29" s="34">
        <f>'Carton Errector-sealer Detail'!P196</f>
        <v>0</v>
      </c>
      <c r="Y29" s="35"/>
      <c r="Z29" s="34">
        <f>4+4+12</f>
        <v>20</v>
      </c>
      <c r="AA29" s="90"/>
      <c r="AB29" s="89">
        <f>15</f>
        <v>15</v>
      </c>
      <c r="AC29" s="89"/>
      <c r="AD29" s="44">
        <f t="shared" si="0"/>
        <v>137</v>
      </c>
      <c r="AE29" s="754"/>
      <c r="AH29" s="3"/>
      <c r="AI29" s="23"/>
      <c r="AJ29" s="23"/>
      <c r="AK29" s="54"/>
      <c r="AL29" s="3"/>
      <c r="AM29" s="3"/>
      <c r="AN29" s="3"/>
      <c r="AO29" s="3"/>
      <c r="AP29" s="3"/>
      <c r="AQ29" s="3"/>
      <c r="AR29" s="3"/>
      <c r="AS29" s="3"/>
      <c r="AT29" s="3"/>
      <c r="AU29" s="3"/>
      <c r="AV29" s="3"/>
      <c r="AW29" s="3"/>
      <c r="AX29" s="3"/>
    </row>
    <row r="30" spans="1:50">
      <c r="A30" s="7">
        <f>'[5]April_2026 '!C30</f>
        <v>11</v>
      </c>
      <c r="B30" s="139">
        <f>'[5]April_2026 '!$B30</f>
        <v>46129</v>
      </c>
      <c r="C30" s="8" t="str">
        <f>'[5]April_2026 '!D30</f>
        <v>CARIB AMBER</v>
      </c>
      <c r="D30" s="681">
        <v>1</v>
      </c>
      <c r="E30" s="80">
        <v>1.0041666666666667</v>
      </c>
      <c r="F30" s="80">
        <v>1.3020833333333333</v>
      </c>
      <c r="G30" s="81"/>
      <c r="H30" s="82">
        <f>10+5</f>
        <v>15</v>
      </c>
      <c r="I30" s="32"/>
      <c r="J30" s="86"/>
      <c r="K30" s="71"/>
      <c r="L30" s="71"/>
      <c r="M30" s="71"/>
      <c r="N30" s="71"/>
      <c r="O30" s="71">
        <f>'Uncaser Downtime Detail '!AG209</f>
        <v>11</v>
      </c>
      <c r="P30" s="34">
        <f>'Washer Downtime Detail'!BH211</f>
        <v>25</v>
      </c>
      <c r="Q30" s="71">
        <f>'EBI Downtime Detail'!$AI211</f>
        <v>5</v>
      </c>
      <c r="R30" s="71">
        <f>'Filler Downtime Detail'!AK211</f>
        <v>9</v>
      </c>
      <c r="S30" s="71">
        <f>'Pasteurizer Downtime Detail'!Z211</f>
        <v>0</v>
      </c>
      <c r="T30" s="71">
        <f>'Labeler Downtime Detail'!AN208</f>
        <v>0</v>
      </c>
      <c r="U30" s="71">
        <f>'Videojet Downtime Detail '!O209</f>
        <v>0</v>
      </c>
      <c r="V30" s="71">
        <f>'Conveyor Downtime (new)'!AV209</f>
        <v>18</v>
      </c>
      <c r="W30" s="71">
        <f>'Packer Downtime Detail  '!AD209</f>
        <v>0</v>
      </c>
      <c r="X30" s="71">
        <f>'Carton Errector-sealer Detail'!P197</f>
        <v>0</v>
      </c>
      <c r="Y30" s="71"/>
      <c r="Z30" s="43">
        <f>6+10</f>
        <v>16</v>
      </c>
      <c r="AA30" s="88"/>
      <c r="AB30" s="71">
        <f>5+28+4+4+2</f>
        <v>43</v>
      </c>
      <c r="AC30" s="71"/>
      <c r="AD30" s="44">
        <f t="shared" si="0"/>
        <v>142</v>
      </c>
      <c r="AE30" s="754">
        <f>G31-D30</f>
        <v>0.875</v>
      </c>
      <c r="AH30" s="3"/>
      <c r="AI30" s="23"/>
      <c r="AJ30" s="23"/>
      <c r="AK30" s="54"/>
      <c r="AL30" s="3"/>
      <c r="AM30" s="3"/>
      <c r="AN30" s="3"/>
      <c r="AO30" s="3"/>
      <c r="AP30" s="3"/>
      <c r="AQ30" s="3"/>
      <c r="AR30" s="3"/>
      <c r="AS30" s="3"/>
      <c r="AT30" s="3"/>
      <c r="AU30" s="3"/>
      <c r="AV30" s="3"/>
      <c r="AW30" s="3"/>
      <c r="AX30" s="3"/>
    </row>
    <row r="31" spans="1:50">
      <c r="A31" s="7">
        <f>'[5]April_2026 '!C31</f>
        <v>11</v>
      </c>
      <c r="B31" s="139">
        <f>'[5]April_2026 '!$B31</f>
        <v>46129</v>
      </c>
      <c r="C31" s="8" t="str">
        <f>'[5]April_2026 '!D31</f>
        <v>GINSENG APPLE</v>
      </c>
      <c r="D31" s="681"/>
      <c r="E31" s="80">
        <v>1.4583333333333333</v>
      </c>
      <c r="F31" s="80">
        <v>1.836111111111111</v>
      </c>
      <c r="G31" s="84">
        <v>1.875</v>
      </c>
      <c r="H31" s="14"/>
      <c r="I31" s="34">
        <f>45+5</f>
        <v>50</v>
      </c>
      <c r="J31" s="35">
        <f>55+60+60</f>
        <v>175</v>
      </c>
      <c r="K31" s="34"/>
      <c r="L31" s="34"/>
      <c r="M31" s="34"/>
      <c r="N31" s="34"/>
      <c r="O31" s="34">
        <f>'Uncaser Downtime Detail '!AG210</f>
        <v>13</v>
      </c>
      <c r="P31" s="34">
        <f>'Washer Downtime Detail'!BH212</f>
        <v>72</v>
      </c>
      <c r="Q31" s="34">
        <f>'EBI Downtime Detail'!$AI212</f>
        <v>2</v>
      </c>
      <c r="R31" s="34">
        <f>'Filler Downtime Detail'!AK212</f>
        <v>0</v>
      </c>
      <c r="S31" s="34">
        <f>'Pasteurizer Downtime Detail'!Z212</f>
        <v>0</v>
      </c>
      <c r="T31" s="34">
        <f>'Labeler Downtime Detail'!AN209</f>
        <v>34</v>
      </c>
      <c r="U31" s="34">
        <f>'Videojet Downtime Detail '!O210</f>
        <v>36</v>
      </c>
      <c r="V31" s="34">
        <f>'Conveyor Downtime (new)'!AV210</f>
        <v>5</v>
      </c>
      <c r="W31" s="34">
        <f>'Packer Downtime Detail  '!AD210</f>
        <v>0</v>
      </c>
      <c r="X31" s="34">
        <f>'Carton Errector-sealer Detail'!P198</f>
        <v>0</v>
      </c>
      <c r="Y31" s="35"/>
      <c r="Z31" s="34">
        <f>6+12+7</f>
        <v>25</v>
      </c>
      <c r="AA31" s="90"/>
      <c r="AB31" s="89">
        <f>2</f>
        <v>2</v>
      </c>
      <c r="AC31" s="89"/>
      <c r="AD31" s="44">
        <f t="shared" si="0"/>
        <v>414</v>
      </c>
      <c r="AE31" s="754"/>
      <c r="AH31" s="3"/>
      <c r="AI31" s="23"/>
      <c r="AJ31" s="23"/>
      <c r="AK31" s="54"/>
      <c r="AL31" s="3"/>
      <c r="AM31" s="3"/>
      <c r="AN31" s="3"/>
      <c r="AO31" s="3"/>
      <c r="AP31" s="3"/>
      <c r="AQ31" s="3"/>
      <c r="AR31" s="3"/>
      <c r="AS31" s="3"/>
      <c r="AT31" s="3"/>
      <c r="AU31" s="3"/>
      <c r="AV31" s="3"/>
      <c r="AW31" s="3"/>
      <c r="AX31" s="3"/>
    </row>
    <row r="32" spans="1:50">
      <c r="A32" s="7">
        <f>'[5]April_2026 '!C32</f>
        <v>12</v>
      </c>
      <c r="B32" s="139">
        <f>'[5]April_2026 '!$B32</f>
        <v>46132</v>
      </c>
      <c r="C32" s="8" t="str">
        <f>'[5]April_2026 '!D32</f>
        <v>GINSENG APPLE (medium)</v>
      </c>
      <c r="D32" s="755">
        <v>1</v>
      </c>
      <c r="E32" s="80">
        <v>1.1152777777777778</v>
      </c>
      <c r="F32" s="80">
        <v>1.5243055555555556</v>
      </c>
      <c r="G32" s="81">
        <v>0.57499999999999996</v>
      </c>
      <c r="H32" s="82"/>
      <c r="I32" s="32"/>
      <c r="J32" s="86"/>
      <c r="K32" s="71"/>
      <c r="L32" s="71"/>
      <c r="M32" s="71"/>
      <c r="N32" s="71"/>
      <c r="O32" s="71">
        <f>'Uncaser Downtime Detail '!AG211</f>
        <v>40</v>
      </c>
      <c r="P32" s="71">
        <f>'Washer Downtime Detail'!BH213</f>
        <v>62</v>
      </c>
      <c r="Q32" s="71">
        <f>'EBI Downtime Detail'!$AI213</f>
        <v>0</v>
      </c>
      <c r="R32" s="71">
        <f>'Filler Downtime Detail'!AK213</f>
        <v>36</v>
      </c>
      <c r="S32" s="71">
        <f>'Pasteurizer Downtime Detail'!Z213</f>
        <v>0</v>
      </c>
      <c r="T32" s="71">
        <f>'Labeler Downtime Detail'!AN210</f>
        <v>0</v>
      </c>
      <c r="U32" s="71">
        <f>'Videojet Downtime Detail '!O211</f>
        <v>0</v>
      </c>
      <c r="V32" s="71">
        <f>'Conveyor Downtime (new)'!AV211</f>
        <v>0</v>
      </c>
      <c r="W32" s="71">
        <f>'Packer Downtime Detail  '!AD211</f>
        <v>290</v>
      </c>
      <c r="X32" s="71">
        <f>'Carton Errector-sealer Detail'!P199</f>
        <v>0</v>
      </c>
      <c r="Y32" s="71"/>
      <c r="Z32" s="43">
        <f>8+12+36+35</f>
        <v>91</v>
      </c>
      <c r="AA32" s="88"/>
      <c r="AB32" s="71">
        <f>3</f>
        <v>3</v>
      </c>
      <c r="AC32" s="71"/>
      <c r="AD32" s="44">
        <f t="shared" si="0"/>
        <v>522</v>
      </c>
      <c r="AE32" s="754">
        <f>G34-D32</f>
        <v>1.03125</v>
      </c>
      <c r="AH32" s="3"/>
      <c r="AI32" s="23"/>
      <c r="AJ32" s="23"/>
      <c r="AK32" s="54"/>
      <c r="AL32" s="3"/>
      <c r="AM32" s="3"/>
      <c r="AN32" s="3"/>
      <c r="AO32" s="3"/>
      <c r="AP32" s="3"/>
      <c r="AQ32" s="3"/>
      <c r="AR32" s="3"/>
      <c r="AS32" s="3"/>
      <c r="AT32" s="3"/>
      <c r="AU32" s="3"/>
      <c r="AV32" s="3"/>
      <c r="AW32" s="3"/>
      <c r="AX32" s="3"/>
    </row>
    <row r="33" spans="1:50">
      <c r="A33" s="7">
        <f>'[5]April_2026 '!C33</f>
        <v>12</v>
      </c>
      <c r="B33" s="139">
        <f>'[5]April_2026 '!$B33</f>
        <v>46132</v>
      </c>
      <c r="C33" s="8" t="str">
        <f>'[5]April_2026 '!D33</f>
        <v>GINSENG APPLE (SHORT)</v>
      </c>
      <c r="D33" s="755"/>
      <c r="E33" s="80">
        <v>1.5513888888888889</v>
      </c>
      <c r="F33" s="80">
        <v>1.7326388888888888</v>
      </c>
      <c r="G33" s="81"/>
      <c r="H33" s="14"/>
      <c r="I33" s="34">
        <f>7+4</f>
        <v>11</v>
      </c>
      <c r="J33" s="35"/>
      <c r="K33" s="34"/>
      <c r="L33" s="34"/>
      <c r="M33" s="34"/>
      <c r="N33" s="34"/>
      <c r="O33" s="34">
        <f>'Uncaser Downtime Detail '!AG212</f>
        <v>9</v>
      </c>
      <c r="P33" s="34">
        <f>'Washer Downtime Detail'!BH214</f>
        <v>6</v>
      </c>
      <c r="Q33" s="34">
        <f>'EBI Downtime Detail'!$AI214</f>
        <v>9</v>
      </c>
      <c r="R33" s="34">
        <f>'Filler Downtime Detail'!AK214</f>
        <v>1</v>
      </c>
      <c r="S33" s="34">
        <f>'Pasteurizer Downtime Detail'!Z214</f>
        <v>0</v>
      </c>
      <c r="T33" s="34">
        <f>'Labeler Downtime Detail'!AN211</f>
        <v>0</v>
      </c>
      <c r="U33" s="34">
        <f>'Videojet Downtime Detail '!O212</f>
        <v>0</v>
      </c>
      <c r="V33" s="34">
        <f>'Conveyor Downtime (new)'!AV212</f>
        <v>2</v>
      </c>
      <c r="W33" s="34">
        <f>'Packer Downtime Detail  '!AD212</f>
        <v>0</v>
      </c>
      <c r="X33" s="34">
        <f>'Carton Errector-sealer Detail'!P200</f>
        <v>0</v>
      </c>
      <c r="Y33" s="35"/>
      <c r="Z33" s="34">
        <f>5+7+8</f>
        <v>20</v>
      </c>
      <c r="AA33" s="90"/>
      <c r="AB33" s="89"/>
      <c r="AC33" s="89"/>
      <c r="AD33" s="44">
        <f t="shared" si="0"/>
        <v>58</v>
      </c>
      <c r="AE33" s="754"/>
      <c r="AH33" s="3"/>
      <c r="AI33" s="23"/>
      <c r="AJ33" s="23"/>
      <c r="AK33" s="54"/>
      <c r="AL33" s="3"/>
      <c r="AM33" s="3"/>
      <c r="AN33" s="3"/>
      <c r="AO33" s="3"/>
      <c r="AP33" s="3"/>
      <c r="AQ33" s="3"/>
      <c r="AR33" s="3"/>
      <c r="AS33" s="3"/>
      <c r="AT33" s="3"/>
      <c r="AU33" s="3"/>
      <c r="AV33" s="3"/>
      <c r="AW33" s="3"/>
      <c r="AX33" s="3"/>
    </row>
    <row r="34" spans="1:50">
      <c r="A34" s="7">
        <f>'[5]April_2026 '!C34</f>
        <v>12</v>
      </c>
      <c r="B34" s="139">
        <f>'[5]April_2026 '!$B34</f>
        <v>46132</v>
      </c>
      <c r="C34" s="8" t="str">
        <f>'[5]April_2026 '!D34</f>
        <v>CARIB AMBER</v>
      </c>
      <c r="D34" s="755"/>
      <c r="E34" s="80">
        <v>1.8458333333333334</v>
      </c>
      <c r="F34" s="80">
        <v>2</v>
      </c>
      <c r="G34" s="84">
        <v>2.03125</v>
      </c>
      <c r="H34" s="82">
        <f>4+5</f>
        <v>9</v>
      </c>
      <c r="I34" s="32">
        <f>25+60+60+18</f>
        <v>163</v>
      </c>
      <c r="J34" s="86"/>
      <c r="K34" s="71"/>
      <c r="L34" s="71"/>
      <c r="M34" s="71"/>
      <c r="N34" s="71"/>
      <c r="O34" s="71">
        <f>'Uncaser Downtime Detail '!AG213</f>
        <v>0</v>
      </c>
      <c r="P34" s="71">
        <f>'Washer Downtime Detail'!BH215</f>
        <v>0</v>
      </c>
      <c r="Q34" s="71">
        <f>'EBI Downtime Detail'!$AI215</f>
        <v>2</v>
      </c>
      <c r="R34" s="71">
        <f>'Filler Downtime Detail'!AK215</f>
        <v>3</v>
      </c>
      <c r="S34" s="71">
        <f>'Pasteurizer Downtime Detail'!Z215</f>
        <v>0</v>
      </c>
      <c r="T34" s="71">
        <f>'Labeler Downtime Detail'!AN212</f>
        <v>36</v>
      </c>
      <c r="U34" s="71">
        <f>'Videojet Downtime Detail '!O213</f>
        <v>0</v>
      </c>
      <c r="V34" s="71">
        <f>'Conveyor Downtime (new)'!AV213</f>
        <v>3</v>
      </c>
      <c r="W34" s="71">
        <f>'Packer Downtime Detail  '!AD213</f>
        <v>0</v>
      </c>
      <c r="X34" s="71">
        <f>'Carton Errector-sealer Detail'!P201</f>
        <v>0</v>
      </c>
      <c r="Y34" s="71"/>
      <c r="Z34" s="43"/>
      <c r="AA34" s="88"/>
      <c r="AB34" s="71"/>
      <c r="AC34" s="71"/>
      <c r="AD34" s="44">
        <f t="shared" si="0"/>
        <v>216</v>
      </c>
      <c r="AE34" s="754"/>
      <c r="AH34" s="3"/>
      <c r="AI34" s="23"/>
      <c r="AJ34" s="23"/>
      <c r="AK34" s="54"/>
      <c r="AL34" s="3"/>
      <c r="AM34" s="3"/>
      <c r="AN34" s="3"/>
      <c r="AO34" s="3"/>
      <c r="AP34" s="3"/>
      <c r="AQ34" s="3"/>
      <c r="AR34" s="3"/>
      <c r="AS34" s="3"/>
      <c r="AT34" s="3"/>
      <c r="AU34" s="3"/>
      <c r="AV34" s="3"/>
      <c r="AW34" s="3"/>
      <c r="AX34" s="3"/>
    </row>
    <row r="35" spans="1:50">
      <c r="A35" s="7">
        <f>'[5]April_2026 '!C35</f>
        <v>13</v>
      </c>
      <c r="B35" s="139">
        <f>'[5]April_2026 '!$B35</f>
        <v>46133</v>
      </c>
      <c r="C35" s="8" t="str">
        <f>'[5]April_2026 '!D35</f>
        <v>CARIB AMBER</v>
      </c>
      <c r="D35" s="681">
        <v>1</v>
      </c>
      <c r="E35" s="80">
        <v>1.0034722222222223</v>
      </c>
      <c r="F35" s="80">
        <v>1.5222222222222221</v>
      </c>
      <c r="G35" s="81">
        <v>0.55138888888888893</v>
      </c>
      <c r="H35" s="14"/>
      <c r="I35" s="34"/>
      <c r="J35" s="35"/>
      <c r="K35" s="34"/>
      <c r="L35" s="34"/>
      <c r="M35" s="34"/>
      <c r="N35" s="34"/>
      <c r="O35" s="34">
        <f>'Uncaser Downtime Detail '!AG214</f>
        <v>20</v>
      </c>
      <c r="P35" s="34">
        <f>'Washer Downtime Detail'!BH216</f>
        <v>30</v>
      </c>
      <c r="Q35" s="34">
        <f>'EBI Downtime Detail'!$AI216</f>
        <v>2</v>
      </c>
      <c r="R35" s="34">
        <f>'Filler Downtime Detail'!AK216</f>
        <v>2</v>
      </c>
      <c r="S35" s="34">
        <f>'Pasteurizer Downtime Detail'!Z216</f>
        <v>0</v>
      </c>
      <c r="T35" s="34">
        <f>'Labeler Downtime Detail'!AN213</f>
        <v>124</v>
      </c>
      <c r="U35" s="34">
        <f>'Videojet Downtime Detail '!O214</f>
        <v>0</v>
      </c>
      <c r="V35" s="34">
        <f>'Conveyor Downtime (new)'!AV214</f>
        <v>8</v>
      </c>
      <c r="W35" s="34">
        <f>'Packer Downtime Detail  '!AD214</f>
        <v>0</v>
      </c>
      <c r="X35" s="34">
        <f>'Carton Errector-sealer Detail'!P202</f>
        <v>0</v>
      </c>
      <c r="Y35" s="35"/>
      <c r="Z35" s="34">
        <f>5+4+3+3+3</f>
        <v>18</v>
      </c>
      <c r="AA35" s="90"/>
      <c r="AB35" s="89">
        <v>3</v>
      </c>
      <c r="AC35" s="89"/>
      <c r="AD35" s="44">
        <f t="shared" si="0"/>
        <v>207</v>
      </c>
      <c r="AE35" s="754">
        <f>G36-D35</f>
        <v>1.0381944444444446</v>
      </c>
      <c r="AH35" s="3"/>
      <c r="AI35" s="23"/>
      <c r="AJ35" s="23"/>
      <c r="AK35" s="54"/>
      <c r="AL35" s="3"/>
      <c r="AM35" s="3"/>
      <c r="AN35" s="3"/>
      <c r="AO35" s="3"/>
      <c r="AP35" s="3"/>
      <c r="AQ35" s="3"/>
      <c r="AR35" s="3"/>
      <c r="AS35" s="3"/>
      <c r="AT35" s="3"/>
      <c r="AU35" s="3"/>
      <c r="AV35" s="3"/>
      <c r="AW35" s="3"/>
      <c r="AX35" s="3"/>
    </row>
    <row r="36" spans="1:50" ht="13.5" customHeight="1">
      <c r="A36" s="7">
        <f>'[5]April_2026 '!C36</f>
        <v>13</v>
      </c>
      <c r="B36" s="139">
        <f>'[5]April_2026 '!$B36</f>
        <v>46133</v>
      </c>
      <c r="C36" s="8" t="str">
        <f>'[5]April_2026 '!D36</f>
        <v>STAG</v>
      </c>
      <c r="D36" s="681"/>
      <c r="E36" s="80">
        <v>1.5368055555555555</v>
      </c>
      <c r="F36" s="80">
        <v>2</v>
      </c>
      <c r="G36" s="81">
        <v>2.0381944444444446</v>
      </c>
      <c r="H36" s="82"/>
      <c r="I36" s="32">
        <f>13+12</f>
        <v>25</v>
      </c>
      <c r="J36" s="86">
        <f>7+2</f>
        <v>9</v>
      </c>
      <c r="K36" s="71"/>
      <c r="L36" s="71"/>
      <c r="M36" s="71"/>
      <c r="N36" s="71"/>
      <c r="O36" s="71">
        <f>'Uncaser Downtime Detail '!AG215</f>
        <v>3</v>
      </c>
      <c r="P36" s="71">
        <f>'Washer Downtime Detail'!BH217</f>
        <v>3</v>
      </c>
      <c r="Q36" s="71">
        <f>'EBI Downtime Detail'!$AI217</f>
        <v>13</v>
      </c>
      <c r="R36" s="71">
        <f>'Filler Downtime Detail'!AK217</f>
        <v>4</v>
      </c>
      <c r="S36" s="71">
        <f>'Pasteurizer Downtime Detail'!Z217</f>
        <v>11</v>
      </c>
      <c r="T36" s="71">
        <f>'Labeler Downtime Detail'!AN214</f>
        <v>70</v>
      </c>
      <c r="U36" s="71">
        <f>'Videojet Downtime Detail '!O215</f>
        <v>0</v>
      </c>
      <c r="V36" s="71">
        <f>'Conveyor Downtime (new)'!AV215</f>
        <v>161</v>
      </c>
      <c r="W36" s="71">
        <f>'Packer Downtime Detail  '!AD215</f>
        <v>0</v>
      </c>
      <c r="X36" s="71">
        <f>'Carton Errector-sealer Detail'!P203</f>
        <v>0</v>
      </c>
      <c r="Y36" s="71"/>
      <c r="Z36" s="43">
        <f>3+3+2+2</f>
        <v>10</v>
      </c>
      <c r="AA36" s="88"/>
      <c r="AB36" s="71"/>
      <c r="AC36" s="71"/>
      <c r="AD36" s="44">
        <f t="shared" si="0"/>
        <v>309</v>
      </c>
      <c r="AE36" s="754"/>
      <c r="AH36" s="3"/>
      <c r="AI36" s="23"/>
      <c r="AJ36" s="23"/>
      <c r="AK36" s="54"/>
      <c r="AL36" s="3"/>
      <c r="AM36" s="3"/>
      <c r="AN36" s="3"/>
      <c r="AO36" s="3"/>
      <c r="AP36" s="3"/>
      <c r="AQ36" s="3"/>
      <c r="AR36" s="3"/>
      <c r="AS36" s="3"/>
      <c r="AT36" s="3"/>
      <c r="AU36" s="3"/>
      <c r="AV36" s="3"/>
      <c r="AW36" s="3"/>
      <c r="AX36" s="3"/>
    </row>
    <row r="37" spans="1:50">
      <c r="A37" s="7">
        <f>'[5]April_2026 '!C37</f>
        <v>14</v>
      </c>
      <c r="B37" s="139">
        <f>'[5]April_2026 '!$B37</f>
        <v>46134</v>
      </c>
      <c r="C37" s="8" t="str">
        <f>'[5]April_2026 '!D37</f>
        <v>STAG</v>
      </c>
      <c r="D37" s="755">
        <v>1</v>
      </c>
      <c r="E37" s="80">
        <v>1.0027777777777778</v>
      </c>
      <c r="F37" s="80">
        <v>1.2208333333333334</v>
      </c>
      <c r="G37" s="94">
        <v>1.2708333333333333</v>
      </c>
      <c r="H37" s="14"/>
      <c r="I37" s="34"/>
      <c r="J37" s="35"/>
      <c r="K37" s="34"/>
      <c r="L37" s="34"/>
      <c r="M37" s="34"/>
      <c r="N37" s="34"/>
      <c r="O37" s="34">
        <f>'Uncaser Downtime Detail '!AG216</f>
        <v>3</v>
      </c>
      <c r="P37" s="34">
        <f>'Washer Downtime Detail'!BH218</f>
        <v>45</v>
      </c>
      <c r="Q37" s="34">
        <f>'EBI Downtime Detail'!$AI218</f>
        <v>0</v>
      </c>
      <c r="R37" s="34">
        <f>'Filler Downtime Detail'!AK218</f>
        <v>2</v>
      </c>
      <c r="S37" s="34">
        <f>'Pasteurizer Downtime Detail'!Z218</f>
        <v>0</v>
      </c>
      <c r="T37" s="34">
        <f>'Labeler Downtime Detail'!AN215</f>
        <v>4</v>
      </c>
      <c r="U37" s="34">
        <f>'Videojet Downtime Detail '!O216</f>
        <v>0</v>
      </c>
      <c r="V37" s="34">
        <f>'Conveyor Downtime (new)'!AV216</f>
        <v>6</v>
      </c>
      <c r="W37" s="34">
        <f>'Packer Downtime Detail  '!AD216</f>
        <v>0</v>
      </c>
      <c r="X37" s="34">
        <f>'Carton Errector-sealer Detail'!P204</f>
        <v>0</v>
      </c>
      <c r="Y37" s="35"/>
      <c r="Z37" s="34">
        <f>3+3</f>
        <v>6</v>
      </c>
      <c r="AA37" s="90"/>
      <c r="AB37" s="89">
        <f>7+2+4+5</f>
        <v>18</v>
      </c>
      <c r="AC37" s="89"/>
      <c r="AD37" s="44">
        <f t="shared" si="0"/>
        <v>84</v>
      </c>
      <c r="AE37" s="754">
        <f>G38-D37</f>
        <v>1.0638888888888891</v>
      </c>
      <c r="AH37" s="3"/>
      <c r="AI37" s="23"/>
      <c r="AJ37" s="23"/>
      <c r="AK37" s="54"/>
      <c r="AL37" s="3"/>
      <c r="AM37" s="3"/>
      <c r="AN37" s="3"/>
      <c r="AO37" s="3"/>
      <c r="AP37" s="3"/>
      <c r="AQ37" s="3"/>
      <c r="AR37" s="3"/>
      <c r="AS37" s="3"/>
      <c r="AT37" s="3"/>
      <c r="AU37" s="3"/>
      <c r="AV37" s="3"/>
      <c r="AW37" s="3"/>
      <c r="AX37" s="3"/>
    </row>
    <row r="38" spans="1:50" ht="12.75" customHeight="1">
      <c r="A38" s="7">
        <f>'[5]April_2026 '!C38</f>
        <v>14</v>
      </c>
      <c r="B38" s="139">
        <f>'[5]April_2026 '!$B38</f>
        <v>46134</v>
      </c>
      <c r="C38" s="8" t="str">
        <f>'[5]April_2026 '!D38</f>
        <v>GUINNESS</v>
      </c>
      <c r="D38" s="755"/>
      <c r="E38" s="80">
        <v>1.2895833333333333</v>
      </c>
      <c r="F38" s="80">
        <v>2.0208333333333335</v>
      </c>
      <c r="G38" s="94">
        <v>2.0638888888888891</v>
      </c>
      <c r="H38" s="82">
        <v>2</v>
      </c>
      <c r="I38" s="32">
        <f>60+5</f>
        <v>65</v>
      </c>
      <c r="J38" s="86">
        <f>11+6+60+5</f>
        <v>82</v>
      </c>
      <c r="K38" s="71"/>
      <c r="L38" s="71">
        <f>7</f>
        <v>7</v>
      </c>
      <c r="M38" s="71"/>
      <c r="N38" s="71"/>
      <c r="O38" s="71">
        <f>'Uncaser Downtime Detail '!AG217</f>
        <v>6</v>
      </c>
      <c r="P38" s="71">
        <f>'Washer Downtime Detail'!BH219</f>
        <v>20</v>
      </c>
      <c r="Q38" s="71">
        <f>'EBI Downtime Detail'!$AI219</f>
        <v>10</v>
      </c>
      <c r="R38" s="71">
        <f>'Filler Downtime Detail'!AK219</f>
        <v>11</v>
      </c>
      <c r="S38" s="71">
        <f>'Pasteurizer Downtime Detail'!Z219</f>
        <v>0</v>
      </c>
      <c r="T38" s="71">
        <f>'Labeler Downtime Detail'!AN216</f>
        <v>6</v>
      </c>
      <c r="U38" s="71">
        <f>'Videojet Downtime Detail '!O217</f>
        <v>4</v>
      </c>
      <c r="V38" s="71">
        <f>'Conveyor Downtime (new)'!AV217</f>
        <v>152</v>
      </c>
      <c r="W38" s="71">
        <f>'Packer Downtime Detail  '!AD217</f>
        <v>15</v>
      </c>
      <c r="X38" s="71">
        <f>'Carton Errector-sealer Detail'!P205</f>
        <v>0</v>
      </c>
      <c r="Y38" s="71"/>
      <c r="Z38" s="43">
        <f>9+4</f>
        <v>13</v>
      </c>
      <c r="AA38" s="88"/>
      <c r="AB38" s="71">
        <f>4+1</f>
        <v>5</v>
      </c>
      <c r="AC38" s="71"/>
      <c r="AD38" s="44">
        <f t="shared" si="0"/>
        <v>398</v>
      </c>
      <c r="AE38" s="754"/>
      <c r="AH38" s="3"/>
      <c r="AI38" s="23"/>
      <c r="AJ38" s="23"/>
      <c r="AK38" s="54"/>
      <c r="AL38" s="3"/>
      <c r="AM38" s="3"/>
      <c r="AN38" s="3"/>
      <c r="AO38" s="3"/>
      <c r="AP38" s="3"/>
      <c r="AQ38" s="3"/>
      <c r="AR38" s="3"/>
      <c r="AS38" s="3"/>
      <c r="AT38" s="3"/>
      <c r="AU38" s="3"/>
      <c r="AV38" s="3"/>
      <c r="AW38" s="3"/>
      <c r="AX38" s="3"/>
    </row>
    <row r="39" spans="1:50" ht="12.75" customHeight="1">
      <c r="A39" s="7">
        <f>'[5]April_2026 '!C39</f>
        <v>15</v>
      </c>
      <c r="B39" s="139">
        <f>'[5]April_2026 '!$B39</f>
        <v>46135</v>
      </c>
      <c r="C39" s="8" t="str">
        <f>'[5]April_2026 '!D39</f>
        <v>CARIB EXPORT (explorer)</v>
      </c>
      <c r="D39" s="681">
        <v>1</v>
      </c>
      <c r="E39" s="80">
        <v>1.0763888888888888</v>
      </c>
      <c r="F39" s="80">
        <v>1.5902777777777777</v>
      </c>
      <c r="G39" s="94">
        <v>0.65069444444444446</v>
      </c>
      <c r="H39" s="14">
        <f>7+4</f>
        <v>11</v>
      </c>
      <c r="I39" s="34">
        <f>30+46+4</f>
        <v>80</v>
      </c>
      <c r="J39" s="35">
        <f>35</f>
        <v>35</v>
      </c>
      <c r="K39" s="34"/>
      <c r="L39" s="34"/>
      <c r="M39" s="34"/>
      <c r="N39" s="34"/>
      <c r="O39" s="34">
        <f>'Uncaser Downtime Detail '!AG218</f>
        <v>0</v>
      </c>
      <c r="P39" s="34">
        <f>'Washer Downtime Detail'!BH220</f>
        <v>289</v>
      </c>
      <c r="Q39" s="34">
        <f>'EBI Downtime Detail'!$AI220</f>
        <v>2</v>
      </c>
      <c r="R39" s="34">
        <f>'Filler Downtime Detail'!AK220</f>
        <v>2</v>
      </c>
      <c r="S39" s="34">
        <f>'Pasteurizer Downtime Detail'!Z220</f>
        <v>0</v>
      </c>
      <c r="T39" s="34">
        <f>'Labeler Downtime Detail'!AN217</f>
        <v>12</v>
      </c>
      <c r="U39" s="34">
        <f>'Videojet Downtime Detail '!O218</f>
        <v>0</v>
      </c>
      <c r="V39" s="34">
        <f>'Conveyor Downtime (new)'!AV218</f>
        <v>6</v>
      </c>
      <c r="W39" s="34">
        <f>'Packer Downtime Detail  '!AD218</f>
        <v>34</v>
      </c>
      <c r="X39" s="34">
        <f>'Carton Errector-sealer Detail'!P206</f>
        <v>51</v>
      </c>
      <c r="Y39" s="35"/>
      <c r="Z39" s="34"/>
      <c r="AA39" s="90"/>
      <c r="AB39" s="89">
        <v>2</v>
      </c>
      <c r="AC39" s="89"/>
      <c r="AD39" s="44">
        <f t="shared" si="0"/>
        <v>524</v>
      </c>
      <c r="AE39" s="754">
        <f>G40-D39</f>
        <v>1.03125</v>
      </c>
      <c r="AH39" s="3"/>
      <c r="AI39" s="23"/>
      <c r="AJ39" s="23"/>
      <c r="AK39" s="54"/>
      <c r="AL39" s="3"/>
      <c r="AM39" s="3"/>
      <c r="AN39" s="3"/>
      <c r="AO39" s="3"/>
      <c r="AP39" s="3"/>
      <c r="AQ39" s="3"/>
      <c r="AR39" s="3"/>
      <c r="AS39" s="3"/>
      <c r="AT39" s="3"/>
      <c r="AU39" s="3"/>
      <c r="AV39" s="3"/>
      <c r="AW39" s="3"/>
      <c r="AX39" s="3"/>
    </row>
    <row r="40" spans="1:50">
      <c r="A40" s="7">
        <f>'[5]April_2026 '!C40</f>
        <v>15</v>
      </c>
      <c r="B40" s="139">
        <f>'[5]April_2026 '!$B40</f>
        <v>46135</v>
      </c>
      <c r="C40" s="8" t="str">
        <f>'[5]April_2026 '!D40</f>
        <v>CARIB AMBER (SHORT)</v>
      </c>
      <c r="D40" s="681"/>
      <c r="E40" s="80">
        <v>1.6020833333333333</v>
      </c>
      <c r="F40" s="80">
        <v>2</v>
      </c>
      <c r="G40" s="162">
        <v>2.03125</v>
      </c>
      <c r="H40" s="82">
        <f>3+8</f>
        <v>11</v>
      </c>
      <c r="I40" s="32">
        <f>17+27</f>
        <v>44</v>
      </c>
      <c r="J40" s="86">
        <f>1</f>
        <v>1</v>
      </c>
      <c r="K40" s="71"/>
      <c r="L40" s="71"/>
      <c r="M40" s="71"/>
      <c r="N40" s="71"/>
      <c r="O40" s="71">
        <f>'Uncaser Downtime Detail '!AG219</f>
        <v>2</v>
      </c>
      <c r="P40" s="71">
        <f>'Washer Downtime Detail'!BH221</f>
        <v>8</v>
      </c>
      <c r="Q40" s="71">
        <f>'EBI Downtime Detail'!$AI221</f>
        <v>18</v>
      </c>
      <c r="R40" s="71">
        <f>'Filler Downtime Detail'!AK221</f>
        <v>14</v>
      </c>
      <c r="S40" s="71">
        <f>'Pasteurizer Downtime Detail'!Z221</f>
        <v>0</v>
      </c>
      <c r="T40" s="71">
        <f>'Labeler Downtime Detail'!AN218</f>
        <v>5</v>
      </c>
      <c r="U40" s="71">
        <f>'Videojet Downtime Detail '!O219</f>
        <v>0</v>
      </c>
      <c r="V40" s="71">
        <f>'Conveyor Downtime (new)'!AV219</f>
        <v>257</v>
      </c>
      <c r="W40" s="71">
        <f>'Packer Downtime Detail  '!AD219</f>
        <v>1</v>
      </c>
      <c r="X40" s="71">
        <f>'Carton Errector-sealer Detail'!P207</f>
        <v>0</v>
      </c>
      <c r="Y40" s="71"/>
      <c r="Z40" s="43">
        <v>2</v>
      </c>
      <c r="AA40" s="88"/>
      <c r="AB40" s="71"/>
      <c r="AC40" s="71"/>
      <c r="AD40" s="44">
        <f t="shared" si="0"/>
        <v>363</v>
      </c>
      <c r="AE40" s="754"/>
      <c r="AH40" s="3"/>
      <c r="AI40" s="23"/>
      <c r="AJ40" s="23"/>
      <c r="AK40" s="54"/>
      <c r="AL40" s="3"/>
      <c r="AM40" s="3"/>
      <c r="AN40" s="3"/>
      <c r="AO40" s="3"/>
      <c r="AP40" s="3"/>
      <c r="AQ40" s="3"/>
      <c r="AR40" s="3"/>
      <c r="AS40" s="3"/>
      <c r="AT40" s="3"/>
      <c r="AU40" s="3"/>
      <c r="AV40" s="3"/>
      <c r="AW40" s="3"/>
      <c r="AX40" s="3"/>
    </row>
    <row r="41" spans="1:50">
      <c r="A41" s="7">
        <f>'[5]April_2026 '!C41</f>
        <v>16</v>
      </c>
      <c r="B41" s="139">
        <f>'[5]April_2026 '!$B41</f>
        <v>46136</v>
      </c>
      <c r="C41" s="8" t="str">
        <f>'[5]April_2026 '!D41</f>
        <v>CARIB AMBER (SHORT)</v>
      </c>
      <c r="D41" s="755">
        <v>1</v>
      </c>
      <c r="E41" s="80">
        <v>1.0784722222222223</v>
      </c>
      <c r="F41" s="80">
        <v>1.1229166666666666</v>
      </c>
      <c r="G41" s="162"/>
      <c r="H41" s="14"/>
      <c r="I41" s="34"/>
      <c r="J41" s="35">
        <v>3</v>
      </c>
      <c r="K41" s="34"/>
      <c r="L41" s="34"/>
      <c r="M41" s="34"/>
      <c r="N41" s="34"/>
      <c r="O41" s="34">
        <f>'Uncaser Downtime Detail '!AG220</f>
        <v>0</v>
      </c>
      <c r="P41" s="34">
        <f>'Washer Downtime Detail'!BH222</f>
        <v>5</v>
      </c>
      <c r="Q41" s="34">
        <f>'EBI Downtime Detail'!$AI222</f>
        <v>2</v>
      </c>
      <c r="R41" s="34">
        <f>'Filler Downtime Detail'!AK222</f>
        <v>0</v>
      </c>
      <c r="S41" s="34">
        <f>'Pasteurizer Downtime Detail'!Z222</f>
        <v>0</v>
      </c>
      <c r="T41" s="34">
        <f>'Labeler Downtime Detail'!AN219</f>
        <v>3</v>
      </c>
      <c r="U41" s="34">
        <f>'Videojet Downtime Detail '!O220</f>
        <v>0</v>
      </c>
      <c r="V41" s="34">
        <f>'Conveyor Downtime (new)'!AV220</f>
        <v>65</v>
      </c>
      <c r="W41" s="34">
        <f>'Packer Downtime Detail  '!AD220</f>
        <v>0</v>
      </c>
      <c r="X41" s="34">
        <f>'Carton Errector-sealer Detail'!P208</f>
        <v>0</v>
      </c>
      <c r="Y41" s="35"/>
      <c r="Z41" s="34">
        <f>6</f>
        <v>6</v>
      </c>
      <c r="AA41" s="90"/>
      <c r="AB41" s="89"/>
      <c r="AC41" s="89"/>
      <c r="AD41" s="44">
        <f t="shared" si="0"/>
        <v>84</v>
      </c>
      <c r="AE41" s="754">
        <f>G42-D41</f>
        <v>0.875</v>
      </c>
      <c r="AH41" s="3"/>
      <c r="AI41" s="23"/>
      <c r="AJ41" s="23"/>
      <c r="AK41" s="54"/>
      <c r="AL41" s="3"/>
      <c r="AM41" s="3"/>
      <c r="AN41" s="3"/>
      <c r="AO41" s="3"/>
      <c r="AP41" s="3"/>
      <c r="AQ41" s="3"/>
      <c r="AR41" s="3"/>
      <c r="AS41" s="3"/>
      <c r="AT41" s="3"/>
      <c r="AU41" s="3"/>
      <c r="AV41" s="3"/>
      <c r="AW41" s="3"/>
      <c r="AX41" s="3"/>
    </row>
    <row r="42" spans="1:50">
      <c r="A42" s="7">
        <f>'[5]April_2026 '!C42</f>
        <v>16</v>
      </c>
      <c r="B42" s="139">
        <f>'[5]April_2026 '!$B42</f>
        <v>46136</v>
      </c>
      <c r="C42" s="8" t="str">
        <f>'[5]April_2026 '!D42</f>
        <v>CARIB AMBER</v>
      </c>
      <c r="D42" s="755"/>
      <c r="E42" s="80">
        <v>1.1312500000000001</v>
      </c>
      <c r="F42" s="80">
        <v>1.5465277777777777</v>
      </c>
      <c r="G42" s="162">
        <v>1.875</v>
      </c>
      <c r="H42" s="82"/>
      <c r="I42" s="32">
        <f>3+9+7</f>
        <v>19</v>
      </c>
      <c r="J42" s="86">
        <f>2+8</f>
        <v>10</v>
      </c>
      <c r="K42" s="71"/>
      <c r="L42" s="71"/>
      <c r="M42" s="71"/>
      <c r="N42" s="71"/>
      <c r="O42" s="71">
        <f>'Uncaser Downtime Detail '!AG221</f>
        <v>4</v>
      </c>
      <c r="P42" s="71">
        <f>'Washer Downtime Detail'!BH223</f>
        <v>688</v>
      </c>
      <c r="Q42" s="71">
        <f>'EBI Downtime Detail'!$AI223</f>
        <v>29</v>
      </c>
      <c r="R42" s="71">
        <f>'Filler Downtime Detail'!AK223</f>
        <v>0</v>
      </c>
      <c r="S42" s="71">
        <f>'Pasteurizer Downtime Detail'!Z223</f>
        <v>0</v>
      </c>
      <c r="T42" s="71">
        <f>'Labeler Downtime Detail'!AN220</f>
        <v>15</v>
      </c>
      <c r="U42" s="71">
        <f>'Videojet Downtime Detail '!O221</f>
        <v>0</v>
      </c>
      <c r="V42" s="71">
        <f>'Conveyor Downtime (new)'!AV221</f>
        <v>17</v>
      </c>
      <c r="W42" s="71">
        <f>'Packer Downtime Detail  '!AD221</f>
        <v>9</v>
      </c>
      <c r="X42" s="71">
        <f>'Carton Errector-sealer Detail'!P209</f>
        <v>0</v>
      </c>
      <c r="Y42" s="71"/>
      <c r="Z42" s="43">
        <f>2+4+2+8</f>
        <v>16</v>
      </c>
      <c r="AA42" s="88"/>
      <c r="AB42" s="71"/>
      <c r="AC42" s="71"/>
      <c r="AD42" s="44">
        <f t="shared" si="0"/>
        <v>807</v>
      </c>
      <c r="AE42" s="754"/>
      <c r="AH42" s="3"/>
      <c r="AI42" s="23"/>
      <c r="AJ42" s="23"/>
      <c r="AK42" s="54"/>
      <c r="AL42" s="3"/>
      <c r="AM42" s="3"/>
      <c r="AN42" s="3"/>
      <c r="AO42" s="3"/>
      <c r="AP42" s="3"/>
      <c r="AQ42" s="3"/>
      <c r="AR42" s="3"/>
      <c r="AS42" s="3"/>
      <c r="AT42" s="3"/>
      <c r="AU42" s="3"/>
      <c r="AV42" s="3"/>
      <c r="AW42" s="3"/>
      <c r="AX42" s="3"/>
    </row>
    <row r="43" spans="1:50" ht="14.25" customHeight="1">
      <c r="A43" s="7">
        <f>'[5]April_2026 '!C43</f>
        <v>17</v>
      </c>
      <c r="B43" s="139">
        <f>'[5]April_2026 '!$B43</f>
        <v>46139</v>
      </c>
      <c r="C43" s="8" t="str">
        <f>'[5]April_2026 '!D43</f>
        <v xml:space="preserve">STAR MALT </v>
      </c>
      <c r="D43" s="159">
        <v>1</v>
      </c>
      <c r="E43" s="80">
        <v>1.1666666666666667</v>
      </c>
      <c r="F43" s="80">
        <v>1.9576388888888889</v>
      </c>
      <c r="G43" s="94">
        <v>1.9993055555555554</v>
      </c>
      <c r="H43" s="14">
        <f>2+2</f>
        <v>4</v>
      </c>
      <c r="I43" s="34"/>
      <c r="J43" s="35">
        <v>2</v>
      </c>
      <c r="K43" s="34">
        <f>7+6</f>
        <v>13</v>
      </c>
      <c r="L43" s="34">
        <f>22</f>
        <v>22</v>
      </c>
      <c r="M43" s="34"/>
      <c r="N43" s="34">
        <f>60+40+20+55</f>
        <v>175</v>
      </c>
      <c r="O43" s="34">
        <f>'Uncaser Downtime Detail '!AG222</f>
        <v>26</v>
      </c>
      <c r="P43" s="34">
        <f>'Washer Downtime Detail'!BH224</f>
        <v>20</v>
      </c>
      <c r="Q43" s="34">
        <f>'EBI Downtime Detail'!$AI224</f>
        <v>31</v>
      </c>
      <c r="R43" s="34">
        <f>'Filler Downtime Detail'!AK224</f>
        <v>98</v>
      </c>
      <c r="S43" s="34">
        <f>'Pasteurizer Downtime Detail'!Z224</f>
        <v>0</v>
      </c>
      <c r="T43" s="34">
        <f>'Labeler Downtime Detail'!AN221</f>
        <v>10</v>
      </c>
      <c r="U43" s="34">
        <f>'Videojet Downtime Detail '!O222</f>
        <v>0</v>
      </c>
      <c r="V43" s="34">
        <f>'Conveyor Downtime (new)'!AV222</f>
        <v>73</v>
      </c>
      <c r="W43" s="34">
        <f>'Packer Downtime Detail  '!AD222</f>
        <v>53</v>
      </c>
      <c r="X43" s="34">
        <f>'Carton Errector-sealer Detail'!P210</f>
        <v>0</v>
      </c>
      <c r="Y43" s="35"/>
      <c r="Z43" s="34">
        <f>1+5</f>
        <v>6</v>
      </c>
      <c r="AA43" s="90"/>
      <c r="AB43" s="89">
        <f>5+2+3+6</f>
        <v>16</v>
      </c>
      <c r="AC43" s="89"/>
      <c r="AD43" s="44">
        <f t="shared" si="0"/>
        <v>549</v>
      </c>
      <c r="AE43" s="45">
        <f>G43-D43</f>
        <v>0.99930555555555545</v>
      </c>
      <c r="AH43" s="3"/>
      <c r="AI43" s="23"/>
      <c r="AJ43" s="23"/>
      <c r="AK43" s="54"/>
      <c r="AL43" s="3"/>
      <c r="AM43" s="3"/>
      <c r="AN43" s="3"/>
      <c r="AO43" s="3"/>
      <c r="AP43" s="3"/>
      <c r="AQ43" s="3"/>
      <c r="AR43" s="3"/>
      <c r="AS43" s="3"/>
      <c r="AT43" s="3"/>
      <c r="AU43" s="3"/>
      <c r="AV43" s="3"/>
      <c r="AW43" s="3"/>
      <c r="AX43" s="3"/>
    </row>
    <row r="44" spans="1:50">
      <c r="A44" s="7">
        <f>'[5]April_2026 '!C44</f>
        <v>18</v>
      </c>
      <c r="B44" s="139">
        <f>'[5]April_2026 '!$B44</f>
        <v>46140</v>
      </c>
      <c r="C44" s="8" t="str">
        <f>'[5]April_2026 '!D44</f>
        <v>CARIB</v>
      </c>
      <c r="D44" s="93">
        <v>1</v>
      </c>
      <c r="E44" s="80">
        <v>1.0027777777777778</v>
      </c>
      <c r="F44" s="80">
        <v>2</v>
      </c>
      <c r="G44" s="94">
        <v>2.0444444444444443</v>
      </c>
      <c r="H44" s="82"/>
      <c r="I44" s="32">
        <f>60+4</f>
        <v>64</v>
      </c>
      <c r="J44" s="86">
        <f>1</f>
        <v>1</v>
      </c>
      <c r="K44" s="71"/>
      <c r="L44" s="71">
        <f>12</f>
        <v>12</v>
      </c>
      <c r="M44" s="71"/>
      <c r="N44" s="71"/>
      <c r="O44" s="71">
        <f>'Uncaser Downtime Detail '!AG223</f>
        <v>3</v>
      </c>
      <c r="P44" s="71">
        <f>'Washer Downtime Detail'!BH225</f>
        <v>17</v>
      </c>
      <c r="Q44" s="71">
        <f>'EBI Downtime Detail'!$AI225</f>
        <v>11</v>
      </c>
      <c r="R44" s="71">
        <f>'Filler Downtime Detail'!AK225</f>
        <v>42</v>
      </c>
      <c r="S44" s="71">
        <f>'Pasteurizer Downtime Detail'!Z225</f>
        <v>0</v>
      </c>
      <c r="T44" s="71">
        <f>'Labeler Downtime Detail'!AN222</f>
        <v>15</v>
      </c>
      <c r="U44" s="71">
        <f>'Videojet Downtime Detail '!O223</f>
        <v>0</v>
      </c>
      <c r="V44" s="71">
        <f>'Conveyor Downtime (new)'!AV223</f>
        <v>464</v>
      </c>
      <c r="W44" s="71">
        <f>'Packer Downtime Detail  '!AD223</f>
        <v>19</v>
      </c>
      <c r="X44" s="71">
        <f>'Carton Errector-sealer Detail'!P211</f>
        <v>0</v>
      </c>
      <c r="Y44" s="71"/>
      <c r="Z44" s="43">
        <f>4+4</f>
        <v>8</v>
      </c>
      <c r="AA44" s="88">
        <v>1</v>
      </c>
      <c r="AB44" s="71">
        <v>2</v>
      </c>
      <c r="AC44" s="71"/>
      <c r="AD44" s="44">
        <f t="shared" si="0"/>
        <v>659</v>
      </c>
      <c r="AE44" s="45">
        <f>G44-D44</f>
        <v>1.0444444444444443</v>
      </c>
      <c r="AH44" s="3"/>
      <c r="AI44" s="23"/>
      <c r="AJ44" s="23"/>
      <c r="AK44" s="54"/>
      <c r="AL44" s="3"/>
      <c r="AM44" s="3"/>
      <c r="AN44" s="3"/>
      <c r="AO44" s="3"/>
      <c r="AP44" s="3"/>
      <c r="AQ44" s="3"/>
      <c r="AR44" s="3"/>
      <c r="AS44" s="3"/>
      <c r="AT44" s="3"/>
      <c r="AU44" s="3"/>
      <c r="AV44" s="3"/>
      <c r="AW44" s="3"/>
      <c r="AX44" s="3"/>
    </row>
    <row r="45" spans="1:50">
      <c r="A45" s="7">
        <f>'[5]April_2026 '!C45</f>
        <v>19</v>
      </c>
      <c r="B45" s="139">
        <f>'[5]April_2026 '!$B45</f>
        <v>46141</v>
      </c>
      <c r="C45" s="8" t="str">
        <f>'[5]April_2026 '!D45</f>
        <v>CARIB AMBER</v>
      </c>
      <c r="D45" s="681">
        <v>1</v>
      </c>
      <c r="E45" s="80">
        <v>1.0090277777777779</v>
      </c>
      <c r="F45" s="80">
        <v>1.6402777777777777</v>
      </c>
      <c r="G45" s="81">
        <v>0.69652777777777775</v>
      </c>
      <c r="H45" s="14"/>
      <c r="I45" s="34"/>
      <c r="J45" s="35"/>
      <c r="K45" s="34"/>
      <c r="L45" s="34"/>
      <c r="M45" s="34"/>
      <c r="N45" s="34"/>
      <c r="O45" s="34">
        <f>'Uncaser Downtime Detail '!AG224</f>
        <v>17</v>
      </c>
      <c r="P45" s="34">
        <f>'Washer Downtime Detail'!BH226</f>
        <v>0</v>
      </c>
      <c r="Q45" s="34">
        <f>'EBI Downtime Detail'!$AI226</f>
        <v>4</v>
      </c>
      <c r="R45" s="34">
        <f>'Filler Downtime Detail'!AK226</f>
        <v>57</v>
      </c>
      <c r="S45" s="34">
        <f>'Pasteurizer Downtime Detail'!Z226</f>
        <v>0</v>
      </c>
      <c r="T45" s="34">
        <f>'Labeler Downtime Detail'!AN223</f>
        <v>15</v>
      </c>
      <c r="U45" s="34">
        <f>'Videojet Downtime Detail '!O224</f>
        <v>0</v>
      </c>
      <c r="V45" s="34">
        <f>'Conveyor Downtime (new)'!AV224</f>
        <v>81</v>
      </c>
      <c r="W45" s="34">
        <f>'Packer Downtime Detail  '!AD224</f>
        <v>0</v>
      </c>
      <c r="X45" s="34">
        <f>'Carton Errector-sealer Detail'!P212</f>
        <v>0</v>
      </c>
      <c r="Y45" s="35"/>
      <c r="Z45" s="34"/>
      <c r="AA45" s="90"/>
      <c r="AB45" s="89"/>
      <c r="AC45" s="89"/>
      <c r="AD45" s="44">
        <f t="shared" si="0"/>
        <v>174</v>
      </c>
      <c r="AE45" s="754">
        <f>G46-D45</f>
        <v>1.0763888888888888</v>
      </c>
      <c r="AH45" s="3"/>
      <c r="AI45" s="23"/>
      <c r="AJ45" s="23"/>
      <c r="AK45" s="54"/>
      <c r="AL45" s="3"/>
      <c r="AM45" s="3"/>
      <c r="AN45" s="3"/>
      <c r="AO45" s="3"/>
      <c r="AP45" s="3"/>
      <c r="AQ45" s="3"/>
      <c r="AR45" s="3"/>
      <c r="AS45" s="3"/>
      <c r="AT45" s="3"/>
      <c r="AU45" s="3"/>
      <c r="AV45" s="3"/>
      <c r="AW45" s="3"/>
      <c r="AX45" s="3"/>
    </row>
    <row r="46" spans="1:50">
      <c r="A46" s="7">
        <f>'[5]April_2026 '!C46</f>
        <v>19</v>
      </c>
      <c r="B46" s="139">
        <f>'[5]April_2026 '!$B46</f>
        <v>46141</v>
      </c>
      <c r="C46" s="8" t="str">
        <f>'[5]April_2026 '!D46</f>
        <v>STAG</v>
      </c>
      <c r="D46" s="681"/>
      <c r="E46" s="80">
        <v>1.6631944444444444</v>
      </c>
      <c r="F46" s="80">
        <v>2</v>
      </c>
      <c r="G46" s="81">
        <v>2.0763888888888888</v>
      </c>
      <c r="H46" s="82"/>
      <c r="I46" s="32">
        <f>3+15</f>
        <v>18</v>
      </c>
      <c r="J46" s="86"/>
      <c r="K46" s="71"/>
      <c r="L46" s="3"/>
      <c r="M46" s="71"/>
      <c r="N46" s="71"/>
      <c r="O46" s="71">
        <f>'Uncaser Downtime Detail '!AG225</f>
        <v>0</v>
      </c>
      <c r="P46" s="71">
        <f>'Washer Downtime Detail'!BH227</f>
        <v>24</v>
      </c>
      <c r="Q46" s="71">
        <f>'EBI Downtime Detail'!$AI227</f>
        <v>11</v>
      </c>
      <c r="R46" s="71">
        <f>'Filler Downtime Detail'!AK227</f>
        <v>3</v>
      </c>
      <c r="S46" s="71">
        <f>'Pasteurizer Downtime Detail'!Z227</f>
        <v>0</v>
      </c>
      <c r="T46" s="71">
        <f>'Labeler Downtime Detail'!AN224</f>
        <v>6</v>
      </c>
      <c r="U46" s="71">
        <f>'Videojet Downtime Detail '!O225</f>
        <v>12</v>
      </c>
      <c r="V46" s="71">
        <f>'Conveyor Downtime (new)'!AV225</f>
        <v>37</v>
      </c>
      <c r="W46" s="71">
        <f>'Packer Downtime Detail  '!AD225</f>
        <v>0</v>
      </c>
      <c r="X46" s="71">
        <f>'Carton Errector-sealer Detail'!P213</f>
        <v>0</v>
      </c>
      <c r="Y46" s="71"/>
      <c r="Z46" s="43">
        <f>15+29+3</f>
        <v>47</v>
      </c>
      <c r="AA46" s="88">
        <v>3</v>
      </c>
      <c r="AB46" s="71">
        <v>5</v>
      </c>
      <c r="AC46" s="71"/>
      <c r="AD46" s="44">
        <f t="shared" si="0"/>
        <v>166</v>
      </c>
      <c r="AE46" s="754"/>
      <c r="AH46" s="3"/>
      <c r="AI46" s="23"/>
      <c r="AJ46" s="23"/>
      <c r="AK46" s="54"/>
      <c r="AL46" s="3"/>
      <c r="AM46" s="3"/>
      <c r="AN46" s="3"/>
      <c r="AO46" s="3"/>
      <c r="AP46" s="3"/>
      <c r="AQ46" s="3"/>
      <c r="AR46" s="3"/>
      <c r="AS46" s="3"/>
      <c r="AT46" s="3"/>
      <c r="AU46" s="3"/>
      <c r="AV46" s="3"/>
      <c r="AW46" s="3"/>
      <c r="AX46" s="3"/>
    </row>
    <row r="47" spans="1:50">
      <c r="A47" s="7">
        <f>'[5]April_2026 '!C47</f>
        <v>20</v>
      </c>
      <c r="B47" s="139">
        <f>'[5]April_2026 '!$B47</f>
        <v>46142</v>
      </c>
      <c r="C47" s="8" t="str">
        <f>'[5]April_2026 '!D47</f>
        <v>STAG</v>
      </c>
      <c r="D47" s="681">
        <v>1</v>
      </c>
      <c r="E47" s="80">
        <v>1.0069444444444444</v>
      </c>
      <c r="F47" s="80">
        <v>1.2652777777777777</v>
      </c>
      <c r="G47" s="81"/>
      <c r="H47" s="14"/>
      <c r="I47" s="34"/>
      <c r="J47" s="35"/>
      <c r="K47" s="34"/>
      <c r="L47" s="34"/>
      <c r="M47" s="34"/>
      <c r="N47" s="34"/>
      <c r="O47" s="34">
        <f>'Uncaser Downtime Detail '!AG226</f>
        <v>0</v>
      </c>
      <c r="P47" s="34">
        <f>'Washer Downtime Detail'!BH228</f>
        <v>0</v>
      </c>
      <c r="Q47" s="34">
        <f>'EBI Downtime Detail'!$AI228</f>
        <v>2</v>
      </c>
      <c r="R47" s="34">
        <f>'Filler Downtime Detail'!AK228</f>
        <v>5</v>
      </c>
      <c r="S47" s="34">
        <f>'Pasteurizer Downtime Detail'!Z228</f>
        <v>0</v>
      </c>
      <c r="T47" s="34">
        <f>'Labeler Downtime Detail'!AN225</f>
        <v>13</v>
      </c>
      <c r="U47" s="34">
        <f>'Videojet Downtime Detail '!O226</f>
        <v>0</v>
      </c>
      <c r="V47" s="34">
        <f>'Conveyor Downtime (new)'!AV226</f>
        <v>71</v>
      </c>
      <c r="W47" s="34">
        <f>'Packer Downtime Detail  '!AD226</f>
        <v>8</v>
      </c>
      <c r="X47" s="34">
        <f>'Carton Errector-sealer Detail'!P214</f>
        <v>0</v>
      </c>
      <c r="Y47" s="35"/>
      <c r="Z47" s="34">
        <v>10</v>
      </c>
      <c r="AA47" s="90"/>
      <c r="AB47" s="89"/>
      <c r="AC47" s="89"/>
      <c r="AD47" s="44">
        <f t="shared" si="0"/>
        <v>109</v>
      </c>
      <c r="AE47" s="754">
        <f>G48-D47</f>
        <v>0.98263888888888884</v>
      </c>
      <c r="AH47" s="3"/>
      <c r="AI47" s="3"/>
      <c r="AJ47" s="3"/>
      <c r="AK47" s="3"/>
      <c r="AL47" s="3"/>
      <c r="AM47" s="3"/>
      <c r="AN47" s="3"/>
      <c r="AO47" s="3"/>
      <c r="AP47" s="3"/>
      <c r="AQ47" s="3"/>
      <c r="AR47" s="3"/>
      <c r="AS47" s="3"/>
      <c r="AT47" s="3"/>
      <c r="AU47" s="3"/>
      <c r="AV47" s="3"/>
      <c r="AW47" s="3"/>
      <c r="AX47" s="3"/>
    </row>
    <row r="48" spans="1:50">
      <c r="A48" s="7">
        <f>'[5]April_2026 '!C48</f>
        <v>21</v>
      </c>
      <c r="B48" s="139">
        <f>'[5]April_2026 '!$B48</f>
        <v>46142</v>
      </c>
      <c r="C48" s="8" t="str">
        <f>'[5]April_2026 '!D48</f>
        <v>GINSENG ORIGINAL</v>
      </c>
      <c r="D48" s="681"/>
      <c r="E48" s="81">
        <v>1.3472222222222223</v>
      </c>
      <c r="F48" s="81">
        <v>1.9236111111111112</v>
      </c>
      <c r="G48" s="81">
        <v>1.9826388888888888</v>
      </c>
      <c r="H48" s="82"/>
      <c r="I48" s="32">
        <f>51+20</f>
        <v>71</v>
      </c>
      <c r="J48" s="86">
        <f>2+3</f>
        <v>5</v>
      </c>
      <c r="K48" s="71"/>
      <c r="L48" s="71"/>
      <c r="M48" s="71"/>
      <c r="N48" s="71"/>
      <c r="O48" s="71">
        <f>'Uncaser Downtime Detail '!AG227</f>
        <v>0</v>
      </c>
      <c r="P48" s="71">
        <f>'Washer Downtime Detail'!BH229</f>
        <v>41</v>
      </c>
      <c r="Q48" s="71">
        <f>'EBI Downtime Detail'!$AI229</f>
        <v>68</v>
      </c>
      <c r="R48" s="71">
        <f>'Filler Downtime Detail'!AK229</f>
        <v>3</v>
      </c>
      <c r="S48" s="71">
        <f>'Pasteurizer Downtime Detail'!Z229</f>
        <v>29</v>
      </c>
      <c r="T48" s="71">
        <f>'Labeler Downtime Detail'!AN226</f>
        <v>0</v>
      </c>
      <c r="U48" s="71">
        <f>'Videojet Downtime Detail '!O227</f>
        <v>0</v>
      </c>
      <c r="V48" s="71">
        <f>'Conveyor Downtime (new)'!AV227</f>
        <v>81</v>
      </c>
      <c r="W48" s="71">
        <f>'Packer Downtime Detail  '!AD227</f>
        <v>32</v>
      </c>
      <c r="X48" s="71">
        <f>'Carton Errector-sealer Detail'!P215</f>
        <v>0</v>
      </c>
      <c r="Y48" s="71"/>
      <c r="Z48" s="43">
        <f>7</f>
        <v>7</v>
      </c>
      <c r="AA48" s="88"/>
      <c r="AB48" s="71">
        <f>5+4</f>
        <v>9</v>
      </c>
      <c r="AC48" s="71"/>
      <c r="AD48" s="44">
        <f t="shared" si="0"/>
        <v>346</v>
      </c>
      <c r="AE48" s="754"/>
      <c r="AH48" s="3"/>
      <c r="AI48" s="3"/>
      <c r="AJ48" s="3"/>
      <c r="AK48" s="3"/>
      <c r="AL48" s="3"/>
      <c r="AM48" s="3"/>
      <c r="AN48" s="3"/>
      <c r="AO48" s="3"/>
      <c r="AP48" s="3"/>
      <c r="AQ48" s="3"/>
      <c r="AR48" s="3"/>
      <c r="AS48" s="3"/>
      <c r="AT48" s="3"/>
      <c r="AU48" s="3"/>
      <c r="AV48" s="3"/>
      <c r="AW48" s="3"/>
      <c r="AX48" s="3"/>
    </row>
    <row r="49" spans="1:50">
      <c r="A49" s="7">
        <f>'[5]April_2026 '!C49</f>
        <v>0</v>
      </c>
      <c r="B49" s="139">
        <f>'[5]April_2026 '!$B49</f>
        <v>0</v>
      </c>
      <c r="C49" s="8">
        <f>'[5]April_2026 '!D49</f>
        <v>0</v>
      </c>
      <c r="D49" s="85"/>
      <c r="E49" s="81"/>
      <c r="F49" s="81"/>
      <c r="G49" s="81"/>
      <c r="H49" s="14"/>
      <c r="I49" s="34"/>
      <c r="J49" s="35"/>
      <c r="K49" s="34"/>
      <c r="L49" s="34"/>
      <c r="M49" s="34"/>
      <c r="N49" s="34"/>
      <c r="O49" s="34">
        <f>'Uncaser Downtime Detail '!AG228</f>
        <v>0</v>
      </c>
      <c r="P49" s="34">
        <f>'Washer Downtime Detail'!BH230</f>
        <v>0</v>
      </c>
      <c r="Q49" s="34">
        <f>'EBI Downtime Detail'!$AI230</f>
        <v>0</v>
      </c>
      <c r="R49" s="34">
        <f>'Filler Downtime Detail'!AK230</f>
        <v>0</v>
      </c>
      <c r="S49" s="34">
        <f>'Pasteurizer Downtime Detail'!Z230</f>
        <v>0</v>
      </c>
      <c r="T49" s="34">
        <f>'Labeler Downtime Detail'!AN227</f>
        <v>0</v>
      </c>
      <c r="U49" s="34">
        <f>'Videojet Downtime Detail '!O228</f>
        <v>0</v>
      </c>
      <c r="V49" s="34">
        <f>'Conveyor Downtime (new)'!AV228</f>
        <v>0</v>
      </c>
      <c r="W49" s="34">
        <f>'Packer Downtime Detail  '!AD228</f>
        <v>0</v>
      </c>
      <c r="X49" s="34">
        <f>'Carton Errector-sealer Detail'!P216</f>
        <v>0</v>
      </c>
      <c r="Y49" s="35"/>
      <c r="Z49" s="34"/>
      <c r="AA49" s="90"/>
      <c r="AB49" s="89"/>
      <c r="AC49" s="89"/>
      <c r="AD49" s="44">
        <f t="shared" si="0"/>
        <v>0</v>
      </c>
      <c r="AE49" s="91"/>
      <c r="AH49" s="3"/>
      <c r="AI49" s="3"/>
      <c r="AJ49" s="3"/>
      <c r="AK49" s="3"/>
      <c r="AL49" s="3"/>
      <c r="AM49" s="3"/>
      <c r="AN49" s="3"/>
      <c r="AO49" s="3"/>
      <c r="AP49" s="3"/>
      <c r="AQ49" s="3"/>
      <c r="AR49" s="3"/>
      <c r="AS49" s="3"/>
      <c r="AT49" s="3"/>
      <c r="AU49" s="3"/>
      <c r="AV49" s="3"/>
      <c r="AW49" s="3"/>
      <c r="AX49" s="3"/>
    </row>
    <row r="50" spans="1:50">
      <c r="A50" s="7">
        <f>'[5]April_2026 '!C50</f>
        <v>0</v>
      </c>
      <c r="B50" s="139">
        <f>'[5]April_2026 '!$B50</f>
        <v>0</v>
      </c>
      <c r="C50" s="8">
        <f>'[5]April_2026 '!D50</f>
        <v>0</v>
      </c>
      <c r="D50" s="85"/>
      <c r="E50" s="81"/>
      <c r="F50" s="81"/>
      <c r="G50" s="94"/>
      <c r="H50" s="82"/>
      <c r="I50" s="32"/>
      <c r="J50" s="86"/>
      <c r="K50" s="71"/>
      <c r="L50" s="71"/>
      <c r="M50" s="71"/>
      <c r="N50" s="71"/>
      <c r="O50" s="71">
        <f>'Uncaser Downtime Detail '!AG229</f>
        <v>0</v>
      </c>
      <c r="P50" s="71">
        <f>'Washer Downtime Detail'!BH231</f>
        <v>0</v>
      </c>
      <c r="Q50" s="71">
        <f>'EBI Downtime Detail'!$AI231</f>
        <v>0</v>
      </c>
      <c r="R50" s="71">
        <f>'Filler Downtime Detail'!AK231</f>
        <v>0</v>
      </c>
      <c r="S50" s="71">
        <f>'Pasteurizer Downtime Detail'!Z231</f>
        <v>0</v>
      </c>
      <c r="T50" s="71">
        <f>'Labeler Downtime Detail'!AN228</f>
        <v>0</v>
      </c>
      <c r="U50" s="71">
        <f>'Videojet Downtime Detail '!O229</f>
        <v>0</v>
      </c>
      <c r="V50" s="71">
        <f>'Conveyor Downtime (new)'!AV229</f>
        <v>0</v>
      </c>
      <c r="W50" s="71">
        <f>'Packer Downtime Detail  '!AD229</f>
        <v>0</v>
      </c>
      <c r="X50" s="71">
        <f>'Carton Errector-sealer Detail'!P217</f>
        <v>0</v>
      </c>
      <c r="Y50" s="71"/>
      <c r="Z50" s="43"/>
      <c r="AA50" s="88"/>
      <c r="AB50" s="71"/>
      <c r="AC50" s="71"/>
      <c r="AD50" s="176">
        <f>SUM(K50:AA50)+I50+J50+H50</f>
        <v>0</v>
      </c>
      <c r="AE50" s="45">
        <f>G50-D50</f>
        <v>0</v>
      </c>
      <c r="AH50" s="3"/>
      <c r="AI50" s="3"/>
      <c r="AJ50" s="3"/>
      <c r="AK50" s="3"/>
      <c r="AL50" s="3"/>
      <c r="AM50" s="3"/>
      <c r="AN50" s="3"/>
      <c r="AO50" s="3"/>
      <c r="AP50" s="3"/>
      <c r="AQ50" s="3"/>
      <c r="AR50" s="3"/>
      <c r="AS50" s="3"/>
      <c r="AT50" s="3"/>
      <c r="AU50" s="3"/>
      <c r="AV50" s="3"/>
      <c r="AW50" s="3"/>
      <c r="AX50" s="3"/>
    </row>
    <row r="51" spans="1:50">
      <c r="A51" s="7">
        <f>'[5]April_2026 '!C51</f>
        <v>0</v>
      </c>
      <c r="B51" s="139">
        <f>'[5]April_2026 '!$B51</f>
        <v>0</v>
      </c>
      <c r="C51" s="8">
        <f>'[5]April_2026 '!D51</f>
        <v>0</v>
      </c>
      <c r="D51" s="85"/>
      <c r="E51" s="81"/>
      <c r="F51" s="81"/>
      <c r="G51" s="94"/>
      <c r="H51" s="14"/>
      <c r="I51" s="34"/>
      <c r="J51" s="35"/>
      <c r="K51" s="34"/>
      <c r="L51" s="34"/>
      <c r="M51" s="34"/>
      <c r="N51" s="34"/>
      <c r="O51" s="34">
        <f>'Uncaser Downtime Detail '!AG230</f>
        <v>0</v>
      </c>
      <c r="P51" s="34">
        <f>'Washer Downtime Detail'!BH232</f>
        <v>0</v>
      </c>
      <c r="Q51" s="34">
        <f>'EBI Downtime Detail'!$AI232</f>
        <v>0</v>
      </c>
      <c r="R51" s="34">
        <f>'Filler Downtime Detail'!AK232</f>
        <v>0</v>
      </c>
      <c r="S51" s="34">
        <f>'Pasteurizer Downtime Detail'!Z232</f>
        <v>0</v>
      </c>
      <c r="T51" s="34">
        <f>'Labeler Downtime Detail'!AN229</f>
        <v>0</v>
      </c>
      <c r="U51" s="34">
        <f>'Videojet Downtime Detail '!O230</f>
        <v>0</v>
      </c>
      <c r="V51" s="34">
        <f>'Conveyor Downtime (new)'!AV230</f>
        <v>0</v>
      </c>
      <c r="W51" s="34">
        <f>'Packer Downtime Detail  '!AD230</f>
        <v>0</v>
      </c>
      <c r="X51" s="34">
        <f>'Carton Errector-sealer Detail'!P218</f>
        <v>0</v>
      </c>
      <c r="Y51" s="35"/>
      <c r="Z51" s="34"/>
      <c r="AA51" s="90"/>
      <c r="AB51" s="89"/>
      <c r="AC51" s="89"/>
      <c r="AD51" s="176">
        <f>SUM(K51:AA51)+I51+J51+H51</f>
        <v>0</v>
      </c>
      <c r="AE51" s="45">
        <f>G51-D51</f>
        <v>0</v>
      </c>
      <c r="AH51" s="3"/>
      <c r="AI51" s="3"/>
      <c r="AJ51" s="3"/>
      <c r="AK51" s="3"/>
      <c r="AL51" s="3"/>
      <c r="AM51" s="3"/>
      <c r="AN51" s="3"/>
      <c r="AO51" s="3"/>
      <c r="AP51" s="3"/>
      <c r="AQ51" s="3"/>
      <c r="AR51" s="3"/>
      <c r="AS51" s="3"/>
      <c r="AT51" s="3"/>
      <c r="AU51" s="3"/>
      <c r="AV51" s="3"/>
      <c r="AW51" s="3"/>
      <c r="AX51" s="3"/>
    </row>
    <row r="52" spans="1:50">
      <c r="A52" s="7"/>
      <c r="B52" s="139">
        <f>'[7]April_2022 '!$B52</f>
        <v>0</v>
      </c>
      <c r="C52" s="78">
        <f>'[7]April_2022 '!$D52</f>
        <v>0</v>
      </c>
      <c r="D52" s="81"/>
      <c r="E52" s="81"/>
      <c r="F52" s="81"/>
      <c r="G52" s="81"/>
      <c r="H52" s="82"/>
      <c r="I52" s="32"/>
      <c r="J52" s="86"/>
      <c r="K52" s="71"/>
      <c r="L52" s="71"/>
      <c r="M52" s="71"/>
      <c r="N52" s="71"/>
      <c r="O52" s="71">
        <f>'Uncaser Downtime Detail '!AG231</f>
        <v>0</v>
      </c>
      <c r="P52" s="71">
        <f>'Washer Downtime Detail'!BH233</f>
        <v>0</v>
      </c>
      <c r="Q52" s="71">
        <f>'EBI Downtime Detail'!$AI233</f>
        <v>0</v>
      </c>
      <c r="R52" s="71">
        <f>'Filler Downtime Detail'!AK233</f>
        <v>0</v>
      </c>
      <c r="S52" s="71">
        <f>'Pasteurizer Downtime Detail'!Z233</f>
        <v>0</v>
      </c>
      <c r="T52" s="71">
        <f>'Labeler Downtime Detail'!AN230</f>
        <v>0</v>
      </c>
      <c r="U52" s="71">
        <f>'Videojet Downtime Detail '!O231</f>
        <v>0</v>
      </c>
      <c r="V52" s="71">
        <f>'Conveyor Downtime (new)'!AV231</f>
        <v>0</v>
      </c>
      <c r="W52" s="71">
        <f>'Packer Downtime Detail  '!AD231</f>
        <v>0</v>
      </c>
      <c r="X52" s="71">
        <f>'Carton Errector-sealer Detail'!P219</f>
        <v>0</v>
      </c>
      <c r="Y52" s="71"/>
      <c r="Z52" s="43"/>
      <c r="AA52" s="88"/>
      <c r="AB52" s="71"/>
      <c r="AC52" s="71"/>
      <c r="AD52" s="176">
        <f>SUM(K52:AA52)+I52+J52+H52</f>
        <v>0</v>
      </c>
      <c r="AE52" s="45">
        <f>G52-D52</f>
        <v>0</v>
      </c>
      <c r="AH52" s="3"/>
      <c r="AI52" s="3"/>
      <c r="AJ52" s="3"/>
      <c r="AK52" s="3"/>
      <c r="AL52" s="3"/>
      <c r="AM52" s="3"/>
      <c r="AN52" s="3"/>
      <c r="AO52" s="3"/>
      <c r="AP52" s="3"/>
      <c r="AQ52" s="3"/>
      <c r="AR52" s="3"/>
      <c r="AS52" s="3"/>
      <c r="AT52" s="3"/>
      <c r="AU52" s="3"/>
      <c r="AV52" s="3"/>
      <c r="AW52" s="3"/>
      <c r="AX52" s="3"/>
    </row>
    <row r="53" spans="1:50">
      <c r="A53" s="7"/>
      <c r="B53" s="8"/>
      <c r="C53" s="78"/>
      <c r="D53" s="81"/>
      <c r="E53" s="81"/>
      <c r="F53" s="81"/>
      <c r="G53" s="81"/>
      <c r="H53" s="14"/>
      <c r="I53" s="34"/>
      <c r="J53" s="35"/>
      <c r="K53" s="34"/>
      <c r="L53" s="34"/>
      <c r="M53" s="34"/>
      <c r="N53" s="34"/>
      <c r="O53" s="34">
        <f>'Uncaser Downtime Detail '!AG232</f>
        <v>0</v>
      </c>
      <c r="P53" s="34">
        <f>'Washer Downtime Detail'!BH234</f>
        <v>0</v>
      </c>
      <c r="Q53" s="34">
        <f>'EBI Downtime Detail'!$AI234</f>
        <v>0</v>
      </c>
      <c r="R53" s="34">
        <f>'Filler Downtime Detail'!AK234</f>
        <v>0</v>
      </c>
      <c r="S53" s="34">
        <f>'Pasteurizer Downtime Detail'!Z234</f>
        <v>0</v>
      </c>
      <c r="T53" s="34">
        <f>'Labeler Downtime Detail'!AN231</f>
        <v>0</v>
      </c>
      <c r="U53" s="34">
        <f>'Videojet Downtime Detail '!O232</f>
        <v>0</v>
      </c>
      <c r="V53" s="34">
        <f>'Conveyor Downtime (new)'!AV232</f>
        <v>0</v>
      </c>
      <c r="W53" s="34">
        <f>'Packer Downtime Detail  '!AD232</f>
        <v>0</v>
      </c>
      <c r="X53" s="34">
        <f>'Carton Errector-sealer Detail'!P220</f>
        <v>0</v>
      </c>
      <c r="Y53" s="35"/>
      <c r="Z53" s="34"/>
      <c r="AA53" s="90"/>
      <c r="AB53" s="89"/>
      <c r="AC53" s="89"/>
      <c r="AD53" s="176">
        <f>SUM(K53:AA53)+I53+J53+H53</f>
        <v>0</v>
      </c>
      <c r="AE53" s="45"/>
      <c r="AH53" s="3"/>
      <c r="AI53" s="3"/>
      <c r="AJ53" s="3"/>
      <c r="AK53" s="3"/>
      <c r="AL53" s="3"/>
      <c r="AM53" s="3"/>
      <c r="AN53" s="3"/>
      <c r="AO53" s="3"/>
      <c r="AP53" s="3"/>
      <c r="AQ53" s="3"/>
      <c r="AR53" s="3"/>
      <c r="AS53" s="3"/>
      <c r="AT53" s="3"/>
      <c r="AU53" s="3"/>
      <c r="AV53" s="3"/>
      <c r="AW53" s="3"/>
      <c r="AX53" s="3"/>
    </row>
    <row r="54" spans="1:50" ht="15">
      <c r="A54" s="15" t="s">
        <v>427</v>
      </c>
      <c r="B54" s="16"/>
      <c r="C54" s="17"/>
      <c r="D54" s="18"/>
      <c r="E54" s="18"/>
      <c r="F54" s="18"/>
      <c r="G54" s="19">
        <f>SUM(G50:G53)</f>
        <v>0</v>
      </c>
      <c r="H54" s="98">
        <f t="shared" ref="H54:AE54" si="2">SUM(H8:H53)</f>
        <v>57</v>
      </c>
      <c r="I54" s="98">
        <f t="shared" si="2"/>
        <v>1313</v>
      </c>
      <c r="J54" s="98">
        <f t="shared" si="2"/>
        <v>372</v>
      </c>
      <c r="K54" s="98">
        <f t="shared" si="2"/>
        <v>20</v>
      </c>
      <c r="L54" s="98">
        <f t="shared" si="2"/>
        <v>81</v>
      </c>
      <c r="M54" s="98">
        <f t="shared" si="2"/>
        <v>0</v>
      </c>
      <c r="N54" s="98">
        <f t="shared" si="2"/>
        <v>175</v>
      </c>
      <c r="O54" s="98">
        <f t="shared" si="2"/>
        <v>436</v>
      </c>
      <c r="P54" s="98">
        <f t="shared" si="2"/>
        <v>1775</v>
      </c>
      <c r="Q54" s="98">
        <f t="shared" si="2"/>
        <v>659</v>
      </c>
      <c r="R54" s="98">
        <f t="shared" si="2"/>
        <v>2634</v>
      </c>
      <c r="S54" s="98">
        <f t="shared" si="2"/>
        <v>134</v>
      </c>
      <c r="T54" s="98">
        <f t="shared" si="2"/>
        <v>541</v>
      </c>
      <c r="U54" s="98">
        <f t="shared" si="2"/>
        <v>234</v>
      </c>
      <c r="V54" s="98">
        <f t="shared" si="2"/>
        <v>1715</v>
      </c>
      <c r="W54" s="98">
        <f t="shared" si="2"/>
        <v>607</v>
      </c>
      <c r="X54" s="98">
        <f t="shared" si="2"/>
        <v>358</v>
      </c>
      <c r="Y54" s="98">
        <f t="shared" si="2"/>
        <v>0</v>
      </c>
      <c r="Z54" s="98">
        <f t="shared" si="2"/>
        <v>1142</v>
      </c>
      <c r="AA54" s="98">
        <f t="shared" si="2"/>
        <v>7</v>
      </c>
      <c r="AB54" s="98">
        <f t="shared" si="2"/>
        <v>231</v>
      </c>
      <c r="AC54" s="98">
        <f t="shared" si="2"/>
        <v>0</v>
      </c>
      <c r="AD54" s="47">
        <f t="shared" si="2"/>
        <v>12491</v>
      </c>
      <c r="AE54" s="48">
        <f t="shared" si="2"/>
        <v>19.972916666666666</v>
      </c>
      <c r="AH54" s="3"/>
      <c r="AI54" s="3"/>
      <c r="AJ54" s="3"/>
      <c r="AK54" s="3"/>
      <c r="AL54" s="3"/>
      <c r="AM54" s="3"/>
      <c r="AN54" s="3"/>
      <c r="AO54" s="3"/>
      <c r="AP54" s="3"/>
      <c r="AQ54" s="3"/>
      <c r="AR54" s="3"/>
      <c r="AS54" s="3"/>
      <c r="AT54" s="3"/>
      <c r="AU54" s="3"/>
      <c r="AV54" s="3"/>
      <c r="AW54" s="3"/>
      <c r="AX54" s="3"/>
    </row>
    <row r="55" spans="1:50" ht="15">
      <c r="A55" s="20" t="s">
        <v>45</v>
      </c>
      <c r="B55" s="1"/>
      <c r="C55" s="3"/>
      <c r="D55" s="3"/>
      <c r="E55" s="3"/>
      <c r="F55" s="3"/>
      <c r="G55" s="3"/>
      <c r="H55" s="175">
        <f>H54/$AD$54</f>
        <v>4.5632855656072375E-3</v>
      </c>
      <c r="I55" s="175">
        <f t="shared" ref="I55:AB55" si="3">I54/$AD$54</f>
        <v>0.10511568329197021</v>
      </c>
      <c r="J55" s="175">
        <f t="shared" si="3"/>
        <v>2.9781442638699866E-2</v>
      </c>
      <c r="K55" s="175">
        <f t="shared" si="3"/>
        <v>1.6011528300376272E-3</v>
      </c>
      <c r="L55" s="175">
        <f t="shared" si="3"/>
        <v>6.4846689616523895E-3</v>
      </c>
      <c r="M55" s="175">
        <f t="shared" si="3"/>
        <v>0</v>
      </c>
      <c r="N55" s="175">
        <f t="shared" si="3"/>
        <v>1.4010087262829237E-2</v>
      </c>
      <c r="O55" s="175">
        <f t="shared" si="3"/>
        <v>3.490513169482027E-2</v>
      </c>
      <c r="P55" s="175">
        <f t="shared" si="3"/>
        <v>0.14210231366583939</v>
      </c>
      <c r="Q55" s="175">
        <f t="shared" si="3"/>
        <v>5.2757985749739812E-2</v>
      </c>
      <c r="R55" s="175">
        <f t="shared" si="3"/>
        <v>0.2108718277159555</v>
      </c>
      <c r="S55" s="175">
        <f t="shared" si="3"/>
        <v>1.0727723961252102E-2</v>
      </c>
      <c r="T55" s="175">
        <f t="shared" si="3"/>
        <v>4.3311184052517812E-2</v>
      </c>
      <c r="U55" s="175">
        <f t="shared" si="3"/>
        <v>1.8733488111440239E-2</v>
      </c>
      <c r="V55" s="175">
        <f t="shared" si="3"/>
        <v>0.13729885517572651</v>
      </c>
      <c r="W55" s="175">
        <f t="shared" si="3"/>
        <v>4.8594988391641981E-2</v>
      </c>
      <c r="X55" s="175">
        <f t="shared" si="3"/>
        <v>2.8660635657673524E-2</v>
      </c>
      <c r="Y55" s="175">
        <f t="shared" si="3"/>
        <v>0</v>
      </c>
      <c r="Z55" s="175">
        <f t="shared" si="3"/>
        <v>9.1425826595148502E-2</v>
      </c>
      <c r="AA55" s="175">
        <f t="shared" si="3"/>
        <v>5.6040349051316948E-4</v>
      </c>
      <c r="AB55" s="175">
        <f t="shared" si="3"/>
        <v>1.8493315186934593E-2</v>
      </c>
      <c r="AC55" s="175"/>
      <c r="AD55" s="3"/>
      <c r="AE55" s="49"/>
      <c r="AH55" s="3"/>
      <c r="AI55" s="3"/>
      <c r="AJ55" s="3"/>
      <c r="AK55" s="3"/>
      <c r="AL55" s="3"/>
      <c r="AM55" s="3"/>
      <c r="AN55" s="3"/>
      <c r="AO55" s="3"/>
      <c r="AP55" s="3"/>
      <c r="AQ55" s="3"/>
      <c r="AR55" s="3"/>
      <c r="AS55" s="3"/>
      <c r="AT55" s="3"/>
      <c r="AU55" s="3"/>
      <c r="AV55" s="3"/>
      <c r="AW55" s="3"/>
      <c r="AX55" s="3"/>
    </row>
    <row r="56" spans="1:50" ht="15">
      <c r="A56" s="20"/>
      <c r="B56" s="1"/>
      <c r="C56" s="3"/>
      <c r="D56" s="3"/>
      <c r="E56" s="3"/>
      <c r="F56" s="3"/>
      <c r="G56" s="3"/>
      <c r="H56" s="3"/>
      <c r="I56" s="36" t="s">
        <v>428</v>
      </c>
      <c r="J56" s="3"/>
      <c r="K56" s="37"/>
      <c r="L56" s="37"/>
      <c r="M56" s="3"/>
      <c r="N56" s="3"/>
      <c r="O56" s="3"/>
      <c r="P56" s="3"/>
      <c r="Q56" s="3"/>
      <c r="R56" s="3"/>
      <c r="S56" s="3"/>
      <c r="T56" s="3"/>
      <c r="U56" s="3"/>
      <c r="V56" s="3"/>
      <c r="W56" s="3"/>
      <c r="X56" s="3"/>
      <c r="Y56" s="3"/>
      <c r="Z56" s="3"/>
      <c r="AA56" s="3"/>
      <c r="AB56" s="3"/>
      <c r="AC56" s="3"/>
      <c r="AD56" s="3"/>
      <c r="AH56" s="3"/>
      <c r="AI56" s="3"/>
      <c r="AJ56" s="3"/>
      <c r="AK56" s="3"/>
      <c r="AL56" s="3"/>
      <c r="AM56" s="3"/>
      <c r="AN56" s="3"/>
      <c r="AO56" s="3"/>
      <c r="AP56" s="3"/>
      <c r="AQ56" s="3"/>
      <c r="AR56" s="3"/>
      <c r="AS56" s="3"/>
      <c r="AT56" s="3"/>
      <c r="AU56" s="3"/>
      <c r="AV56" s="3"/>
      <c r="AW56" s="3"/>
      <c r="AX56" s="3"/>
    </row>
    <row r="57" spans="1:50" ht="15">
      <c r="A57" s="1"/>
      <c r="B57" s="22"/>
      <c r="C57" t="s">
        <v>429</v>
      </c>
      <c r="D57" t="s">
        <v>430</v>
      </c>
      <c r="E57" t="s">
        <v>431</v>
      </c>
      <c r="F57" s="23"/>
      <c r="G57" s="23"/>
      <c r="H57" s="3"/>
      <c r="I57" s="38">
        <f>COUNT(I8:I53)</f>
        <v>25</v>
      </c>
      <c r="J57" s="3"/>
      <c r="K57" s="24"/>
      <c r="L57" s="24"/>
      <c r="M57" s="24"/>
      <c r="N57" s="24"/>
      <c r="O57" s="24"/>
      <c r="P57" s="24"/>
      <c r="Q57" s="24"/>
      <c r="R57" s="24"/>
      <c r="S57" s="24"/>
      <c r="T57" s="24"/>
      <c r="U57" s="24"/>
      <c r="V57" s="24"/>
      <c r="W57" s="24"/>
      <c r="X57" s="24"/>
      <c r="Y57" s="24"/>
      <c r="Z57" s="24"/>
      <c r="AA57" s="3"/>
      <c r="AB57" s="3"/>
      <c r="AC57" s="3"/>
      <c r="AH57" s="3"/>
      <c r="AI57" s="3"/>
      <c r="AJ57" s="3"/>
      <c r="AK57" s="3"/>
      <c r="AL57" s="3"/>
      <c r="AM57" s="3"/>
      <c r="AN57" s="3"/>
      <c r="AO57" s="3"/>
      <c r="AP57" s="3"/>
      <c r="AQ57" s="3"/>
      <c r="AR57" s="3"/>
      <c r="AS57" s="3"/>
      <c r="AT57" s="3"/>
      <c r="AU57" s="3"/>
      <c r="AV57" s="3"/>
      <c r="AW57" s="3"/>
      <c r="AX57" s="3"/>
    </row>
    <row r="58" spans="1:50">
      <c r="A58" s="1"/>
      <c r="B58" s="22"/>
      <c r="C58" s="24">
        <f>COUNTA(I8:I53)</f>
        <v>25</v>
      </c>
      <c r="D58" s="24">
        <f>COUNTA(C8:C53)</f>
        <v>45</v>
      </c>
      <c r="E58" s="24">
        <f>COUNTA(A8:A53)</f>
        <v>44</v>
      </c>
      <c r="F58" s="23"/>
      <c r="G58" s="23"/>
      <c r="H58" s="3"/>
      <c r="I58" s="1"/>
      <c r="J58" s="3"/>
      <c r="K58" s="24"/>
      <c r="L58" s="24"/>
      <c r="M58" s="24"/>
      <c r="N58" s="24"/>
      <c r="O58" s="24"/>
      <c r="P58" s="24"/>
      <c r="Q58" s="24"/>
      <c r="R58" s="24"/>
      <c r="T58" s="24"/>
      <c r="U58" s="24"/>
      <c r="V58" s="24"/>
      <c r="W58" s="24"/>
      <c r="X58" s="24"/>
      <c r="Y58" s="24"/>
      <c r="Z58" s="24"/>
      <c r="AA58" s="3"/>
      <c r="AB58" s="3"/>
      <c r="AC58" s="3"/>
      <c r="AH58" s="3"/>
      <c r="AI58" s="3"/>
      <c r="AJ58" s="3"/>
      <c r="AK58" s="3"/>
      <c r="AL58" s="3"/>
      <c r="AM58" s="3"/>
      <c r="AN58" s="3"/>
      <c r="AO58" s="3"/>
      <c r="AP58" s="3"/>
      <c r="AQ58" s="3"/>
      <c r="AR58" s="3"/>
      <c r="AS58" s="3"/>
      <c r="AT58" s="3"/>
      <c r="AU58" s="3"/>
      <c r="AV58" s="3"/>
      <c r="AW58" s="3"/>
      <c r="AX58" s="3"/>
    </row>
    <row r="59" spans="1:50">
      <c r="A59" s="1"/>
      <c r="B59" s="22"/>
      <c r="C59" s="24"/>
      <c r="D59" s="25"/>
      <c r="E59" s="25"/>
      <c r="F59" s="23"/>
      <c r="G59" s="23"/>
      <c r="H59" s="3">
        <f>40+28+5+3</f>
        <v>76</v>
      </c>
      <c r="I59" s="1"/>
      <c r="J59" s="3"/>
      <c r="K59" s="24"/>
      <c r="L59" s="24"/>
      <c r="M59" s="24"/>
      <c r="N59" s="24"/>
      <c r="O59" s="24"/>
      <c r="P59" s="24"/>
      <c r="Q59" s="24"/>
      <c r="R59" s="24"/>
      <c r="S59" s="24"/>
      <c r="T59" s="24"/>
      <c r="U59" s="24"/>
      <c r="V59" s="24"/>
      <c r="W59" s="24"/>
      <c r="X59" s="24"/>
      <c r="Y59" s="24"/>
      <c r="Z59" s="24"/>
      <c r="AA59" s="3"/>
      <c r="AB59" s="3"/>
      <c r="AC59" s="3"/>
      <c r="AD59" s="3"/>
      <c r="AH59" s="3"/>
      <c r="AI59" s="3"/>
      <c r="AJ59" s="3"/>
      <c r="AK59" s="3"/>
      <c r="AL59" s="3"/>
      <c r="AM59" s="3"/>
      <c r="AN59" s="3"/>
      <c r="AO59" s="3"/>
      <c r="AP59" s="3"/>
      <c r="AQ59" s="3"/>
      <c r="AR59" s="3"/>
      <c r="AS59" s="3"/>
      <c r="AT59" s="3"/>
      <c r="AU59" s="3"/>
      <c r="AV59" s="3"/>
      <c r="AW59" s="3"/>
    </row>
    <row r="60" spans="1:50" ht="15">
      <c r="A60" s="26"/>
      <c r="B60" s="26"/>
      <c r="C60" s="27" t="s">
        <v>432</v>
      </c>
      <c r="D60" s="28">
        <f>($D$58/$E$58)</f>
        <v>1.0227272727272727</v>
      </c>
      <c r="E60" s="28">
        <f>($D$58/$E$58)*$I$55</f>
        <v>0.10750467609406045</v>
      </c>
      <c r="F60" s="29"/>
      <c r="G60" s="29"/>
      <c r="H60" s="1"/>
      <c r="I60" s="1"/>
      <c r="J60" s="679" t="s">
        <v>433</v>
      </c>
      <c r="K60" s="679"/>
      <c r="L60" s="679"/>
      <c r="M60" s="679"/>
      <c r="N60" s="679"/>
      <c r="O60" s="679"/>
      <c r="P60" s="679"/>
      <c r="Q60" s="24"/>
      <c r="R60" s="680" t="s">
        <v>434</v>
      </c>
      <c r="S60" s="680"/>
      <c r="T60" s="680"/>
      <c r="U60" s="680"/>
      <c r="V60" s="680"/>
      <c r="W60" s="1"/>
      <c r="X60" s="1"/>
      <c r="Y60" s="1"/>
      <c r="Z60" s="1"/>
      <c r="AA60" s="3"/>
      <c r="AB60" s="3"/>
      <c r="AC60" s="3"/>
    </row>
    <row r="61" spans="1:50" ht="25.5">
      <c r="A61" s="1"/>
      <c r="B61" s="1"/>
      <c r="C61" s="3"/>
      <c r="D61" s="3"/>
      <c r="E61" s="3"/>
      <c r="F61" s="3"/>
      <c r="G61" s="3"/>
      <c r="H61" s="3"/>
      <c r="I61" s="1"/>
      <c r="J61" s="30" t="s">
        <v>81</v>
      </c>
      <c r="K61" s="30" t="s">
        <v>435</v>
      </c>
      <c r="L61" s="30" t="s">
        <v>436</v>
      </c>
      <c r="M61" s="30" t="s">
        <v>437</v>
      </c>
      <c r="N61" s="66" t="s">
        <v>438</v>
      </c>
      <c r="O61" s="66" t="s">
        <v>439</v>
      </c>
      <c r="P61" s="66" t="s">
        <v>440</v>
      </c>
      <c r="Q61" s="26"/>
      <c r="R61" s="67" t="s">
        <v>81</v>
      </c>
      <c r="S61" s="67" t="s">
        <v>435</v>
      </c>
      <c r="T61" s="39" t="s">
        <v>436</v>
      </c>
      <c r="U61" s="39" t="s">
        <v>437</v>
      </c>
      <c r="V61" s="73" t="s">
        <v>441</v>
      </c>
      <c r="W61" s="3"/>
      <c r="X61" s="3"/>
      <c r="Y61" s="3"/>
      <c r="Z61" s="3"/>
      <c r="AA61" s="3"/>
      <c r="AB61" s="3"/>
      <c r="AC61" s="3"/>
    </row>
    <row r="62" spans="1:50">
      <c r="A62" s="1"/>
      <c r="B62" s="1"/>
      <c r="C62" s="3"/>
      <c r="D62" s="3"/>
      <c r="E62" s="3"/>
      <c r="F62" s="3"/>
      <c r="G62" s="3"/>
      <c r="H62" s="3"/>
      <c r="I62" s="1"/>
      <c r="J62" s="65">
        <f>B8</f>
        <v>46113</v>
      </c>
      <c r="K62" s="1" t="str">
        <f>C8</f>
        <v>VITAMALT CLASSIC</v>
      </c>
      <c r="L62" s="23">
        <f t="shared" ref="L62:M65" si="4">E8</f>
        <v>1.0055555555555555</v>
      </c>
      <c r="M62" s="23">
        <f t="shared" si="4"/>
        <v>1.2381944444444444</v>
      </c>
      <c r="N62" s="45">
        <f>M62-L62</f>
        <v>0.23263888888888884</v>
      </c>
      <c r="O62" s="72">
        <v>335</v>
      </c>
      <c r="P62" s="69">
        <f>O62-(H8+K8+M8+AA8+AB8+Z8)</f>
        <v>324</v>
      </c>
      <c r="Q62" s="3"/>
      <c r="R62" s="65">
        <f t="shared" ref="R62:R94" si="5">SUM(J62)</f>
        <v>46113</v>
      </c>
      <c r="S62" s="74" t="str">
        <f t="shared" ref="S62:S94" si="6">K62</f>
        <v>VITAMALT CLASSIC</v>
      </c>
      <c r="T62" s="76">
        <v>1</v>
      </c>
      <c r="U62" s="23">
        <f t="shared" ref="T62:U64" si="7">F8</f>
        <v>1.2381944444444444</v>
      </c>
      <c r="V62" s="668">
        <f>U63-T62</f>
        <v>1</v>
      </c>
      <c r="W62" s="3"/>
      <c r="X62" s="3"/>
      <c r="Y62" s="3"/>
      <c r="Z62" s="3"/>
      <c r="AA62" s="3"/>
      <c r="AB62" s="3"/>
      <c r="AC62" s="3"/>
    </row>
    <row r="63" spans="1:50">
      <c r="J63" s="65">
        <f t="shared" ref="J63:J85" si="8">B9</f>
        <v>46113</v>
      </c>
      <c r="K63" s="1" t="str">
        <f t="shared" ref="K63:K85" si="9">C9</f>
        <v>VITAMALT GINGER</v>
      </c>
      <c r="L63" s="23">
        <f t="shared" si="4"/>
        <v>1.2486111111111111</v>
      </c>
      <c r="M63" s="23">
        <f t="shared" si="4"/>
        <v>1.3291666666666666</v>
      </c>
      <c r="N63" s="45">
        <f>M63-L63</f>
        <v>8.0555555555555491E-2</v>
      </c>
      <c r="O63" s="72">
        <v>116</v>
      </c>
      <c r="P63" s="69">
        <f t="shared" ref="P63:P101" si="10">O63-(H9+K9+M9+AA9+AB9+Z9)</f>
        <v>116</v>
      </c>
      <c r="Q63" s="3"/>
      <c r="R63" s="65">
        <f t="shared" si="5"/>
        <v>46113</v>
      </c>
      <c r="S63" s="74" t="str">
        <f t="shared" si="6"/>
        <v>VITAMALT GINGER</v>
      </c>
      <c r="T63" s="23">
        <f t="shared" si="7"/>
        <v>1.2486111111111111</v>
      </c>
      <c r="U63" s="23">
        <v>2</v>
      </c>
      <c r="V63" s="668"/>
    </row>
    <row r="64" spans="1:50">
      <c r="J64" s="65">
        <f t="shared" si="8"/>
        <v>46113</v>
      </c>
      <c r="K64" s="1" t="str">
        <f t="shared" si="9"/>
        <v>PEARSECCO</v>
      </c>
      <c r="L64" s="23">
        <f t="shared" si="4"/>
        <v>0</v>
      </c>
      <c r="M64" s="23">
        <f t="shared" si="4"/>
        <v>0</v>
      </c>
      <c r="N64" s="68">
        <f t="shared" ref="N64:N91" si="11">M64-L64</f>
        <v>0</v>
      </c>
      <c r="O64" s="3"/>
      <c r="P64" s="69">
        <f>O64-(H10+K10+M10+AA10+AB10+Z10+L10)</f>
        <v>0</v>
      </c>
      <c r="R64" s="65">
        <f t="shared" si="5"/>
        <v>46113</v>
      </c>
      <c r="S64" s="74" t="str">
        <f t="shared" si="6"/>
        <v>PEARSECCO</v>
      </c>
      <c r="T64" s="23">
        <f t="shared" si="7"/>
        <v>0</v>
      </c>
      <c r="U64" s="23">
        <f t="shared" si="7"/>
        <v>0</v>
      </c>
      <c r="V64" s="668"/>
    </row>
    <row r="65" spans="10:22">
      <c r="J65" s="65">
        <f t="shared" si="8"/>
        <v>46114</v>
      </c>
      <c r="K65" s="1" t="str">
        <f t="shared" si="9"/>
        <v>PEARSECCO</v>
      </c>
      <c r="L65" s="23">
        <f t="shared" si="4"/>
        <v>1.2916666666666667</v>
      </c>
      <c r="M65" s="23">
        <f t="shared" si="4"/>
        <v>1.4166666666666667</v>
      </c>
      <c r="N65" s="68">
        <f t="shared" si="11"/>
        <v>0.125</v>
      </c>
      <c r="O65" s="3">
        <v>180</v>
      </c>
      <c r="P65" s="69">
        <f t="shared" si="10"/>
        <v>180</v>
      </c>
      <c r="R65" s="65">
        <f t="shared" si="5"/>
        <v>46114</v>
      </c>
      <c r="S65" s="74" t="str">
        <f t="shared" si="6"/>
        <v>PEARSECCO</v>
      </c>
      <c r="T65" s="76">
        <v>1</v>
      </c>
      <c r="U65" s="23">
        <f t="shared" ref="T65:U76" si="12">F11</f>
        <v>1.4166666666666667</v>
      </c>
      <c r="V65" s="668">
        <f>U66-T65</f>
        <v>1</v>
      </c>
    </row>
    <row r="66" spans="10:22">
      <c r="J66" s="65">
        <f t="shared" si="8"/>
        <v>46114</v>
      </c>
      <c r="K66" s="1" t="str">
        <f t="shared" si="9"/>
        <v>CARIB AMBER</v>
      </c>
      <c r="L66" s="23">
        <f t="shared" ref="L66:L76" si="13">E12</f>
        <v>1.5243055555555556</v>
      </c>
      <c r="M66" s="23">
        <f t="shared" ref="M66:M76" si="14">F12</f>
        <v>1.9152777777777779</v>
      </c>
      <c r="N66" s="68">
        <f t="shared" si="11"/>
        <v>0.39097222222222228</v>
      </c>
      <c r="O66" s="3">
        <v>563</v>
      </c>
      <c r="P66" s="69">
        <f t="shared" si="10"/>
        <v>550</v>
      </c>
      <c r="R66" s="65">
        <f t="shared" si="5"/>
        <v>46114</v>
      </c>
      <c r="S66" s="74" t="str">
        <f t="shared" si="6"/>
        <v>CARIB AMBER</v>
      </c>
      <c r="T66" s="23">
        <f t="shared" si="12"/>
        <v>1.5243055555555556</v>
      </c>
      <c r="U66" s="76">
        <v>2</v>
      </c>
      <c r="V66" s="668"/>
    </row>
    <row r="67" spans="10:22">
      <c r="J67" s="65">
        <f t="shared" si="8"/>
        <v>46119</v>
      </c>
      <c r="K67" s="1" t="str">
        <f t="shared" si="9"/>
        <v>PEARSECCO</v>
      </c>
      <c r="L67" s="23">
        <f t="shared" si="13"/>
        <v>1.5</v>
      </c>
      <c r="M67" s="23">
        <f t="shared" si="14"/>
        <v>1.8715277777777777</v>
      </c>
      <c r="N67" s="68">
        <f t="shared" si="11"/>
        <v>0.37152777777777768</v>
      </c>
      <c r="O67" s="72">
        <v>535</v>
      </c>
      <c r="P67" s="69">
        <f>O67-(H13+K13+M13+AA13+AB13+7)</f>
        <v>517</v>
      </c>
      <c r="R67" s="65">
        <f t="shared" si="5"/>
        <v>46119</v>
      </c>
      <c r="S67" s="74" t="str">
        <f t="shared" si="6"/>
        <v>PEARSECCO</v>
      </c>
      <c r="T67" s="76">
        <v>1.0416666666666667</v>
      </c>
      <c r="U67" s="23">
        <f t="shared" si="12"/>
        <v>1.8715277777777777</v>
      </c>
      <c r="V67" s="668">
        <f>U68-T67</f>
        <v>0.95833333333333326</v>
      </c>
    </row>
    <row r="68" spans="10:22">
      <c r="J68" s="65">
        <f t="shared" si="8"/>
        <v>46119</v>
      </c>
      <c r="K68" s="1" t="str">
        <f t="shared" si="9"/>
        <v>CARIB AMBER</v>
      </c>
      <c r="L68" s="23">
        <f t="shared" si="13"/>
        <v>1.9930555555555556</v>
      </c>
      <c r="M68" s="23">
        <f t="shared" si="14"/>
        <v>2</v>
      </c>
      <c r="N68" s="68">
        <f t="shared" si="11"/>
        <v>6.9444444444444198E-3</v>
      </c>
      <c r="O68" s="72">
        <v>10</v>
      </c>
      <c r="P68" s="69">
        <f t="shared" si="10"/>
        <v>10</v>
      </c>
      <c r="R68" s="65">
        <f t="shared" si="5"/>
        <v>46119</v>
      </c>
      <c r="S68" s="74" t="str">
        <f t="shared" si="6"/>
        <v>CARIB AMBER</v>
      </c>
      <c r="T68" s="23">
        <f t="shared" si="12"/>
        <v>1.9930555555555556</v>
      </c>
      <c r="U68" s="23">
        <f t="shared" si="12"/>
        <v>2</v>
      </c>
      <c r="V68" s="668"/>
    </row>
    <row r="69" spans="10:22">
      <c r="J69" s="65">
        <f t="shared" si="8"/>
        <v>46120</v>
      </c>
      <c r="K69" s="1" t="str">
        <f t="shared" si="9"/>
        <v>CARIB AMBER</v>
      </c>
      <c r="L69" s="23">
        <f t="shared" si="13"/>
        <v>1</v>
      </c>
      <c r="M69" s="23">
        <f t="shared" si="14"/>
        <v>1.8215277777777779</v>
      </c>
      <c r="N69" s="68">
        <f t="shared" si="11"/>
        <v>0.82152777777777786</v>
      </c>
      <c r="O69" s="72">
        <v>1183</v>
      </c>
      <c r="P69" s="69">
        <f t="shared" si="10"/>
        <v>1158</v>
      </c>
      <c r="R69" s="65">
        <f t="shared" si="5"/>
        <v>46120</v>
      </c>
      <c r="S69" s="74" t="str">
        <f t="shared" si="6"/>
        <v>CARIB AMBER</v>
      </c>
      <c r="T69" s="23">
        <f t="shared" si="12"/>
        <v>1</v>
      </c>
      <c r="U69" s="23">
        <f t="shared" ref="U69:U94" si="15">F15</f>
        <v>1.8215277777777779</v>
      </c>
      <c r="V69" s="668">
        <f>U70-T69</f>
        <v>1</v>
      </c>
    </row>
    <row r="70" spans="10:22">
      <c r="J70" s="65">
        <f t="shared" si="8"/>
        <v>46120</v>
      </c>
      <c r="K70" s="1" t="str">
        <f t="shared" si="9"/>
        <v>STAG</v>
      </c>
      <c r="L70" s="23">
        <f t="shared" si="13"/>
        <v>1.8402777777777777</v>
      </c>
      <c r="M70" s="23">
        <f t="shared" si="14"/>
        <v>2</v>
      </c>
      <c r="N70" s="68">
        <f t="shared" si="11"/>
        <v>0.15972222222222232</v>
      </c>
      <c r="O70" s="72">
        <v>230</v>
      </c>
      <c r="P70" s="69">
        <f>O70-(H16+K16+M16+AA16+AB16+Z16+I16)</f>
        <v>177</v>
      </c>
      <c r="R70" s="65">
        <f t="shared" si="5"/>
        <v>46120</v>
      </c>
      <c r="S70" s="74" t="str">
        <f t="shared" si="6"/>
        <v>STAG</v>
      </c>
      <c r="T70" s="23">
        <f t="shared" si="12"/>
        <v>1.8402777777777777</v>
      </c>
      <c r="U70" s="23">
        <f t="shared" si="15"/>
        <v>2</v>
      </c>
      <c r="V70" s="668"/>
    </row>
    <row r="71" spans="10:22">
      <c r="J71" s="65">
        <f t="shared" si="8"/>
        <v>38451</v>
      </c>
      <c r="K71" s="1" t="str">
        <f t="shared" si="9"/>
        <v>STAG</v>
      </c>
      <c r="L71" s="23">
        <f t="shared" si="13"/>
        <v>1.0069444444444444</v>
      </c>
      <c r="M71" s="23">
        <f t="shared" si="14"/>
        <v>1.9916666666666667</v>
      </c>
      <c r="N71" s="68">
        <f t="shared" si="11"/>
        <v>0.98472222222222228</v>
      </c>
      <c r="O71" s="3">
        <v>1418</v>
      </c>
      <c r="P71" s="69">
        <f t="shared" si="10"/>
        <v>1399</v>
      </c>
      <c r="R71" s="65">
        <f t="shared" si="5"/>
        <v>38451</v>
      </c>
      <c r="S71" s="74" t="str">
        <f t="shared" si="6"/>
        <v>STAG</v>
      </c>
      <c r="T71" s="76">
        <v>1</v>
      </c>
      <c r="U71" s="76">
        <v>2</v>
      </c>
      <c r="V71" s="75">
        <f>U71-T71</f>
        <v>1</v>
      </c>
    </row>
    <row r="72" spans="10:22">
      <c r="J72" s="65">
        <f t="shared" si="8"/>
        <v>46122</v>
      </c>
      <c r="K72" s="1" t="str">
        <f t="shared" si="9"/>
        <v>CARIB AMBER</v>
      </c>
      <c r="L72" s="23">
        <f t="shared" si="13"/>
        <v>1.03125</v>
      </c>
      <c r="M72" s="23">
        <f t="shared" si="14"/>
        <v>1.7944444444444445</v>
      </c>
      <c r="N72" s="68">
        <f t="shared" si="11"/>
        <v>0.76319444444444451</v>
      </c>
      <c r="O72" s="3">
        <v>1099</v>
      </c>
      <c r="P72" s="69">
        <f t="shared" si="10"/>
        <v>1009</v>
      </c>
      <c r="R72" s="65">
        <f t="shared" si="5"/>
        <v>46122</v>
      </c>
      <c r="S72" s="74" t="str">
        <f t="shared" si="6"/>
        <v>CARIB AMBER</v>
      </c>
      <c r="T72" s="76">
        <v>1</v>
      </c>
      <c r="U72" s="76">
        <v>1.875</v>
      </c>
      <c r="V72" s="75">
        <f>U72-T72</f>
        <v>0.875</v>
      </c>
    </row>
    <row r="73" spans="10:22">
      <c r="J73" s="65">
        <f t="shared" si="8"/>
        <v>46125</v>
      </c>
      <c r="K73" s="1" t="str">
        <f t="shared" si="9"/>
        <v>CARIBE ROSE'</v>
      </c>
      <c r="L73" s="23">
        <f t="shared" si="13"/>
        <v>1.1111111111111112</v>
      </c>
      <c r="M73" s="23">
        <f t="shared" si="14"/>
        <v>1.5104166666666667</v>
      </c>
      <c r="N73" s="68">
        <f t="shared" si="11"/>
        <v>0.39930555555555558</v>
      </c>
      <c r="O73" s="3">
        <v>575</v>
      </c>
      <c r="P73" s="69">
        <f t="shared" si="10"/>
        <v>555</v>
      </c>
      <c r="R73" s="65">
        <f t="shared" si="5"/>
        <v>46125</v>
      </c>
      <c r="S73" s="74" t="str">
        <f t="shared" si="6"/>
        <v>CARIBE ROSE'</v>
      </c>
      <c r="T73" s="76">
        <v>1.0416666666666667</v>
      </c>
      <c r="U73" s="23">
        <f t="shared" si="15"/>
        <v>1.5104166666666667</v>
      </c>
      <c r="V73" s="668">
        <f>U74-T73</f>
        <v>0.95833333333333326</v>
      </c>
    </row>
    <row r="74" spans="10:22">
      <c r="J74" s="65">
        <f t="shared" si="8"/>
        <v>46125</v>
      </c>
      <c r="K74" s="1" t="str">
        <f t="shared" si="9"/>
        <v>CARIB AMBER</v>
      </c>
      <c r="L74" s="23">
        <f t="shared" si="13"/>
        <v>1.5833333333333333</v>
      </c>
      <c r="M74" s="23">
        <f t="shared" si="14"/>
        <v>2</v>
      </c>
      <c r="N74" s="68">
        <f t="shared" si="11"/>
        <v>0.41666666666666674</v>
      </c>
      <c r="O74" s="3">
        <v>600</v>
      </c>
      <c r="P74" s="69">
        <f t="shared" si="10"/>
        <v>600</v>
      </c>
      <c r="R74" s="65">
        <f t="shared" si="5"/>
        <v>46125</v>
      </c>
      <c r="S74" s="74" t="str">
        <f t="shared" si="6"/>
        <v>CARIB AMBER</v>
      </c>
      <c r="T74" s="23">
        <f t="shared" si="12"/>
        <v>1.5833333333333333</v>
      </c>
      <c r="U74" s="23">
        <f t="shared" si="15"/>
        <v>2</v>
      </c>
      <c r="V74" s="668"/>
    </row>
    <row r="75" spans="10:22">
      <c r="J75" s="65">
        <f t="shared" si="8"/>
        <v>46126</v>
      </c>
      <c r="K75" s="1" t="str">
        <f t="shared" si="9"/>
        <v>CARIB AMBER</v>
      </c>
      <c r="L75" s="23">
        <f t="shared" si="13"/>
        <v>1.0041666666666667</v>
      </c>
      <c r="M75" s="23">
        <f t="shared" si="14"/>
        <v>1.3645833333333333</v>
      </c>
      <c r="N75" s="68">
        <f t="shared" si="11"/>
        <v>0.36041666666666661</v>
      </c>
      <c r="O75" s="3">
        <v>519</v>
      </c>
      <c r="P75" s="69">
        <f t="shared" si="10"/>
        <v>477</v>
      </c>
      <c r="R75" s="65">
        <f t="shared" si="5"/>
        <v>46126</v>
      </c>
      <c r="S75" s="74" t="str">
        <f t="shared" si="6"/>
        <v>CARIB AMBER</v>
      </c>
      <c r="T75" s="76">
        <v>1</v>
      </c>
      <c r="U75" s="23">
        <f t="shared" si="15"/>
        <v>1.3645833333333333</v>
      </c>
      <c r="V75" s="668">
        <f>U78-T75</f>
        <v>1</v>
      </c>
    </row>
    <row r="76" spans="10:22">
      <c r="J76" s="65">
        <f t="shared" si="8"/>
        <v>46126</v>
      </c>
      <c r="K76" s="1" t="str">
        <f t="shared" si="9"/>
        <v xml:space="preserve">SHANDY LIME ( LOC ) </v>
      </c>
      <c r="L76" s="23">
        <f t="shared" si="13"/>
        <v>1.3715277777777777</v>
      </c>
      <c r="M76" s="23">
        <f t="shared" si="14"/>
        <v>1.6333333333333333</v>
      </c>
      <c r="N76" s="68">
        <f t="shared" si="11"/>
        <v>0.26180555555555562</v>
      </c>
      <c r="O76" s="3">
        <v>377</v>
      </c>
      <c r="P76" s="69">
        <f t="shared" si="10"/>
        <v>367</v>
      </c>
      <c r="R76" s="65">
        <f t="shared" si="5"/>
        <v>46126</v>
      </c>
      <c r="S76" s="74" t="str">
        <f t="shared" si="6"/>
        <v xml:space="preserve">SHANDY LIME ( LOC ) </v>
      </c>
      <c r="T76" s="23">
        <f t="shared" si="12"/>
        <v>1.3715277777777777</v>
      </c>
      <c r="U76" s="23">
        <f t="shared" si="15"/>
        <v>1.6333333333333333</v>
      </c>
      <c r="V76" s="668"/>
    </row>
    <row r="77" spans="10:22">
      <c r="J77" s="65">
        <f t="shared" si="8"/>
        <v>46126</v>
      </c>
      <c r="K77" s="1" t="str">
        <f t="shared" si="9"/>
        <v>SHANDY LIME( EXP)</v>
      </c>
      <c r="L77" s="23">
        <f t="shared" ref="L77:M80" si="16">E23</f>
        <v>1.6388888888888888</v>
      </c>
      <c r="M77" s="23">
        <f t="shared" si="16"/>
        <v>1.95625</v>
      </c>
      <c r="N77" s="68">
        <f t="shared" si="11"/>
        <v>0.3173611111111112</v>
      </c>
      <c r="O77" s="3">
        <v>457</v>
      </c>
      <c r="P77" s="69">
        <f t="shared" si="10"/>
        <v>455</v>
      </c>
      <c r="R77" s="65">
        <f t="shared" si="5"/>
        <v>46126</v>
      </c>
      <c r="S77" s="74" t="str">
        <f t="shared" si="6"/>
        <v>SHANDY LIME( EXP)</v>
      </c>
      <c r="T77" s="23">
        <f t="shared" ref="T77:T85" si="17">E23</f>
        <v>1.6388888888888888</v>
      </c>
      <c r="U77" s="23">
        <f t="shared" ref="U77:U85" si="18">F23</f>
        <v>1.95625</v>
      </c>
      <c r="V77" s="668"/>
    </row>
    <row r="78" spans="10:22">
      <c r="J78" s="65">
        <f t="shared" ref="J78:J83" si="19">B24</f>
        <v>46126</v>
      </c>
      <c r="K78" s="1" t="str">
        <f t="shared" ref="K78:K83" si="20">C24</f>
        <v>SHANDY SORREL(EXP</v>
      </c>
      <c r="L78" s="23">
        <f t="shared" si="16"/>
        <v>1.9791666666666667</v>
      </c>
      <c r="M78" s="23">
        <f t="shared" si="16"/>
        <v>2</v>
      </c>
      <c r="N78" s="68">
        <f t="shared" si="11"/>
        <v>2.0833333333333259E-2</v>
      </c>
      <c r="O78" s="3">
        <v>30</v>
      </c>
      <c r="P78" s="69">
        <f>O78-(H24+K24+M24+AA24+AB24)</f>
        <v>30</v>
      </c>
      <c r="R78" s="65">
        <f t="shared" si="5"/>
        <v>46126</v>
      </c>
      <c r="S78" s="74" t="str">
        <f t="shared" si="6"/>
        <v>SHANDY SORREL(EXP</v>
      </c>
      <c r="T78" s="23">
        <f t="shared" si="17"/>
        <v>1.9791666666666667</v>
      </c>
      <c r="U78" s="23">
        <f t="shared" si="18"/>
        <v>2</v>
      </c>
      <c r="V78" s="668"/>
    </row>
    <row r="79" spans="10:22">
      <c r="J79" s="65">
        <f t="shared" si="19"/>
        <v>46127</v>
      </c>
      <c r="K79" s="1" t="str">
        <f t="shared" si="20"/>
        <v>SHANDY SORREL(EXP</v>
      </c>
      <c r="L79" s="23">
        <f t="shared" si="16"/>
        <v>1.0034722222222223</v>
      </c>
      <c r="M79" s="23">
        <f t="shared" si="16"/>
        <v>1.09375</v>
      </c>
      <c r="N79" s="68">
        <f t="shared" si="11"/>
        <v>9.0277777777777679E-2</v>
      </c>
      <c r="O79" s="72">
        <v>130</v>
      </c>
      <c r="P79" s="69">
        <f t="shared" si="10"/>
        <v>114</v>
      </c>
      <c r="R79" s="65">
        <f t="shared" si="5"/>
        <v>46127</v>
      </c>
      <c r="S79" s="74" t="str">
        <f t="shared" si="6"/>
        <v>SHANDY SORREL(EXP</v>
      </c>
      <c r="T79" s="23">
        <f t="shared" si="17"/>
        <v>1.0034722222222223</v>
      </c>
      <c r="U79" s="23">
        <f t="shared" si="18"/>
        <v>1.09375</v>
      </c>
      <c r="V79" s="668">
        <f>U81-T79</f>
        <v>0.99652777777777768</v>
      </c>
    </row>
    <row r="80" spans="10:22">
      <c r="J80" s="65">
        <f t="shared" si="19"/>
        <v>46127</v>
      </c>
      <c r="K80" s="1" t="str">
        <f t="shared" si="20"/>
        <v>SHANDY SOREL (LOC)</v>
      </c>
      <c r="L80" s="23">
        <f t="shared" si="16"/>
        <v>1.1076388888888888</v>
      </c>
      <c r="M80" s="23">
        <f t="shared" si="16"/>
        <v>1.3333333333333333</v>
      </c>
      <c r="N80" s="68">
        <f t="shared" si="11"/>
        <v>0.22569444444444442</v>
      </c>
      <c r="O80" s="72">
        <v>325</v>
      </c>
      <c r="P80" s="69">
        <f t="shared" si="10"/>
        <v>323</v>
      </c>
      <c r="R80" s="65">
        <f t="shared" si="5"/>
        <v>46127</v>
      </c>
      <c r="S80" s="74" t="str">
        <f t="shared" si="6"/>
        <v>SHANDY SOREL (LOC)</v>
      </c>
      <c r="T80" s="23">
        <f t="shared" si="17"/>
        <v>1.1076388888888888</v>
      </c>
      <c r="U80" s="23">
        <f t="shared" si="18"/>
        <v>1.3333333333333333</v>
      </c>
      <c r="V80" s="668"/>
    </row>
    <row r="81" spans="10:23">
      <c r="J81" s="65">
        <f t="shared" si="19"/>
        <v>46127</v>
      </c>
      <c r="K81" s="1" t="str">
        <f t="shared" si="20"/>
        <v>STAG</v>
      </c>
      <c r="L81" s="23">
        <f t="shared" ref="L81:L98" si="21">E27</f>
        <v>1.3798611111111112</v>
      </c>
      <c r="M81" s="23">
        <f t="shared" ref="M81:M98" si="22">F27</f>
        <v>2</v>
      </c>
      <c r="N81" s="68">
        <f t="shared" si="11"/>
        <v>0.6201388888888888</v>
      </c>
      <c r="O81" s="3">
        <v>893</v>
      </c>
      <c r="P81" s="69">
        <f>O81-(H27+K27+M27+AA2+Z27)</f>
        <v>845</v>
      </c>
      <c r="R81" s="65">
        <f t="shared" si="5"/>
        <v>46127</v>
      </c>
      <c r="S81" s="74" t="str">
        <f t="shared" si="6"/>
        <v>STAG</v>
      </c>
      <c r="T81" s="23">
        <f t="shared" si="17"/>
        <v>1.3798611111111112</v>
      </c>
      <c r="U81" s="23">
        <f t="shared" si="18"/>
        <v>2</v>
      </c>
      <c r="V81" s="668"/>
    </row>
    <row r="82" spans="10:23">
      <c r="J82" s="65">
        <f t="shared" si="19"/>
        <v>46128</v>
      </c>
      <c r="K82" s="1" t="str">
        <f t="shared" si="20"/>
        <v>STAG</v>
      </c>
      <c r="L82" s="23">
        <f t="shared" si="21"/>
        <v>1.0055555555555555</v>
      </c>
      <c r="M82" s="23">
        <f t="shared" si="22"/>
        <v>1.375</v>
      </c>
      <c r="N82" s="68">
        <f t="shared" si="11"/>
        <v>0.36944444444444446</v>
      </c>
      <c r="O82" s="3">
        <v>532</v>
      </c>
      <c r="P82" s="69">
        <f t="shared" si="10"/>
        <v>509</v>
      </c>
      <c r="R82" s="65">
        <f t="shared" si="5"/>
        <v>46128</v>
      </c>
      <c r="S82" s="74" t="str">
        <f t="shared" si="6"/>
        <v>STAG</v>
      </c>
      <c r="T82" s="23">
        <f t="shared" si="17"/>
        <v>1.0055555555555555</v>
      </c>
      <c r="U82" s="23">
        <f t="shared" si="18"/>
        <v>1.375</v>
      </c>
      <c r="V82" s="668">
        <f>U83-T82</f>
        <v>0.99444444444444446</v>
      </c>
    </row>
    <row r="83" spans="10:23">
      <c r="J83" s="65">
        <f t="shared" si="19"/>
        <v>46128</v>
      </c>
      <c r="K83" s="1" t="str">
        <f t="shared" si="20"/>
        <v>CARIB AMBER</v>
      </c>
      <c r="L83" s="23">
        <f t="shared" si="21"/>
        <v>1.3923611111111112</v>
      </c>
      <c r="M83" s="23">
        <f t="shared" si="22"/>
        <v>2</v>
      </c>
      <c r="N83" s="68">
        <f t="shared" si="11"/>
        <v>0.60763888888888884</v>
      </c>
      <c r="O83" s="3">
        <v>875</v>
      </c>
      <c r="P83" s="69">
        <f t="shared" si="10"/>
        <v>840</v>
      </c>
      <c r="R83" s="65">
        <f t="shared" si="5"/>
        <v>46128</v>
      </c>
      <c r="S83" s="74" t="str">
        <f t="shared" si="6"/>
        <v>CARIB AMBER</v>
      </c>
      <c r="T83" s="23">
        <f t="shared" si="17"/>
        <v>1.3923611111111112</v>
      </c>
      <c r="U83" s="23">
        <f t="shared" si="18"/>
        <v>2</v>
      </c>
      <c r="V83" s="668"/>
    </row>
    <row r="84" spans="10:23">
      <c r="J84" s="65">
        <f t="shared" si="8"/>
        <v>46129</v>
      </c>
      <c r="K84" s="1" t="str">
        <f t="shared" si="9"/>
        <v>CARIB AMBER</v>
      </c>
      <c r="L84" s="23">
        <f t="shared" si="21"/>
        <v>1.0041666666666667</v>
      </c>
      <c r="M84" s="23">
        <f t="shared" si="22"/>
        <v>1.3020833333333333</v>
      </c>
      <c r="N84" s="68">
        <f t="shared" si="11"/>
        <v>0.29791666666666661</v>
      </c>
      <c r="O84" s="3">
        <v>429</v>
      </c>
      <c r="P84" s="69">
        <f t="shared" si="10"/>
        <v>355</v>
      </c>
      <c r="R84" s="65">
        <f t="shared" si="5"/>
        <v>46129</v>
      </c>
      <c r="S84" s="74" t="str">
        <f t="shared" si="6"/>
        <v>CARIB AMBER</v>
      </c>
      <c r="T84" s="23">
        <f t="shared" si="17"/>
        <v>1.0041666666666667</v>
      </c>
      <c r="U84" s="23">
        <f t="shared" si="18"/>
        <v>1.3020833333333333</v>
      </c>
      <c r="V84" s="668">
        <f>U85-T84</f>
        <v>0.83194444444444438</v>
      </c>
    </row>
    <row r="85" spans="10:23">
      <c r="J85" s="65">
        <f t="shared" si="8"/>
        <v>46129</v>
      </c>
      <c r="K85" s="1" t="str">
        <f t="shared" si="9"/>
        <v>GINSENG APPLE</v>
      </c>
      <c r="L85" s="23">
        <f t="shared" si="21"/>
        <v>1.4583333333333333</v>
      </c>
      <c r="M85" s="23">
        <f t="shared" si="22"/>
        <v>1.836111111111111</v>
      </c>
      <c r="N85" s="68">
        <f t="shared" si="11"/>
        <v>0.37777777777777777</v>
      </c>
      <c r="O85" s="3">
        <v>544</v>
      </c>
      <c r="P85" s="69">
        <f t="shared" si="10"/>
        <v>517</v>
      </c>
      <c r="R85" s="65">
        <f t="shared" si="5"/>
        <v>46129</v>
      </c>
      <c r="S85" s="74" t="str">
        <f t="shared" si="6"/>
        <v>GINSENG APPLE</v>
      </c>
      <c r="T85" s="23">
        <f t="shared" si="17"/>
        <v>1.4583333333333333</v>
      </c>
      <c r="U85" s="23">
        <f t="shared" si="18"/>
        <v>1.836111111111111</v>
      </c>
      <c r="V85" s="668"/>
    </row>
    <row r="86" spans="10:23">
      <c r="J86" s="65">
        <f t="shared" ref="J86:K90" si="23">B32</f>
        <v>46132</v>
      </c>
      <c r="K86" s="1" t="str">
        <f t="shared" si="23"/>
        <v>GINSENG APPLE (medium)</v>
      </c>
      <c r="L86" s="23">
        <f t="shared" si="21"/>
        <v>1.1152777777777778</v>
      </c>
      <c r="M86" s="23">
        <f t="shared" si="22"/>
        <v>1.5243055555555556</v>
      </c>
      <c r="N86" s="68">
        <f t="shared" si="11"/>
        <v>0.40902777777777777</v>
      </c>
      <c r="O86" s="3">
        <v>589</v>
      </c>
      <c r="P86" s="69">
        <f t="shared" si="10"/>
        <v>495</v>
      </c>
      <c r="R86" s="65">
        <f t="shared" si="5"/>
        <v>46132</v>
      </c>
      <c r="S86" s="74" t="str">
        <f t="shared" si="6"/>
        <v>GINSENG APPLE (medium)</v>
      </c>
      <c r="T86" s="76">
        <v>1.0416666666666667</v>
      </c>
      <c r="U86" s="23">
        <f t="shared" si="15"/>
        <v>1.5243055555555556</v>
      </c>
      <c r="V86" s="668">
        <f>U88-T86</f>
        <v>0.95833333333333326</v>
      </c>
    </row>
    <row r="87" spans="10:23">
      <c r="J87" s="65">
        <f t="shared" si="23"/>
        <v>46132</v>
      </c>
      <c r="K87" s="1" t="str">
        <f t="shared" si="23"/>
        <v>GINSENG APPLE (SHORT)</v>
      </c>
      <c r="L87" s="23">
        <f t="shared" si="21"/>
        <v>1.5513888888888889</v>
      </c>
      <c r="M87" s="23">
        <f t="shared" si="22"/>
        <v>1.7326388888888888</v>
      </c>
      <c r="N87" s="68">
        <f t="shared" si="11"/>
        <v>0.18124999999999991</v>
      </c>
      <c r="O87" s="3">
        <v>261</v>
      </c>
      <c r="P87" s="69">
        <f t="shared" si="10"/>
        <v>241</v>
      </c>
      <c r="R87" s="65">
        <f t="shared" si="5"/>
        <v>46132</v>
      </c>
      <c r="S87" s="74" t="str">
        <f t="shared" si="6"/>
        <v>GINSENG APPLE (SHORT)</v>
      </c>
      <c r="T87" s="23">
        <f t="shared" ref="T87" si="24">E33</f>
        <v>1.5513888888888889</v>
      </c>
      <c r="U87" s="23">
        <f t="shared" si="15"/>
        <v>1.7326388888888888</v>
      </c>
      <c r="V87" s="668"/>
    </row>
    <row r="88" spans="10:23">
      <c r="J88" s="65">
        <f t="shared" si="23"/>
        <v>46132</v>
      </c>
      <c r="K88" s="1" t="str">
        <f t="shared" si="23"/>
        <v>CARIB AMBER</v>
      </c>
      <c r="L88" s="23">
        <f t="shared" si="21"/>
        <v>1.8458333333333334</v>
      </c>
      <c r="M88" s="23">
        <f t="shared" si="22"/>
        <v>2</v>
      </c>
      <c r="N88" s="68">
        <f t="shared" si="11"/>
        <v>0.15416666666666656</v>
      </c>
      <c r="O88" s="3">
        <v>222</v>
      </c>
      <c r="P88" s="69">
        <f t="shared" si="10"/>
        <v>213</v>
      </c>
      <c r="R88" s="65">
        <f t="shared" si="5"/>
        <v>46132</v>
      </c>
      <c r="S88" s="74" t="str">
        <f t="shared" si="6"/>
        <v>CARIB AMBER</v>
      </c>
      <c r="T88" s="23">
        <f t="shared" ref="T88:T94" si="25">E34</f>
        <v>1.8458333333333334</v>
      </c>
      <c r="U88" s="23">
        <f t="shared" si="15"/>
        <v>2</v>
      </c>
      <c r="V88" s="668"/>
    </row>
    <row r="89" spans="10:23">
      <c r="J89" s="65">
        <f t="shared" si="23"/>
        <v>46133</v>
      </c>
      <c r="K89" s="1" t="str">
        <f t="shared" si="23"/>
        <v>CARIB AMBER</v>
      </c>
      <c r="L89" s="23">
        <f t="shared" si="21"/>
        <v>1.0034722222222223</v>
      </c>
      <c r="M89" s="23">
        <f t="shared" si="22"/>
        <v>1.5222222222222221</v>
      </c>
      <c r="N89" s="68">
        <f t="shared" si="11"/>
        <v>0.51874999999999982</v>
      </c>
      <c r="O89" s="3">
        <v>747</v>
      </c>
      <c r="P89" s="69">
        <f t="shared" si="10"/>
        <v>726</v>
      </c>
      <c r="R89" s="65">
        <f t="shared" si="5"/>
        <v>46133</v>
      </c>
      <c r="S89" s="74" t="str">
        <f t="shared" si="6"/>
        <v>CARIB AMBER</v>
      </c>
      <c r="T89" s="23">
        <f t="shared" si="25"/>
        <v>1.0034722222222223</v>
      </c>
      <c r="U89" s="23">
        <f t="shared" si="15"/>
        <v>1.5222222222222221</v>
      </c>
      <c r="V89" s="668">
        <f>U90-T89</f>
        <v>0.99652777777777768</v>
      </c>
    </row>
    <row r="90" spans="10:23">
      <c r="J90" s="65">
        <f t="shared" si="23"/>
        <v>46133</v>
      </c>
      <c r="K90" s="1" t="str">
        <f t="shared" si="23"/>
        <v>STAG</v>
      </c>
      <c r="L90" s="23">
        <f t="shared" si="21"/>
        <v>1.5368055555555555</v>
      </c>
      <c r="M90" s="23">
        <f t="shared" si="22"/>
        <v>2</v>
      </c>
      <c r="N90" s="68">
        <f t="shared" si="11"/>
        <v>0.46319444444444446</v>
      </c>
      <c r="O90" s="3">
        <v>667</v>
      </c>
      <c r="P90" s="69">
        <f>O90-(H36+K36+M36+AA36+AB36)</f>
        <v>667</v>
      </c>
      <c r="R90" s="65">
        <f t="shared" si="5"/>
        <v>46133</v>
      </c>
      <c r="S90" s="74" t="str">
        <f t="shared" si="6"/>
        <v>STAG</v>
      </c>
      <c r="T90" s="23">
        <f t="shared" ref="T90" si="26">E36</f>
        <v>1.5368055555555555</v>
      </c>
      <c r="U90" s="23">
        <f t="shared" ref="U90:U93" si="27">F36</f>
        <v>2</v>
      </c>
      <c r="V90" s="668"/>
      <c r="W90" s="358" t="s">
        <v>209</v>
      </c>
    </row>
    <row r="91" spans="10:23">
      <c r="J91" s="65">
        <f t="shared" ref="J91:J98" si="28">B37</f>
        <v>46134</v>
      </c>
      <c r="K91" s="1" t="str">
        <f t="shared" ref="K91:K98" si="29">C37</f>
        <v>STAG</v>
      </c>
      <c r="L91" s="23">
        <f t="shared" si="21"/>
        <v>1.0027777777777778</v>
      </c>
      <c r="M91" s="23">
        <f t="shared" si="22"/>
        <v>1.2208333333333334</v>
      </c>
      <c r="N91" s="68">
        <f t="shared" si="11"/>
        <v>0.21805555555555567</v>
      </c>
      <c r="O91" s="3">
        <v>314</v>
      </c>
      <c r="P91" s="69">
        <f t="shared" si="10"/>
        <v>290</v>
      </c>
      <c r="R91" s="65">
        <f t="shared" si="5"/>
        <v>46134</v>
      </c>
      <c r="S91" s="74" t="str">
        <f t="shared" si="6"/>
        <v>STAG</v>
      </c>
      <c r="T91" s="23">
        <f t="shared" ref="T91:T92" si="30">E37</f>
        <v>1.0027777777777778</v>
      </c>
      <c r="U91" s="23">
        <f t="shared" ref="U91" si="31">F37</f>
        <v>1.2208333333333334</v>
      </c>
      <c r="V91" s="668">
        <f>U92-T91</f>
        <v>0.99722222222222223</v>
      </c>
    </row>
    <row r="92" spans="10:23">
      <c r="J92" s="65">
        <f t="shared" si="28"/>
        <v>46134</v>
      </c>
      <c r="K92" s="1" t="str">
        <f t="shared" si="29"/>
        <v>GUINNESS</v>
      </c>
      <c r="L92" s="23">
        <f t="shared" si="21"/>
        <v>1.2895833333333333</v>
      </c>
      <c r="M92" s="23">
        <f t="shared" si="22"/>
        <v>2.0208333333333335</v>
      </c>
      <c r="N92" s="68">
        <f t="shared" ref="N92:N100" si="32">M92-L92</f>
        <v>0.73125000000000018</v>
      </c>
      <c r="O92" s="72">
        <v>1053</v>
      </c>
      <c r="P92" s="69">
        <f>O92-(H38+K38+M38+AA38+AB38)</f>
        <v>1046</v>
      </c>
      <c r="R92" s="65">
        <f t="shared" si="5"/>
        <v>46134</v>
      </c>
      <c r="S92" s="74" t="str">
        <f t="shared" si="6"/>
        <v>GUINNESS</v>
      </c>
      <c r="T92" s="23">
        <f t="shared" si="30"/>
        <v>1.2895833333333333</v>
      </c>
      <c r="U92" s="76">
        <v>2</v>
      </c>
      <c r="V92" s="668"/>
    </row>
    <row r="93" spans="10:23">
      <c r="J93" s="65">
        <f t="shared" si="28"/>
        <v>46135</v>
      </c>
      <c r="K93" s="1" t="str">
        <f t="shared" si="29"/>
        <v>CARIB EXPORT (explorer)</v>
      </c>
      <c r="L93" s="23">
        <f t="shared" si="21"/>
        <v>1.0763888888888888</v>
      </c>
      <c r="M93" s="23">
        <f t="shared" si="22"/>
        <v>1.5902777777777777</v>
      </c>
      <c r="N93" s="68">
        <f t="shared" si="32"/>
        <v>0.51388888888888884</v>
      </c>
      <c r="O93" s="72">
        <v>740</v>
      </c>
      <c r="P93" s="69">
        <f t="shared" si="10"/>
        <v>727</v>
      </c>
      <c r="R93" s="65">
        <f t="shared" si="5"/>
        <v>46135</v>
      </c>
      <c r="S93" s="74" t="str">
        <f t="shared" si="6"/>
        <v>CARIB EXPORT (explorer)</v>
      </c>
      <c r="T93" s="76">
        <v>1</v>
      </c>
      <c r="U93" s="23">
        <f t="shared" si="27"/>
        <v>1.5902777777777777</v>
      </c>
      <c r="V93" s="668">
        <f>U94-T93</f>
        <v>1</v>
      </c>
    </row>
    <row r="94" spans="10:23">
      <c r="J94" s="65">
        <f t="shared" si="28"/>
        <v>46135</v>
      </c>
      <c r="K94" s="1" t="str">
        <f t="shared" si="29"/>
        <v>CARIB AMBER (SHORT)</v>
      </c>
      <c r="L94" s="23">
        <f t="shared" si="21"/>
        <v>1.6020833333333333</v>
      </c>
      <c r="M94" s="23">
        <f t="shared" si="22"/>
        <v>2</v>
      </c>
      <c r="N94" s="68">
        <f t="shared" si="32"/>
        <v>0.3979166666666667</v>
      </c>
      <c r="O94" s="3">
        <v>573</v>
      </c>
      <c r="P94" s="69">
        <f t="shared" si="10"/>
        <v>560</v>
      </c>
      <c r="R94" s="65">
        <f t="shared" si="5"/>
        <v>46135</v>
      </c>
      <c r="S94" s="74" t="str">
        <f t="shared" si="6"/>
        <v>CARIB AMBER (SHORT)</v>
      </c>
      <c r="T94" s="23">
        <f t="shared" si="25"/>
        <v>1.6020833333333333</v>
      </c>
      <c r="U94" s="23">
        <f t="shared" si="15"/>
        <v>2</v>
      </c>
      <c r="V94" s="668"/>
    </row>
    <row r="95" spans="10:23">
      <c r="J95" s="65">
        <f t="shared" si="28"/>
        <v>46136</v>
      </c>
      <c r="K95" s="1" t="str">
        <f t="shared" si="29"/>
        <v>CARIB AMBER (SHORT)</v>
      </c>
      <c r="L95" s="23">
        <f t="shared" si="21"/>
        <v>1.0784722222222223</v>
      </c>
      <c r="M95" s="23">
        <f t="shared" si="22"/>
        <v>1.1229166666666666</v>
      </c>
      <c r="N95" s="68">
        <f t="shared" si="32"/>
        <v>4.4444444444444287E-2</v>
      </c>
      <c r="O95" s="3">
        <v>64</v>
      </c>
      <c r="P95" s="69">
        <f t="shared" si="10"/>
        <v>58</v>
      </c>
      <c r="R95" s="65">
        <f t="shared" ref="R95:R100" si="33">SUM(J95)</f>
        <v>46136</v>
      </c>
      <c r="S95" s="74" t="str">
        <f t="shared" ref="S95:S104" si="34">K95</f>
        <v>CARIB AMBER (SHORT)</v>
      </c>
      <c r="T95" s="76">
        <v>1</v>
      </c>
      <c r="U95" s="23">
        <f t="shared" ref="U95" si="35">F41</f>
        <v>1.1229166666666666</v>
      </c>
      <c r="V95" s="668">
        <f t="shared" ref="V95" si="36">U96-T95</f>
        <v>0.875</v>
      </c>
    </row>
    <row r="96" spans="10:23">
      <c r="J96" s="65">
        <f t="shared" si="28"/>
        <v>46136</v>
      </c>
      <c r="K96" s="1" t="str">
        <f t="shared" si="29"/>
        <v>CARIB AMBER</v>
      </c>
      <c r="L96" s="23">
        <f t="shared" ref="L96" si="37">E42</f>
        <v>1.1312500000000001</v>
      </c>
      <c r="M96" s="23">
        <f t="shared" ref="M96" si="38">F42</f>
        <v>1.5465277777777777</v>
      </c>
      <c r="N96" s="68">
        <f t="shared" ref="N96" si="39">M96-L96</f>
        <v>0.41527777777777763</v>
      </c>
      <c r="O96" s="3">
        <v>598</v>
      </c>
      <c r="P96" s="69">
        <f t="shared" si="10"/>
        <v>582</v>
      </c>
      <c r="R96" s="65">
        <f t="shared" si="33"/>
        <v>46136</v>
      </c>
      <c r="S96" s="74" t="str">
        <f t="shared" si="34"/>
        <v>CARIB AMBER</v>
      </c>
      <c r="T96" s="23">
        <f t="shared" ref="T96" si="40">E42</f>
        <v>1.1312500000000001</v>
      </c>
      <c r="U96" s="76">
        <v>1.875</v>
      </c>
      <c r="V96" s="668"/>
    </row>
    <row r="97" spans="10:22">
      <c r="J97" s="65">
        <f t="shared" si="28"/>
        <v>46139</v>
      </c>
      <c r="K97" s="1" t="str">
        <f t="shared" si="29"/>
        <v xml:space="preserve">STAR MALT </v>
      </c>
      <c r="L97" s="23">
        <f t="shared" si="21"/>
        <v>1.1666666666666667</v>
      </c>
      <c r="M97" s="23">
        <f t="shared" si="22"/>
        <v>1.9576388888888889</v>
      </c>
      <c r="N97" s="68">
        <f t="shared" si="32"/>
        <v>0.79097222222222219</v>
      </c>
      <c r="O97" s="3">
        <v>1139</v>
      </c>
      <c r="P97" s="69">
        <f>O97-(H43+K43+M43+AA43+AB43+Z43+L43)</f>
        <v>1078</v>
      </c>
      <c r="R97" s="65">
        <f t="shared" si="33"/>
        <v>46139</v>
      </c>
      <c r="S97" s="74" t="str">
        <f t="shared" si="34"/>
        <v xml:space="preserve">STAR MALT </v>
      </c>
      <c r="T97" s="76">
        <v>1.0416666666666667</v>
      </c>
      <c r="U97" s="76">
        <v>2</v>
      </c>
      <c r="V97" s="75">
        <f>U97-T97</f>
        <v>0.95833333333333326</v>
      </c>
    </row>
    <row r="98" spans="10:22">
      <c r="J98" s="65">
        <f t="shared" si="28"/>
        <v>46140</v>
      </c>
      <c r="K98" s="1" t="str">
        <f t="shared" si="29"/>
        <v>CARIB</v>
      </c>
      <c r="L98" s="23">
        <f t="shared" si="21"/>
        <v>1.0027777777777778</v>
      </c>
      <c r="M98" s="23">
        <f t="shared" si="22"/>
        <v>2</v>
      </c>
      <c r="N98" s="68">
        <f t="shared" si="32"/>
        <v>0.99722222222222223</v>
      </c>
      <c r="O98" s="3">
        <v>1436</v>
      </c>
      <c r="P98" s="69">
        <f>O98-(H44+K44+M44+AA44+AB44+9+L44)</f>
        <v>1412</v>
      </c>
      <c r="R98" s="65">
        <f t="shared" si="33"/>
        <v>46140</v>
      </c>
      <c r="S98" s="74" t="str">
        <f t="shared" si="34"/>
        <v>CARIB</v>
      </c>
      <c r="T98" s="23">
        <f t="shared" ref="T98:T100" si="41">E44</f>
        <v>1.0027777777777778</v>
      </c>
      <c r="U98" s="23">
        <f t="shared" ref="U98:U100" si="42">F44</f>
        <v>2</v>
      </c>
      <c r="V98" s="75">
        <f>U98-T98</f>
        <v>0.99722222222222223</v>
      </c>
    </row>
    <row r="99" spans="10:22">
      <c r="J99" s="65">
        <f t="shared" ref="J99:J109" si="43">B45</f>
        <v>46141</v>
      </c>
      <c r="K99" s="1" t="str">
        <f t="shared" ref="K99:K109" si="44">C45</f>
        <v>CARIB AMBER</v>
      </c>
      <c r="L99" s="23">
        <f t="shared" ref="L99:L109" si="45">E45</f>
        <v>1.0090277777777779</v>
      </c>
      <c r="M99" s="23">
        <f t="shared" ref="M99:M109" si="46">F45</f>
        <v>1.6402777777777777</v>
      </c>
      <c r="N99" s="68">
        <f t="shared" si="32"/>
        <v>0.63124999999999987</v>
      </c>
      <c r="O99" s="3">
        <v>909</v>
      </c>
      <c r="P99" s="69">
        <f t="shared" si="10"/>
        <v>909</v>
      </c>
      <c r="R99" s="65">
        <f t="shared" si="33"/>
        <v>46141</v>
      </c>
      <c r="S99" s="74" t="str">
        <f t="shared" si="34"/>
        <v>CARIB AMBER</v>
      </c>
      <c r="T99" s="23">
        <f t="shared" si="41"/>
        <v>1.0090277777777779</v>
      </c>
      <c r="U99" s="23">
        <f t="shared" si="42"/>
        <v>1.6402777777777777</v>
      </c>
      <c r="V99" s="668">
        <f>U100-T99</f>
        <v>0.99097222222222214</v>
      </c>
    </row>
    <row r="100" spans="10:22">
      <c r="J100" s="65">
        <f t="shared" si="43"/>
        <v>46141</v>
      </c>
      <c r="K100" s="1" t="str">
        <f t="shared" si="44"/>
        <v>STAG</v>
      </c>
      <c r="L100" s="23">
        <f t="shared" si="45"/>
        <v>1.6631944444444444</v>
      </c>
      <c r="M100" s="23">
        <f t="shared" si="46"/>
        <v>2</v>
      </c>
      <c r="N100" s="68">
        <f t="shared" si="32"/>
        <v>0.33680555555555558</v>
      </c>
      <c r="O100" s="3">
        <v>485</v>
      </c>
      <c r="P100" s="69">
        <f t="shared" si="10"/>
        <v>430</v>
      </c>
      <c r="R100" s="65">
        <f t="shared" si="33"/>
        <v>46141</v>
      </c>
      <c r="S100" s="74" t="str">
        <f t="shared" si="34"/>
        <v>STAG</v>
      </c>
      <c r="T100" s="23">
        <f t="shared" si="41"/>
        <v>1.6631944444444444</v>
      </c>
      <c r="U100" s="23">
        <f t="shared" si="42"/>
        <v>2</v>
      </c>
      <c r="V100" s="668"/>
    </row>
    <row r="101" spans="10:22">
      <c r="J101" s="65">
        <f t="shared" si="43"/>
        <v>46142</v>
      </c>
      <c r="K101" s="1" t="str">
        <f t="shared" si="44"/>
        <v>STAG</v>
      </c>
      <c r="L101" s="23">
        <f t="shared" si="45"/>
        <v>1.0069444444444444</v>
      </c>
      <c r="M101" s="23">
        <f t="shared" si="46"/>
        <v>1.2652777777777777</v>
      </c>
      <c r="N101" s="68">
        <f t="shared" ref="N101:N106" si="47">M101-L101</f>
        <v>0.2583333333333333</v>
      </c>
      <c r="O101" s="3">
        <v>372</v>
      </c>
      <c r="P101" s="69">
        <f t="shared" si="10"/>
        <v>362</v>
      </c>
      <c r="R101" s="65">
        <f t="shared" ref="R101:R107" si="48">SUM(J101)</f>
        <v>46142</v>
      </c>
      <c r="S101" s="74" t="str">
        <f t="shared" si="34"/>
        <v>STAG</v>
      </c>
      <c r="T101" s="23">
        <f t="shared" ref="T101:U104" si="49">E47</f>
        <v>1.0069444444444444</v>
      </c>
      <c r="U101" s="23">
        <f t="shared" si="49"/>
        <v>1.2652777777777777</v>
      </c>
      <c r="V101" s="668">
        <f>U102-T101</f>
        <v>0.91666666666666674</v>
      </c>
    </row>
    <row r="102" spans="10:22">
      <c r="J102" s="65">
        <f t="shared" si="43"/>
        <v>46142</v>
      </c>
      <c r="K102" s="1" t="str">
        <f t="shared" si="44"/>
        <v>GINSENG ORIGINAL</v>
      </c>
      <c r="L102" s="23">
        <f t="shared" si="45"/>
        <v>1.3472222222222223</v>
      </c>
      <c r="M102" s="23">
        <f t="shared" si="46"/>
        <v>1.9236111111111112</v>
      </c>
      <c r="N102" s="68">
        <f t="shared" si="47"/>
        <v>0.57638888888888884</v>
      </c>
      <c r="O102" s="3">
        <v>830</v>
      </c>
      <c r="P102" s="69">
        <f>O102-(H48+K48+L48+M48+N48+AA48+AB48+Z48)</f>
        <v>814</v>
      </c>
      <c r="R102" s="65">
        <f t="shared" si="48"/>
        <v>46142</v>
      </c>
      <c r="S102" s="74" t="str">
        <f t="shared" si="34"/>
        <v>GINSENG ORIGINAL</v>
      </c>
      <c r="T102" s="23">
        <f t="shared" si="49"/>
        <v>1.3472222222222223</v>
      </c>
      <c r="U102" s="23">
        <f t="shared" si="49"/>
        <v>1.9236111111111112</v>
      </c>
      <c r="V102" s="668"/>
    </row>
    <row r="103" spans="10:22">
      <c r="J103" s="65">
        <f t="shared" si="43"/>
        <v>0</v>
      </c>
      <c r="K103" s="1">
        <f t="shared" si="44"/>
        <v>0</v>
      </c>
      <c r="L103" s="23">
        <f t="shared" si="45"/>
        <v>0</v>
      </c>
      <c r="M103" s="23">
        <f t="shared" si="46"/>
        <v>0</v>
      </c>
      <c r="N103" s="68">
        <f t="shared" si="47"/>
        <v>0</v>
      </c>
      <c r="O103" s="3"/>
      <c r="P103" s="69">
        <f>O103-(H49+K49+L49+M49+N49+AA49+AB49+Z49)</f>
        <v>0</v>
      </c>
      <c r="R103" s="65">
        <f t="shared" si="48"/>
        <v>0</v>
      </c>
      <c r="S103" s="74">
        <f t="shared" si="34"/>
        <v>0</v>
      </c>
      <c r="T103" s="23">
        <f t="shared" si="49"/>
        <v>0</v>
      </c>
      <c r="U103" s="23">
        <f t="shared" si="49"/>
        <v>0</v>
      </c>
      <c r="V103" s="135"/>
    </row>
    <row r="104" spans="10:22">
      <c r="J104" s="65">
        <f t="shared" si="43"/>
        <v>0</v>
      </c>
      <c r="K104" s="1">
        <f t="shared" si="44"/>
        <v>0</v>
      </c>
      <c r="L104" s="23">
        <f t="shared" si="45"/>
        <v>0</v>
      </c>
      <c r="M104" s="23">
        <f t="shared" si="46"/>
        <v>0</v>
      </c>
      <c r="N104" s="68">
        <f t="shared" si="47"/>
        <v>0</v>
      </c>
      <c r="O104" s="3"/>
      <c r="P104" s="69">
        <f>O104-(H50+K50+L50+M50+N50+AA50+AB50+Z50)</f>
        <v>0</v>
      </c>
      <c r="R104" s="65">
        <f t="shared" si="48"/>
        <v>0</v>
      </c>
      <c r="S104" s="74">
        <f t="shared" si="34"/>
        <v>0</v>
      </c>
      <c r="T104" s="23">
        <f t="shared" si="49"/>
        <v>0</v>
      </c>
      <c r="U104" s="23">
        <f t="shared" si="49"/>
        <v>0</v>
      </c>
      <c r="V104" s="668"/>
    </row>
    <row r="105" spans="10:22">
      <c r="J105" s="65">
        <f t="shared" si="43"/>
        <v>0</v>
      </c>
      <c r="K105" s="1">
        <f t="shared" si="44"/>
        <v>0</v>
      </c>
      <c r="L105" s="23">
        <f t="shared" si="45"/>
        <v>0</v>
      </c>
      <c r="M105" s="23">
        <f t="shared" si="46"/>
        <v>0</v>
      </c>
      <c r="N105" s="68">
        <f t="shared" si="47"/>
        <v>0</v>
      </c>
      <c r="O105" s="3"/>
      <c r="P105" s="69">
        <f>O105-(H51+K51+L51+M51+N51+AA51+AB51+Z51)</f>
        <v>0</v>
      </c>
      <c r="R105" s="65">
        <f t="shared" si="48"/>
        <v>0</v>
      </c>
      <c r="S105" s="74"/>
      <c r="T105" s="23"/>
      <c r="U105" s="23"/>
      <c r="V105" s="668"/>
    </row>
    <row r="106" spans="10:22">
      <c r="J106" s="65">
        <f t="shared" si="43"/>
        <v>0</v>
      </c>
      <c r="K106" s="1">
        <f t="shared" si="44"/>
        <v>0</v>
      </c>
      <c r="L106" s="23">
        <f t="shared" si="45"/>
        <v>0</v>
      </c>
      <c r="M106" s="23">
        <f t="shared" si="46"/>
        <v>0</v>
      </c>
      <c r="N106" s="68">
        <f t="shared" si="47"/>
        <v>0</v>
      </c>
      <c r="P106" s="69">
        <f>O106-(H52+K52+L52+M52+N52+AA52+AB52+Z52)</f>
        <v>0</v>
      </c>
      <c r="R106" s="65">
        <f t="shared" si="48"/>
        <v>0</v>
      </c>
      <c r="S106" s="74"/>
      <c r="T106" s="23"/>
      <c r="U106" s="23"/>
    </row>
    <row r="107" spans="10:22">
      <c r="J107" s="65">
        <f t="shared" si="43"/>
        <v>0</v>
      </c>
      <c r="K107" s="1">
        <f t="shared" si="44"/>
        <v>0</v>
      </c>
      <c r="L107" s="23">
        <f t="shared" si="45"/>
        <v>0</v>
      </c>
      <c r="M107" s="23">
        <f t="shared" si="46"/>
        <v>0</v>
      </c>
      <c r="N107" s="68"/>
      <c r="P107" s="69"/>
      <c r="R107" s="65">
        <f t="shared" si="48"/>
        <v>0</v>
      </c>
      <c r="S107" s="74"/>
    </row>
    <row r="108" spans="10:22">
      <c r="J108" s="65">
        <f t="shared" si="43"/>
        <v>0</v>
      </c>
      <c r="K108" s="1">
        <f t="shared" si="44"/>
        <v>0</v>
      </c>
      <c r="L108" s="23">
        <f t="shared" si="45"/>
        <v>0</v>
      </c>
      <c r="M108" s="23">
        <f t="shared" si="46"/>
        <v>0</v>
      </c>
      <c r="N108" s="68"/>
      <c r="P108" s="69"/>
    </row>
    <row r="109" spans="10:22">
      <c r="J109" s="65">
        <f t="shared" si="43"/>
        <v>0</v>
      </c>
      <c r="K109" s="1">
        <f t="shared" si="44"/>
        <v>0</v>
      </c>
      <c r="L109" s="23">
        <f t="shared" si="45"/>
        <v>0</v>
      </c>
      <c r="M109" s="23">
        <f t="shared" si="46"/>
        <v>0</v>
      </c>
      <c r="N109" s="68"/>
      <c r="P109" s="69"/>
    </row>
    <row r="110" spans="10:22">
      <c r="J110" s="65"/>
      <c r="K110" s="1"/>
      <c r="L110" s="23"/>
      <c r="M110" s="23"/>
      <c r="N110" s="68"/>
      <c r="P110" s="69"/>
    </row>
  </sheetData>
  <mergeCells count="85">
    <mergeCell ref="AE47:AE48"/>
    <mergeCell ref="V101:V102"/>
    <mergeCell ref="AE21:AE24"/>
    <mergeCell ref="AE28:AE29"/>
    <mergeCell ref="D35:D36"/>
    <mergeCell ref="AE35:AE36"/>
    <mergeCell ref="D37:D38"/>
    <mergeCell ref="V84:V85"/>
    <mergeCell ref="AE45:AE46"/>
    <mergeCell ref="AE41:AE42"/>
    <mergeCell ref="D30:D31"/>
    <mergeCell ref="D32:D34"/>
    <mergeCell ref="J60:P60"/>
    <mergeCell ref="D39:D40"/>
    <mergeCell ref="D41:D42"/>
    <mergeCell ref="D45:D46"/>
    <mergeCell ref="D8:D9"/>
    <mergeCell ref="AE8:AE10"/>
    <mergeCell ref="AE37:AE38"/>
    <mergeCell ref="AE39:AE40"/>
    <mergeCell ref="D11:D12"/>
    <mergeCell ref="AE11:AE12"/>
    <mergeCell ref="D13:D14"/>
    <mergeCell ref="AE13:AE14"/>
    <mergeCell ref="D21:D24"/>
    <mergeCell ref="D25:D27"/>
    <mergeCell ref="AE25:AE27"/>
    <mergeCell ref="D19:D20"/>
    <mergeCell ref="D28:D29"/>
    <mergeCell ref="AE32:AE34"/>
    <mergeCell ref="AE30:AE31"/>
    <mergeCell ref="D15:D16"/>
    <mergeCell ref="F4:F7"/>
    <mergeCell ref="V104:V105"/>
    <mergeCell ref="W5:W7"/>
    <mergeCell ref="X5:X7"/>
    <mergeCell ref="V99:V100"/>
    <mergeCell ref="V75:V78"/>
    <mergeCell ref="V73:V74"/>
    <mergeCell ref="V62:V64"/>
    <mergeCell ref="V79:V81"/>
    <mergeCell ref="V91:V92"/>
    <mergeCell ref="V93:V94"/>
    <mergeCell ref="R60:V60"/>
    <mergeCell ref="V82:V83"/>
    <mergeCell ref="V89:V90"/>
    <mergeCell ref="V95:V96"/>
    <mergeCell ref="V86:V88"/>
    <mergeCell ref="A4:A7"/>
    <mergeCell ref="B4:B7"/>
    <mergeCell ref="C4:C7"/>
    <mergeCell ref="D4:D7"/>
    <mergeCell ref="E4:E7"/>
    <mergeCell ref="D47:D48"/>
    <mergeCell ref="AL4:AV4"/>
    <mergeCell ref="Y5:Y7"/>
    <mergeCell ref="AE19:AE20"/>
    <mergeCell ref="Q5:Q7"/>
    <mergeCell ref="R5:R7"/>
    <mergeCell ref="V5:V7"/>
    <mergeCell ref="AC5:AC7"/>
    <mergeCell ref="AE15:AE16"/>
    <mergeCell ref="O5:O7"/>
    <mergeCell ref="G4:G7"/>
    <mergeCell ref="H5:H7"/>
    <mergeCell ref="I5:I7"/>
    <mergeCell ref="K5:K7"/>
    <mergeCell ref="L5:L7"/>
    <mergeCell ref="J5:J7"/>
    <mergeCell ref="B2:AE2"/>
    <mergeCell ref="H4:AA4"/>
    <mergeCell ref="V69:V70"/>
    <mergeCell ref="S5:S7"/>
    <mergeCell ref="T5:T7"/>
    <mergeCell ref="U5:U7"/>
    <mergeCell ref="V65:V66"/>
    <mergeCell ref="V67:V68"/>
    <mergeCell ref="AE5:AE7"/>
    <mergeCell ref="Z5:Z7"/>
    <mergeCell ref="AA5:AA7"/>
    <mergeCell ref="AB4:AB7"/>
    <mergeCell ref="AD5:AD7"/>
    <mergeCell ref="P5:P7"/>
    <mergeCell ref="M5:M7"/>
    <mergeCell ref="N5:N7"/>
  </mergeCells>
  <conditionalFormatting sqref="D8">
    <cfRule type="cellIs" dxfId="30" priority="11" stopIfTrue="1" operator="greaterThan">
      <formula>$D$3</formula>
    </cfRule>
  </conditionalFormatting>
  <conditionalFormatting sqref="D50 E52">
    <cfRule type="cellIs" dxfId="29" priority="31" stopIfTrue="1" operator="greaterThan">
      <formula>$E$3</formula>
    </cfRule>
  </conditionalFormatting>
  <conditionalFormatting sqref="D52:D53">
    <cfRule type="cellIs" dxfId="28" priority="29" stopIfTrue="1" operator="greaterThan">
      <formula>$E$3</formula>
    </cfRule>
  </conditionalFormatting>
  <conditionalFormatting sqref="E8 E10:E47">
    <cfRule type="cellIs" dxfId="27" priority="23" stopIfTrue="1" operator="greaterThan">
      <formula>$E$3</formula>
    </cfRule>
  </conditionalFormatting>
  <conditionalFormatting sqref="E48:E51">
    <cfRule type="cellIs" dxfId="26" priority="28" stopIfTrue="1" operator="greaterThan">
      <formula>$F$3</formula>
    </cfRule>
  </conditionalFormatting>
  <conditionalFormatting sqref="E53">
    <cfRule type="cellIs" dxfId="25" priority="32" stopIfTrue="1" operator="greaterThan">
      <formula>$F$3</formula>
    </cfRule>
  </conditionalFormatting>
  <pageMargins left="0.75" right="0.75" top="1" bottom="1" header="0.5" footer="0.5"/>
  <pageSetup scale="39" fitToHeight="2" orientation="landscape" r:id="rId1"/>
  <headerFooter alignWithMargins="0"/>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2">
    <tabColor rgb="FF00B050"/>
    <pageSetUpPr fitToPage="1"/>
  </sheetPr>
  <dimension ref="A1:AX126"/>
  <sheetViews>
    <sheetView showZeros="0" workbookViewId="0">
      <pane xSplit="7" ySplit="7" topLeftCell="Y40" activePane="bottomRight" state="frozen"/>
      <selection pane="topRight"/>
      <selection pane="bottomLeft"/>
      <selection pane="bottomRight" activeCell="N88" sqref="N88"/>
    </sheetView>
  </sheetViews>
  <sheetFormatPr defaultColWidth="9" defaultRowHeight="12.75"/>
  <cols>
    <col min="1" max="1" width="8.42578125" style="3" customWidth="1"/>
    <col min="2" max="2" width="7.5703125" style="3" customWidth="1"/>
    <col min="3" max="3" width="25.5703125" customWidth="1"/>
    <col min="4" max="5" width="9.42578125" customWidth="1"/>
    <col min="6" max="6" width="8.5703125" customWidth="1"/>
    <col min="7" max="7" width="9.5703125" customWidth="1"/>
    <col min="8" max="8" width="10.42578125" customWidth="1"/>
    <col min="9" max="9" width="8.42578125" customWidth="1"/>
    <col min="10" max="10" width="8.5703125" customWidth="1"/>
    <col min="11" max="13" width="9.5703125" customWidth="1"/>
    <col min="14" max="15" width="10.42578125" customWidth="1"/>
    <col min="16" max="16" width="8.42578125" customWidth="1"/>
    <col min="17" max="17" width="11.5703125" customWidth="1"/>
    <col min="18" max="18" width="8.5703125" customWidth="1"/>
    <col min="19" max="19" width="8.42578125" customWidth="1"/>
    <col min="20" max="20" width="8.5703125" customWidth="1"/>
    <col min="21" max="21" width="10.5703125" customWidth="1"/>
    <col min="22" max="22" width="11.42578125" customWidth="1"/>
    <col min="23" max="23" width="7.5703125" customWidth="1"/>
    <col min="24" max="24" width="12.42578125" customWidth="1"/>
    <col min="25" max="25" width="9" customWidth="1"/>
    <col min="26" max="26" width="10.140625" customWidth="1"/>
    <col min="27" max="27" width="12.5703125" customWidth="1"/>
    <col min="28" max="29" width="13" customWidth="1"/>
    <col min="30" max="30" width="14.5703125" customWidth="1"/>
    <col min="31" max="31" width="10.140625" customWidth="1"/>
    <col min="32" max="32" width="14.42578125" customWidth="1"/>
  </cols>
  <sheetData>
    <row r="1" spans="1:50">
      <c r="I1" s="3"/>
    </row>
    <row r="2" spans="1:50" ht="27.75">
      <c r="B2" s="670" t="s">
        <v>475</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5"/>
      <c r="E3" s="5"/>
      <c r="H3" s="6"/>
      <c r="I3" s="3"/>
      <c r="S3" s="3"/>
      <c r="AM3" s="6"/>
    </row>
    <row r="4" spans="1:50" ht="12.75" customHeight="1">
      <c r="A4" s="682" t="s">
        <v>411</v>
      </c>
      <c r="B4" s="685" t="s">
        <v>81</v>
      </c>
      <c r="C4" s="685" t="s">
        <v>412</v>
      </c>
      <c r="D4" s="688" t="s">
        <v>413</v>
      </c>
      <c r="E4" s="688" t="s">
        <v>414</v>
      </c>
      <c r="F4" s="688" t="s">
        <v>415</v>
      </c>
      <c r="G4" s="692" t="s">
        <v>416</v>
      </c>
      <c r="H4" s="153" t="s">
        <v>417</v>
      </c>
      <c r="I4" s="155"/>
      <c r="J4" s="155"/>
      <c r="K4" s="155"/>
      <c r="L4" s="155"/>
      <c r="M4" s="155"/>
      <c r="N4" s="155"/>
      <c r="O4" s="155"/>
      <c r="P4" s="155"/>
      <c r="Q4" s="155"/>
      <c r="R4" s="155"/>
      <c r="S4" s="155"/>
      <c r="T4" s="155"/>
      <c r="U4" s="155"/>
      <c r="V4" s="155"/>
      <c r="W4" s="155"/>
      <c r="X4" s="155"/>
      <c r="Y4" s="155"/>
      <c r="Z4" s="155"/>
      <c r="AA4" s="155"/>
      <c r="AB4" s="781" t="s">
        <v>56</v>
      </c>
      <c r="AC4" s="156"/>
      <c r="AD4" s="155"/>
      <c r="AE4" s="157"/>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777" t="s">
        <v>6</v>
      </c>
      <c r="I5" s="689" t="s">
        <v>7</v>
      </c>
      <c r="J5" s="689" t="s">
        <v>8</v>
      </c>
      <c r="K5" s="689" t="s">
        <v>9</v>
      </c>
      <c r="L5" s="689" t="s">
        <v>418</v>
      </c>
      <c r="M5" s="689" t="s">
        <v>11</v>
      </c>
      <c r="N5" s="745" t="s">
        <v>12</v>
      </c>
      <c r="O5" s="689" t="s">
        <v>13</v>
      </c>
      <c r="P5" s="689" t="s">
        <v>14</v>
      </c>
      <c r="Q5" s="689" t="s">
        <v>15</v>
      </c>
      <c r="R5" s="689" t="s">
        <v>16</v>
      </c>
      <c r="S5" s="689" t="s">
        <v>419</v>
      </c>
      <c r="T5" s="689" t="s">
        <v>18</v>
      </c>
      <c r="U5" s="689" t="s">
        <v>420</v>
      </c>
      <c r="V5" s="689" t="s">
        <v>20</v>
      </c>
      <c r="W5" s="689" t="s">
        <v>21</v>
      </c>
      <c r="X5" s="748" t="s">
        <v>22</v>
      </c>
      <c r="Y5" s="689" t="s">
        <v>421</v>
      </c>
      <c r="Z5" s="689" t="s">
        <v>24</v>
      </c>
      <c r="AA5" s="693" t="s">
        <v>25</v>
      </c>
      <c r="AB5" s="781"/>
      <c r="AC5" s="752"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777"/>
      <c r="I6" s="689"/>
      <c r="J6" s="689"/>
      <c r="K6" s="689"/>
      <c r="L6" s="689"/>
      <c r="M6" s="689"/>
      <c r="N6" s="689"/>
      <c r="O6" s="689"/>
      <c r="P6" s="689"/>
      <c r="Q6" s="689"/>
      <c r="R6" s="689"/>
      <c r="S6" s="689"/>
      <c r="T6" s="689"/>
      <c r="U6" s="689"/>
      <c r="V6" s="689"/>
      <c r="W6" s="689"/>
      <c r="X6" s="748"/>
      <c r="Y6" s="689"/>
      <c r="Z6" s="689"/>
      <c r="AA6" s="693"/>
      <c r="AB6" s="781"/>
      <c r="AC6" s="752"/>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4"/>
      <c r="B7" s="687"/>
      <c r="C7" s="687"/>
      <c r="D7" s="690"/>
      <c r="E7" s="690"/>
      <c r="F7" s="690"/>
      <c r="G7" s="694"/>
      <c r="H7" s="778"/>
      <c r="I7" s="690"/>
      <c r="J7" s="690"/>
      <c r="K7" s="690"/>
      <c r="L7" s="690"/>
      <c r="M7" s="690"/>
      <c r="N7" s="690"/>
      <c r="O7" s="690"/>
      <c r="P7" s="690"/>
      <c r="Q7" s="690"/>
      <c r="R7" s="690"/>
      <c r="S7" s="690"/>
      <c r="T7" s="690"/>
      <c r="U7" s="690"/>
      <c r="V7" s="690"/>
      <c r="W7" s="690"/>
      <c r="X7" s="749"/>
      <c r="Y7" s="690"/>
      <c r="Z7" s="690"/>
      <c r="AA7" s="694"/>
      <c r="AB7" s="782"/>
      <c r="AC7" s="753"/>
      <c r="AD7" s="696"/>
      <c r="AE7" s="764"/>
      <c r="AF7" s="42" t="s">
        <v>426</v>
      </c>
      <c r="AH7" s="3"/>
      <c r="AI7" s="3"/>
      <c r="AJ7" s="3"/>
      <c r="AK7" s="3"/>
      <c r="AL7" s="3"/>
      <c r="AM7" s="3"/>
      <c r="AN7" s="3"/>
      <c r="AO7" s="3"/>
      <c r="AP7" s="3"/>
      <c r="AQ7" s="3"/>
      <c r="AR7" s="3"/>
      <c r="AS7" s="3"/>
      <c r="AT7" s="3"/>
      <c r="AU7" s="3"/>
      <c r="AV7" s="3"/>
      <c r="AW7" s="3"/>
      <c r="AX7" s="3"/>
    </row>
    <row r="8" spans="1:50" ht="12.75" customHeight="1" thickTop="1">
      <c r="A8" s="7">
        <f>[5]May_2026!$C8</f>
        <v>1</v>
      </c>
      <c r="B8" s="139">
        <f>[5]May_2026!$B8</f>
        <v>46146</v>
      </c>
      <c r="C8" s="78" t="str">
        <f>[5]May_2026!$D8</f>
        <v>GINSENG ORIGINAL</v>
      </c>
      <c r="D8" s="691">
        <v>1.0097222222222222</v>
      </c>
      <c r="E8" s="81">
        <v>1.1354166666666667</v>
      </c>
      <c r="F8" s="81">
        <v>1.2895833333333333</v>
      </c>
      <c r="G8" s="94">
        <v>1.3305555555555555</v>
      </c>
      <c r="H8" s="14"/>
      <c r="I8" s="34"/>
      <c r="J8" s="35"/>
      <c r="K8" s="34"/>
      <c r="L8" s="34"/>
      <c r="M8" s="34"/>
      <c r="N8" s="34"/>
      <c r="O8" s="34">
        <f>'Uncaser Downtime Detail '!AG248</f>
        <v>5</v>
      </c>
      <c r="P8" s="34">
        <f>'Washer Downtime Detail'!BH250</f>
        <v>0</v>
      </c>
      <c r="Q8" s="34">
        <f>'EBI Downtime Detail'!$AI250</f>
        <v>176</v>
      </c>
      <c r="R8" s="34">
        <f>'Filler Downtime Detail'!AK251</f>
        <v>30</v>
      </c>
      <c r="S8" s="34">
        <f>'Pasteurizer Downtime Detail'!Z249</f>
        <v>0</v>
      </c>
      <c r="T8" s="34">
        <f>'Labeler Downtime Detail'!AN245</f>
        <v>4</v>
      </c>
      <c r="U8" s="34">
        <f>'Videojet Downtime Detail '!O248</f>
        <v>32</v>
      </c>
      <c r="V8" s="34">
        <f>'Conveyor Downtime (new)'!AV248</f>
        <v>7</v>
      </c>
      <c r="W8" s="34">
        <f>'Packer Downtime Detail  '!AD248</f>
        <v>0</v>
      </c>
      <c r="X8" s="34">
        <f>'Carton Errector-sealer Detail'!P236</f>
        <v>0</v>
      </c>
      <c r="Y8" s="35"/>
      <c r="Z8" s="34"/>
      <c r="AA8" s="90"/>
      <c r="AB8" s="90"/>
      <c r="AC8" s="89"/>
      <c r="AD8" s="44">
        <f>SUM(H8:J8,K8:AC8)</f>
        <v>254</v>
      </c>
      <c r="AE8" s="780">
        <f>G9-D8</f>
        <v>1.0416666666666667</v>
      </c>
      <c r="AH8" s="3"/>
      <c r="AI8" s="3"/>
      <c r="AJ8" s="3"/>
      <c r="AK8" s="3"/>
      <c r="AL8" s="3"/>
      <c r="AM8" s="3"/>
      <c r="AN8" s="3"/>
      <c r="AO8" s="3"/>
      <c r="AP8" s="3"/>
      <c r="AQ8" s="3"/>
      <c r="AR8" s="3"/>
      <c r="AS8" s="3"/>
      <c r="AT8" s="3"/>
      <c r="AU8" s="3"/>
      <c r="AV8" s="3"/>
      <c r="AW8" s="3"/>
      <c r="AX8" s="3"/>
    </row>
    <row r="9" spans="1:50" ht="12.75" customHeight="1">
      <c r="A9" s="7">
        <f>[5]May_2026!$C9</f>
        <v>1</v>
      </c>
      <c r="B9" s="139">
        <f>[5]May_2026!$B9</f>
        <v>46146</v>
      </c>
      <c r="C9" s="78" t="str">
        <f>[5]May_2026!$D9</f>
        <v xml:space="preserve">VITA MALT ( CLASSIC ) </v>
      </c>
      <c r="D9" s="681"/>
      <c r="E9" s="81">
        <v>1.4722222222222223</v>
      </c>
      <c r="F9" s="81">
        <v>2.0013888888888891</v>
      </c>
      <c r="G9" s="94">
        <v>2.0513888888888889</v>
      </c>
      <c r="H9" s="82"/>
      <c r="I9" s="32">
        <f>60+60+60+40</f>
        <v>220</v>
      </c>
      <c r="J9" s="86"/>
      <c r="K9" s="71"/>
      <c r="L9" s="71"/>
      <c r="M9" s="71"/>
      <c r="N9" s="71"/>
      <c r="O9" s="32">
        <f>'Uncaser Downtime Detail '!AG249</f>
        <v>0</v>
      </c>
      <c r="P9" s="32">
        <f>'Washer Downtime Detail'!BH251</f>
        <v>0</v>
      </c>
      <c r="Q9" s="32">
        <f>'EBI Downtime Detail'!$AI251</f>
        <v>74</v>
      </c>
      <c r="R9" s="32">
        <f>'Filler Downtime Detail'!AK252</f>
        <v>18</v>
      </c>
      <c r="S9" s="32">
        <f>'Pasteurizer Downtime Detail'!Z250</f>
        <v>0</v>
      </c>
      <c r="T9" s="32">
        <f>'Labeler Downtime Detail'!AN246</f>
        <v>10</v>
      </c>
      <c r="U9" s="32">
        <f>'Videojet Downtime Detail '!O249</f>
        <v>0</v>
      </c>
      <c r="V9" s="32">
        <f>'Conveyor Downtime (new)'!AV249</f>
        <v>21</v>
      </c>
      <c r="W9" s="32">
        <f>'Packer Downtime Detail  '!AD249</f>
        <v>0</v>
      </c>
      <c r="X9" s="34">
        <f>'Carton Errector-sealer Detail'!P237</f>
        <v>0</v>
      </c>
      <c r="Y9" s="71"/>
      <c r="Z9" s="43">
        <f>17+3</f>
        <v>20</v>
      </c>
      <c r="AA9" s="88"/>
      <c r="AB9" s="88">
        <f>1+4+3+2+2+3+2+4+2</f>
        <v>23</v>
      </c>
      <c r="AC9" s="71"/>
      <c r="AD9" s="44">
        <f t="shared" ref="AD9:AD50" si="0">SUM(H9:J9,K9:AC9)</f>
        <v>386</v>
      </c>
      <c r="AE9" s="780"/>
      <c r="AF9" s="358" t="s">
        <v>493</v>
      </c>
      <c r="AG9" s="358" t="s">
        <v>494</v>
      </c>
      <c r="AH9" s="596" t="s">
        <v>495</v>
      </c>
      <c r="AI9" s="3"/>
      <c r="AJ9" s="3"/>
      <c r="AK9" s="3"/>
      <c r="AL9" s="3"/>
      <c r="AM9" s="3"/>
      <c r="AN9" s="3"/>
      <c r="AO9" s="3"/>
      <c r="AP9" s="3"/>
      <c r="AQ9" s="3"/>
      <c r="AR9" s="3"/>
      <c r="AS9" s="3"/>
      <c r="AT9" s="3"/>
      <c r="AU9" s="3"/>
      <c r="AV9" s="3"/>
      <c r="AW9" s="3"/>
      <c r="AX9" s="3"/>
    </row>
    <row r="10" spans="1:50" ht="12.75" customHeight="1">
      <c r="A10" s="7">
        <f>[5]May_2026!$C10</f>
        <v>2</v>
      </c>
      <c r="B10" s="139">
        <f>[5]May_2026!$B10</f>
        <v>46147</v>
      </c>
      <c r="C10" s="78" t="str">
        <f>[5]May_2026!$D10</f>
        <v>CARIB FLINT (LOCAL)</v>
      </c>
      <c r="D10" s="681">
        <v>1</v>
      </c>
      <c r="E10" s="81">
        <v>1.1666666666666667</v>
      </c>
      <c r="F10" s="81">
        <v>1.913888888888889</v>
      </c>
      <c r="G10" s="94"/>
      <c r="H10" s="14"/>
      <c r="I10" s="34">
        <f>43+60+15</f>
        <v>118</v>
      </c>
      <c r="J10" s="35">
        <v>5</v>
      </c>
      <c r="K10" s="34"/>
      <c r="L10" s="34">
        <f>6</f>
        <v>6</v>
      </c>
      <c r="M10" s="34"/>
      <c r="N10" s="34"/>
      <c r="O10" s="34">
        <f>'Uncaser Downtime Detail '!AG250</f>
        <v>0</v>
      </c>
      <c r="P10" s="34">
        <f>'Washer Downtime Detail'!BH252</f>
        <v>7</v>
      </c>
      <c r="Q10" s="34">
        <f>'EBI Downtime Detail'!$AI252</f>
        <v>542</v>
      </c>
      <c r="R10" s="34">
        <f>'Filler Downtime Detail'!AK253</f>
        <v>96</v>
      </c>
      <c r="S10" s="34">
        <f>'Pasteurizer Downtime Detail'!Z251</f>
        <v>0</v>
      </c>
      <c r="T10" s="34">
        <f>'Labeler Downtime Detail'!AN247</f>
        <v>0</v>
      </c>
      <c r="U10" s="34">
        <f>'Videojet Downtime Detail '!O250</f>
        <v>41</v>
      </c>
      <c r="V10" s="34">
        <f>'Conveyor Downtime (new)'!AV250</f>
        <v>94</v>
      </c>
      <c r="W10" s="34">
        <f>'Packer Downtime Detail  '!AD250</f>
        <v>0</v>
      </c>
      <c r="X10" s="34">
        <f>'Carton Errector-sealer Detail'!P238</f>
        <v>0</v>
      </c>
      <c r="Y10" s="35"/>
      <c r="Z10" s="34">
        <f>30</f>
        <v>30</v>
      </c>
      <c r="AA10" s="90"/>
      <c r="AB10" s="90"/>
      <c r="AC10" s="89"/>
      <c r="AD10" s="44">
        <f t="shared" si="0"/>
        <v>939</v>
      </c>
      <c r="AE10" s="780">
        <f>G11-D10</f>
        <v>1.0277777777777777</v>
      </c>
      <c r="AF10">
        <f>23+9+5+12+47+5+53+15+21+9+21+2+31+6+4+25</f>
        <v>288</v>
      </c>
      <c r="AG10">
        <f>18+11+7+6</f>
        <v>42</v>
      </c>
      <c r="AH10" s="3">
        <f>10+7+9+10+5</f>
        <v>41</v>
      </c>
      <c r="AI10" s="3"/>
      <c r="AJ10" s="3"/>
      <c r="AK10" s="3"/>
      <c r="AL10" s="3"/>
      <c r="AM10" s="3"/>
      <c r="AN10" s="3"/>
      <c r="AO10" s="3"/>
      <c r="AP10" s="3"/>
      <c r="AQ10" s="3"/>
      <c r="AR10" s="3"/>
      <c r="AS10" s="3"/>
      <c r="AT10" s="3"/>
      <c r="AU10" s="3"/>
      <c r="AV10" s="3"/>
      <c r="AW10" s="3"/>
      <c r="AX10" s="3"/>
    </row>
    <row r="11" spans="1:50" ht="12.75" customHeight="1">
      <c r="A11" s="7">
        <f>[5]May_2026!$C11</f>
        <v>2</v>
      </c>
      <c r="B11" s="139">
        <f>[5]May_2026!$B11</f>
        <v>46147</v>
      </c>
      <c r="C11" s="78" t="str">
        <f>[5]May_2026!$D11</f>
        <v>CARIB AMBER</v>
      </c>
      <c r="D11" s="681"/>
      <c r="E11" s="93">
        <v>1.9201388888888888</v>
      </c>
      <c r="F11" s="13">
        <v>2</v>
      </c>
      <c r="G11" s="588">
        <v>2.0277777777777777</v>
      </c>
      <c r="H11" s="82"/>
      <c r="I11" s="32">
        <v>6</v>
      </c>
      <c r="J11" s="86">
        <v>6</v>
      </c>
      <c r="K11" s="71"/>
      <c r="L11" s="71"/>
      <c r="M11" s="71"/>
      <c r="N11" s="167"/>
      <c r="O11" s="32">
        <f>'Uncaser Downtime Detail '!AG251</f>
        <v>0</v>
      </c>
      <c r="P11" s="32">
        <f>'Washer Downtime Detail'!BH253</f>
        <v>0</v>
      </c>
      <c r="Q11" s="32">
        <f>'EBI Downtime Detail'!$AI253</f>
        <v>7</v>
      </c>
      <c r="R11" s="32">
        <f>'Filler Downtime Detail'!AK254</f>
        <v>14</v>
      </c>
      <c r="S11" s="32">
        <f>'Pasteurizer Downtime Detail'!Z252</f>
        <v>0</v>
      </c>
      <c r="T11" s="32">
        <f>'Labeler Downtime Detail'!AN248</f>
        <v>0</v>
      </c>
      <c r="U11" s="32">
        <f>'Videojet Downtime Detail '!O251</f>
        <v>0</v>
      </c>
      <c r="V11" s="32">
        <f>'Conveyor Downtime (new)'!AV251</f>
        <v>8</v>
      </c>
      <c r="W11" s="32">
        <f>'Packer Downtime Detail  '!AD251</f>
        <v>0</v>
      </c>
      <c r="X11" s="34">
        <f>'Carton Errector-sealer Detail'!P239</f>
        <v>0</v>
      </c>
      <c r="Y11" s="71"/>
      <c r="Z11" s="43"/>
      <c r="AA11" s="88"/>
      <c r="AB11" s="88"/>
      <c r="AC11" s="71"/>
      <c r="AD11" s="44">
        <f t="shared" si="0"/>
        <v>41</v>
      </c>
      <c r="AE11" s="780"/>
      <c r="AF11">
        <f>+AF10/60</f>
        <v>4.8</v>
      </c>
      <c r="AH11" s="3"/>
      <c r="AI11" s="3"/>
      <c r="AJ11" s="3"/>
      <c r="AK11" s="3"/>
      <c r="AL11" s="3"/>
      <c r="AM11" s="3"/>
      <c r="AN11" s="3"/>
      <c r="AO11" s="3"/>
      <c r="AP11" s="3"/>
      <c r="AQ11" s="3"/>
      <c r="AR11" s="3"/>
      <c r="AS11" s="3"/>
      <c r="AT11" s="3"/>
      <c r="AU11" s="3"/>
      <c r="AV11" s="3"/>
      <c r="AW11" s="3"/>
      <c r="AX11" s="3"/>
    </row>
    <row r="12" spans="1:50" ht="12.75" customHeight="1">
      <c r="A12" s="7">
        <f>[5]May_2026!$C12</f>
        <v>3</v>
      </c>
      <c r="B12" s="139">
        <f>[5]May_2026!$B12</f>
        <v>46148</v>
      </c>
      <c r="C12" s="78" t="str">
        <f>[5]May_2026!$D12</f>
        <v>CARIB AMBER</v>
      </c>
      <c r="D12" s="93">
        <v>1</v>
      </c>
      <c r="E12" s="93">
        <v>1.0055555555555555</v>
      </c>
      <c r="F12" s="13">
        <v>2</v>
      </c>
      <c r="G12" s="94">
        <v>2.0305555555555554</v>
      </c>
      <c r="H12" s="14"/>
      <c r="I12" s="34"/>
      <c r="J12" s="35">
        <f>2</f>
        <v>2</v>
      </c>
      <c r="K12" s="34"/>
      <c r="L12" s="34"/>
      <c r="M12" s="34"/>
      <c r="N12" s="34"/>
      <c r="O12" s="34">
        <f>'Uncaser Downtime Detail '!AG252</f>
        <v>0</v>
      </c>
      <c r="P12" s="34">
        <f>'Washer Downtime Detail'!BH254</f>
        <v>19</v>
      </c>
      <c r="Q12" s="34">
        <f>'EBI Downtime Detail'!$AI254</f>
        <v>88</v>
      </c>
      <c r="R12" s="34">
        <f>'Filler Downtime Detail'!AK255</f>
        <v>37</v>
      </c>
      <c r="S12" s="34">
        <f>'Pasteurizer Downtime Detail'!Z253</f>
        <v>0</v>
      </c>
      <c r="T12" s="34">
        <f>'Labeler Downtime Detail'!AN249</f>
        <v>26</v>
      </c>
      <c r="U12" s="34">
        <f>'Videojet Downtime Detail '!O252</f>
        <v>0</v>
      </c>
      <c r="V12" s="34">
        <f>'Conveyor Downtime (new)'!AV252</f>
        <v>45</v>
      </c>
      <c r="W12" s="34">
        <f>'Packer Downtime Detail  '!AD252</f>
        <v>15</v>
      </c>
      <c r="X12" s="34">
        <f>'Carton Errector-sealer Detail'!P240</f>
        <v>0</v>
      </c>
      <c r="Y12" s="35"/>
      <c r="Z12" s="116">
        <v>8</v>
      </c>
      <c r="AA12" s="169"/>
      <c r="AB12" s="169">
        <f>1+1</f>
        <v>2</v>
      </c>
      <c r="AC12" s="89"/>
      <c r="AD12" s="44">
        <f t="shared" si="0"/>
        <v>242</v>
      </c>
      <c r="AE12" s="593">
        <f>G12-D12</f>
        <v>1.0305555555555554</v>
      </c>
      <c r="AH12" s="3"/>
      <c r="AI12" s="3"/>
      <c r="AJ12" s="3"/>
      <c r="AK12" s="3"/>
      <c r="AL12" s="3"/>
      <c r="AM12" s="3"/>
      <c r="AN12" s="3"/>
      <c r="AO12" s="3"/>
      <c r="AP12" s="3"/>
      <c r="AQ12" s="3"/>
      <c r="AR12" s="3"/>
      <c r="AS12" s="3"/>
      <c r="AT12" s="3"/>
      <c r="AU12" s="3"/>
      <c r="AV12" s="3"/>
      <c r="AW12" s="3"/>
      <c r="AX12" s="3"/>
    </row>
    <row r="13" spans="1:50" ht="12.75" customHeight="1">
      <c r="A13" s="7">
        <f>[5]May_2026!$C13</f>
        <v>4</v>
      </c>
      <c r="B13" s="139">
        <f>[5]May_2026!$B13</f>
        <v>46149</v>
      </c>
      <c r="C13" s="78" t="str">
        <f>[5]May_2026!$D13</f>
        <v>CARIB AMBER</v>
      </c>
      <c r="D13" s="681">
        <v>1</v>
      </c>
      <c r="E13" s="81">
        <v>1.0041666666666667</v>
      </c>
      <c r="F13" s="81">
        <v>1.1708333333333334</v>
      </c>
      <c r="G13" s="94">
        <v>0.30208333333333331</v>
      </c>
      <c r="H13" s="160"/>
      <c r="I13" s="168"/>
      <c r="J13" s="86"/>
      <c r="K13" s="71"/>
      <c r="L13" s="71"/>
      <c r="M13" s="71"/>
      <c r="N13" s="71"/>
      <c r="O13" s="32">
        <f>'Uncaser Downtime Detail '!AG253</f>
        <v>0</v>
      </c>
      <c r="P13" s="32">
        <f>'Washer Downtime Detail'!BH255</f>
        <v>25</v>
      </c>
      <c r="Q13" s="32">
        <f>'EBI Downtime Detail'!$AI255</f>
        <v>19</v>
      </c>
      <c r="R13" s="32">
        <f>'Filler Downtime Detail'!AK256</f>
        <v>5</v>
      </c>
      <c r="S13" s="32">
        <f>'Pasteurizer Downtime Detail'!Z254</f>
        <v>0</v>
      </c>
      <c r="T13" s="32">
        <f>'Labeler Downtime Detail'!AN250</f>
        <v>0</v>
      </c>
      <c r="U13" s="32">
        <f>'Videojet Downtime Detail '!O253</f>
        <v>0</v>
      </c>
      <c r="V13" s="32">
        <f>'Conveyor Downtime (new)'!AV253</f>
        <v>21</v>
      </c>
      <c r="W13" s="32">
        <f>'Packer Downtime Detail  '!AD253</f>
        <v>0</v>
      </c>
      <c r="X13" s="34">
        <f>'Carton Errector-sealer Detail'!P241</f>
        <v>0</v>
      </c>
      <c r="Y13" s="71"/>
      <c r="Z13" s="170">
        <v>6</v>
      </c>
      <c r="AA13" s="171"/>
      <c r="AB13" s="171">
        <v>4</v>
      </c>
      <c r="AC13" s="71"/>
      <c r="AD13" s="44">
        <f t="shared" si="0"/>
        <v>80</v>
      </c>
      <c r="AE13" s="780">
        <f>G15-D13</f>
        <v>1.0270833333333331</v>
      </c>
      <c r="AF13" s="358" t="s">
        <v>496</v>
      </c>
      <c r="AG13" s="358" t="s">
        <v>497</v>
      </c>
      <c r="AH13" s="3"/>
      <c r="AI13" s="3"/>
      <c r="AJ13" s="3"/>
      <c r="AK13" s="3"/>
      <c r="AL13" s="3"/>
      <c r="AM13" s="3"/>
      <c r="AN13" s="3"/>
      <c r="AO13" s="3"/>
      <c r="AP13" s="3"/>
      <c r="AQ13" s="3"/>
      <c r="AR13" s="3"/>
      <c r="AS13" s="3"/>
      <c r="AT13" s="3"/>
      <c r="AU13" s="3"/>
      <c r="AV13" s="3"/>
      <c r="AW13" s="3"/>
      <c r="AX13" s="3"/>
    </row>
    <row r="14" spans="1:50" ht="12.75" customHeight="1">
      <c r="A14" s="7">
        <f>[5]May_2026!$C14</f>
        <v>4</v>
      </c>
      <c r="B14" s="139">
        <f>[5]May_2026!$B14</f>
        <v>46149</v>
      </c>
      <c r="C14" s="78" t="str">
        <f>[5]May_2026!$D14</f>
        <v>TING ORIGINAL</v>
      </c>
      <c r="D14" s="681"/>
      <c r="E14" s="81">
        <v>1.3784722222222223</v>
      </c>
      <c r="F14" s="81">
        <v>1.6763888888888889</v>
      </c>
      <c r="G14" s="94"/>
      <c r="H14" s="161"/>
      <c r="I14" s="116">
        <f>60</f>
        <v>60</v>
      </c>
      <c r="J14" s="35">
        <f>42+47+4</f>
        <v>93</v>
      </c>
      <c r="K14" s="34"/>
      <c r="L14" s="34">
        <f>8+26+7</f>
        <v>41</v>
      </c>
      <c r="M14" s="34"/>
      <c r="N14" s="34"/>
      <c r="O14" s="34">
        <f>'Uncaser Downtime Detail '!AG254</f>
        <v>0</v>
      </c>
      <c r="P14" s="34">
        <f>'Washer Downtime Detail'!BH256</f>
        <v>4</v>
      </c>
      <c r="Q14" s="34">
        <f>'EBI Downtime Detail'!$AI256</f>
        <v>0</v>
      </c>
      <c r="R14" s="34">
        <f>'Filler Downtime Detail'!AK257</f>
        <v>27</v>
      </c>
      <c r="S14" s="34">
        <f>'Pasteurizer Downtime Detail'!Z255</f>
        <v>0</v>
      </c>
      <c r="T14" s="34">
        <f>'Labeler Downtime Detail'!AN251</f>
        <v>0</v>
      </c>
      <c r="U14" s="34">
        <f>'Videojet Downtime Detail '!O254</f>
        <v>0</v>
      </c>
      <c r="V14" s="34">
        <f>'Conveyor Downtime (new)'!AV254</f>
        <v>5</v>
      </c>
      <c r="W14" s="34">
        <f>'Packer Downtime Detail  '!AD254</f>
        <v>0</v>
      </c>
      <c r="X14" s="34">
        <f>'Carton Errector-sealer Detail'!P242</f>
        <v>0</v>
      </c>
      <c r="Y14" s="35"/>
      <c r="Z14" s="34">
        <v>60</v>
      </c>
      <c r="AA14" s="90"/>
      <c r="AB14" s="90"/>
      <c r="AC14" s="89"/>
      <c r="AD14" s="44">
        <f t="shared" si="0"/>
        <v>290</v>
      </c>
      <c r="AE14" s="780"/>
      <c r="AF14">
        <f>30+10+417</f>
        <v>457</v>
      </c>
      <c r="AG14">
        <f>15+40+15</f>
        <v>70</v>
      </c>
      <c r="AH14" s="3"/>
      <c r="AI14" s="3"/>
      <c r="AJ14" s="3"/>
      <c r="AK14" s="3"/>
      <c r="AL14" s="3"/>
      <c r="AM14" s="3"/>
      <c r="AN14" s="3"/>
      <c r="AO14" s="3"/>
      <c r="AP14" s="3"/>
      <c r="AQ14" s="3"/>
      <c r="AR14" s="3"/>
      <c r="AS14" s="3"/>
      <c r="AT14" s="3"/>
      <c r="AU14" s="3"/>
      <c r="AV14" s="3"/>
      <c r="AW14" s="3"/>
      <c r="AX14" s="3"/>
    </row>
    <row r="15" spans="1:50" ht="12.75" customHeight="1">
      <c r="A15" s="7">
        <f>[5]May_2026!$C15</f>
        <v>4</v>
      </c>
      <c r="B15" s="139">
        <f>[5]May_2026!$B15</f>
        <v>46149</v>
      </c>
      <c r="C15" s="78" t="str">
        <f>[5]May_2026!$D15</f>
        <v>STAG</v>
      </c>
      <c r="D15" s="681"/>
      <c r="E15" s="81">
        <v>1.7284722222222222</v>
      </c>
      <c r="F15" s="81">
        <v>2</v>
      </c>
      <c r="G15" s="94">
        <v>2.0270833333333331</v>
      </c>
      <c r="H15" s="160"/>
      <c r="I15" s="168">
        <f>46+29</f>
        <v>75</v>
      </c>
      <c r="J15" s="86"/>
      <c r="K15" s="71"/>
      <c r="L15" s="71"/>
      <c r="M15" s="71"/>
      <c r="N15" s="71"/>
      <c r="O15" s="32">
        <f>'Uncaser Downtime Detail '!AG255</f>
        <v>3</v>
      </c>
      <c r="P15" s="32">
        <f>'Washer Downtime Detail'!BH257</f>
        <v>11</v>
      </c>
      <c r="Q15" s="32">
        <f>'EBI Downtime Detail'!$AI257</f>
        <v>0</v>
      </c>
      <c r="R15" s="32">
        <f>'Filler Downtime Detail'!AK258</f>
        <v>16</v>
      </c>
      <c r="S15" s="32">
        <f>'Pasteurizer Downtime Detail'!Z256</f>
        <v>0</v>
      </c>
      <c r="T15" s="32">
        <f>'Labeler Downtime Detail'!AN252</f>
        <v>11</v>
      </c>
      <c r="U15" s="32">
        <f>'Videojet Downtime Detail '!O255</f>
        <v>0</v>
      </c>
      <c r="V15" s="32">
        <f>'Conveyor Downtime (new)'!AV255</f>
        <v>2</v>
      </c>
      <c r="W15" s="32">
        <f>'Packer Downtime Detail  '!AD255</f>
        <v>0</v>
      </c>
      <c r="X15" s="34">
        <f>'Carton Errector-sealer Detail'!P243</f>
        <v>0</v>
      </c>
      <c r="Y15" s="71"/>
      <c r="Z15" s="43"/>
      <c r="AA15" s="88">
        <v>3</v>
      </c>
      <c r="AB15" s="88">
        <f>3</f>
        <v>3</v>
      </c>
      <c r="AC15" s="71"/>
      <c r="AD15" s="44">
        <f t="shared" si="0"/>
        <v>124</v>
      </c>
      <c r="AE15" s="780"/>
      <c r="AF15">
        <f>+AF14/60</f>
        <v>7.6166666666666663</v>
      </c>
      <c r="AG15">
        <f>+AG14/60</f>
        <v>1.1666666666666667</v>
      </c>
      <c r="AH15" s="3"/>
      <c r="AI15" s="3"/>
      <c r="AJ15" s="3"/>
      <c r="AK15" s="3"/>
      <c r="AL15" s="3"/>
      <c r="AM15" s="3"/>
      <c r="AN15" s="3"/>
      <c r="AO15" s="3"/>
      <c r="AP15" s="3"/>
      <c r="AQ15" s="3"/>
      <c r="AR15" s="3"/>
      <c r="AS15" s="3"/>
      <c r="AT15" s="3"/>
      <c r="AU15" s="3"/>
      <c r="AV15" s="3"/>
      <c r="AW15" s="3"/>
      <c r="AX15" s="3"/>
    </row>
    <row r="16" spans="1:50" ht="12.75" customHeight="1">
      <c r="A16" s="7">
        <v>5</v>
      </c>
      <c r="B16" s="139">
        <f>[5]May_2026!$B16</f>
        <v>46150</v>
      </c>
      <c r="C16" s="78" t="str">
        <f>[5]May_2026!$D16</f>
        <v>STAG</v>
      </c>
      <c r="D16" s="681">
        <v>1</v>
      </c>
      <c r="E16" s="81">
        <v>1.0069444444444444</v>
      </c>
      <c r="F16" s="81">
        <v>1.5138888888888888</v>
      </c>
      <c r="G16" s="94">
        <v>1.1354166666666667</v>
      </c>
      <c r="H16" s="161"/>
      <c r="I16" s="116"/>
      <c r="J16" s="35">
        <f>3+7</f>
        <v>10</v>
      </c>
      <c r="K16" s="34"/>
      <c r="L16" s="34"/>
      <c r="M16" s="34"/>
      <c r="N16" s="34"/>
      <c r="O16" s="34">
        <f>'Uncaser Downtime Detail '!AG256</f>
        <v>5</v>
      </c>
      <c r="P16" s="34">
        <f>'Washer Downtime Detail'!BH258</f>
        <v>37</v>
      </c>
      <c r="Q16" s="34">
        <f>'EBI Downtime Detail'!$AI258</f>
        <v>6</v>
      </c>
      <c r="R16" s="34">
        <f>'Filler Downtime Detail'!AK259</f>
        <v>41</v>
      </c>
      <c r="S16" s="34">
        <f>'Pasteurizer Downtime Detail'!Z257</f>
        <v>0</v>
      </c>
      <c r="T16" s="34">
        <f>'Labeler Downtime Detail'!AN253</f>
        <v>0</v>
      </c>
      <c r="U16" s="34">
        <f>'Videojet Downtime Detail '!O256</f>
        <v>0</v>
      </c>
      <c r="V16" s="34">
        <f>'Conveyor Downtime (new)'!AV256</f>
        <v>26</v>
      </c>
      <c r="W16" s="34">
        <f>'Packer Downtime Detail  '!AD256</f>
        <v>10</v>
      </c>
      <c r="X16" s="34">
        <f>'Carton Errector-sealer Detail'!P244</f>
        <v>0</v>
      </c>
      <c r="Y16" s="35"/>
      <c r="Z16" s="34">
        <v>10</v>
      </c>
      <c r="AA16" s="90"/>
      <c r="AB16" s="90">
        <f>9+3+2</f>
        <v>14</v>
      </c>
      <c r="AC16" s="89"/>
      <c r="AD16" s="44">
        <f t="shared" si="0"/>
        <v>159</v>
      </c>
      <c r="AE16" s="780">
        <f>G17-D16</f>
        <v>0.75694444444444442</v>
      </c>
      <c r="AH16" s="3"/>
      <c r="AI16" s="3"/>
      <c r="AJ16" s="3"/>
      <c r="AK16" s="3"/>
      <c r="AL16" s="3"/>
      <c r="AM16" s="3"/>
      <c r="AN16" s="3"/>
      <c r="AO16" s="3"/>
      <c r="AP16" s="3"/>
      <c r="AQ16" s="3"/>
      <c r="AR16" s="3"/>
      <c r="AS16" s="3"/>
      <c r="AT16" s="3"/>
      <c r="AU16" s="3"/>
      <c r="AV16" s="3"/>
      <c r="AW16" s="3"/>
      <c r="AX16" s="3"/>
    </row>
    <row r="17" spans="1:50" ht="12.75" customHeight="1">
      <c r="A17" s="7">
        <f>[5]May_2026!$C17</f>
        <v>5</v>
      </c>
      <c r="B17" s="139">
        <f>[5]May_2026!$B17</f>
        <v>46150</v>
      </c>
      <c r="C17" s="78" t="str">
        <f>[5]May_2026!$D17</f>
        <v>GUINNESS</v>
      </c>
      <c r="D17" s="681"/>
      <c r="E17" s="81">
        <v>1.5486111111111112</v>
      </c>
      <c r="F17" s="81">
        <v>1.7291666666666667</v>
      </c>
      <c r="G17" s="94">
        <v>1.7569444444444444</v>
      </c>
      <c r="H17" s="82"/>
      <c r="I17" s="32">
        <f>11</f>
        <v>11</v>
      </c>
      <c r="J17" s="86">
        <f>29+10+31+60+60+60</f>
        <v>250</v>
      </c>
      <c r="K17" s="71"/>
      <c r="L17" s="71"/>
      <c r="M17" s="71"/>
      <c r="N17" s="71"/>
      <c r="O17" s="32">
        <f>'Uncaser Downtime Detail '!AG257</f>
        <v>0</v>
      </c>
      <c r="P17" s="32">
        <f>'Washer Downtime Detail'!BH259</f>
        <v>0</v>
      </c>
      <c r="Q17" s="32">
        <f>'EBI Downtime Detail'!$AI259</f>
        <v>10</v>
      </c>
      <c r="R17" s="32">
        <f>'Filler Downtime Detail'!AK260</f>
        <v>0</v>
      </c>
      <c r="S17" s="32">
        <f>'Pasteurizer Downtime Detail'!Z258</f>
        <v>0</v>
      </c>
      <c r="T17" s="32">
        <f>'Labeler Downtime Detail'!AN254</f>
        <v>0</v>
      </c>
      <c r="U17" s="32">
        <f>'Videojet Downtime Detail '!O257</f>
        <v>0</v>
      </c>
      <c r="V17" s="32">
        <f>'Conveyor Downtime (new)'!AV257</f>
        <v>13</v>
      </c>
      <c r="W17" s="32">
        <f>'Packer Downtime Detail  '!AD257</f>
        <v>0</v>
      </c>
      <c r="X17" s="34">
        <f>'Carton Errector-sealer Detail'!P245</f>
        <v>0</v>
      </c>
      <c r="Y17" s="71"/>
      <c r="Z17" s="43"/>
      <c r="AA17" s="88"/>
      <c r="AB17" s="88"/>
      <c r="AC17" s="71"/>
      <c r="AD17" s="44">
        <f t="shared" si="0"/>
        <v>284</v>
      </c>
      <c r="AE17" s="780"/>
      <c r="AH17" s="3"/>
      <c r="AI17" s="3"/>
      <c r="AJ17" s="3"/>
      <c r="AK17" s="3"/>
      <c r="AL17" s="3"/>
      <c r="AM17" s="3"/>
      <c r="AN17" s="3"/>
      <c r="AO17" s="3"/>
      <c r="AP17" s="3"/>
      <c r="AQ17" s="3"/>
      <c r="AR17" s="3"/>
      <c r="AS17" s="3"/>
      <c r="AT17" s="3"/>
      <c r="AU17" s="3"/>
      <c r="AV17" s="3"/>
      <c r="AW17" s="3"/>
      <c r="AX17" s="3"/>
    </row>
    <row r="18" spans="1:50" ht="12.75" customHeight="1">
      <c r="A18" s="7">
        <f>[5]May_2026!$C18</f>
        <v>6</v>
      </c>
      <c r="B18" s="139">
        <f>[5]May_2026!$B18</f>
        <v>46151</v>
      </c>
      <c r="C18" s="78" t="str">
        <f>[5]May_2026!$D18</f>
        <v>GUINNESS</v>
      </c>
      <c r="D18" s="93">
        <v>0.29166666666666669</v>
      </c>
      <c r="E18" s="81">
        <v>0.34375</v>
      </c>
      <c r="F18" s="81">
        <v>0.95902777777777781</v>
      </c>
      <c r="G18" s="94">
        <v>1.0006944444444446</v>
      </c>
      <c r="H18" s="14"/>
      <c r="I18" s="34"/>
      <c r="J18" s="35">
        <f>15+3</f>
        <v>18</v>
      </c>
      <c r="K18" s="34"/>
      <c r="L18" s="34"/>
      <c r="M18" s="34"/>
      <c r="N18" s="34"/>
      <c r="O18" s="34">
        <f>'Uncaser Downtime Detail '!AG258</f>
        <v>58</v>
      </c>
      <c r="P18" s="34">
        <f>'Washer Downtime Detail'!BH260</f>
        <v>26</v>
      </c>
      <c r="Q18" s="34">
        <f>'EBI Downtime Detail'!$AI260</f>
        <v>0</v>
      </c>
      <c r="R18" s="34">
        <f>'Filler Downtime Detail'!AK261</f>
        <v>26</v>
      </c>
      <c r="S18" s="34">
        <f>'Pasteurizer Downtime Detail'!Z259</f>
        <v>0</v>
      </c>
      <c r="T18" s="34">
        <f>'Labeler Downtime Detail'!AN255</f>
        <v>0</v>
      </c>
      <c r="U18" s="34">
        <f>'Videojet Downtime Detail '!O258</f>
        <v>0</v>
      </c>
      <c r="V18" s="34">
        <f>'Conveyor Downtime (new)'!AV258</f>
        <v>11</v>
      </c>
      <c r="W18" s="34">
        <f>'Packer Downtime Detail  '!AD258</f>
        <v>56</v>
      </c>
      <c r="X18" s="34">
        <f>'Carton Errector-sealer Detail'!P246</f>
        <v>0</v>
      </c>
      <c r="Y18" s="35"/>
      <c r="Z18" s="34">
        <f>15+4+3</f>
        <v>22</v>
      </c>
      <c r="AA18" s="90">
        <v>1</v>
      </c>
      <c r="AB18" s="90"/>
      <c r="AC18" s="89"/>
      <c r="AD18" s="44">
        <f t="shared" si="0"/>
        <v>218</v>
      </c>
      <c r="AE18" s="593">
        <f>G18-D18</f>
        <v>0.70902777777777781</v>
      </c>
      <c r="AH18" s="3"/>
      <c r="AI18" s="3"/>
      <c r="AJ18" s="3"/>
      <c r="AK18" s="3"/>
      <c r="AL18" s="3"/>
      <c r="AM18" s="3"/>
      <c r="AN18" s="3"/>
      <c r="AO18" s="3"/>
      <c r="AP18" s="3"/>
      <c r="AQ18" s="3"/>
      <c r="AR18" s="3"/>
      <c r="AS18" s="3"/>
      <c r="AT18" s="3"/>
      <c r="AU18" s="3"/>
      <c r="AV18" s="3"/>
      <c r="AW18" s="3"/>
      <c r="AX18" s="3"/>
    </row>
    <row r="19" spans="1:50" ht="12.75" customHeight="1">
      <c r="A19" s="7">
        <f>[5]May_2026!$C19</f>
        <v>7</v>
      </c>
      <c r="B19" s="139">
        <f>[5]May_2026!$B19</f>
        <v>46153</v>
      </c>
      <c r="C19" s="78" t="str">
        <f>[5]May_2026!$D19</f>
        <v>CARIB AMBER</v>
      </c>
      <c r="D19" s="159">
        <v>1</v>
      </c>
      <c r="E19" s="81">
        <v>1.3506944444444444</v>
      </c>
      <c r="F19" s="81">
        <v>1.9791666666666667</v>
      </c>
      <c r="G19" s="94">
        <v>2.0208333333333335</v>
      </c>
      <c r="H19" s="82"/>
      <c r="J19" s="86">
        <f>32</f>
        <v>32</v>
      </c>
      <c r="K19" s="71"/>
      <c r="L19" s="71">
        <f>3+5</f>
        <v>8</v>
      </c>
      <c r="M19" s="71"/>
      <c r="N19" s="71"/>
      <c r="O19" s="32">
        <f>'Uncaser Downtime Detail '!AG259</f>
        <v>0</v>
      </c>
      <c r="P19" s="32">
        <f>'Washer Downtime Detail'!BH261</f>
        <v>15</v>
      </c>
      <c r="Q19" s="32">
        <f>'EBI Downtime Detail'!$AI261</f>
        <v>1</v>
      </c>
      <c r="R19" s="32">
        <f>'Filler Downtime Detail'!AK262</f>
        <v>39</v>
      </c>
      <c r="S19" s="32">
        <f>'Pasteurizer Downtime Detail'!Z260</f>
        <v>0</v>
      </c>
      <c r="T19" s="32">
        <f>'Labeler Downtime Detail'!AN256</f>
        <v>34</v>
      </c>
      <c r="U19" s="32">
        <f>'Videojet Downtime Detail '!O259</f>
        <v>0</v>
      </c>
      <c r="V19" s="32">
        <f>'Conveyor Downtime (new)'!AV259</f>
        <v>25</v>
      </c>
      <c r="W19" s="32">
        <f>'Packer Downtime Detail  '!AD259</f>
        <v>23</v>
      </c>
      <c r="X19" s="34">
        <f>'Carton Errector-sealer Detail'!P247</f>
        <v>0</v>
      </c>
      <c r="Y19" s="71"/>
      <c r="Z19" s="43">
        <f>417+2+2+5</f>
        <v>426</v>
      </c>
      <c r="AA19" s="88"/>
      <c r="AB19" s="88">
        <f>3+6+3</f>
        <v>12</v>
      </c>
      <c r="AC19" s="71"/>
      <c r="AD19" s="44">
        <f>SUM(H19:J19,K19:AC19)</f>
        <v>615</v>
      </c>
      <c r="AE19" s="593">
        <f>G19-D19</f>
        <v>1.0208333333333335</v>
      </c>
      <c r="AH19" s="3"/>
      <c r="AI19" s="3"/>
      <c r="AJ19" s="3"/>
      <c r="AK19" s="3"/>
      <c r="AL19" s="3"/>
      <c r="AM19" s="3"/>
      <c r="AN19" s="3"/>
      <c r="AO19" s="3"/>
      <c r="AP19" s="3"/>
      <c r="AQ19" s="3"/>
      <c r="AR19" s="3"/>
      <c r="AS19" s="3"/>
      <c r="AT19" s="3"/>
      <c r="AU19" s="3"/>
      <c r="AV19" s="3"/>
      <c r="AW19" s="3"/>
      <c r="AX19" s="3"/>
    </row>
    <row r="20" spans="1:50" ht="12.75" customHeight="1">
      <c r="A20" s="7">
        <f>[5]May_2026!$C20</f>
        <v>8</v>
      </c>
      <c r="B20" s="139">
        <f>[5]May_2026!$B20</f>
        <v>46154</v>
      </c>
      <c r="C20" s="78" t="str">
        <f>[5]May_2026!$D20</f>
        <v>CARIB AMBER</v>
      </c>
      <c r="D20" s="681">
        <v>1</v>
      </c>
      <c r="E20" s="81">
        <v>1.0034722222222223</v>
      </c>
      <c r="F20" s="81">
        <v>1.2777777777777777</v>
      </c>
      <c r="G20" s="94">
        <v>0.32430555555555557</v>
      </c>
      <c r="H20" s="14"/>
      <c r="I20" s="34"/>
      <c r="J20" s="35"/>
      <c r="K20" s="34"/>
      <c r="L20" s="34"/>
      <c r="M20" s="34"/>
      <c r="N20" s="34"/>
      <c r="O20" s="34">
        <f>'Uncaser Downtime Detail '!AG260</f>
        <v>0</v>
      </c>
      <c r="P20" s="34">
        <f>'Washer Downtime Detail'!BH262</f>
        <v>0</v>
      </c>
      <c r="Q20" s="34">
        <f>'EBI Downtime Detail'!$AI262</f>
        <v>23</v>
      </c>
      <c r="R20" s="34">
        <f>'Filler Downtime Detail'!AK263</f>
        <v>15</v>
      </c>
      <c r="S20" s="34">
        <f>'Pasteurizer Downtime Detail'!Z261</f>
        <v>0</v>
      </c>
      <c r="T20" s="34">
        <f>'Labeler Downtime Detail'!AN257</f>
        <v>0</v>
      </c>
      <c r="U20" s="34">
        <f>'Videojet Downtime Detail '!O260</f>
        <v>0</v>
      </c>
      <c r="V20" s="34">
        <f>'Conveyor Downtime (new)'!AV260</f>
        <v>0</v>
      </c>
      <c r="W20" s="34">
        <f>'Packer Downtime Detail  '!AD260</f>
        <v>0</v>
      </c>
      <c r="X20" s="34">
        <f>'Carton Errector-sealer Detail'!P248</f>
        <v>0</v>
      </c>
      <c r="Y20" s="35"/>
      <c r="Z20" s="34">
        <f>5+5</f>
        <v>10</v>
      </c>
      <c r="AA20" s="90"/>
      <c r="AB20" s="90"/>
      <c r="AC20" s="89"/>
      <c r="AD20" s="44">
        <f t="shared" si="0"/>
        <v>48</v>
      </c>
      <c r="AE20" s="780">
        <f>G21-D20</f>
        <v>1.0625</v>
      </c>
      <c r="AH20" s="3"/>
      <c r="AI20" s="3"/>
      <c r="AJ20" s="3"/>
      <c r="AK20" s="3"/>
      <c r="AL20" s="3"/>
      <c r="AM20" s="3"/>
      <c r="AN20" s="3"/>
      <c r="AO20" s="3"/>
      <c r="AP20" s="3"/>
      <c r="AQ20" s="3"/>
      <c r="AR20" s="3"/>
      <c r="AS20" s="3"/>
      <c r="AT20" s="3"/>
      <c r="AU20" s="3"/>
      <c r="AV20" s="3"/>
      <c r="AW20" s="3"/>
      <c r="AX20" s="3"/>
    </row>
    <row r="21" spans="1:50" ht="12.75" customHeight="1">
      <c r="A21" s="7">
        <f>[5]May_2026!$C21</f>
        <v>8</v>
      </c>
      <c r="B21" s="139">
        <f>[5]May_2026!$B21</f>
        <v>46154</v>
      </c>
      <c r="C21" s="78" t="str">
        <f>[5]May_2026!$D21</f>
        <v>STAG</v>
      </c>
      <c r="D21" s="681"/>
      <c r="E21" s="81">
        <v>1.3333333333333333</v>
      </c>
      <c r="F21" s="81">
        <v>2</v>
      </c>
      <c r="G21" s="94">
        <v>2.0625</v>
      </c>
      <c r="H21" s="82"/>
      <c r="I21" s="32">
        <v>20</v>
      </c>
      <c r="J21" s="86">
        <f>5+3</f>
        <v>8</v>
      </c>
      <c r="K21" s="71"/>
      <c r="L21" s="71"/>
      <c r="M21" s="71"/>
      <c r="N21" s="71"/>
      <c r="O21" s="32">
        <f>'Uncaser Downtime Detail '!AG261</f>
        <v>14</v>
      </c>
      <c r="P21" s="32">
        <f>'Washer Downtime Detail'!BH263</f>
        <v>94</v>
      </c>
      <c r="Q21" s="32">
        <f>'EBI Downtime Detail'!$AI263</f>
        <v>14</v>
      </c>
      <c r="R21" s="32">
        <f>'Filler Downtime Detail'!AK264</f>
        <v>6</v>
      </c>
      <c r="S21" s="32">
        <f>'Pasteurizer Downtime Detail'!Z262</f>
        <v>0</v>
      </c>
      <c r="T21" s="32">
        <f>'Labeler Downtime Detail'!AN258</f>
        <v>84</v>
      </c>
      <c r="U21" s="32">
        <f>'Videojet Downtime Detail '!O261</f>
        <v>0</v>
      </c>
      <c r="V21" s="32">
        <f>'Conveyor Downtime (new)'!AV261</f>
        <v>39</v>
      </c>
      <c r="W21" s="32">
        <f>'Packer Downtime Detail  '!AD261</f>
        <v>17</v>
      </c>
      <c r="X21" s="34">
        <f>'Carton Errector-sealer Detail'!P249</f>
        <v>0</v>
      </c>
      <c r="Y21" s="71"/>
      <c r="Z21" s="43">
        <f>5+3+2+4+2+5+5+3</f>
        <v>29</v>
      </c>
      <c r="AA21" s="88"/>
      <c r="AB21" s="88">
        <f>2+3+4+3+3</f>
        <v>15</v>
      </c>
      <c r="AC21" s="71"/>
      <c r="AD21" s="44">
        <f t="shared" si="0"/>
        <v>340</v>
      </c>
      <c r="AE21" s="780"/>
      <c r="AH21" s="3"/>
      <c r="AI21" s="3"/>
      <c r="AJ21" s="3"/>
      <c r="AK21" s="3"/>
      <c r="AL21" s="3"/>
      <c r="AM21" s="3"/>
      <c r="AN21" s="3"/>
      <c r="AO21" s="3"/>
      <c r="AP21" s="3"/>
      <c r="AQ21" s="3"/>
      <c r="AR21" s="3"/>
      <c r="AS21" s="3"/>
      <c r="AT21" s="3"/>
      <c r="AU21" s="3"/>
      <c r="AV21" s="3"/>
      <c r="AW21" s="3"/>
      <c r="AX21" s="3"/>
    </row>
    <row r="22" spans="1:50" ht="12.75" customHeight="1">
      <c r="A22" s="7">
        <f>[5]May_2026!$C22</f>
        <v>9</v>
      </c>
      <c r="B22" s="139">
        <f>[5]May_2026!$B22</f>
        <v>46155</v>
      </c>
      <c r="C22" s="78" t="str">
        <f>[5]May_2026!$D22</f>
        <v>STAG</v>
      </c>
      <c r="D22" s="681">
        <v>1</v>
      </c>
      <c r="E22" s="81">
        <v>1.007638888888889</v>
      </c>
      <c r="F22" s="81">
        <v>1.1159722222222221</v>
      </c>
      <c r="G22" s="94"/>
      <c r="H22" s="14"/>
      <c r="I22" s="34"/>
      <c r="J22" s="35"/>
      <c r="K22" s="34"/>
      <c r="L22" s="34"/>
      <c r="M22" s="34"/>
      <c r="N22" s="34"/>
      <c r="O22" s="34">
        <f>'Uncaser Downtime Detail '!AG262</f>
        <v>0</v>
      </c>
      <c r="P22" s="34">
        <f>'Washer Downtime Detail'!BH264</f>
        <v>0</v>
      </c>
      <c r="Q22" s="34">
        <f>'EBI Downtime Detail'!$AI264</f>
        <v>0</v>
      </c>
      <c r="R22" s="34">
        <f>'Filler Downtime Detail'!AK265</f>
        <v>0</v>
      </c>
      <c r="S22" s="34">
        <f>'Pasteurizer Downtime Detail'!Z263</f>
        <v>0</v>
      </c>
      <c r="T22" s="34">
        <f>'Labeler Downtime Detail'!AN259</f>
        <v>0</v>
      </c>
      <c r="U22" s="34">
        <f>'Videojet Downtime Detail '!O262</f>
        <v>0</v>
      </c>
      <c r="V22" s="34">
        <f>'Conveyor Downtime (new)'!AV262</f>
        <v>14</v>
      </c>
      <c r="W22" s="34">
        <f>'Packer Downtime Detail  '!AD262</f>
        <v>19</v>
      </c>
      <c r="X22" s="34">
        <f>'Carton Errector-sealer Detail'!P250</f>
        <v>0</v>
      </c>
      <c r="Y22" s="35"/>
      <c r="Z22" s="34">
        <f>11+4</f>
        <v>15</v>
      </c>
      <c r="AA22" s="90"/>
      <c r="AB22" s="90"/>
      <c r="AC22" s="89"/>
      <c r="AD22" s="44">
        <f t="shared" si="0"/>
        <v>48</v>
      </c>
      <c r="AE22" s="780">
        <f>G23-D22</f>
        <v>1.03125</v>
      </c>
      <c r="AH22" s="3"/>
      <c r="AI22" s="3"/>
      <c r="AJ22" s="3"/>
      <c r="AK22" s="3"/>
      <c r="AL22" s="3"/>
      <c r="AM22" s="3"/>
      <c r="AN22" s="3"/>
      <c r="AO22" s="3"/>
      <c r="AP22" s="3"/>
      <c r="AQ22" s="3"/>
      <c r="AR22" s="3"/>
      <c r="AS22" s="3"/>
      <c r="AT22" s="3"/>
      <c r="AU22" s="3"/>
      <c r="AV22" s="3"/>
      <c r="AW22" s="3"/>
      <c r="AX22" s="3"/>
    </row>
    <row r="23" spans="1:50" ht="12.75" customHeight="1">
      <c r="A23" s="7">
        <f>[5]May_2026!$C23</f>
        <v>9</v>
      </c>
      <c r="B23" s="139">
        <v>46155</v>
      </c>
      <c r="C23" s="78" t="s">
        <v>479</v>
      </c>
      <c r="D23" s="681"/>
      <c r="E23" s="81">
        <v>1.132638888888889</v>
      </c>
      <c r="F23" s="81">
        <v>2</v>
      </c>
      <c r="G23" s="94">
        <v>2.03125</v>
      </c>
      <c r="H23" s="82"/>
      <c r="I23" s="32">
        <f>13+11+50</f>
        <v>74</v>
      </c>
      <c r="J23" s="86">
        <v>2</v>
      </c>
      <c r="K23" s="71"/>
      <c r="L23" s="71"/>
      <c r="M23" s="71"/>
      <c r="N23" s="71"/>
      <c r="O23" s="32">
        <f>'Uncaser Downtime Detail '!AG263</f>
        <v>0</v>
      </c>
      <c r="P23" s="32">
        <f>'Washer Downtime Detail'!BH265</f>
        <v>3</v>
      </c>
      <c r="Q23" s="32">
        <f>'EBI Downtime Detail'!$AI265</f>
        <v>7</v>
      </c>
      <c r="R23" s="32">
        <f>'Filler Downtime Detail'!AK266</f>
        <v>90</v>
      </c>
      <c r="S23" s="32">
        <f>'Pasteurizer Downtime Detail'!Z264</f>
        <v>0</v>
      </c>
      <c r="T23" s="32">
        <f>'Labeler Downtime Detail'!AN260</f>
        <v>5</v>
      </c>
      <c r="U23" s="32">
        <f>'Videojet Downtime Detail '!O263</f>
        <v>0</v>
      </c>
      <c r="V23" s="32">
        <f>'Conveyor Downtime (new)'!AV263</f>
        <v>40</v>
      </c>
      <c r="W23" s="32">
        <f>'Packer Downtime Detail  '!AD263</f>
        <v>10</v>
      </c>
      <c r="X23" s="34">
        <f>'Carton Errector-sealer Detail'!P251</f>
        <v>0</v>
      </c>
      <c r="Y23" s="71"/>
      <c r="Z23" s="43">
        <f>9+4</f>
        <v>13</v>
      </c>
      <c r="AA23" s="88"/>
      <c r="AB23" s="88">
        <f>4+4+4+3+2+5+4+3+2+3+4+2+2+2+4+4+3+4+3+3+10</f>
        <v>75</v>
      </c>
      <c r="AC23" s="71"/>
      <c r="AD23" s="44">
        <f t="shared" si="0"/>
        <v>319</v>
      </c>
      <c r="AE23" s="780"/>
      <c r="AH23" s="3"/>
      <c r="AI23" s="3"/>
      <c r="AJ23" s="3"/>
      <c r="AK23" s="3"/>
      <c r="AL23" s="3"/>
      <c r="AM23" s="3"/>
      <c r="AN23" s="3"/>
      <c r="AO23" s="3"/>
      <c r="AP23" s="3"/>
      <c r="AQ23" s="3"/>
      <c r="AR23" s="3"/>
      <c r="AS23" s="3"/>
      <c r="AT23" s="3"/>
      <c r="AU23" s="3"/>
      <c r="AV23" s="3"/>
      <c r="AW23" s="3"/>
      <c r="AX23" s="3"/>
    </row>
    <row r="24" spans="1:50" ht="12.75" customHeight="1">
      <c r="A24" s="7">
        <f>[5]May_2026!$C24</f>
        <v>10</v>
      </c>
      <c r="B24" s="139">
        <v>46156</v>
      </c>
      <c r="C24" s="78" t="s">
        <v>480</v>
      </c>
      <c r="D24" s="681">
        <v>1.0090277777777779</v>
      </c>
      <c r="E24" s="81">
        <v>1.0041666666666667</v>
      </c>
      <c r="F24" s="81">
        <v>1.0402777777777779</v>
      </c>
      <c r="G24" s="94"/>
      <c r="H24" s="14"/>
      <c r="I24" s="34"/>
      <c r="J24" s="35"/>
      <c r="K24" s="34"/>
      <c r="L24" s="34"/>
      <c r="M24" s="34"/>
      <c r="N24" s="34"/>
      <c r="O24" s="34">
        <f>'Uncaser Downtime Detail '!AG264</f>
        <v>0</v>
      </c>
      <c r="P24" s="34">
        <f>'Washer Downtime Detail'!BH266</f>
        <v>0</v>
      </c>
      <c r="Q24" s="34">
        <f>'EBI Downtime Detail'!$AI266</f>
        <v>4</v>
      </c>
      <c r="R24" s="34">
        <f>'Filler Downtime Detail'!AK267</f>
        <v>2</v>
      </c>
      <c r="S24" s="34">
        <f>'Pasteurizer Downtime Detail'!Z265</f>
        <v>0</v>
      </c>
      <c r="T24" s="34">
        <f>'Labeler Downtime Detail'!AN261</f>
        <v>0</v>
      </c>
      <c r="U24" s="34">
        <f>'Videojet Downtime Detail '!O264</f>
        <v>0</v>
      </c>
      <c r="V24" s="34">
        <f>'Conveyor Downtime (new)'!AV264</f>
        <v>0</v>
      </c>
      <c r="W24" s="34">
        <f>'Packer Downtime Detail  '!AD264</f>
        <v>0</v>
      </c>
      <c r="X24" s="34">
        <f>'Carton Errector-sealer Detail'!P252</f>
        <v>0</v>
      </c>
      <c r="Y24" s="35"/>
      <c r="Z24" s="34">
        <v>6</v>
      </c>
      <c r="AA24" s="90"/>
      <c r="AB24" s="90"/>
      <c r="AC24" s="89"/>
      <c r="AD24" s="44">
        <f t="shared" si="0"/>
        <v>12</v>
      </c>
      <c r="AE24" s="780">
        <f>G27-D24</f>
        <v>1.0569444444444445</v>
      </c>
      <c r="AH24" s="3"/>
      <c r="AI24" s="3"/>
      <c r="AJ24" s="3"/>
      <c r="AK24" s="3"/>
      <c r="AL24" s="3"/>
      <c r="AM24" s="3"/>
      <c r="AN24" s="3"/>
      <c r="AO24" s="3"/>
      <c r="AP24" s="3"/>
      <c r="AQ24" s="3"/>
      <c r="AR24" s="3"/>
      <c r="AS24" s="3"/>
      <c r="AT24" s="3"/>
      <c r="AU24" s="3"/>
      <c r="AV24" s="3"/>
      <c r="AW24" s="3"/>
      <c r="AX24" s="3"/>
    </row>
    <row r="25" spans="1:50" ht="12.75" customHeight="1">
      <c r="A25" s="7">
        <f>[5]May_2026!$C25</f>
        <v>10</v>
      </c>
      <c r="B25" s="139">
        <f>[5]May_2026!$B25</f>
        <v>46156</v>
      </c>
      <c r="C25" s="78" t="str">
        <f>[5]May_2026!$D25</f>
        <v>STAG</v>
      </c>
      <c r="D25" s="681"/>
      <c r="E25" s="81">
        <v>1.0729166666666667</v>
      </c>
      <c r="F25" s="81">
        <v>1.2541666666666667</v>
      </c>
      <c r="G25" s="94">
        <v>0.43055555555555558</v>
      </c>
      <c r="H25" s="82"/>
      <c r="I25" s="32">
        <v>17</v>
      </c>
      <c r="J25" s="86"/>
      <c r="K25" s="71"/>
      <c r="L25" s="71"/>
      <c r="M25" s="71"/>
      <c r="N25" s="71"/>
      <c r="O25" s="32">
        <f>'Uncaser Downtime Detail '!AG265</f>
        <v>0</v>
      </c>
      <c r="P25" s="32">
        <f>'Washer Downtime Detail'!BH267</f>
        <v>37</v>
      </c>
      <c r="Q25" s="32">
        <f>'EBI Downtime Detail'!$AI267</f>
        <v>2</v>
      </c>
      <c r="R25" s="32">
        <f>'Filler Downtime Detail'!AK268</f>
        <v>18</v>
      </c>
      <c r="S25" s="32">
        <f>'Pasteurizer Downtime Detail'!Z266</f>
        <v>0</v>
      </c>
      <c r="T25" s="32">
        <f>'Labeler Downtime Detail'!AN262</f>
        <v>2</v>
      </c>
      <c r="U25" s="32">
        <f>'Videojet Downtime Detail '!O265</f>
        <v>0</v>
      </c>
      <c r="V25" s="32">
        <f>'Conveyor Downtime (new)'!AV265</f>
        <v>10</v>
      </c>
      <c r="W25" s="32">
        <f>'Packer Downtime Detail  '!AD265</f>
        <v>11</v>
      </c>
      <c r="X25" s="34">
        <f>'Carton Errector-sealer Detail'!P253</f>
        <v>0</v>
      </c>
      <c r="Y25" s="71"/>
      <c r="Z25" s="43"/>
      <c r="AA25" s="88"/>
      <c r="AB25" s="88">
        <f>5</f>
        <v>5</v>
      </c>
      <c r="AC25" s="71"/>
      <c r="AD25" s="44">
        <f t="shared" si="0"/>
        <v>102</v>
      </c>
      <c r="AE25" s="780"/>
      <c r="AH25" s="3"/>
      <c r="AI25" s="3"/>
      <c r="AJ25" s="3"/>
      <c r="AK25" s="3"/>
      <c r="AL25" s="3"/>
      <c r="AM25" s="3"/>
      <c r="AN25" s="3"/>
      <c r="AO25" s="3"/>
      <c r="AP25" s="3"/>
      <c r="AQ25" s="3"/>
      <c r="AR25" s="3"/>
      <c r="AS25" s="3"/>
      <c r="AT25" s="3"/>
      <c r="AU25" s="3"/>
      <c r="AV25" s="3"/>
      <c r="AW25" s="3"/>
      <c r="AX25" s="3"/>
    </row>
    <row r="26" spans="1:50" ht="12.75" customHeight="1">
      <c r="A26" s="7">
        <f>[5]May_2026!$C26</f>
        <v>10</v>
      </c>
      <c r="B26" s="139">
        <f>[5]May_2026!$B26</f>
        <v>46156</v>
      </c>
      <c r="C26" s="78" t="str">
        <f>[5]May_2026!$D26</f>
        <v>SHANDY SORREL (LOC)</v>
      </c>
      <c r="D26" s="681"/>
      <c r="E26" s="81">
        <v>1.4513888888888888</v>
      </c>
      <c r="F26" s="81">
        <v>1.7145833333333333</v>
      </c>
      <c r="G26" s="94"/>
      <c r="H26" s="14"/>
      <c r="I26" s="34">
        <f>45</f>
        <v>45</v>
      </c>
      <c r="J26" s="35">
        <f>7</f>
        <v>7</v>
      </c>
      <c r="K26" s="34"/>
      <c r="L26" s="34"/>
      <c r="M26" s="34"/>
      <c r="N26" s="34"/>
      <c r="O26" s="34">
        <f>'Uncaser Downtime Detail '!AG266</f>
        <v>0</v>
      </c>
      <c r="P26" s="34">
        <f>'Washer Downtime Detail'!BH268</f>
        <v>29</v>
      </c>
      <c r="Q26" s="34">
        <f>'EBI Downtime Detail'!$AI268</f>
        <v>39</v>
      </c>
      <c r="R26" s="34">
        <f>'Filler Downtime Detail'!AK269</f>
        <v>39</v>
      </c>
      <c r="S26" s="34">
        <f>'Pasteurizer Downtime Detail'!Z267</f>
        <v>0</v>
      </c>
      <c r="T26" s="34">
        <f>'Labeler Downtime Detail'!AN263</f>
        <v>4</v>
      </c>
      <c r="U26" s="34">
        <f>'Videojet Downtime Detail '!O266</f>
        <v>0</v>
      </c>
      <c r="V26" s="34">
        <f>'Conveyor Downtime (new)'!AV266</f>
        <v>11</v>
      </c>
      <c r="W26" s="34">
        <f>'Packer Downtime Detail  '!AD266</f>
        <v>0</v>
      </c>
      <c r="X26" s="34">
        <f>'Carton Errector-sealer Detail'!P254</f>
        <v>0</v>
      </c>
      <c r="Y26" s="35"/>
      <c r="Z26" s="34">
        <f>15+15</f>
        <v>30</v>
      </c>
      <c r="AA26" s="90"/>
      <c r="AB26" s="90"/>
      <c r="AC26" s="89"/>
      <c r="AD26" s="44">
        <f t="shared" si="0"/>
        <v>204</v>
      </c>
      <c r="AE26" s="780"/>
      <c r="AH26" s="3"/>
      <c r="AI26" s="3"/>
      <c r="AJ26" s="3"/>
      <c r="AK26" s="3"/>
      <c r="AL26" s="3"/>
      <c r="AM26" s="3"/>
      <c r="AN26" s="3"/>
      <c r="AO26" s="3"/>
      <c r="AP26" s="3"/>
      <c r="AQ26" s="3"/>
      <c r="AR26" s="3"/>
      <c r="AS26" s="3"/>
      <c r="AT26" s="3"/>
      <c r="AU26" s="3"/>
      <c r="AV26" s="3"/>
      <c r="AW26" s="3"/>
      <c r="AX26" s="3"/>
    </row>
    <row r="27" spans="1:50" ht="12.75" customHeight="1">
      <c r="A27" s="7">
        <f>[5]May_2026!$C27</f>
        <v>10</v>
      </c>
      <c r="B27" s="139">
        <f>[5]May_2026!$B27</f>
        <v>46156</v>
      </c>
      <c r="C27" s="78" t="str">
        <f>[5]May_2026!$D27</f>
        <v>MACKESON</v>
      </c>
      <c r="D27" s="681"/>
      <c r="E27" s="81">
        <v>1.7749999999999999</v>
      </c>
      <c r="F27" s="81">
        <v>2.0256944444444445</v>
      </c>
      <c r="G27" s="94">
        <v>2.0659722222222223</v>
      </c>
      <c r="H27" s="82"/>
      <c r="I27" s="32">
        <f>50+5</f>
        <v>55</v>
      </c>
      <c r="J27" s="86">
        <f>2</f>
        <v>2</v>
      </c>
      <c r="K27" s="71"/>
      <c r="L27" s="71"/>
      <c r="M27" s="71"/>
      <c r="N27" s="71"/>
      <c r="O27" s="32">
        <f>'Uncaser Downtime Detail '!AG267</f>
        <v>0</v>
      </c>
      <c r="P27" s="32">
        <f>'Washer Downtime Detail'!BH269</f>
        <v>3</v>
      </c>
      <c r="Q27" s="32">
        <f>'EBI Downtime Detail'!$AI269</f>
        <v>10</v>
      </c>
      <c r="R27" s="32">
        <f>'Filler Downtime Detail'!AK270</f>
        <v>0</v>
      </c>
      <c r="S27" s="32">
        <f>'Pasteurizer Downtime Detail'!Z268</f>
        <v>31</v>
      </c>
      <c r="T27" s="32">
        <f>'Labeler Downtime Detail'!AN264</f>
        <v>2</v>
      </c>
      <c r="U27" s="32">
        <f>'Videojet Downtime Detail '!O267</f>
        <v>0</v>
      </c>
      <c r="V27" s="32">
        <f>'Conveyor Downtime (new)'!AV267</f>
        <v>2</v>
      </c>
      <c r="W27" s="32">
        <f>'Packer Downtime Detail  '!AD267</f>
        <v>0</v>
      </c>
      <c r="X27" s="34">
        <f>'Carton Errector-sealer Detail'!P255</f>
        <v>0</v>
      </c>
      <c r="Y27" s="71"/>
      <c r="Z27" s="43"/>
      <c r="AA27" s="88">
        <f>1+1</f>
        <v>2</v>
      </c>
      <c r="AB27" s="88">
        <v>7</v>
      </c>
      <c r="AC27" s="71"/>
      <c r="AD27" s="44">
        <f t="shared" si="0"/>
        <v>114</v>
      </c>
      <c r="AE27" s="780"/>
      <c r="AH27" s="3"/>
      <c r="AI27" s="3"/>
      <c r="AJ27" s="3"/>
      <c r="AK27" s="3"/>
      <c r="AL27" s="3"/>
      <c r="AM27" s="3"/>
      <c r="AN27" s="3"/>
      <c r="AO27" s="3"/>
      <c r="AP27" s="3"/>
      <c r="AQ27" s="3"/>
      <c r="AR27" s="3"/>
      <c r="AS27" s="3"/>
      <c r="AT27" s="3"/>
      <c r="AU27" s="3"/>
      <c r="AV27" s="3"/>
      <c r="AW27" s="3"/>
      <c r="AX27" s="3"/>
    </row>
    <row r="28" spans="1:50" ht="12.75" customHeight="1">
      <c r="A28" s="7">
        <f>[5]May_2026!$C28</f>
        <v>11</v>
      </c>
      <c r="B28" s="139">
        <f>[5]May_2026!$B28</f>
        <v>46157</v>
      </c>
      <c r="C28" s="78" t="str">
        <f>[5]May_2026!$D28</f>
        <v xml:space="preserve">VITA MALT ( CLASSIC ) </v>
      </c>
      <c r="D28" s="755">
        <v>1</v>
      </c>
      <c r="E28" s="81">
        <v>1.2083333333333333</v>
      </c>
      <c r="F28" s="81">
        <v>1.6854166666666666</v>
      </c>
      <c r="G28" s="94">
        <v>1.7236111111111112</v>
      </c>
      <c r="H28" s="14"/>
      <c r="I28" s="34">
        <f>23+60+60</f>
        <v>143</v>
      </c>
      <c r="J28" s="35">
        <f>60+60+4+3</f>
        <v>127</v>
      </c>
      <c r="K28" s="34"/>
      <c r="L28" s="34"/>
      <c r="M28" s="34"/>
      <c r="N28" s="34"/>
      <c r="O28" s="34">
        <f>'Uncaser Downtime Detail '!AG268</f>
        <v>0</v>
      </c>
      <c r="P28" s="34">
        <f>'Washer Downtime Detail'!BH270</f>
        <v>17</v>
      </c>
      <c r="Q28" s="34">
        <f>'EBI Downtime Detail'!$AI270</f>
        <v>27</v>
      </c>
      <c r="R28" s="34">
        <f>'Filler Downtime Detail'!AK271</f>
        <v>5</v>
      </c>
      <c r="S28" s="34">
        <f>'Pasteurizer Downtime Detail'!Z269</f>
        <v>0</v>
      </c>
      <c r="T28" s="34">
        <f>'Labeler Downtime Detail'!AN265</f>
        <v>3</v>
      </c>
      <c r="U28" s="34">
        <f>'Videojet Downtime Detail '!O268</f>
        <v>0</v>
      </c>
      <c r="V28" s="34">
        <f>'Conveyor Downtime (new)'!AV268</f>
        <v>22</v>
      </c>
      <c r="W28" s="34">
        <f>'Packer Downtime Detail  '!AD268</f>
        <v>7</v>
      </c>
      <c r="X28" s="34">
        <f>'Carton Errector-sealer Detail'!P256</f>
        <v>0</v>
      </c>
      <c r="Y28" s="35"/>
      <c r="Z28" s="34">
        <f>4+12</f>
        <v>16</v>
      </c>
      <c r="AA28" s="90"/>
      <c r="AB28" s="90">
        <f>1+2+1+6+5+6+8+5+5+4+3+4+3</f>
        <v>53</v>
      </c>
      <c r="AC28" s="89"/>
      <c r="AD28" s="44">
        <f t="shared" si="0"/>
        <v>420</v>
      </c>
      <c r="AE28" s="780">
        <f>G29-D28</f>
        <v>0.87291666666666656</v>
      </c>
      <c r="AH28" s="3"/>
      <c r="AI28" s="3"/>
      <c r="AJ28" s="3"/>
      <c r="AK28" s="3"/>
      <c r="AL28" s="3"/>
      <c r="AM28" s="3"/>
      <c r="AN28" s="3"/>
      <c r="AO28" s="3"/>
      <c r="AP28" s="3"/>
      <c r="AQ28" s="3"/>
      <c r="AR28" s="3"/>
      <c r="AS28" s="3"/>
      <c r="AT28" s="3"/>
      <c r="AU28" s="3"/>
      <c r="AV28" s="3"/>
      <c r="AW28" s="3"/>
      <c r="AX28" s="3"/>
    </row>
    <row r="29" spans="1:50" ht="12.75" customHeight="1">
      <c r="A29" s="7">
        <f>[5]May_2026!$C29</f>
        <v>11</v>
      </c>
      <c r="B29" s="139">
        <f>[5]May_2026!$B29</f>
        <v>46157</v>
      </c>
      <c r="C29" s="78" t="str">
        <f>[5]May_2026!$D29</f>
        <v xml:space="preserve">VITA MALT ( GINGER ) </v>
      </c>
      <c r="D29" s="755"/>
      <c r="E29" s="81">
        <v>1.6888888888888889</v>
      </c>
      <c r="F29" s="81">
        <v>1.8263888888888888</v>
      </c>
      <c r="G29" s="94">
        <v>1.8729166666666666</v>
      </c>
      <c r="H29" s="82"/>
      <c r="I29" s="32">
        <v>5</v>
      </c>
      <c r="J29" s="86"/>
      <c r="K29" s="71"/>
      <c r="L29" s="71"/>
      <c r="M29" s="71"/>
      <c r="N29" s="71"/>
      <c r="O29" s="32">
        <f>'Uncaser Downtime Detail '!AG269</f>
        <v>0</v>
      </c>
      <c r="P29" s="32">
        <f>'Washer Downtime Detail'!BH271</f>
        <v>0</v>
      </c>
      <c r="Q29" s="32">
        <f>'EBI Downtime Detail'!$AI271</f>
        <v>3</v>
      </c>
      <c r="R29" s="32">
        <f>'Filler Downtime Detail'!AK272</f>
        <v>0</v>
      </c>
      <c r="S29" s="32">
        <f>'Pasteurizer Downtime Detail'!Z270</f>
        <v>0</v>
      </c>
      <c r="T29" s="32">
        <f>'Labeler Downtime Detail'!AN266</f>
        <v>2</v>
      </c>
      <c r="U29" s="32">
        <f>'Videojet Downtime Detail '!O269</f>
        <v>0</v>
      </c>
      <c r="V29" s="32">
        <f>'Conveyor Downtime (new)'!AV269</f>
        <v>2</v>
      </c>
      <c r="W29" s="32">
        <f>'Packer Downtime Detail  '!AD269</f>
        <v>0</v>
      </c>
      <c r="X29" s="34">
        <f>'Carton Errector-sealer Detail'!P257</f>
        <v>0</v>
      </c>
      <c r="Y29" s="71"/>
      <c r="Z29" s="43"/>
      <c r="AA29" s="88"/>
      <c r="AB29" s="88">
        <f>4+5</f>
        <v>9</v>
      </c>
      <c r="AC29" s="71"/>
      <c r="AD29" s="44">
        <f t="shared" si="0"/>
        <v>21</v>
      </c>
      <c r="AE29" s="780"/>
      <c r="AH29" s="3"/>
      <c r="AI29" s="3"/>
      <c r="AJ29" s="3"/>
      <c r="AK29" s="3"/>
      <c r="AL29" s="3"/>
      <c r="AM29" s="3"/>
      <c r="AN29" s="3"/>
      <c r="AO29" s="3"/>
      <c r="AP29" s="3"/>
      <c r="AQ29" s="3"/>
      <c r="AR29" s="3"/>
      <c r="AS29" s="3"/>
      <c r="AT29" s="3"/>
      <c r="AU29" s="3"/>
      <c r="AV29" s="3"/>
      <c r="AW29" s="3"/>
      <c r="AX29" s="3"/>
    </row>
    <row r="30" spans="1:50" ht="12.75" customHeight="1">
      <c r="A30" s="7">
        <f>[5]May_2026!$C30</f>
        <v>12</v>
      </c>
      <c r="B30" s="139">
        <f>[5]May_2026!$B30</f>
        <v>46158</v>
      </c>
      <c r="C30" s="78" t="str">
        <f>[5]May_2026!$D30</f>
        <v>CARIB AMBER</v>
      </c>
      <c r="D30" s="595">
        <v>0.29722222222222222</v>
      </c>
      <c r="E30" s="81">
        <v>0.34583333333333333</v>
      </c>
      <c r="F30" s="81">
        <v>0.88124999999999998</v>
      </c>
      <c r="G30" s="94">
        <v>0.92708333333333337</v>
      </c>
      <c r="H30" s="14"/>
      <c r="I30" s="34"/>
      <c r="J30" s="35">
        <f>12</f>
        <v>12</v>
      </c>
      <c r="K30" s="34"/>
      <c r="L30" s="34"/>
      <c r="M30" s="34"/>
      <c r="N30" s="34"/>
      <c r="O30" s="34">
        <f>'Uncaser Downtime Detail '!AG270</f>
        <v>2</v>
      </c>
      <c r="P30" s="34">
        <f>'Washer Downtime Detail'!BH272</f>
        <v>22</v>
      </c>
      <c r="Q30" s="34">
        <f>'EBI Downtime Detail'!$AI272</f>
        <v>1</v>
      </c>
      <c r="R30" s="34">
        <f>'Filler Downtime Detail'!AK273</f>
        <v>2</v>
      </c>
      <c r="S30" s="34">
        <f>'Pasteurizer Downtime Detail'!Z271</f>
        <v>0</v>
      </c>
      <c r="T30" s="34">
        <f>'Labeler Downtime Detail'!AN267</f>
        <v>3</v>
      </c>
      <c r="U30" s="34">
        <f>'Videojet Downtime Detail '!O270</f>
        <v>0</v>
      </c>
      <c r="V30" s="34">
        <f>'Conveyor Downtime (new)'!AV270</f>
        <v>41</v>
      </c>
      <c r="W30" s="34">
        <f>'Packer Downtime Detail  '!AD270</f>
        <v>0</v>
      </c>
      <c r="X30" s="34">
        <f>'Carton Errector-sealer Detail'!P258</f>
        <v>0</v>
      </c>
      <c r="Y30" s="35"/>
      <c r="Z30" s="34">
        <f>18+8+1</f>
        <v>27</v>
      </c>
      <c r="AA30" s="90">
        <v>3</v>
      </c>
      <c r="AB30" s="90">
        <v>10</v>
      </c>
      <c r="AC30" s="89"/>
      <c r="AD30" s="44">
        <f t="shared" si="0"/>
        <v>123</v>
      </c>
      <c r="AE30" s="593">
        <f>G30-D30</f>
        <v>0.6298611111111112</v>
      </c>
      <c r="AH30" s="3"/>
      <c r="AI30" s="3"/>
      <c r="AJ30" s="3"/>
      <c r="AK30" s="3"/>
      <c r="AL30" s="3"/>
      <c r="AM30" s="3"/>
      <c r="AN30" s="3"/>
      <c r="AO30" s="3"/>
      <c r="AP30" s="3"/>
      <c r="AQ30" s="3"/>
      <c r="AR30" s="3"/>
      <c r="AS30" s="3"/>
      <c r="AT30" s="3"/>
      <c r="AU30" s="3"/>
      <c r="AV30" s="3"/>
      <c r="AW30" s="3"/>
      <c r="AX30" s="3"/>
    </row>
    <row r="31" spans="1:50">
      <c r="A31" s="7">
        <f>[5]May_2026!$C31</f>
        <v>13</v>
      </c>
      <c r="B31" s="139">
        <f>[5]May_2026!$B31</f>
        <v>46160</v>
      </c>
      <c r="C31" s="78" t="str">
        <f>[5]May_2026!$D31</f>
        <v>STAR MALT</v>
      </c>
      <c r="D31" s="779">
        <v>1.0277777777777777</v>
      </c>
      <c r="E31" s="81">
        <v>1.1041666666666667</v>
      </c>
      <c r="F31" s="81">
        <v>1.6479166666666667</v>
      </c>
      <c r="G31" s="94">
        <v>0.68333333333333335</v>
      </c>
      <c r="H31" s="82"/>
      <c r="I31" s="32"/>
      <c r="J31" s="86">
        <f>20</f>
        <v>20</v>
      </c>
      <c r="K31" s="71"/>
      <c r="L31" s="71"/>
      <c r="M31" s="71"/>
      <c r="N31" s="71"/>
      <c r="O31" s="32">
        <f>'Uncaser Downtime Detail '!AG271</f>
        <v>0</v>
      </c>
      <c r="P31" s="32">
        <f>'Washer Downtime Detail'!BH273</f>
        <v>8</v>
      </c>
      <c r="Q31" s="32">
        <f>'EBI Downtime Detail'!$AI273</f>
        <v>0</v>
      </c>
      <c r="R31" s="32">
        <f>'Filler Downtime Detail'!AK274</f>
        <v>15</v>
      </c>
      <c r="S31" s="32">
        <f>'Pasteurizer Downtime Detail'!Z272</f>
        <v>6</v>
      </c>
      <c r="T31" s="32">
        <f>'Labeler Downtime Detail'!AN268</f>
        <v>8</v>
      </c>
      <c r="U31" s="32">
        <f>'Videojet Downtime Detail '!O271</f>
        <v>0</v>
      </c>
      <c r="V31" s="32">
        <f>'Conveyor Downtime (new)'!AV271</f>
        <v>62</v>
      </c>
      <c r="W31" s="32">
        <f>'Packer Downtime Detail  '!AD271</f>
        <v>0</v>
      </c>
      <c r="X31" s="34">
        <f>'Carton Errector-sealer Detail'!P259</f>
        <v>0</v>
      </c>
      <c r="Y31" s="71"/>
      <c r="Z31" s="43">
        <f>40+8</f>
        <v>48</v>
      </c>
      <c r="AA31" s="88"/>
      <c r="AB31" s="88">
        <f>1+3+4+8</f>
        <v>16</v>
      </c>
      <c r="AC31" s="71"/>
      <c r="AD31" s="44">
        <f t="shared" si="0"/>
        <v>183</v>
      </c>
      <c r="AE31" s="780">
        <f>G32-D31</f>
        <v>0.9930555555555558</v>
      </c>
      <c r="AH31" s="3"/>
      <c r="AI31" s="3"/>
      <c r="AJ31" s="3"/>
      <c r="AK31" s="3"/>
      <c r="AL31" s="3"/>
      <c r="AM31" s="3"/>
      <c r="AN31" s="3"/>
      <c r="AO31" s="3"/>
      <c r="AP31" s="3"/>
      <c r="AQ31" s="3"/>
      <c r="AR31" s="3"/>
      <c r="AS31" s="3"/>
      <c r="AT31" s="3"/>
      <c r="AU31" s="3"/>
      <c r="AV31" s="3"/>
      <c r="AW31" s="3"/>
      <c r="AX31" s="3"/>
    </row>
    <row r="32" spans="1:50" ht="12.75" customHeight="1">
      <c r="A32" s="7">
        <f>[5]May_2026!$C32</f>
        <v>13</v>
      </c>
      <c r="B32" s="139">
        <f>[5]May_2026!$B32</f>
        <v>46160</v>
      </c>
      <c r="C32" s="78" t="str">
        <f>[5]May_2026!$D32</f>
        <v>CARIB AMBER</v>
      </c>
      <c r="D32" s="779"/>
      <c r="E32" s="597">
        <v>1.6909722222222223</v>
      </c>
      <c r="F32" s="81">
        <v>2</v>
      </c>
      <c r="G32" s="94">
        <v>2.0208333333333335</v>
      </c>
      <c r="H32" s="14"/>
      <c r="I32" s="34">
        <f>23+35</f>
        <v>58</v>
      </c>
      <c r="J32" s="35">
        <f>5+4+60</f>
        <v>69</v>
      </c>
      <c r="K32" s="34">
        <f>3</f>
        <v>3</v>
      </c>
      <c r="L32" s="34"/>
      <c r="M32" s="34"/>
      <c r="N32" s="34"/>
      <c r="O32" s="34">
        <f>'Uncaser Downtime Detail '!AG272</f>
        <v>6</v>
      </c>
      <c r="P32" s="34">
        <f>'Washer Downtime Detail'!BH274</f>
        <v>20</v>
      </c>
      <c r="Q32" s="34">
        <f>'EBI Downtime Detail'!$AI274</f>
        <v>3</v>
      </c>
      <c r="R32" s="34">
        <f>'Filler Downtime Detail'!AK275</f>
        <v>6</v>
      </c>
      <c r="S32" s="34">
        <f>'Pasteurizer Downtime Detail'!Z273</f>
        <v>0</v>
      </c>
      <c r="T32" s="34">
        <f>'Labeler Downtime Detail'!AN269</f>
        <v>9</v>
      </c>
      <c r="U32" s="34">
        <f>'Videojet Downtime Detail '!O272</f>
        <v>0</v>
      </c>
      <c r="V32" s="34">
        <f>'Conveyor Downtime (new)'!AV272</f>
        <v>3</v>
      </c>
      <c r="W32" s="34">
        <f>'Packer Downtime Detail  '!AD272</f>
        <v>0</v>
      </c>
      <c r="X32" s="34">
        <f>'Carton Errector-sealer Detail'!P260</f>
        <v>0</v>
      </c>
      <c r="Y32" s="35"/>
      <c r="Z32" s="34"/>
      <c r="AA32" s="90"/>
      <c r="AB32" s="90">
        <f>5+5+2+4+5+7</f>
        <v>28</v>
      </c>
      <c r="AC32" s="89"/>
      <c r="AD32" s="44">
        <f t="shared" si="0"/>
        <v>205</v>
      </c>
      <c r="AE32" s="780"/>
      <c r="AH32" s="3"/>
      <c r="AI32" s="3"/>
      <c r="AJ32" s="3"/>
      <c r="AK32" s="3"/>
      <c r="AL32" s="3"/>
      <c r="AM32" s="3"/>
      <c r="AN32" s="3"/>
      <c r="AO32" s="3"/>
      <c r="AP32" s="3"/>
      <c r="AQ32" s="3"/>
      <c r="AR32" s="3"/>
      <c r="AS32" s="3"/>
      <c r="AT32" s="3"/>
      <c r="AU32" s="3"/>
      <c r="AV32" s="3"/>
      <c r="AW32" s="3"/>
      <c r="AX32" s="3"/>
    </row>
    <row r="33" spans="1:50">
      <c r="A33" s="7">
        <f>[5]May_2026!$C33</f>
        <v>14</v>
      </c>
      <c r="B33" s="139">
        <f>[5]May_2026!$B33</f>
        <v>46161</v>
      </c>
      <c r="C33" s="78" t="str">
        <f>[5]May_2026!$D33</f>
        <v>CARIB AMBER</v>
      </c>
      <c r="D33" s="681">
        <v>1</v>
      </c>
      <c r="E33" s="81">
        <v>1.0034722222222223</v>
      </c>
      <c r="F33" s="81">
        <v>1.5416666666666667</v>
      </c>
      <c r="G33" s="94"/>
      <c r="H33" s="82"/>
      <c r="I33" s="32">
        <f>14+5</f>
        <v>19</v>
      </c>
      <c r="J33" s="86"/>
      <c r="K33" s="71"/>
      <c r="L33" s="71"/>
      <c r="M33" s="71"/>
      <c r="N33" s="71"/>
      <c r="O33" s="32">
        <f>'Uncaser Downtime Detail '!AG273</f>
        <v>38</v>
      </c>
      <c r="P33" s="32">
        <f>'Washer Downtime Detail'!BH275</f>
        <v>73</v>
      </c>
      <c r="Q33" s="32">
        <f>'EBI Downtime Detail'!$AI275</f>
        <v>9</v>
      </c>
      <c r="R33" s="32">
        <f>'Filler Downtime Detail'!AK276</f>
        <v>4</v>
      </c>
      <c r="S33" s="32">
        <f>'Pasteurizer Downtime Detail'!Z274</f>
        <v>0</v>
      </c>
      <c r="T33" s="32">
        <f>'Labeler Downtime Detail'!AN270</f>
        <v>6</v>
      </c>
      <c r="U33" s="32">
        <f>'Videojet Downtime Detail '!O273</f>
        <v>0</v>
      </c>
      <c r="V33" s="32">
        <f>'Conveyor Downtime (new)'!AV273</f>
        <v>34</v>
      </c>
      <c r="W33" s="32">
        <f>'Packer Downtime Detail  '!AD273</f>
        <v>0</v>
      </c>
      <c r="X33" s="34">
        <f>'Carton Errector-sealer Detail'!P261</f>
        <v>0</v>
      </c>
      <c r="Y33" s="71">
        <v>6</v>
      </c>
      <c r="Z33" s="43">
        <f>3</f>
        <v>3</v>
      </c>
      <c r="AA33" s="88"/>
      <c r="AB33" s="88">
        <f>5+3+3+6+5</f>
        <v>22</v>
      </c>
      <c r="AC33" s="71"/>
      <c r="AD33" s="44">
        <f t="shared" si="0"/>
        <v>214</v>
      </c>
      <c r="AE33" s="780">
        <f>G35-D33</f>
        <v>1.0333333333333332</v>
      </c>
      <c r="AH33" s="3"/>
      <c r="AI33" s="3"/>
      <c r="AJ33" s="3"/>
      <c r="AK33" s="3"/>
      <c r="AL33" s="3"/>
      <c r="AM33" s="3"/>
      <c r="AN33" s="3"/>
      <c r="AO33" s="3"/>
      <c r="AP33" s="3"/>
      <c r="AQ33" s="3"/>
      <c r="AR33" s="3"/>
      <c r="AS33" s="3"/>
      <c r="AT33" s="3"/>
      <c r="AU33" s="3"/>
      <c r="AV33" s="3"/>
      <c r="AW33" s="3"/>
      <c r="AX33" s="3"/>
    </row>
    <row r="34" spans="1:50" ht="12.75" customHeight="1">
      <c r="A34" s="7">
        <f>[5]May_2026!$C34</f>
        <v>14</v>
      </c>
      <c r="B34" s="139">
        <f>[5]May_2026!$B34</f>
        <v>46161</v>
      </c>
      <c r="C34" s="78" t="str">
        <f>[5]May_2026!$D34</f>
        <v>CARIB FLINT (LOCAL)</v>
      </c>
      <c r="D34" s="681"/>
      <c r="E34" s="81">
        <v>1.5451388888888888</v>
      </c>
      <c r="F34" s="81">
        <v>1.78125</v>
      </c>
      <c r="G34" s="94">
        <v>1.8444444444444446</v>
      </c>
      <c r="H34" s="14"/>
      <c r="I34" s="34">
        <f>5</f>
        <v>5</v>
      </c>
      <c r="J34" s="35"/>
      <c r="K34" s="34"/>
      <c r="L34" s="34"/>
      <c r="M34" s="34">
        <v>6</v>
      </c>
      <c r="N34" s="34"/>
      <c r="O34" s="34">
        <f>'Uncaser Downtime Detail '!AG274</f>
        <v>0</v>
      </c>
      <c r="P34" s="34">
        <f>'Washer Downtime Detail'!BH276</f>
        <v>44</v>
      </c>
      <c r="Q34" s="34">
        <f>'EBI Downtime Detail'!$AI276</f>
        <v>22</v>
      </c>
      <c r="R34" s="34">
        <f>'Filler Downtime Detail'!AK277</f>
        <v>1</v>
      </c>
      <c r="S34" s="34">
        <f>'Pasteurizer Downtime Detail'!Z275</f>
        <v>0</v>
      </c>
      <c r="T34" s="34">
        <f>'Labeler Downtime Detail'!AN271</f>
        <v>3</v>
      </c>
      <c r="U34" s="34">
        <f>'Videojet Downtime Detail '!O274</f>
        <v>0</v>
      </c>
      <c r="V34" s="34">
        <f>'Conveyor Downtime (new)'!AV274</f>
        <v>16</v>
      </c>
      <c r="W34" s="34">
        <f>'Packer Downtime Detail  '!AD274</f>
        <v>0</v>
      </c>
      <c r="X34" s="34">
        <f>'Carton Errector-sealer Detail'!P262</f>
        <v>42</v>
      </c>
      <c r="Y34" s="35"/>
      <c r="Z34" s="34"/>
      <c r="AA34" s="90"/>
      <c r="AB34" s="90">
        <f>2</f>
        <v>2</v>
      </c>
      <c r="AC34" s="89"/>
      <c r="AD34" s="44">
        <f t="shared" si="0"/>
        <v>141</v>
      </c>
      <c r="AE34" s="780"/>
      <c r="AH34" s="3"/>
      <c r="AI34" s="3"/>
      <c r="AJ34" s="3"/>
      <c r="AK34" s="3"/>
      <c r="AL34" s="3"/>
      <c r="AM34" s="3"/>
      <c r="AN34" s="3"/>
      <c r="AO34" s="3"/>
      <c r="AP34" s="3"/>
      <c r="AQ34" s="3"/>
      <c r="AR34" s="3"/>
      <c r="AS34" s="3"/>
      <c r="AT34" s="3"/>
      <c r="AU34" s="3"/>
      <c r="AV34" s="3"/>
      <c r="AW34" s="3"/>
      <c r="AX34" s="3"/>
    </row>
    <row r="35" spans="1:50" ht="15" customHeight="1">
      <c r="A35" s="7">
        <f>[5]May_2026!$C35</f>
        <v>14</v>
      </c>
      <c r="B35" s="139">
        <f>[5]May_2026!$B35</f>
        <v>46161</v>
      </c>
      <c r="C35" s="78" t="str">
        <f>[5]May_2026!$D35</f>
        <v>STAG</v>
      </c>
      <c r="D35" s="681"/>
      <c r="E35" s="81">
        <v>1.8055555555555556</v>
      </c>
      <c r="F35" s="81">
        <v>2</v>
      </c>
      <c r="G35" s="94">
        <v>2.0333333333333332</v>
      </c>
      <c r="H35" s="82"/>
      <c r="I35" s="32">
        <f>15+20+8</f>
        <v>43</v>
      </c>
      <c r="J35" s="86"/>
      <c r="K35" s="71"/>
      <c r="L35" s="71"/>
      <c r="M35" s="71"/>
      <c r="N35" s="71"/>
      <c r="O35" s="32">
        <f>'Uncaser Downtime Detail '!AG275</f>
        <v>0</v>
      </c>
      <c r="P35" s="32">
        <f>'Washer Downtime Detail'!BH277</f>
        <v>17</v>
      </c>
      <c r="Q35" s="32">
        <f>'EBI Downtime Detail'!$AI277</f>
        <v>32</v>
      </c>
      <c r="R35" s="32">
        <f>'Filler Downtime Detail'!AK278</f>
        <v>4</v>
      </c>
      <c r="S35" s="32">
        <f>'Pasteurizer Downtime Detail'!Z276</f>
        <v>0</v>
      </c>
      <c r="T35" s="32">
        <f>'Labeler Downtime Detail'!AN272</f>
        <v>0</v>
      </c>
      <c r="U35" s="32">
        <f>'Videojet Downtime Detail '!O275</f>
        <v>0</v>
      </c>
      <c r="V35" s="32">
        <f>'Conveyor Downtime (new)'!AV275</f>
        <v>7</v>
      </c>
      <c r="W35" s="32">
        <f>'Packer Downtime Detail  '!AD275</f>
        <v>0</v>
      </c>
      <c r="X35" s="34">
        <f>'Carton Errector-sealer Detail'!P263</f>
        <v>6</v>
      </c>
      <c r="Y35" s="71"/>
      <c r="Z35" s="43">
        <f>13</f>
        <v>13</v>
      </c>
      <c r="AA35" s="88"/>
      <c r="AB35" s="88"/>
      <c r="AC35" s="71"/>
      <c r="AD35" s="44">
        <f t="shared" si="0"/>
        <v>122</v>
      </c>
      <c r="AE35" s="780"/>
      <c r="AH35" s="3"/>
      <c r="AI35" s="3"/>
      <c r="AJ35" s="3"/>
      <c r="AK35" s="3"/>
      <c r="AL35" s="3"/>
      <c r="AM35" s="3"/>
      <c r="AN35" s="3"/>
      <c r="AO35" s="3"/>
      <c r="AP35" s="3"/>
      <c r="AQ35" s="3"/>
      <c r="AR35" s="3"/>
      <c r="AS35" s="3"/>
      <c r="AT35" s="3"/>
      <c r="AU35" s="3"/>
      <c r="AV35" s="3"/>
      <c r="AW35" s="3"/>
      <c r="AX35" s="3"/>
    </row>
    <row r="36" spans="1:50" ht="12.75" customHeight="1">
      <c r="A36" s="7">
        <f>[5]May_2026!$C36</f>
        <v>15</v>
      </c>
      <c r="B36" s="139">
        <f>[5]May_2026!$B36</f>
        <v>46162</v>
      </c>
      <c r="C36" s="78" t="str">
        <f>[5]May_2026!$D36</f>
        <v>STAG</v>
      </c>
      <c r="D36" s="681">
        <v>1</v>
      </c>
      <c r="E36" s="81">
        <v>1.0243055555555556</v>
      </c>
      <c r="F36" s="81">
        <v>1.4895833333333333</v>
      </c>
      <c r="G36" s="94">
        <v>1.5243055555555556</v>
      </c>
      <c r="H36" s="14"/>
      <c r="I36" s="34">
        <v>35</v>
      </c>
      <c r="J36" s="35">
        <f>2</f>
        <v>2</v>
      </c>
      <c r="K36" s="34"/>
      <c r="L36" s="34"/>
      <c r="M36" s="34"/>
      <c r="N36" s="34"/>
      <c r="O36" s="34">
        <f>'Uncaser Downtime Detail '!AG276</f>
        <v>5</v>
      </c>
      <c r="P36" s="34">
        <f>'Washer Downtime Detail'!BH278</f>
        <v>9</v>
      </c>
      <c r="Q36" s="34">
        <f>'EBI Downtime Detail'!$AI278</f>
        <v>12</v>
      </c>
      <c r="R36" s="34">
        <f>'Filler Downtime Detail'!AK279</f>
        <v>3</v>
      </c>
      <c r="S36" s="34">
        <f>'Pasteurizer Downtime Detail'!Z277</f>
        <v>0</v>
      </c>
      <c r="T36" s="34">
        <f>'Labeler Downtime Detail'!AN273</f>
        <v>40</v>
      </c>
      <c r="U36" s="34">
        <f>'Videojet Downtime Detail '!O276</f>
        <v>0</v>
      </c>
      <c r="V36" s="34">
        <f>'Conveyor Downtime (new)'!AV276</f>
        <v>13</v>
      </c>
      <c r="W36" s="34">
        <f>'Packer Downtime Detail  '!AD276</f>
        <v>0</v>
      </c>
      <c r="X36" s="34">
        <f>'Carton Errector-sealer Detail'!P264</f>
        <v>0</v>
      </c>
      <c r="Y36" s="35"/>
      <c r="Z36" s="34"/>
      <c r="AA36" s="90"/>
      <c r="AB36" s="90">
        <f>4+6+4+4+3</f>
        <v>21</v>
      </c>
      <c r="AC36" s="89"/>
      <c r="AD36" s="44">
        <f t="shared" si="0"/>
        <v>140</v>
      </c>
      <c r="AE36" s="780">
        <f>G37-D36</f>
        <v>1.0409722222222224</v>
      </c>
      <c r="AH36" s="3"/>
      <c r="AI36" s="3"/>
      <c r="AJ36" s="3"/>
      <c r="AK36" s="3"/>
      <c r="AL36" s="3"/>
      <c r="AM36" s="3"/>
      <c r="AN36" s="3"/>
      <c r="AO36" s="3"/>
      <c r="AP36" s="3"/>
      <c r="AQ36" s="3"/>
      <c r="AR36" s="3"/>
      <c r="AS36" s="3"/>
      <c r="AT36" s="3"/>
      <c r="AU36" s="3"/>
      <c r="AV36" s="3"/>
      <c r="AW36" s="3"/>
      <c r="AX36" s="3"/>
    </row>
    <row r="37" spans="1:50" ht="15" customHeight="1">
      <c r="A37" s="7">
        <f>[5]May_2026!$C37</f>
        <v>15</v>
      </c>
      <c r="B37" s="139">
        <f>[5]May_2026!$B37</f>
        <v>46162</v>
      </c>
      <c r="C37" s="78" t="str">
        <f>[5]May_2026!$D37</f>
        <v>CARIB AMBER</v>
      </c>
      <c r="D37" s="681"/>
      <c r="E37" s="81">
        <v>1.5694444444444444</v>
      </c>
      <c r="F37" s="81">
        <v>2</v>
      </c>
      <c r="G37" s="94">
        <v>2.0409722222222224</v>
      </c>
      <c r="H37" s="82"/>
      <c r="I37" s="32">
        <f>15+8</f>
        <v>23</v>
      </c>
      <c r="J37" s="86">
        <f>3</f>
        <v>3</v>
      </c>
      <c r="K37" s="71"/>
      <c r="L37" s="71"/>
      <c r="M37" s="71"/>
      <c r="N37" s="71"/>
      <c r="O37" s="32">
        <f>'Uncaser Downtime Detail '!AG277</f>
        <v>4</v>
      </c>
      <c r="P37" s="32">
        <f>'Washer Downtime Detail'!BH279</f>
        <v>10</v>
      </c>
      <c r="Q37" s="32">
        <f>'EBI Downtime Detail'!$AI279</f>
        <v>7</v>
      </c>
      <c r="R37" s="32">
        <f>'Filler Downtime Detail'!AK280</f>
        <v>10</v>
      </c>
      <c r="S37" s="32">
        <f>'Pasteurizer Downtime Detail'!Z278</f>
        <v>0</v>
      </c>
      <c r="T37" s="32">
        <f>'Labeler Downtime Detail'!AN274</f>
        <v>19</v>
      </c>
      <c r="U37" s="32">
        <f>'Videojet Downtime Detail '!O277</f>
        <v>0</v>
      </c>
      <c r="V37" s="32">
        <f>'Conveyor Downtime (new)'!AV277</f>
        <v>1</v>
      </c>
      <c r="W37" s="32">
        <f>'Packer Downtime Detail  '!AD277</f>
        <v>0</v>
      </c>
      <c r="X37" s="34">
        <f>'Carton Errector-sealer Detail'!P265</f>
        <v>0</v>
      </c>
      <c r="Y37" s="71"/>
      <c r="Z37" s="43">
        <f>60+33+6+2</f>
        <v>101</v>
      </c>
      <c r="AA37" s="88"/>
      <c r="AB37" s="88">
        <f>3+6+2</f>
        <v>11</v>
      </c>
      <c r="AC37" s="71"/>
      <c r="AD37" s="44">
        <f t="shared" si="0"/>
        <v>189</v>
      </c>
      <c r="AE37" s="780"/>
      <c r="AH37" s="596" t="s">
        <v>498</v>
      </c>
      <c r="AI37" s="3"/>
      <c r="AJ37" s="3"/>
      <c r="AK37" s="3"/>
      <c r="AL37" s="3"/>
      <c r="AM37" s="3"/>
      <c r="AN37" s="3"/>
      <c r="AO37" s="3"/>
      <c r="AP37" s="3"/>
      <c r="AQ37" s="3"/>
      <c r="AR37" s="3"/>
      <c r="AS37" s="3"/>
      <c r="AT37" s="3"/>
      <c r="AU37" s="3"/>
      <c r="AV37" s="3"/>
      <c r="AW37" s="3"/>
      <c r="AX37" s="3"/>
    </row>
    <row r="38" spans="1:50" ht="12.75" customHeight="1">
      <c r="A38" s="7">
        <f>[5]May_2026!$C38</f>
        <v>16</v>
      </c>
      <c r="B38" s="139">
        <f>[5]May_2026!$B38</f>
        <v>46163</v>
      </c>
      <c r="C38" s="78" t="str">
        <f>[5]May_2026!$D38</f>
        <v>CARIB AMBER</v>
      </c>
      <c r="D38" s="681">
        <v>1</v>
      </c>
      <c r="E38" s="81">
        <v>1.0069444444444444</v>
      </c>
      <c r="F38" s="81">
        <v>1.0486111111111112</v>
      </c>
      <c r="G38" s="94">
        <v>1.1430555555555555</v>
      </c>
      <c r="H38" s="14"/>
      <c r="I38" s="34"/>
      <c r="J38" s="35"/>
      <c r="K38" s="34"/>
      <c r="L38" s="34"/>
      <c r="M38" s="34"/>
      <c r="N38" s="34"/>
      <c r="O38" s="34">
        <f>'Uncaser Downtime Detail '!AG278</f>
        <v>0</v>
      </c>
      <c r="P38" s="34">
        <f>'Washer Downtime Detail'!BH280</f>
        <v>0</v>
      </c>
      <c r="Q38" s="34">
        <f>'EBI Downtime Detail'!$AI280</f>
        <v>0</v>
      </c>
      <c r="R38" s="34">
        <f>'Filler Downtime Detail'!AK281</f>
        <v>1</v>
      </c>
      <c r="S38" s="34">
        <f>'Pasteurizer Downtime Detail'!Z279</f>
        <v>0</v>
      </c>
      <c r="T38" s="34">
        <f>'Labeler Downtime Detail'!AN275</f>
        <v>0</v>
      </c>
      <c r="U38" s="34">
        <f>'Videojet Downtime Detail '!O278</f>
        <v>0</v>
      </c>
      <c r="V38" s="34">
        <f>'Conveyor Downtime (new)'!AV278</f>
        <v>4</v>
      </c>
      <c r="W38" s="34">
        <f>'Packer Downtime Detail  '!AD278</f>
        <v>0</v>
      </c>
      <c r="X38" s="34">
        <f>'Carton Errector-sealer Detail'!P266</f>
        <v>0</v>
      </c>
      <c r="Y38" s="35"/>
      <c r="Z38" s="34">
        <f>4+10+4+2</f>
        <v>20</v>
      </c>
      <c r="AA38" s="90"/>
      <c r="AB38" s="90">
        <f>2</f>
        <v>2</v>
      </c>
      <c r="AC38" s="89"/>
      <c r="AD38" s="44">
        <f t="shared" si="0"/>
        <v>27</v>
      </c>
      <c r="AE38" s="780">
        <f>G40-D38</f>
        <v>1.0368055555555555</v>
      </c>
      <c r="AH38" s="3">
        <f>60+15+15+60+25</f>
        <v>175</v>
      </c>
      <c r="AI38" s="3"/>
      <c r="AJ38" s="3"/>
      <c r="AK38" s="3"/>
      <c r="AL38" s="3"/>
      <c r="AM38" s="3"/>
      <c r="AN38" s="3"/>
      <c r="AO38" s="3"/>
      <c r="AP38" s="3"/>
      <c r="AQ38" s="3"/>
      <c r="AR38" s="3"/>
      <c r="AS38" s="3"/>
      <c r="AT38" s="3"/>
      <c r="AU38" s="3"/>
      <c r="AV38" s="3"/>
      <c r="AW38" s="3"/>
      <c r="AX38" s="3"/>
    </row>
    <row r="39" spans="1:50" ht="16.350000000000001" customHeight="1">
      <c r="A39" s="7">
        <f>[5]May_2026!$C39</f>
        <v>16</v>
      </c>
      <c r="B39" s="139">
        <f>[5]May_2026!$B39</f>
        <v>46163</v>
      </c>
      <c r="C39" s="78" t="str">
        <f>[5]May_2026!$D39</f>
        <v>STAG</v>
      </c>
      <c r="D39" s="681"/>
      <c r="E39" s="81">
        <v>1.1041666666666667</v>
      </c>
      <c r="F39" s="81">
        <v>1.6743055555555555</v>
      </c>
      <c r="G39" s="94">
        <v>0.71458333333333335</v>
      </c>
      <c r="H39" s="82"/>
      <c r="I39" s="32">
        <f>4+10+12</f>
        <v>26</v>
      </c>
      <c r="J39" s="86"/>
      <c r="K39" s="71"/>
      <c r="L39" s="71"/>
      <c r="M39" s="71"/>
      <c r="N39" s="71"/>
      <c r="O39" s="32">
        <f>'Uncaser Downtime Detail '!AG279</f>
        <v>2</v>
      </c>
      <c r="P39" s="32">
        <f>'Washer Downtime Detail'!BH281</f>
        <v>13</v>
      </c>
      <c r="Q39" s="32">
        <f>'EBI Downtime Detail'!$AI281</f>
        <v>8</v>
      </c>
      <c r="R39" s="32">
        <f>'Filler Downtime Detail'!AK282</f>
        <v>8</v>
      </c>
      <c r="S39" s="32">
        <f>'Pasteurizer Downtime Detail'!Z280</f>
        <v>0</v>
      </c>
      <c r="T39" s="32">
        <f>'Labeler Downtime Detail'!AN276</f>
        <v>8</v>
      </c>
      <c r="U39" s="32">
        <f>'Videojet Downtime Detail '!O279</f>
        <v>0</v>
      </c>
      <c r="V39" s="32">
        <f>'Conveyor Downtime (new)'!AV279</f>
        <v>37</v>
      </c>
      <c r="W39" s="32">
        <f>'Packer Downtime Detail  '!AD279</f>
        <v>3</v>
      </c>
      <c r="X39" s="34">
        <f>'Carton Errector-sealer Detail'!P267</f>
        <v>0</v>
      </c>
      <c r="Y39" s="71"/>
      <c r="Z39" s="43">
        <f>5+5+10</f>
        <v>20</v>
      </c>
      <c r="AA39" s="88"/>
      <c r="AB39" s="88">
        <f>2+3+3+12+4+6+2+4+4</f>
        <v>40</v>
      </c>
      <c r="AC39" s="71"/>
      <c r="AD39" s="44">
        <f t="shared" si="0"/>
        <v>165</v>
      </c>
      <c r="AE39" s="780"/>
      <c r="AH39" s="3">
        <f>+AH38/60</f>
        <v>2.9166666666666665</v>
      </c>
      <c r="AI39" s="3"/>
      <c r="AJ39" s="3"/>
      <c r="AK39" s="3"/>
      <c r="AL39" s="3"/>
      <c r="AM39" s="3"/>
      <c r="AN39" s="3"/>
      <c r="AO39" s="3"/>
      <c r="AP39" s="3"/>
      <c r="AQ39" s="3"/>
      <c r="AR39" s="3"/>
      <c r="AS39" s="3"/>
      <c r="AT39" s="3"/>
      <c r="AU39" s="3"/>
      <c r="AV39" s="3"/>
      <c r="AW39" s="3"/>
      <c r="AX39" s="3"/>
    </row>
    <row r="40" spans="1:50" ht="14.25" customHeight="1">
      <c r="A40" s="7">
        <f>[5]May_2026!$C40</f>
        <v>16</v>
      </c>
      <c r="B40" s="139">
        <f>[5]May_2026!$B40</f>
        <v>46163</v>
      </c>
      <c r="C40" s="78" t="str">
        <f>[5]May_2026!$D40</f>
        <v>CARIBE PEARSECO</v>
      </c>
      <c r="D40" s="681"/>
      <c r="E40" s="81">
        <v>1.7847222222222223</v>
      </c>
      <c r="F40" s="81">
        <v>1.9930555555555556</v>
      </c>
      <c r="G40" s="94">
        <v>2.0368055555555555</v>
      </c>
      <c r="H40" s="14"/>
      <c r="I40" s="34">
        <f>49+15</f>
        <v>64</v>
      </c>
      <c r="J40" s="35">
        <f>65</f>
        <v>65</v>
      </c>
      <c r="K40" s="34"/>
      <c r="L40" s="34"/>
      <c r="M40" s="34"/>
      <c r="N40" s="34"/>
      <c r="O40" s="34">
        <f>'Uncaser Downtime Detail '!AG280</f>
        <v>0</v>
      </c>
      <c r="P40" s="34">
        <f>'Washer Downtime Detail'!BH282</f>
        <v>0</v>
      </c>
      <c r="Q40" s="34">
        <f>'EBI Downtime Detail'!$AI282</f>
        <v>0</v>
      </c>
      <c r="R40" s="34">
        <f>'Filler Downtime Detail'!AK283</f>
        <v>0</v>
      </c>
      <c r="S40" s="34">
        <f>'Pasteurizer Downtime Detail'!Z281</f>
        <v>0</v>
      </c>
      <c r="T40" s="34"/>
      <c r="U40" s="34">
        <f>'Videojet Downtime Detail '!O280</f>
        <v>0</v>
      </c>
      <c r="V40" s="34">
        <f>'Conveyor Downtime (new)'!AV280</f>
        <v>88</v>
      </c>
      <c r="W40" s="34">
        <f>'Packer Downtime Detail  '!AD280</f>
        <v>0</v>
      </c>
      <c r="X40" s="34">
        <f>'Carton Errector-sealer Detail'!P268</f>
        <v>6</v>
      </c>
      <c r="Y40" s="35"/>
      <c r="Z40" s="34">
        <f>15+5+10</f>
        <v>30</v>
      </c>
      <c r="AA40" s="90"/>
      <c r="AB40" s="90">
        <f>2+2+2</f>
        <v>6</v>
      </c>
      <c r="AC40" s="89"/>
      <c r="AD40" s="44">
        <f t="shared" si="0"/>
        <v>259</v>
      </c>
      <c r="AE40" s="780"/>
      <c r="AH40" s="3"/>
      <c r="AI40" s="3"/>
      <c r="AJ40" s="3"/>
      <c r="AK40" s="3"/>
      <c r="AL40" s="3"/>
      <c r="AM40" s="3"/>
      <c r="AN40" s="3"/>
      <c r="AO40" s="3"/>
      <c r="AP40" s="3"/>
      <c r="AQ40" s="3"/>
      <c r="AR40" s="3"/>
      <c r="AS40" s="3"/>
      <c r="AT40" s="3"/>
      <c r="AU40" s="3"/>
      <c r="AV40" s="3"/>
      <c r="AW40" s="3"/>
      <c r="AX40" s="3"/>
    </row>
    <row r="41" spans="1:50" ht="15" customHeight="1">
      <c r="A41" s="7">
        <f>[5]May_2026!$C41</f>
        <v>17</v>
      </c>
      <c r="B41" s="139">
        <f>[5]May_2026!$B41</f>
        <v>46164</v>
      </c>
      <c r="C41" s="78" t="str">
        <f>[5]May_2026!$D41</f>
        <v>CARIBE ROSE'</v>
      </c>
      <c r="D41" s="681">
        <v>1</v>
      </c>
      <c r="E41" s="81">
        <v>1.0152777777777777</v>
      </c>
      <c r="F41" s="81">
        <v>1.35</v>
      </c>
      <c r="G41" s="94">
        <v>1.4340277777777777</v>
      </c>
      <c r="H41" s="82"/>
      <c r="I41" s="32">
        <f>22+10</f>
        <v>32</v>
      </c>
      <c r="J41" s="86"/>
      <c r="K41" s="71"/>
      <c r="L41" s="71"/>
      <c r="M41" s="71"/>
      <c r="N41" s="71"/>
      <c r="O41" s="32">
        <f>'Uncaser Downtime Detail '!AG281</f>
        <v>0</v>
      </c>
      <c r="P41" s="32">
        <f>'Washer Downtime Detail'!BH283</f>
        <v>8</v>
      </c>
      <c r="Q41" s="32">
        <f>'EBI Downtime Detail'!$AI283</f>
        <v>6</v>
      </c>
      <c r="R41" s="32">
        <f>'Filler Downtime Detail'!AK284</f>
        <v>1</v>
      </c>
      <c r="S41" s="32">
        <f>'Pasteurizer Downtime Detail'!Z282</f>
        <v>0</v>
      </c>
      <c r="T41" s="32">
        <f>'Labeler Downtime Detail'!AN278</f>
        <v>5</v>
      </c>
      <c r="U41" s="32">
        <f>'Videojet Downtime Detail '!O281</f>
        <v>0</v>
      </c>
      <c r="V41" s="32">
        <f>'Conveyor Downtime (new)'!AV281</f>
        <v>63</v>
      </c>
      <c r="W41" s="32">
        <f>'Packer Downtime Detail  '!AD281</f>
        <v>4</v>
      </c>
      <c r="X41" s="34">
        <f>'Carton Errector-sealer Detail'!P269</f>
        <v>52</v>
      </c>
      <c r="Y41" s="71"/>
      <c r="Z41" s="43"/>
      <c r="AA41" s="88"/>
      <c r="AB41" s="88"/>
      <c r="AC41" s="71"/>
      <c r="AD41" s="44">
        <f t="shared" si="0"/>
        <v>171</v>
      </c>
      <c r="AE41" s="780">
        <f>G43-D41</f>
        <v>0.86458333333333326</v>
      </c>
      <c r="AH41" s="596"/>
      <c r="AI41" s="3"/>
      <c r="AJ41" s="3"/>
      <c r="AK41" s="3"/>
      <c r="AL41" s="3"/>
      <c r="AM41" s="3"/>
      <c r="AN41" s="3"/>
      <c r="AO41" s="3"/>
      <c r="AP41" s="3"/>
      <c r="AQ41" s="3"/>
      <c r="AR41" s="3"/>
      <c r="AS41" s="3"/>
      <c r="AT41" s="3"/>
      <c r="AU41" s="3"/>
      <c r="AV41" s="3"/>
      <c r="AW41" s="3"/>
      <c r="AX41" s="3"/>
    </row>
    <row r="42" spans="1:50" ht="12.75" customHeight="1">
      <c r="A42" s="7">
        <f>[5]May_2026!$C42</f>
        <v>17</v>
      </c>
      <c r="B42" s="139">
        <f>[5]May_2026!$B42</f>
        <v>46164</v>
      </c>
      <c r="C42" s="78" t="str">
        <f>[5]May_2026!$D42</f>
        <v>ORIGINAL TING</v>
      </c>
      <c r="D42" s="681"/>
      <c r="E42" s="81">
        <v>1.4166666666666667</v>
      </c>
      <c r="F42" s="81">
        <v>1.66875</v>
      </c>
      <c r="G42" s="94">
        <v>1.6972222222222222</v>
      </c>
      <c r="H42" s="14"/>
      <c r="I42" s="34">
        <f>36+34</f>
        <v>70</v>
      </c>
      <c r="J42" s="35"/>
      <c r="K42" s="34"/>
      <c r="L42" s="34"/>
      <c r="M42" s="34"/>
      <c r="N42" s="34"/>
      <c r="O42" s="34">
        <f>'Uncaser Downtime Detail '!AG282</f>
        <v>0</v>
      </c>
      <c r="P42" s="34">
        <f>'Washer Downtime Detail'!BH284</f>
        <v>0</v>
      </c>
      <c r="Q42" s="34">
        <f>'EBI Downtime Detail'!$AI284</f>
        <v>12</v>
      </c>
      <c r="R42" s="34">
        <f>'Filler Downtime Detail'!AK285</f>
        <v>30</v>
      </c>
      <c r="S42" s="34">
        <f>'Pasteurizer Downtime Detail'!Z283</f>
        <v>0</v>
      </c>
      <c r="T42" s="34">
        <f>'Labeler Downtime Detail'!AN279</f>
        <v>2</v>
      </c>
      <c r="U42" s="34">
        <f>'Videojet Downtime Detail '!O282</f>
        <v>0</v>
      </c>
      <c r="V42" s="34">
        <f>'Conveyor Downtime (new)'!AV282</f>
        <v>25</v>
      </c>
      <c r="W42" s="34">
        <f>'Packer Downtime Detail  '!AD282</f>
        <v>4</v>
      </c>
      <c r="X42" s="34"/>
      <c r="Y42" s="35"/>
      <c r="Z42" s="34">
        <f>16+15+10</f>
        <v>41</v>
      </c>
      <c r="AA42" s="90"/>
      <c r="AB42" s="90"/>
      <c r="AC42" s="89"/>
      <c r="AD42" s="44">
        <f t="shared" si="0"/>
        <v>184</v>
      </c>
      <c r="AE42" s="780"/>
      <c r="AH42" s="3"/>
      <c r="AI42" s="3"/>
      <c r="AJ42" s="3"/>
      <c r="AK42" s="3"/>
      <c r="AL42" s="3"/>
      <c r="AM42" s="3"/>
      <c r="AN42" s="3"/>
      <c r="AO42" s="3"/>
      <c r="AP42" s="3"/>
      <c r="AQ42" s="3"/>
      <c r="AR42" s="3"/>
      <c r="AS42" s="3"/>
      <c r="AT42" s="3"/>
      <c r="AU42" s="3"/>
      <c r="AV42" s="3"/>
      <c r="AW42" s="3"/>
      <c r="AX42" s="3"/>
    </row>
    <row r="43" spans="1:50" ht="15" customHeight="1">
      <c r="A43" s="7">
        <f>[5]May_2026!$C43</f>
        <v>17</v>
      </c>
      <c r="B43" s="139">
        <f>[5]May_2026!$B43</f>
        <v>46164</v>
      </c>
      <c r="C43" s="78" t="str">
        <f>[5]May_2026!$D43</f>
        <v>CARIB AMBER</v>
      </c>
      <c r="D43" s="681"/>
      <c r="E43" s="81">
        <v>1.7277777777777779</v>
      </c>
      <c r="F43" s="81">
        <v>1.8277777777777777</v>
      </c>
      <c r="G43" s="94">
        <v>1.8645833333333333</v>
      </c>
      <c r="H43" s="43"/>
      <c r="I43" s="32">
        <f>57+18</f>
        <v>75</v>
      </c>
      <c r="J43" s="86">
        <f>9</f>
        <v>9</v>
      </c>
      <c r="K43" s="71"/>
      <c r="L43" s="71"/>
      <c r="M43" s="71"/>
      <c r="N43" s="71"/>
      <c r="O43" s="32">
        <f>'Uncaser Downtime Detail '!AG283</f>
        <v>0</v>
      </c>
      <c r="P43" s="32">
        <f>'Washer Downtime Detail'!BH285</f>
        <v>15</v>
      </c>
      <c r="Q43" s="32">
        <f>'EBI Downtime Detail'!$AI285</f>
        <v>0</v>
      </c>
      <c r="R43" s="32">
        <f>'Filler Downtime Detail'!AK286</f>
        <v>0</v>
      </c>
      <c r="S43" s="32">
        <f>'Pasteurizer Downtime Detail'!Z284</f>
        <v>0</v>
      </c>
      <c r="T43" s="32">
        <f>'Labeler Downtime Detail'!AN280</f>
        <v>0</v>
      </c>
      <c r="U43" s="32">
        <f>'Videojet Downtime Detail '!O283</f>
        <v>0</v>
      </c>
      <c r="V43" s="32">
        <f>'Conveyor Downtime (new)'!AV283</f>
        <v>7</v>
      </c>
      <c r="W43" s="32">
        <f>'Packer Downtime Detail  '!AD283</f>
        <v>0</v>
      </c>
      <c r="X43" s="71"/>
      <c r="Y43" s="71"/>
      <c r="Z43" s="43"/>
      <c r="AA43" s="88"/>
      <c r="AB43" s="88">
        <v>4</v>
      </c>
      <c r="AC43" s="71"/>
      <c r="AD43" s="44">
        <f t="shared" si="0"/>
        <v>110</v>
      </c>
      <c r="AE43" s="780"/>
      <c r="AH43" s="3"/>
      <c r="AI43" s="3"/>
      <c r="AJ43" s="3"/>
      <c r="AK43" s="3"/>
      <c r="AL43" s="3"/>
      <c r="AM43" s="3"/>
      <c r="AN43" s="3"/>
      <c r="AO43" s="3"/>
      <c r="AP43" s="3"/>
      <c r="AQ43" s="3"/>
      <c r="AR43" s="3"/>
      <c r="AS43" s="3"/>
      <c r="AT43" s="3"/>
      <c r="AU43" s="3"/>
      <c r="AV43" s="3"/>
      <c r="AW43" s="3"/>
      <c r="AX43" s="3"/>
    </row>
    <row r="44" spans="1:50" ht="12.75" customHeight="1">
      <c r="A44" s="7">
        <f>[5]May_2026!$C44</f>
        <v>18</v>
      </c>
      <c r="B44" s="139">
        <f>[5]May_2026!$B44</f>
        <v>46168</v>
      </c>
      <c r="C44" s="78" t="str">
        <f>[5]May_2026!$D44</f>
        <v>CARIB AMBER</v>
      </c>
      <c r="D44" s="93">
        <v>0.29166666666666669</v>
      </c>
      <c r="E44" s="81">
        <v>0.53125</v>
      </c>
      <c r="F44" s="81">
        <v>1</v>
      </c>
      <c r="G44" s="94">
        <v>1.0333333333333334</v>
      </c>
      <c r="H44" s="14"/>
      <c r="I44" s="34"/>
      <c r="J44" s="35">
        <f>3</f>
        <v>3</v>
      </c>
      <c r="K44" s="34"/>
      <c r="L44" s="34"/>
      <c r="M44" s="34"/>
      <c r="N44" s="34"/>
      <c r="O44" s="34">
        <f>'Uncaser Downtime Detail '!AG284</f>
        <v>0</v>
      </c>
      <c r="P44" s="34">
        <f>'Washer Downtime Detail'!BH286</f>
        <v>7</v>
      </c>
      <c r="Q44" s="34">
        <f>'EBI Downtime Detail'!$AI286</f>
        <v>5</v>
      </c>
      <c r="R44" s="34">
        <f>'Filler Downtime Detail'!AK287</f>
        <v>185</v>
      </c>
      <c r="S44" s="34">
        <f>'Pasteurizer Downtime Detail'!Z285</f>
        <v>0</v>
      </c>
      <c r="T44" s="34">
        <f>'Labeler Downtime Detail'!AN281</f>
        <v>0</v>
      </c>
      <c r="U44" s="34">
        <f>'Videojet Downtime Detail '!O284</f>
        <v>0</v>
      </c>
      <c r="V44" s="34"/>
      <c r="W44" s="34">
        <f>'Packer Downtime Detail  '!AD284</f>
        <v>0</v>
      </c>
      <c r="X44" s="34"/>
      <c r="Y44" s="35"/>
      <c r="Z44" s="34">
        <f>180+4</f>
        <v>184</v>
      </c>
      <c r="AA44" s="90"/>
      <c r="AB44" s="90"/>
      <c r="AC44" s="89"/>
      <c r="AD44" s="44">
        <f t="shared" si="0"/>
        <v>384</v>
      </c>
      <c r="AE44" s="45">
        <f>G44-D44</f>
        <v>0.7416666666666667</v>
      </c>
      <c r="AH44" s="3"/>
      <c r="AI44" s="3"/>
      <c r="AJ44" s="3"/>
      <c r="AK44" s="3"/>
      <c r="AL44" s="3"/>
      <c r="AM44" s="3"/>
      <c r="AN44" s="3"/>
      <c r="AO44" s="3"/>
      <c r="AP44" s="3"/>
      <c r="AQ44" s="3"/>
      <c r="AR44" s="3"/>
      <c r="AS44" s="3"/>
      <c r="AT44" s="3"/>
      <c r="AU44" s="3"/>
      <c r="AV44" s="3"/>
      <c r="AW44" s="3"/>
      <c r="AX44" s="3"/>
    </row>
    <row r="45" spans="1:50" ht="15" customHeight="1">
      <c r="A45" s="7">
        <f>[5]May_2026!$C45</f>
        <v>19</v>
      </c>
      <c r="B45" s="139">
        <f>[5]May_2026!$B45</f>
        <v>46169</v>
      </c>
      <c r="C45" s="78" t="str">
        <f>[5]May_2026!$D45</f>
        <v>CARIB AMBER</v>
      </c>
      <c r="D45" s="681">
        <v>1</v>
      </c>
      <c r="E45" s="81">
        <v>1.0055555555555555</v>
      </c>
      <c r="F45" s="81">
        <v>1.7979166666666666</v>
      </c>
      <c r="G45" s="94"/>
      <c r="H45" s="82"/>
      <c r="I45" s="32"/>
      <c r="J45" s="86">
        <f>4</f>
        <v>4</v>
      </c>
      <c r="K45" s="71"/>
      <c r="L45" s="71"/>
      <c r="M45" s="71"/>
      <c r="N45" s="71"/>
      <c r="O45" s="32">
        <f>'Uncaser Downtime Detail '!AG285</f>
        <v>276</v>
      </c>
      <c r="P45" s="32">
        <f>'Washer Downtime Detail'!BH287</f>
        <v>4</v>
      </c>
      <c r="Q45" s="32">
        <f>'EBI Downtime Detail'!$AI287</f>
        <v>4</v>
      </c>
      <c r="R45" s="32">
        <f>'Filler Downtime Detail'!AK288</f>
        <v>62</v>
      </c>
      <c r="S45" s="32">
        <f>'Pasteurizer Downtime Detail'!Z286</f>
        <v>15</v>
      </c>
      <c r="T45" s="32">
        <f>'Labeler Downtime Detail'!AN282</f>
        <v>5</v>
      </c>
      <c r="U45" s="32">
        <f>'Videojet Downtime Detail '!O285</f>
        <v>0</v>
      </c>
      <c r="V45" s="32">
        <f>'Conveyor Downtime (new)'!AV285</f>
        <v>13</v>
      </c>
      <c r="W45" s="32">
        <f>'Packer Downtime Detail  '!AD285</f>
        <v>16</v>
      </c>
      <c r="X45" s="71"/>
      <c r="Y45" s="71"/>
      <c r="Z45" s="43"/>
      <c r="AA45" s="88"/>
      <c r="AB45" s="88">
        <f>4+2+2+3+3+4+7+2+4</f>
        <v>31</v>
      </c>
      <c r="AC45" s="71"/>
      <c r="AD45" s="44">
        <f t="shared" si="0"/>
        <v>430</v>
      </c>
      <c r="AE45" s="780">
        <f>G46-D45</f>
        <v>1.0236111111111112</v>
      </c>
      <c r="AH45" s="3"/>
      <c r="AI45" s="3"/>
      <c r="AJ45" s="3"/>
      <c r="AK45" s="3"/>
      <c r="AL45" s="3"/>
      <c r="AM45" s="3"/>
      <c r="AN45" s="3"/>
      <c r="AO45" s="3"/>
      <c r="AP45" s="3"/>
      <c r="AQ45" s="3"/>
      <c r="AR45" s="3"/>
      <c r="AS45" s="3"/>
      <c r="AT45" s="3"/>
      <c r="AU45" s="3"/>
      <c r="AV45" s="3"/>
      <c r="AW45" s="3"/>
      <c r="AX45" s="3"/>
    </row>
    <row r="46" spans="1:50" ht="12" customHeight="1">
      <c r="A46" s="7">
        <f>[5]May_2026!$C46</f>
        <v>19</v>
      </c>
      <c r="B46" s="139">
        <f>[5]May_2026!$B46</f>
        <v>46169</v>
      </c>
      <c r="C46" s="78" t="str">
        <f>[5]May_2026!$D46</f>
        <v>STARMALT</v>
      </c>
      <c r="D46" s="681"/>
      <c r="E46" s="81">
        <v>1.8541666666666667</v>
      </c>
      <c r="F46" s="81">
        <v>2</v>
      </c>
      <c r="G46" s="94">
        <v>2.0236111111111112</v>
      </c>
      <c r="H46" s="14"/>
      <c r="I46" s="34">
        <v>31</v>
      </c>
      <c r="J46" s="35"/>
      <c r="K46" s="34"/>
      <c r="L46" s="34"/>
      <c r="M46" s="34"/>
      <c r="N46" s="34"/>
      <c r="O46" s="34">
        <f>'Uncaser Downtime Detail '!AG286</f>
        <v>0</v>
      </c>
      <c r="P46" s="34">
        <f>'Washer Downtime Detail'!BH288</f>
        <v>5</v>
      </c>
      <c r="Q46" s="34">
        <f>'EBI Downtime Detail'!$AI288</f>
        <v>2</v>
      </c>
      <c r="R46" s="34">
        <f>'Filler Downtime Detail'!AK289</f>
        <v>23</v>
      </c>
      <c r="S46" s="34">
        <f>'Pasteurizer Downtime Detail'!Z287</f>
        <v>43</v>
      </c>
      <c r="T46" s="34">
        <f>'Labeler Downtime Detail'!AN283</f>
        <v>0</v>
      </c>
      <c r="U46" s="34">
        <f>'Videojet Downtime Detail '!O286</f>
        <v>0</v>
      </c>
      <c r="V46" s="34">
        <f>'Conveyor Downtime (new)'!AV286</f>
        <v>4</v>
      </c>
      <c r="W46" s="34">
        <f>'Packer Downtime Detail  '!AD286</f>
        <v>0</v>
      </c>
      <c r="X46" s="34"/>
      <c r="Y46" s="35"/>
      <c r="Z46" s="34"/>
      <c r="AA46" s="90"/>
      <c r="AB46" s="90"/>
      <c r="AC46" s="89"/>
      <c r="AD46" s="44">
        <f t="shared" si="0"/>
        <v>108</v>
      </c>
      <c r="AE46" s="780"/>
      <c r="AH46" s="3"/>
      <c r="AI46" s="3"/>
      <c r="AJ46" s="3"/>
      <c r="AK46" s="3"/>
      <c r="AL46" s="3"/>
      <c r="AM46" s="3"/>
      <c r="AN46" s="3"/>
      <c r="AO46" s="3"/>
      <c r="AP46" s="3"/>
      <c r="AQ46" s="3"/>
      <c r="AR46" s="3"/>
      <c r="AS46" s="3"/>
      <c r="AT46" s="3"/>
      <c r="AU46" s="3"/>
      <c r="AV46" s="3"/>
      <c r="AW46" s="3"/>
      <c r="AX46" s="3"/>
    </row>
    <row r="47" spans="1:50" ht="15" customHeight="1">
      <c r="A47" s="7">
        <v>20</v>
      </c>
      <c r="B47" s="139">
        <v>46170</v>
      </c>
      <c r="C47" s="78" t="s">
        <v>485</v>
      </c>
      <c r="D47" s="93">
        <v>1</v>
      </c>
      <c r="E47" s="81">
        <v>1.0034722222222223</v>
      </c>
      <c r="F47" s="81">
        <v>1.1680555555555556</v>
      </c>
      <c r="G47" s="94">
        <v>1.1993055555555556</v>
      </c>
      <c r="H47" s="82"/>
      <c r="I47" s="32"/>
      <c r="J47" s="86"/>
      <c r="K47" s="71"/>
      <c r="L47" s="71"/>
      <c r="M47" s="71"/>
      <c r="N47" s="71"/>
      <c r="O47" s="32">
        <f>'Uncaser Downtime Detail '!AG287</f>
        <v>0</v>
      </c>
      <c r="P47" s="32">
        <f>'Washer Downtime Detail'!BH289</f>
        <v>0</v>
      </c>
      <c r="Q47" s="32">
        <f>'EBI Downtime Detail'!$AI289</f>
        <v>0</v>
      </c>
      <c r="R47" s="32">
        <f>'Filler Downtime Detail'!AK290</f>
        <v>33</v>
      </c>
      <c r="S47" s="32">
        <f>'Pasteurizer Downtime Detail'!Z288</f>
        <v>0</v>
      </c>
      <c r="T47" s="32">
        <f>'Labeler Downtime Detail'!AN284</f>
        <v>0</v>
      </c>
      <c r="U47" s="32">
        <f>'Videojet Downtime Detail '!O287</f>
        <v>0</v>
      </c>
      <c r="V47" s="32">
        <f>'Conveyor Downtime (new)'!AV287</f>
        <v>0</v>
      </c>
      <c r="W47" s="32">
        <f>'Packer Downtime Detail  '!AD287</f>
        <v>21</v>
      </c>
      <c r="X47" s="71"/>
      <c r="Y47" s="71"/>
      <c r="Z47" s="43">
        <f>5</f>
        <v>5</v>
      </c>
      <c r="AA47" s="88"/>
      <c r="AB47" s="88"/>
      <c r="AC47" s="71"/>
      <c r="AD47" s="44">
        <f t="shared" si="0"/>
        <v>59</v>
      </c>
      <c r="AE47" s="45">
        <f>G47-D47</f>
        <v>0.19930555555555562</v>
      </c>
      <c r="AH47" s="3"/>
      <c r="AI47" s="3"/>
      <c r="AJ47" s="3"/>
      <c r="AK47" s="3"/>
      <c r="AL47" s="3"/>
      <c r="AM47" s="3"/>
      <c r="AN47" s="3"/>
      <c r="AO47" s="3"/>
      <c r="AP47" s="3"/>
      <c r="AQ47" s="3"/>
      <c r="AR47" s="3"/>
      <c r="AS47" s="3"/>
      <c r="AT47" s="3"/>
      <c r="AU47" s="3"/>
      <c r="AV47" s="3"/>
      <c r="AW47" s="3"/>
      <c r="AX47" s="3"/>
    </row>
    <row r="48" spans="1:50" ht="12.75" customHeight="1">
      <c r="A48" s="7">
        <f>[5]May_2026!$C48</f>
        <v>0</v>
      </c>
      <c r="B48" s="139">
        <f>[5]May_2026!$B48</f>
        <v>0</v>
      </c>
      <c r="C48" s="78">
        <f>[5]May_2026!$D48</f>
        <v>0</v>
      </c>
      <c r="D48" s="85"/>
      <c r="E48" s="81"/>
      <c r="F48" s="81"/>
      <c r="G48" s="94"/>
      <c r="H48" s="14"/>
      <c r="I48" s="34"/>
      <c r="J48" s="35"/>
      <c r="K48" s="34"/>
      <c r="L48" s="34"/>
      <c r="M48" s="34"/>
      <c r="N48" s="34"/>
      <c r="O48" s="34">
        <f>'Uncaser Downtime Detail '!AG288</f>
        <v>0</v>
      </c>
      <c r="P48" s="34">
        <f>'Washer Downtime Detail'!BH290</f>
        <v>0</v>
      </c>
      <c r="Q48" s="34">
        <f>'EBI Downtime Detail'!$AI290</f>
        <v>0</v>
      </c>
      <c r="R48" s="34">
        <f>'Filler Downtime Detail'!AK291</f>
        <v>0</v>
      </c>
      <c r="S48" s="34">
        <f>'Pasteurizer Downtime Detail'!Z289</f>
        <v>0</v>
      </c>
      <c r="T48" s="34">
        <f>'Labeler Downtime Detail'!AN285</f>
        <v>0</v>
      </c>
      <c r="U48" s="34">
        <f>'Videojet Downtime Detail '!O288</f>
        <v>0</v>
      </c>
      <c r="V48" s="34">
        <f>'Conveyor Downtime (new)'!AV288</f>
        <v>0</v>
      </c>
      <c r="W48" s="34">
        <f>'Packer Downtime Detail  '!AD288</f>
        <v>0</v>
      </c>
      <c r="X48" s="34"/>
      <c r="Y48" s="35"/>
      <c r="Z48" s="34"/>
      <c r="AA48" s="90"/>
      <c r="AB48" s="90"/>
      <c r="AC48" s="89"/>
      <c r="AD48" s="44">
        <f t="shared" si="0"/>
        <v>0</v>
      </c>
      <c r="AE48" s="91"/>
      <c r="AH48" s="3"/>
      <c r="AI48" s="3"/>
      <c r="AJ48" s="3"/>
      <c r="AK48" s="3"/>
      <c r="AL48" s="3"/>
      <c r="AM48" s="3"/>
      <c r="AN48" s="3"/>
      <c r="AO48" s="3"/>
      <c r="AP48" s="3"/>
      <c r="AQ48" s="3"/>
      <c r="AR48" s="3"/>
      <c r="AS48" s="3"/>
      <c r="AT48" s="3"/>
      <c r="AU48" s="3"/>
      <c r="AV48" s="3"/>
      <c r="AW48" s="3"/>
      <c r="AX48" s="3"/>
    </row>
    <row r="49" spans="1:50" ht="15" customHeight="1">
      <c r="A49" s="7">
        <f>[5]May_2026!$C49</f>
        <v>0</v>
      </c>
      <c r="B49" s="139">
        <f>[5]May_2026!$B49</f>
        <v>0</v>
      </c>
      <c r="C49" s="78">
        <f>[5]May_2026!$D49</f>
        <v>0</v>
      </c>
      <c r="D49" s="93"/>
      <c r="E49" s="81"/>
      <c r="F49" s="81"/>
      <c r="G49" s="94"/>
      <c r="H49" s="82"/>
      <c r="I49" s="32"/>
      <c r="J49" s="86"/>
      <c r="K49" s="71"/>
      <c r="L49" s="71"/>
      <c r="M49" s="71"/>
      <c r="N49" s="71"/>
      <c r="O49" s="32">
        <f>'Uncaser Downtime Detail '!AG289</f>
        <v>0</v>
      </c>
      <c r="P49" s="32">
        <f>'Washer Downtime Detail'!BH291</f>
        <v>0</v>
      </c>
      <c r="Q49" s="32">
        <f>'EBI Downtime Detail'!$AI291</f>
        <v>0</v>
      </c>
      <c r="R49" s="32">
        <f>'Filler Downtime Detail'!AK292</f>
        <v>0</v>
      </c>
      <c r="S49" s="32">
        <f>'Pasteurizer Downtime Detail'!Z290</f>
        <v>0</v>
      </c>
      <c r="T49" s="32">
        <f>'Labeler Downtime Detail'!AN286</f>
        <v>0</v>
      </c>
      <c r="U49" s="32">
        <f>'Videojet Downtime Detail '!O289</f>
        <v>0</v>
      </c>
      <c r="V49" s="32">
        <f>'Conveyor Downtime (new)'!AV289</f>
        <v>0</v>
      </c>
      <c r="W49" s="32">
        <f>'Packer Downtime Detail  '!AD289</f>
        <v>0</v>
      </c>
      <c r="X49" s="71"/>
      <c r="Y49" s="71"/>
      <c r="Z49" s="43"/>
      <c r="AA49" s="88"/>
      <c r="AB49" s="88"/>
      <c r="AC49" s="71"/>
      <c r="AD49" s="44">
        <f t="shared" si="0"/>
        <v>0</v>
      </c>
      <c r="AE49" s="91">
        <f>G49-D49</f>
        <v>0</v>
      </c>
      <c r="AH49" s="3"/>
      <c r="AI49" s="3"/>
      <c r="AJ49" s="3"/>
      <c r="AK49" s="3"/>
      <c r="AL49" s="3"/>
      <c r="AM49" s="3"/>
      <c r="AN49" s="3"/>
      <c r="AO49" s="3"/>
      <c r="AP49" s="3"/>
      <c r="AQ49" s="3"/>
      <c r="AR49" s="3"/>
      <c r="AS49" s="3"/>
      <c r="AT49" s="3"/>
      <c r="AU49" s="3"/>
      <c r="AV49" s="3"/>
      <c r="AW49" s="3"/>
      <c r="AX49" s="3"/>
    </row>
    <row r="50" spans="1:50" ht="12.75" customHeight="1">
      <c r="A50" s="7"/>
      <c r="B50" s="139"/>
      <c r="C50" s="78">
        <f>[5]May_2026!$D50</f>
        <v>0</v>
      </c>
      <c r="D50" s="85"/>
      <c r="E50" s="81"/>
      <c r="F50" s="81"/>
      <c r="G50" s="94"/>
      <c r="H50" s="14"/>
      <c r="I50" s="34"/>
      <c r="J50" s="35"/>
      <c r="K50" s="34"/>
      <c r="L50" s="34"/>
      <c r="M50" s="34"/>
      <c r="N50" s="34"/>
      <c r="O50" s="34">
        <f>'Uncaser Downtime Detail '!AG290</f>
        <v>0</v>
      </c>
      <c r="P50" s="34">
        <f>'Washer Downtime Detail'!BH292</f>
        <v>0</v>
      </c>
      <c r="Q50" s="34">
        <f>'EBI Downtime Detail'!$AI292</f>
        <v>0</v>
      </c>
      <c r="R50" s="34">
        <f>'Filler Downtime Detail'!AK293</f>
        <v>0</v>
      </c>
      <c r="S50" s="34">
        <f>'Pasteurizer Downtime Detail'!Z291</f>
        <v>0</v>
      </c>
      <c r="T50" s="34">
        <f>'Labeler Downtime Detail'!AN287</f>
        <v>0</v>
      </c>
      <c r="U50" s="34">
        <f>'Videojet Downtime Detail '!O290</f>
        <v>0</v>
      </c>
      <c r="V50" s="34">
        <f>'Conveyor Downtime (new)'!AV290</f>
        <v>0</v>
      </c>
      <c r="W50" s="34">
        <f>'Packer Downtime Detail  '!AD290</f>
        <v>0</v>
      </c>
      <c r="X50" s="34"/>
      <c r="Y50" s="35"/>
      <c r="Z50" s="34"/>
      <c r="AA50" s="90"/>
      <c r="AB50" s="90"/>
      <c r="AC50" s="89"/>
      <c r="AD50" s="44">
        <f t="shared" si="0"/>
        <v>0</v>
      </c>
      <c r="AE50" s="91">
        <f t="shared" ref="AE50:AE59" si="1">G50-D50</f>
        <v>0</v>
      </c>
      <c r="AH50" s="3"/>
      <c r="AI50" s="3"/>
      <c r="AJ50" s="3"/>
      <c r="AK50" s="3"/>
      <c r="AL50" s="3"/>
      <c r="AM50" s="3"/>
      <c r="AN50" s="3"/>
      <c r="AO50" s="3"/>
      <c r="AP50" s="3"/>
      <c r="AQ50" s="3"/>
      <c r="AR50" s="3"/>
      <c r="AS50" s="3"/>
      <c r="AT50" s="3"/>
      <c r="AU50" s="3"/>
      <c r="AV50" s="3"/>
      <c r="AW50" s="3"/>
      <c r="AX50" s="3"/>
    </row>
    <row r="51" spans="1:50" ht="15" customHeight="1">
      <c r="A51" s="7"/>
      <c r="B51" s="139"/>
      <c r="C51" s="78">
        <f>[5]May_2026!$D51</f>
        <v>0</v>
      </c>
      <c r="D51" s="85"/>
      <c r="E51" s="81"/>
      <c r="F51" s="81"/>
      <c r="G51" s="94"/>
      <c r="H51" s="82"/>
      <c r="I51" s="32"/>
      <c r="J51" s="86"/>
      <c r="K51" s="71"/>
      <c r="L51" s="71"/>
      <c r="M51" s="71"/>
      <c r="N51" s="71"/>
      <c r="O51" s="32">
        <f>'Uncaser Downtime Detail '!AG291</f>
        <v>0</v>
      </c>
      <c r="P51" s="32">
        <f>'Washer Downtime Detail'!BH293</f>
        <v>0</v>
      </c>
      <c r="Q51" s="32">
        <f>'EBI Downtime Detail'!$AI293</f>
        <v>0</v>
      </c>
      <c r="R51" s="32">
        <f>'Filler Downtime Detail'!AK294</f>
        <v>0</v>
      </c>
      <c r="S51" s="32">
        <f>'Pasteurizer Downtime Detail'!Z292</f>
        <v>0</v>
      </c>
      <c r="T51" s="32">
        <f>'Labeler Downtime Detail'!AN288</f>
        <v>0</v>
      </c>
      <c r="U51" s="32">
        <f>'Videojet Downtime Detail '!O291</f>
        <v>0</v>
      </c>
      <c r="V51" s="32">
        <f>'Conveyor Downtime (new)'!AV291</f>
        <v>0</v>
      </c>
      <c r="W51" s="32">
        <f>'Packer Downtime Detail  '!AD291</f>
        <v>0</v>
      </c>
      <c r="X51" s="71"/>
      <c r="Y51" s="71"/>
      <c r="Z51" s="43"/>
      <c r="AA51" s="88"/>
      <c r="AB51" s="88"/>
      <c r="AC51" s="71"/>
      <c r="AD51" s="44">
        <f t="shared" ref="AD51:AD61" si="2">SUM(H51:J51,K51:AB51)</f>
        <v>0</v>
      </c>
      <c r="AE51" s="91">
        <f t="shared" si="1"/>
        <v>0</v>
      </c>
      <c r="AH51" s="3"/>
      <c r="AI51" s="3"/>
      <c r="AJ51" s="3"/>
      <c r="AK51" s="3"/>
      <c r="AL51" s="3"/>
      <c r="AM51" s="3"/>
      <c r="AN51" s="3"/>
      <c r="AO51" s="3"/>
      <c r="AP51" s="3"/>
      <c r="AQ51" s="3"/>
      <c r="AR51" s="3"/>
      <c r="AS51" s="3"/>
      <c r="AT51" s="3"/>
      <c r="AU51" s="3"/>
      <c r="AV51" s="3"/>
      <c r="AW51" s="3"/>
      <c r="AX51" s="3"/>
    </row>
    <row r="52" spans="1:50" ht="15" hidden="1" customHeight="1">
      <c r="A52" s="7"/>
      <c r="B52" s="139"/>
      <c r="C52" s="78">
        <f>[5]May_2026!$D52</f>
        <v>0</v>
      </c>
      <c r="D52" s="85"/>
      <c r="E52" s="81"/>
      <c r="F52" s="81"/>
      <c r="G52" s="94"/>
      <c r="H52" s="14"/>
      <c r="I52" s="34"/>
      <c r="J52" s="35"/>
      <c r="K52" s="34"/>
      <c r="L52" s="34"/>
      <c r="M52" s="34"/>
      <c r="N52" s="34"/>
      <c r="O52" s="34">
        <f>'Uncaser Downtime Detail '!AG292</f>
        <v>0</v>
      </c>
      <c r="P52" s="34">
        <f>'Washer Downtime Detail'!BH294</f>
        <v>0</v>
      </c>
      <c r="Q52" s="34">
        <f>'EBI Downtime Detail'!$AI294</f>
        <v>0</v>
      </c>
      <c r="R52" s="34">
        <f>'Filler Downtime Detail'!AK295</f>
        <v>0</v>
      </c>
      <c r="S52" s="34">
        <f>'Pasteurizer Downtime Detail'!Z293</f>
        <v>0</v>
      </c>
      <c r="T52" s="34">
        <f>'Labeler Downtime Detail'!AN289</f>
        <v>0</v>
      </c>
      <c r="U52" s="34">
        <f>'Videojet Downtime Detail '!O292</f>
        <v>0</v>
      </c>
      <c r="V52" s="34">
        <f>'Conveyor Downtime (new)'!AV292</f>
        <v>0</v>
      </c>
      <c r="W52" s="34">
        <f>'Packer Downtime Detail  '!AD292</f>
        <v>0</v>
      </c>
      <c r="X52" s="34"/>
      <c r="Y52" s="35"/>
      <c r="Z52" s="34"/>
      <c r="AA52" s="90"/>
      <c r="AB52" s="90"/>
      <c r="AC52" s="89"/>
      <c r="AD52" s="44">
        <f t="shared" si="2"/>
        <v>0</v>
      </c>
      <c r="AE52" s="68">
        <f t="shared" si="1"/>
        <v>0</v>
      </c>
      <c r="AH52" s="3"/>
      <c r="AI52" s="3"/>
      <c r="AJ52" s="3"/>
      <c r="AK52" s="3"/>
      <c r="AL52" s="3"/>
      <c r="AM52" s="3"/>
      <c r="AN52" s="3"/>
      <c r="AO52" s="3"/>
      <c r="AP52" s="3"/>
      <c r="AQ52" s="3"/>
      <c r="AR52" s="3"/>
      <c r="AS52" s="3"/>
      <c r="AT52" s="3"/>
      <c r="AU52" s="3"/>
      <c r="AV52" s="3"/>
      <c r="AW52" s="3"/>
      <c r="AX52" s="3"/>
    </row>
    <row r="53" spans="1:50" ht="15" hidden="1" customHeight="1">
      <c r="A53" s="7"/>
      <c r="B53" s="139"/>
      <c r="C53" s="78">
        <f>[5]May_2026!$D53</f>
        <v>0</v>
      </c>
      <c r="D53" s="85"/>
      <c r="E53" s="81"/>
      <c r="F53" s="81"/>
      <c r="G53" s="94"/>
      <c r="H53" s="82"/>
      <c r="I53" s="32"/>
      <c r="J53" s="86"/>
      <c r="K53" s="71"/>
      <c r="L53" s="71"/>
      <c r="M53" s="71"/>
      <c r="N53" s="71"/>
      <c r="O53" s="32">
        <f>'Uncaser Downtime Detail '!AG293</f>
        <v>0</v>
      </c>
      <c r="P53" s="32">
        <f>'Washer Downtime Detail'!BH295</f>
        <v>0</v>
      </c>
      <c r="Q53" s="32">
        <f>'EBI Downtime Detail'!$AI295</f>
        <v>0</v>
      </c>
      <c r="R53" s="32">
        <f>'Filler Downtime Detail'!AK296</f>
        <v>0</v>
      </c>
      <c r="S53" s="32">
        <f>'Pasteurizer Downtime Detail'!Z294</f>
        <v>0</v>
      </c>
      <c r="T53" s="32">
        <f>'Labeler Downtime Detail'!AN290</f>
        <v>0</v>
      </c>
      <c r="U53" s="32">
        <f>'Videojet Downtime Detail '!O293</f>
        <v>0</v>
      </c>
      <c r="V53" s="32">
        <f>'Conveyor Downtime (new)'!AV293</f>
        <v>0</v>
      </c>
      <c r="W53" s="32">
        <f>'Packer Downtime Detail  '!AD293</f>
        <v>0</v>
      </c>
      <c r="X53" s="71"/>
      <c r="Y53" s="71"/>
      <c r="Z53" s="43"/>
      <c r="AA53" s="88"/>
      <c r="AB53" s="88"/>
      <c r="AC53" s="71"/>
      <c r="AD53" s="44">
        <f t="shared" si="2"/>
        <v>0</v>
      </c>
      <c r="AE53" s="68">
        <f t="shared" si="1"/>
        <v>0</v>
      </c>
      <c r="AH53" s="3"/>
      <c r="AI53" s="3"/>
      <c r="AJ53" s="3"/>
      <c r="AK53" s="3"/>
      <c r="AL53" s="3"/>
      <c r="AM53" s="3"/>
      <c r="AN53" s="3"/>
      <c r="AO53" s="3"/>
      <c r="AP53" s="3"/>
      <c r="AQ53" s="3"/>
      <c r="AR53" s="3"/>
      <c r="AS53" s="3"/>
      <c r="AT53" s="3"/>
      <c r="AU53" s="3"/>
      <c r="AV53" s="3"/>
      <c r="AW53" s="3"/>
      <c r="AX53" s="3"/>
    </row>
    <row r="54" spans="1:50" ht="15" hidden="1" customHeight="1">
      <c r="A54" s="7"/>
      <c r="B54" s="139"/>
      <c r="C54" s="78">
        <f>[5]May_2026!$D54</f>
        <v>0</v>
      </c>
      <c r="D54" s="85"/>
      <c r="E54" s="81"/>
      <c r="F54" s="81"/>
      <c r="G54" s="94"/>
      <c r="H54" s="14"/>
      <c r="I54" s="34"/>
      <c r="J54" s="35"/>
      <c r="K54" s="34"/>
      <c r="L54" s="34"/>
      <c r="M54" s="34"/>
      <c r="N54" s="34"/>
      <c r="O54" s="34">
        <f>'Uncaser Downtime Detail '!AG294</f>
        <v>0</v>
      </c>
      <c r="P54" s="34">
        <f>'Washer Downtime Detail'!BH296</f>
        <v>0</v>
      </c>
      <c r="Q54" s="34">
        <f>'EBI Downtime Detail'!$AI296</f>
        <v>0</v>
      </c>
      <c r="R54" s="34">
        <f>'Filler Downtime Detail'!AK297</f>
        <v>0</v>
      </c>
      <c r="S54" s="34">
        <f>'Pasteurizer Downtime Detail'!Z295</f>
        <v>0</v>
      </c>
      <c r="T54" s="34">
        <f>'Labeler Downtime Detail'!AN291</f>
        <v>0</v>
      </c>
      <c r="U54" s="34">
        <f>'Videojet Downtime Detail '!O294</f>
        <v>0</v>
      </c>
      <c r="V54" s="34">
        <f>'Conveyor Downtime (new)'!AV294</f>
        <v>0</v>
      </c>
      <c r="W54" s="34">
        <f>'Packer Downtime Detail  '!AD294</f>
        <v>0</v>
      </c>
      <c r="X54" s="34"/>
      <c r="Y54" s="35"/>
      <c r="Z54" s="34"/>
      <c r="AA54" s="90"/>
      <c r="AB54" s="90"/>
      <c r="AC54" s="89"/>
      <c r="AD54" s="44">
        <f t="shared" si="2"/>
        <v>0</v>
      </c>
      <c r="AE54" s="68">
        <f t="shared" si="1"/>
        <v>0</v>
      </c>
      <c r="AH54" s="3"/>
      <c r="AI54" s="3"/>
      <c r="AJ54" s="3"/>
      <c r="AK54" s="3"/>
      <c r="AL54" s="3"/>
      <c r="AM54" s="3"/>
      <c r="AN54" s="3"/>
      <c r="AO54" s="3"/>
      <c r="AP54" s="3"/>
      <c r="AQ54" s="3"/>
      <c r="AR54" s="3"/>
      <c r="AS54" s="3"/>
      <c r="AT54" s="3"/>
      <c r="AU54" s="3"/>
      <c r="AV54" s="3"/>
      <c r="AW54" s="3"/>
      <c r="AX54" s="3"/>
    </row>
    <row r="55" spans="1:50" ht="15" hidden="1" customHeight="1">
      <c r="A55" s="7"/>
      <c r="B55" s="139"/>
      <c r="C55" s="78">
        <f>[5]May_2026!$D55</f>
        <v>0</v>
      </c>
      <c r="D55" s="85"/>
      <c r="E55" s="81"/>
      <c r="F55" s="81"/>
      <c r="G55" s="94"/>
      <c r="H55" s="82"/>
      <c r="I55" s="32"/>
      <c r="J55" s="86"/>
      <c r="K55" s="71"/>
      <c r="L55" s="71"/>
      <c r="M55" s="71"/>
      <c r="N55" s="71"/>
      <c r="O55" s="32">
        <f>'Uncaser Downtime Detail '!AG295</f>
        <v>0</v>
      </c>
      <c r="P55" s="32">
        <f>'Washer Downtime Detail'!BH297</f>
        <v>0</v>
      </c>
      <c r="Q55" s="32">
        <f>'EBI Downtime Detail'!$AI297</f>
        <v>0</v>
      </c>
      <c r="R55" s="32">
        <f>'Filler Downtime Detail'!AK298</f>
        <v>0</v>
      </c>
      <c r="S55" s="32">
        <f>'Pasteurizer Downtime Detail'!Z296</f>
        <v>0</v>
      </c>
      <c r="T55" s="32">
        <f>'Labeler Downtime Detail'!AN292</f>
        <v>0</v>
      </c>
      <c r="U55" s="32">
        <f>'Videojet Downtime Detail '!O295</f>
        <v>0</v>
      </c>
      <c r="V55" s="32">
        <f>'Conveyor Downtime (new)'!AV295</f>
        <v>0</v>
      </c>
      <c r="W55" s="32">
        <f>'Packer Downtime Detail  '!AD295</f>
        <v>0</v>
      </c>
      <c r="X55" s="71"/>
      <c r="Y55" s="71"/>
      <c r="Z55" s="43"/>
      <c r="AA55" s="88"/>
      <c r="AB55" s="88"/>
      <c r="AC55" s="71"/>
      <c r="AD55" s="44">
        <f t="shared" si="2"/>
        <v>0</v>
      </c>
      <c r="AE55" s="68">
        <f t="shared" si="1"/>
        <v>0</v>
      </c>
      <c r="AH55" s="3"/>
      <c r="AI55" s="3"/>
      <c r="AJ55" s="3"/>
      <c r="AK55" s="3"/>
      <c r="AL55" s="3"/>
      <c r="AM55" s="3"/>
      <c r="AN55" s="3"/>
      <c r="AO55" s="3"/>
      <c r="AP55" s="3"/>
      <c r="AQ55" s="3"/>
      <c r="AR55" s="3"/>
      <c r="AS55" s="3"/>
      <c r="AT55" s="3"/>
      <c r="AU55" s="3"/>
      <c r="AV55" s="3"/>
      <c r="AW55" s="3"/>
      <c r="AX55" s="3"/>
    </row>
    <row r="56" spans="1:50" ht="15" hidden="1" customHeight="1">
      <c r="A56" s="7"/>
      <c r="B56" s="139"/>
      <c r="C56" s="78">
        <f>[5]May_2026!$D56</f>
        <v>0</v>
      </c>
      <c r="D56" s="85"/>
      <c r="E56" s="81"/>
      <c r="F56" s="81"/>
      <c r="G56" s="94"/>
      <c r="H56" s="14"/>
      <c r="I56" s="34"/>
      <c r="J56" s="35"/>
      <c r="K56" s="34"/>
      <c r="L56" s="34"/>
      <c r="M56" s="34"/>
      <c r="N56" s="34"/>
      <c r="O56" s="34">
        <f>'Uncaser Downtime Detail '!AG296</f>
        <v>0</v>
      </c>
      <c r="P56" s="34">
        <f>'Washer Downtime Detail'!BH298</f>
        <v>0</v>
      </c>
      <c r="Q56" s="34">
        <f>'EBI Downtime Detail'!$AI298</f>
        <v>0</v>
      </c>
      <c r="R56" s="34">
        <f>'Filler Downtime Detail'!AK299</f>
        <v>0</v>
      </c>
      <c r="S56" s="34">
        <f>'Pasteurizer Downtime Detail'!Z297</f>
        <v>0</v>
      </c>
      <c r="T56" s="34">
        <f>'Labeler Downtime Detail'!AN293</f>
        <v>0</v>
      </c>
      <c r="U56" s="34">
        <f>'Videojet Downtime Detail '!O296</f>
        <v>0</v>
      </c>
      <c r="V56" s="34">
        <f>'Conveyor Downtime (new)'!AV296</f>
        <v>0</v>
      </c>
      <c r="W56" s="34">
        <f>'Packer Downtime Detail  '!AD296</f>
        <v>0</v>
      </c>
      <c r="X56" s="34"/>
      <c r="Y56" s="35"/>
      <c r="Z56" s="34"/>
      <c r="AA56" s="90"/>
      <c r="AB56" s="90"/>
      <c r="AC56" s="89"/>
      <c r="AD56" s="44">
        <f t="shared" si="2"/>
        <v>0</v>
      </c>
      <c r="AE56" s="68">
        <f t="shared" si="1"/>
        <v>0</v>
      </c>
      <c r="AH56" s="3"/>
      <c r="AI56" s="3"/>
      <c r="AJ56" s="3"/>
      <c r="AK56" s="3"/>
      <c r="AL56" s="3"/>
      <c r="AM56" s="3"/>
      <c r="AN56" s="3"/>
      <c r="AO56" s="3"/>
      <c r="AP56" s="3"/>
      <c r="AQ56" s="3"/>
      <c r="AR56" s="3"/>
      <c r="AS56" s="3"/>
      <c r="AT56" s="3"/>
      <c r="AU56" s="3"/>
      <c r="AV56" s="3"/>
      <c r="AW56" s="3"/>
      <c r="AX56" s="3"/>
    </row>
    <row r="57" spans="1:50" ht="15" hidden="1" customHeight="1">
      <c r="A57" s="7"/>
      <c r="B57" s="139"/>
      <c r="C57" s="78">
        <f>[5]May_2026!$D57</f>
        <v>0</v>
      </c>
      <c r="D57" s="85"/>
      <c r="E57" s="81"/>
      <c r="F57" s="81"/>
      <c r="G57" s="94"/>
      <c r="H57" s="82"/>
      <c r="I57" s="32"/>
      <c r="J57" s="86"/>
      <c r="K57" s="71"/>
      <c r="L57" s="71"/>
      <c r="M57" s="71"/>
      <c r="N57" s="71"/>
      <c r="O57" s="32">
        <f>'Uncaser Downtime Detail '!AG297</f>
        <v>0</v>
      </c>
      <c r="P57" s="32">
        <f>'Washer Downtime Detail'!BH299</f>
        <v>0</v>
      </c>
      <c r="Q57" s="32">
        <f>'EBI Downtime Detail'!$AI299</f>
        <v>0</v>
      </c>
      <c r="R57" s="32">
        <f>'Filler Downtime Detail'!AK300</f>
        <v>0</v>
      </c>
      <c r="S57" s="32">
        <f>'Pasteurizer Downtime Detail'!Z298</f>
        <v>0</v>
      </c>
      <c r="T57" s="32">
        <f>'Labeler Downtime Detail'!AN294</f>
        <v>0</v>
      </c>
      <c r="U57" s="32">
        <f>'Videojet Downtime Detail '!O297</f>
        <v>0</v>
      </c>
      <c r="V57" s="32">
        <f>'Conveyor Downtime (new)'!AV297</f>
        <v>0</v>
      </c>
      <c r="W57" s="32">
        <f>'Packer Downtime Detail  '!AD297</f>
        <v>0</v>
      </c>
      <c r="X57" s="71"/>
      <c r="Y57" s="71"/>
      <c r="Z57" s="43"/>
      <c r="AA57" s="88"/>
      <c r="AB57" s="88"/>
      <c r="AC57" s="71"/>
      <c r="AD57" s="44">
        <f t="shared" si="2"/>
        <v>0</v>
      </c>
      <c r="AE57" s="68">
        <f t="shared" si="1"/>
        <v>0</v>
      </c>
      <c r="AH57" s="3"/>
      <c r="AI57" s="3"/>
      <c r="AJ57" s="3"/>
      <c r="AK57" s="3"/>
      <c r="AL57" s="3"/>
      <c r="AM57" s="3"/>
      <c r="AN57" s="3"/>
      <c r="AO57" s="3"/>
      <c r="AP57" s="3"/>
      <c r="AQ57" s="3"/>
      <c r="AR57" s="3"/>
      <c r="AS57" s="3"/>
      <c r="AT57" s="3"/>
      <c r="AU57" s="3"/>
      <c r="AV57" s="3"/>
      <c r="AW57" s="3"/>
      <c r="AX57" s="3"/>
    </row>
    <row r="58" spans="1:50" ht="15" hidden="1" customHeight="1">
      <c r="A58" s="7"/>
      <c r="B58" s="139"/>
      <c r="C58" s="78">
        <f>[5]May_2026!$D58</f>
        <v>0</v>
      </c>
      <c r="D58" s="85"/>
      <c r="E58" s="81"/>
      <c r="F58" s="81"/>
      <c r="G58" s="94"/>
      <c r="H58" s="14"/>
      <c r="I58" s="34"/>
      <c r="J58" s="35"/>
      <c r="K58" s="34"/>
      <c r="L58" s="34"/>
      <c r="M58" s="34"/>
      <c r="N58" s="34"/>
      <c r="O58" s="34">
        <f>'Uncaser Downtime Detail '!AG298</f>
        <v>0</v>
      </c>
      <c r="P58" s="34">
        <f>'Washer Downtime Detail'!BH300</f>
        <v>0</v>
      </c>
      <c r="Q58" s="34">
        <f>'EBI Downtime Detail'!$AI300</f>
        <v>0</v>
      </c>
      <c r="R58" s="34">
        <f>'Filler Downtime Detail'!AK301</f>
        <v>0</v>
      </c>
      <c r="S58" s="34">
        <f>'Pasteurizer Downtime Detail'!Z299</f>
        <v>0</v>
      </c>
      <c r="T58" s="34">
        <f>'Labeler Downtime Detail'!AN295</f>
        <v>0</v>
      </c>
      <c r="U58" s="34">
        <f>'Videojet Downtime Detail '!O298</f>
        <v>0</v>
      </c>
      <c r="V58" s="34">
        <f>'Conveyor Downtime (new)'!AV298</f>
        <v>0</v>
      </c>
      <c r="W58" s="34">
        <f>'Packer Downtime Detail  '!AD298</f>
        <v>0</v>
      </c>
      <c r="X58" s="34"/>
      <c r="Y58" s="35"/>
      <c r="Z58" s="34"/>
      <c r="AA58" s="90"/>
      <c r="AB58" s="90"/>
      <c r="AC58" s="89"/>
      <c r="AD58" s="44">
        <f t="shared" si="2"/>
        <v>0</v>
      </c>
      <c r="AE58" s="68">
        <f t="shared" si="1"/>
        <v>0</v>
      </c>
      <c r="AH58" s="3"/>
      <c r="AI58" s="3"/>
      <c r="AJ58" s="3"/>
      <c r="AK58" s="3"/>
      <c r="AL58" s="3"/>
      <c r="AM58" s="3"/>
      <c r="AN58" s="3"/>
      <c r="AO58" s="3"/>
      <c r="AP58" s="3"/>
      <c r="AQ58" s="3"/>
      <c r="AR58" s="3"/>
      <c r="AS58" s="3"/>
      <c r="AT58" s="3"/>
      <c r="AU58" s="3"/>
      <c r="AV58" s="3"/>
      <c r="AW58" s="3"/>
      <c r="AX58" s="3"/>
    </row>
    <row r="59" spans="1:50" ht="15" hidden="1" customHeight="1">
      <c r="A59" s="7"/>
      <c r="B59" s="139"/>
      <c r="C59" s="78">
        <f>[5]May_2026!$D59</f>
        <v>0</v>
      </c>
      <c r="D59" s="85"/>
      <c r="E59" s="81"/>
      <c r="F59" s="81"/>
      <c r="G59" s="94"/>
      <c r="H59" s="82"/>
      <c r="I59" s="32"/>
      <c r="J59" s="86"/>
      <c r="K59" s="71"/>
      <c r="L59" s="71"/>
      <c r="M59" s="71"/>
      <c r="N59" s="71"/>
      <c r="O59" s="32">
        <f>'Uncaser Downtime Detail '!AG299</f>
        <v>0</v>
      </c>
      <c r="P59" s="32">
        <f>'Washer Downtime Detail'!BH301</f>
        <v>0</v>
      </c>
      <c r="Q59" s="32">
        <f>'EBI Downtime Detail'!$AI301</f>
        <v>0</v>
      </c>
      <c r="R59" s="32">
        <f>'Filler Downtime Detail'!AK302</f>
        <v>0</v>
      </c>
      <c r="S59" s="32">
        <f>'Pasteurizer Downtime Detail'!Z300</f>
        <v>0</v>
      </c>
      <c r="T59" s="32">
        <f>'Labeler Downtime Detail'!AN296</f>
        <v>0</v>
      </c>
      <c r="U59" s="32">
        <f>'Videojet Downtime Detail '!O299</f>
        <v>0</v>
      </c>
      <c r="V59" s="32">
        <f>'Conveyor Downtime (new)'!AV299</f>
        <v>0</v>
      </c>
      <c r="W59" s="32">
        <f>'Packer Downtime Detail  '!AD299</f>
        <v>0</v>
      </c>
      <c r="X59" s="71"/>
      <c r="Y59" s="71"/>
      <c r="Z59" s="43"/>
      <c r="AA59" s="88"/>
      <c r="AB59" s="88"/>
      <c r="AC59" s="71"/>
      <c r="AD59" s="44">
        <f t="shared" si="2"/>
        <v>0</v>
      </c>
      <c r="AE59" s="68">
        <f t="shared" si="1"/>
        <v>0</v>
      </c>
      <c r="AH59" s="3"/>
      <c r="AI59" s="3"/>
      <c r="AJ59" s="3"/>
      <c r="AK59" s="3"/>
      <c r="AL59" s="3"/>
      <c r="AM59" s="3"/>
      <c r="AN59" s="3"/>
      <c r="AO59" s="3"/>
      <c r="AP59" s="3"/>
      <c r="AQ59" s="3"/>
      <c r="AR59" s="3"/>
      <c r="AS59" s="3"/>
      <c r="AT59" s="3"/>
      <c r="AU59" s="3"/>
      <c r="AV59" s="3"/>
      <c r="AW59" s="3"/>
      <c r="AX59" s="3"/>
    </row>
    <row r="60" spans="1:50" ht="12.75" hidden="1" customHeight="1">
      <c r="A60" s="7"/>
      <c r="B60" s="139"/>
      <c r="C60" s="78">
        <f>[5]May_2026!$D60</f>
        <v>0</v>
      </c>
      <c r="D60" s="85"/>
      <c r="E60" s="81"/>
      <c r="F60" s="81"/>
      <c r="G60" s="94"/>
      <c r="H60" s="14"/>
      <c r="I60" s="34"/>
      <c r="J60" s="35"/>
      <c r="K60" s="34"/>
      <c r="L60" s="34"/>
      <c r="M60" s="34"/>
      <c r="N60" s="34"/>
      <c r="O60" s="34">
        <f>'Uncaser Downtime Detail '!AG300</f>
        <v>0</v>
      </c>
      <c r="P60" s="34">
        <f>'Washer Downtime Detail'!BH302</f>
        <v>0</v>
      </c>
      <c r="Q60" s="34">
        <f>'EBI Downtime Detail'!$AI302</f>
        <v>0</v>
      </c>
      <c r="R60" s="34">
        <f>'Filler Downtime Detail'!AK303</f>
        <v>0</v>
      </c>
      <c r="S60" s="34">
        <f>'Pasteurizer Downtime Detail'!Z301</f>
        <v>0</v>
      </c>
      <c r="T60" s="34">
        <f>'Labeler Downtime Detail'!AN297</f>
        <v>0</v>
      </c>
      <c r="U60" s="34">
        <f>'Videojet Downtime Detail '!O300</f>
        <v>0</v>
      </c>
      <c r="V60" s="34">
        <f>'Conveyor Downtime (new)'!AV300</f>
        <v>0</v>
      </c>
      <c r="W60" s="34">
        <f>'Packer Downtime Detail  '!AD300</f>
        <v>0</v>
      </c>
      <c r="X60" s="34"/>
      <c r="Y60" s="35"/>
      <c r="Z60" s="34"/>
      <c r="AA60" s="90"/>
      <c r="AB60" s="90"/>
      <c r="AC60" s="89"/>
      <c r="AD60" s="44">
        <f t="shared" si="2"/>
        <v>0</v>
      </c>
      <c r="AE60" s="91"/>
      <c r="AH60" s="3"/>
      <c r="AI60" s="3"/>
      <c r="AJ60" s="3"/>
      <c r="AK60" s="3"/>
      <c r="AL60" s="3"/>
      <c r="AM60" s="3"/>
      <c r="AN60" s="3"/>
      <c r="AO60" s="3"/>
      <c r="AP60" s="3"/>
      <c r="AQ60" s="3"/>
      <c r="AR60" s="3"/>
      <c r="AS60" s="3"/>
      <c r="AT60" s="3"/>
      <c r="AU60" s="3"/>
      <c r="AV60" s="3"/>
      <c r="AW60" s="3"/>
      <c r="AX60" s="3"/>
    </row>
    <row r="61" spans="1:50" ht="12.75" hidden="1" customHeight="1">
      <c r="A61" s="7"/>
      <c r="B61" s="139"/>
      <c r="C61" s="78">
        <f>[5]May_2026!$D61</f>
        <v>0</v>
      </c>
      <c r="D61" s="163"/>
      <c r="E61" s="164"/>
      <c r="F61" s="23"/>
      <c r="G61" s="94"/>
      <c r="H61" s="82"/>
      <c r="I61" s="32"/>
      <c r="J61" s="86"/>
      <c r="K61" s="71"/>
      <c r="L61" s="71"/>
      <c r="M61" s="71"/>
      <c r="N61" s="71"/>
      <c r="O61" s="32">
        <f>'Uncaser Downtime Detail '!AG301</f>
        <v>0</v>
      </c>
      <c r="P61" s="32">
        <f>'Washer Downtime Detail'!BH303</f>
        <v>0</v>
      </c>
      <c r="Q61" s="32">
        <f>'EBI Downtime Detail'!$AI303</f>
        <v>0</v>
      </c>
      <c r="R61" s="32">
        <f>'Filler Downtime Detail'!AK304</f>
        <v>0</v>
      </c>
      <c r="S61" s="32">
        <f>'Pasteurizer Downtime Detail'!Z302</f>
        <v>0</v>
      </c>
      <c r="T61" s="32">
        <f>'Labeler Downtime Detail'!AN298</f>
        <v>0</v>
      </c>
      <c r="U61" s="32">
        <f>'Videojet Downtime Detail '!O301</f>
        <v>0</v>
      </c>
      <c r="V61" s="32">
        <f>'Conveyor Downtime (new)'!AV301</f>
        <v>0</v>
      </c>
      <c r="W61" s="32">
        <f>'Packer Downtime Detail  '!AD301</f>
        <v>0</v>
      </c>
      <c r="X61" s="71"/>
      <c r="Y61" s="71"/>
      <c r="Z61" s="43"/>
      <c r="AA61" s="88"/>
      <c r="AB61" s="88"/>
      <c r="AC61" s="71"/>
      <c r="AD61" s="44">
        <f t="shared" si="2"/>
        <v>0</v>
      </c>
      <c r="AE61" s="91"/>
      <c r="AH61" s="3"/>
      <c r="AI61" s="3"/>
      <c r="AJ61" s="3"/>
      <c r="AK61" s="3"/>
      <c r="AL61" s="3"/>
      <c r="AM61" s="3"/>
      <c r="AN61" s="3"/>
      <c r="AO61" s="3"/>
      <c r="AP61" s="3"/>
      <c r="AQ61" s="3"/>
      <c r="AR61" s="3"/>
      <c r="AS61" s="3"/>
      <c r="AT61" s="3"/>
      <c r="AU61" s="3"/>
      <c r="AV61" s="3"/>
      <c r="AW61" s="3"/>
      <c r="AX61" s="3"/>
    </row>
    <row r="62" spans="1:50" ht="12.75" hidden="1" customHeight="1">
      <c r="A62" s="7"/>
      <c r="B62" s="165"/>
      <c r="C62" s="78">
        <f>[5]May_2026!$D62</f>
        <v>0</v>
      </c>
      <c r="D62" s="4"/>
      <c r="E62" s="166"/>
      <c r="F62" s="23"/>
      <c r="G62" s="4"/>
      <c r="H62" s="82"/>
      <c r="I62" s="32"/>
      <c r="J62" s="86"/>
      <c r="K62" s="71"/>
      <c r="L62" s="71"/>
      <c r="M62" s="71"/>
      <c r="N62" s="71"/>
      <c r="O62" s="32"/>
      <c r="P62" s="32"/>
      <c r="Q62" s="32"/>
      <c r="R62" s="32"/>
      <c r="S62" s="32"/>
      <c r="T62" s="32"/>
      <c r="U62" s="32"/>
      <c r="V62" s="71"/>
      <c r="W62" s="32"/>
      <c r="X62" s="71"/>
      <c r="Y62" s="71"/>
      <c r="Z62" s="43"/>
      <c r="AA62" s="88"/>
      <c r="AB62" s="88"/>
      <c r="AC62" s="71"/>
      <c r="AD62" s="102"/>
      <c r="AE62" s="45"/>
      <c r="AH62" s="3"/>
      <c r="AI62" s="3"/>
      <c r="AJ62" s="3"/>
      <c r="AK62" s="3"/>
      <c r="AL62" s="3"/>
      <c r="AM62" s="3"/>
      <c r="AN62" s="3"/>
      <c r="AO62" s="3"/>
      <c r="AP62" s="3"/>
      <c r="AQ62" s="3"/>
      <c r="AR62" s="3"/>
      <c r="AS62" s="3"/>
      <c r="AT62" s="3"/>
      <c r="AU62" s="3"/>
      <c r="AV62" s="3"/>
      <c r="AW62" s="3"/>
      <c r="AX62" s="3"/>
    </row>
    <row r="63" spans="1:50" ht="15.75" customHeight="1" thickBot="1">
      <c r="A63" s="15" t="s">
        <v>427</v>
      </c>
      <c r="B63" s="16"/>
      <c r="C63" s="17"/>
      <c r="D63" s="18"/>
      <c r="E63" s="18"/>
      <c r="F63" s="18"/>
      <c r="G63" s="19">
        <f>SUM(G50:G61)</f>
        <v>0</v>
      </c>
      <c r="H63" s="16">
        <f>SUM(H8:H61)</f>
        <v>0</v>
      </c>
      <c r="I63" s="16">
        <f>SUM(I8:I61)</f>
        <v>1330</v>
      </c>
      <c r="J63" s="16">
        <f>SUM(J8:J61)</f>
        <v>749</v>
      </c>
      <c r="K63" s="16">
        <f t="shared" ref="K63:AE63" si="3">SUM(K8:K61)</f>
        <v>3</v>
      </c>
      <c r="L63" s="16">
        <f t="shared" si="3"/>
        <v>55</v>
      </c>
      <c r="M63" s="16">
        <f t="shared" si="3"/>
        <v>6</v>
      </c>
      <c r="N63" s="16">
        <f t="shared" si="3"/>
        <v>0</v>
      </c>
      <c r="O63" s="98">
        <f t="shared" si="3"/>
        <v>418</v>
      </c>
      <c r="P63" s="98">
        <f t="shared" si="3"/>
        <v>582</v>
      </c>
      <c r="Q63" s="98">
        <f t="shared" si="3"/>
        <v>1175</v>
      </c>
      <c r="R63" s="98">
        <f t="shared" si="3"/>
        <v>912</v>
      </c>
      <c r="S63" s="98">
        <f t="shared" si="3"/>
        <v>95</v>
      </c>
      <c r="T63" s="98">
        <f t="shared" ref="T63:Z63" si="4">SUM(T8:T61)</f>
        <v>295</v>
      </c>
      <c r="U63" s="98">
        <f t="shared" si="4"/>
        <v>73</v>
      </c>
      <c r="V63" s="98">
        <f t="shared" si="4"/>
        <v>836</v>
      </c>
      <c r="W63" s="98">
        <f t="shared" si="4"/>
        <v>216</v>
      </c>
      <c r="X63" s="98">
        <f t="shared" si="4"/>
        <v>106</v>
      </c>
      <c r="Y63" s="98">
        <f t="shared" si="4"/>
        <v>6</v>
      </c>
      <c r="Z63" s="16">
        <f t="shared" si="4"/>
        <v>1193</v>
      </c>
      <c r="AA63" s="16">
        <f t="shared" si="3"/>
        <v>9</v>
      </c>
      <c r="AB63" s="16">
        <f t="shared" si="3"/>
        <v>415</v>
      </c>
      <c r="AC63" s="16">
        <f t="shared" si="3"/>
        <v>0</v>
      </c>
      <c r="AD63" s="47">
        <f t="shared" si="3"/>
        <v>8474</v>
      </c>
      <c r="AE63" s="48">
        <f t="shared" si="3"/>
        <v>18.200694444444444</v>
      </c>
      <c r="AH63" s="3" t="s">
        <v>209</v>
      </c>
      <c r="AI63" s="3"/>
      <c r="AJ63" s="3"/>
      <c r="AK63" s="3"/>
      <c r="AL63" s="3"/>
      <c r="AM63" s="3"/>
      <c r="AN63" s="3"/>
      <c r="AO63" s="3"/>
      <c r="AP63" s="3"/>
      <c r="AQ63" s="3"/>
      <c r="AR63" s="3"/>
      <c r="AS63" s="3"/>
      <c r="AT63" s="3"/>
      <c r="AU63" s="3"/>
      <c r="AV63" s="3"/>
      <c r="AW63" s="3"/>
      <c r="AX63" s="3"/>
    </row>
    <row r="64" spans="1:50" ht="13.5" thickTop="1">
      <c r="A64" s="20" t="s">
        <v>45</v>
      </c>
      <c r="B64" s="1"/>
      <c r="C64" s="3"/>
      <c r="D64" s="3"/>
      <c r="E64" s="3"/>
      <c r="F64" s="3"/>
      <c r="G64" s="3"/>
      <c r="H64" s="21">
        <f>H63/$AD$63</f>
        <v>0</v>
      </c>
      <c r="I64" s="21">
        <f t="shared" ref="I64:AC64" si="5">I63/$AD$63</f>
        <v>0.15695067264573992</v>
      </c>
      <c r="J64" s="21">
        <f t="shared" si="5"/>
        <v>8.8388010384706159E-2</v>
      </c>
      <c r="K64" s="21">
        <f t="shared" si="5"/>
        <v>3.5402407363700734E-4</v>
      </c>
      <c r="L64" s="21">
        <f t="shared" si="5"/>
        <v>6.4904413500118012E-3</v>
      </c>
      <c r="M64" s="21">
        <f t="shared" si="5"/>
        <v>7.0804814727401467E-4</v>
      </c>
      <c r="N64" s="21">
        <f t="shared" si="5"/>
        <v>0</v>
      </c>
      <c r="O64" s="21">
        <f t="shared" si="5"/>
        <v>4.9327354260089683E-2</v>
      </c>
      <c r="P64" s="21">
        <f t="shared" si="5"/>
        <v>6.868067028557942E-2</v>
      </c>
      <c r="Q64" s="21">
        <f t="shared" si="5"/>
        <v>0.1386594288411612</v>
      </c>
      <c r="R64" s="21">
        <f t="shared" si="5"/>
        <v>0.10762331838565023</v>
      </c>
      <c r="S64" s="21">
        <f t="shared" si="5"/>
        <v>1.1210762331838564E-2</v>
      </c>
      <c r="T64" s="21">
        <f t="shared" si="5"/>
        <v>3.4812367240972385E-2</v>
      </c>
      <c r="U64" s="21">
        <f t="shared" si="5"/>
        <v>8.6145857918338443E-3</v>
      </c>
      <c r="V64" s="21">
        <f t="shared" si="5"/>
        <v>9.8654708520179366E-2</v>
      </c>
      <c r="W64" s="21">
        <f t="shared" si="5"/>
        <v>2.5489733301864527E-2</v>
      </c>
      <c r="X64" s="21">
        <f t="shared" si="5"/>
        <v>1.2508850601840924E-2</v>
      </c>
      <c r="Y64" s="21">
        <f t="shared" si="5"/>
        <v>7.0804814727401467E-4</v>
      </c>
      <c r="Z64" s="21">
        <f t="shared" si="5"/>
        <v>0.14078357328298324</v>
      </c>
      <c r="AA64" s="21">
        <f t="shared" si="5"/>
        <v>1.062072220911022E-3</v>
      </c>
      <c r="AB64" s="21">
        <f t="shared" si="5"/>
        <v>4.8973330186452682E-2</v>
      </c>
      <c r="AC64" s="21">
        <f t="shared" si="5"/>
        <v>0</v>
      </c>
      <c r="AD64" s="3"/>
      <c r="AE64" s="49"/>
      <c r="AH64" s="3"/>
      <c r="AI64" s="3"/>
      <c r="AJ64" s="3"/>
      <c r="AK64" s="3"/>
      <c r="AL64" s="3"/>
      <c r="AM64" s="3"/>
      <c r="AN64" s="3"/>
      <c r="AO64" s="3"/>
      <c r="AP64" s="3"/>
      <c r="AQ64" s="3"/>
      <c r="AR64" s="3"/>
      <c r="AS64" s="3"/>
      <c r="AT64" s="3"/>
      <c r="AU64" s="3"/>
      <c r="AV64" s="3"/>
      <c r="AW64" s="3"/>
      <c r="AX64" s="3"/>
    </row>
    <row r="65" spans="1:50" ht="15">
      <c r="A65" s="20"/>
      <c r="B65" s="1"/>
      <c r="C65" s="3"/>
      <c r="D65" s="3"/>
      <c r="E65" s="3"/>
      <c r="F65" s="3"/>
      <c r="G65" s="3"/>
      <c r="H65" s="3"/>
      <c r="I65" s="36" t="s">
        <v>428</v>
      </c>
      <c r="J65" s="3"/>
      <c r="K65" s="37"/>
      <c r="L65" s="37"/>
      <c r="M65" s="3"/>
      <c r="N65" s="3"/>
      <c r="O65" s="3"/>
      <c r="P65" s="3"/>
      <c r="Q65" s="3"/>
      <c r="R65" s="3"/>
      <c r="S65" s="3"/>
      <c r="T65" s="3"/>
      <c r="U65" s="3"/>
      <c r="V65" s="3"/>
      <c r="W65" s="3"/>
      <c r="X65" s="3"/>
      <c r="Y65" s="3"/>
      <c r="Z65" s="3"/>
      <c r="AA65" s="3"/>
      <c r="AB65" s="3"/>
      <c r="AC65" s="3"/>
      <c r="AD65" s="3"/>
      <c r="AH65" s="3"/>
      <c r="AI65" s="3"/>
      <c r="AJ65" s="3"/>
      <c r="AK65" s="3"/>
      <c r="AL65" s="3"/>
      <c r="AM65" s="3"/>
      <c r="AN65" s="3"/>
      <c r="AO65" s="3"/>
      <c r="AP65" s="3"/>
      <c r="AQ65" s="3"/>
      <c r="AR65" s="3"/>
      <c r="AS65" s="3"/>
      <c r="AT65" s="3"/>
      <c r="AU65" s="3"/>
      <c r="AV65" s="3"/>
      <c r="AW65" s="3"/>
      <c r="AX65" s="3"/>
    </row>
    <row r="66" spans="1:50" ht="15">
      <c r="A66" s="1"/>
      <c r="B66" s="22"/>
      <c r="C66" t="s">
        <v>429</v>
      </c>
      <c r="D66" t="s">
        <v>430</v>
      </c>
      <c r="E66" t="s">
        <v>431</v>
      </c>
      <c r="F66" s="23"/>
      <c r="G66" s="23"/>
      <c r="H66" s="3"/>
      <c r="I66" s="38">
        <f>COUNT(I8:I61)</f>
        <v>25</v>
      </c>
      <c r="J66" s="3"/>
      <c r="K66" s="24"/>
      <c r="L66" s="24"/>
      <c r="M66" s="24"/>
      <c r="N66" s="24"/>
      <c r="O66" s="24"/>
      <c r="P66" s="24"/>
      <c r="Q66" s="24"/>
      <c r="R66" s="24"/>
      <c r="S66" s="24"/>
      <c r="T66" s="24"/>
      <c r="U66" s="141"/>
      <c r="V66" s="24"/>
      <c r="W66" s="24"/>
      <c r="X66" s="24"/>
      <c r="Y66" s="24"/>
      <c r="Z66" s="24"/>
      <c r="AA66" s="3"/>
      <c r="AB66" s="3"/>
      <c r="AC66" s="3"/>
      <c r="AH66" s="3"/>
      <c r="AI66" s="3"/>
      <c r="AJ66" s="3"/>
      <c r="AK66" s="3"/>
      <c r="AL66" s="3"/>
      <c r="AM66" s="3"/>
      <c r="AN66" s="3"/>
      <c r="AO66" s="3"/>
      <c r="AP66" s="3"/>
      <c r="AQ66" s="3"/>
      <c r="AR66" s="3"/>
      <c r="AS66" s="3"/>
      <c r="AT66" s="3"/>
      <c r="AU66" s="3"/>
      <c r="AV66" s="3"/>
      <c r="AW66" s="3"/>
      <c r="AX66" s="3"/>
    </row>
    <row r="67" spans="1:50">
      <c r="A67" s="1"/>
      <c r="B67" s="22"/>
      <c r="C67" s="24">
        <f>COUNTA(I8:I61)</f>
        <v>25</v>
      </c>
      <c r="D67" s="24">
        <f>COUNTA(C8:C61)</f>
        <v>54</v>
      </c>
      <c r="E67" s="24">
        <f>COUNTA(A8:A61)</f>
        <v>42</v>
      </c>
      <c r="F67" s="23"/>
      <c r="G67" s="23"/>
      <c r="H67" s="3"/>
      <c r="I67" s="1"/>
      <c r="J67" s="3"/>
      <c r="K67" s="24"/>
      <c r="L67" s="24"/>
      <c r="M67" s="24"/>
      <c r="N67" s="24"/>
      <c r="O67" s="24"/>
      <c r="P67" s="24"/>
      <c r="Q67" s="24"/>
      <c r="R67" s="141"/>
      <c r="S67" s="24"/>
      <c r="T67" s="24"/>
      <c r="U67" s="24"/>
      <c r="V67" s="24"/>
      <c r="W67" s="24"/>
      <c r="X67" s="141"/>
      <c r="Y67" s="32"/>
      <c r="Z67" s="24"/>
      <c r="AA67" s="3"/>
      <c r="AB67" s="3"/>
      <c r="AC67" s="3"/>
      <c r="AH67" s="3"/>
      <c r="AI67" s="3"/>
      <c r="AJ67" s="3"/>
      <c r="AK67" s="3"/>
      <c r="AL67" s="3"/>
      <c r="AM67" s="3"/>
      <c r="AN67" s="3"/>
      <c r="AO67" s="3"/>
      <c r="AP67" s="3"/>
      <c r="AQ67" s="3"/>
      <c r="AR67" s="3"/>
      <c r="AS67" s="3"/>
      <c r="AT67" s="3"/>
      <c r="AU67" s="3"/>
      <c r="AV67" s="3"/>
      <c r="AW67" s="3"/>
      <c r="AX67" s="3"/>
    </row>
    <row r="68" spans="1:50">
      <c r="A68" s="1"/>
      <c r="B68" s="22"/>
      <c r="C68" s="24"/>
      <c r="D68" s="25"/>
      <c r="E68" s="25"/>
      <c r="F68" s="23"/>
      <c r="G68" s="23"/>
      <c r="H68" s="3"/>
      <c r="I68" s="1"/>
      <c r="J68" s="3"/>
      <c r="K68" s="24"/>
      <c r="L68" s="24"/>
      <c r="M68" s="24"/>
      <c r="N68" s="24"/>
      <c r="O68" s="24"/>
      <c r="P68" s="24"/>
      <c r="Q68" s="24"/>
      <c r="R68" s="24"/>
      <c r="S68" s="24"/>
      <c r="T68" s="24"/>
      <c r="U68" s="24"/>
      <c r="V68" s="24"/>
      <c r="W68" s="24"/>
      <c r="X68" s="24"/>
      <c r="Y68" s="24"/>
      <c r="Z68" s="24"/>
      <c r="AA68" s="3"/>
      <c r="AB68" s="3"/>
      <c r="AC68" s="3"/>
      <c r="AD68" s="3"/>
      <c r="AH68" s="3"/>
      <c r="AI68" s="3"/>
      <c r="AJ68" s="3"/>
      <c r="AK68" s="3"/>
      <c r="AL68" s="3"/>
      <c r="AM68" s="3"/>
      <c r="AN68" s="3"/>
      <c r="AO68" s="3"/>
      <c r="AP68" s="3"/>
      <c r="AQ68" s="3"/>
      <c r="AR68" s="3"/>
      <c r="AS68" s="3"/>
      <c r="AT68" s="3"/>
      <c r="AU68" s="3"/>
      <c r="AV68" s="3"/>
      <c r="AW68" s="3"/>
    </row>
    <row r="69" spans="1:50" ht="15">
      <c r="A69" s="26"/>
      <c r="B69" s="26"/>
      <c r="C69" s="27" t="s">
        <v>432</v>
      </c>
      <c r="D69" s="28">
        <f>($D$67/$E$67)</f>
        <v>1.2857142857142858</v>
      </c>
      <c r="E69" s="28">
        <f>($D$67/$E$67)*$I$64</f>
        <v>0.2017937219730942</v>
      </c>
      <c r="F69" s="29"/>
      <c r="G69" s="29"/>
      <c r="H69" s="679" t="s">
        <v>433</v>
      </c>
      <c r="I69" s="679"/>
      <c r="J69" s="679"/>
      <c r="K69" s="679"/>
      <c r="L69" s="679"/>
      <c r="M69" s="679"/>
      <c r="N69" s="679"/>
      <c r="O69" s="24"/>
      <c r="P69" s="680" t="s">
        <v>434</v>
      </c>
      <c r="Q69" s="680"/>
      <c r="R69" s="680"/>
      <c r="S69" s="680"/>
      <c r="T69" s="680"/>
      <c r="U69" s="1"/>
      <c r="V69" s="1"/>
      <c r="W69" s="1"/>
      <c r="X69" s="1"/>
      <c r="Y69" s="1"/>
      <c r="Z69" s="1"/>
      <c r="AA69" s="3"/>
      <c r="AB69" s="3"/>
      <c r="AC69" s="3"/>
    </row>
    <row r="70" spans="1:50" ht="25.5">
      <c r="A70" s="1"/>
      <c r="B70" s="1"/>
      <c r="C70" s="3"/>
      <c r="D70" s="3"/>
      <c r="E70" s="3"/>
      <c r="F70" s="3"/>
      <c r="G70" s="3"/>
      <c r="H70" s="30" t="s">
        <v>81</v>
      </c>
      <c r="I70" s="30" t="s">
        <v>435</v>
      </c>
      <c r="J70" s="30" t="s">
        <v>436</v>
      </c>
      <c r="K70" s="30" t="s">
        <v>437</v>
      </c>
      <c r="L70" s="66" t="s">
        <v>438</v>
      </c>
      <c r="M70" s="66" t="s">
        <v>439</v>
      </c>
      <c r="N70" s="66" t="s">
        <v>440</v>
      </c>
      <c r="O70" s="26"/>
      <c r="P70" s="67" t="s">
        <v>81</v>
      </c>
      <c r="Q70" s="67" t="s">
        <v>435</v>
      </c>
      <c r="R70" s="39" t="s">
        <v>436</v>
      </c>
      <c r="S70" s="39" t="s">
        <v>437</v>
      </c>
      <c r="T70" s="73" t="s">
        <v>441</v>
      </c>
      <c r="U70" s="3"/>
      <c r="V70" s="3"/>
      <c r="W70" s="3"/>
      <c r="X70" s="3"/>
      <c r="Y70" s="3"/>
      <c r="Z70" s="3"/>
      <c r="AA70" s="3"/>
      <c r="AB70" s="3"/>
      <c r="AC70" s="3"/>
    </row>
    <row r="71" spans="1:50">
      <c r="A71" s="1"/>
      <c r="B71" s="1"/>
      <c r="C71" s="3"/>
      <c r="D71" s="3"/>
      <c r="E71" s="3"/>
      <c r="F71" s="3"/>
      <c r="G71" s="3"/>
      <c r="H71" s="65">
        <f t="shared" ref="H71:H118" si="6">B8</f>
        <v>46146</v>
      </c>
      <c r="I71" s="1" t="str">
        <f t="shared" ref="I71:I118" si="7">C8</f>
        <v>GINSENG ORIGINAL</v>
      </c>
      <c r="J71" s="23">
        <f t="shared" ref="J71:K71" si="8">E8</f>
        <v>1.1354166666666667</v>
      </c>
      <c r="K71" s="23">
        <f t="shared" si="8"/>
        <v>1.2895833333333333</v>
      </c>
      <c r="L71" s="68">
        <f t="shared" ref="L71:L82" si="9">K71-J71</f>
        <v>0.15416666666666656</v>
      </c>
      <c r="M71" s="3">
        <v>222</v>
      </c>
      <c r="N71" s="69">
        <f>M71-(H8+J8+K8+L8+M8+N8+AA8+AB8+AC8)</f>
        <v>222</v>
      </c>
      <c r="O71" s="3"/>
      <c r="P71" s="65">
        <f>B8</f>
        <v>46146</v>
      </c>
      <c r="Q71" s="74" t="str">
        <f>C8</f>
        <v>GINSENG ORIGINAL</v>
      </c>
      <c r="R71" s="76">
        <v>1.0416666666666667</v>
      </c>
      <c r="S71" s="590">
        <f>F8</f>
        <v>1.2895833333333333</v>
      </c>
      <c r="T71" s="668">
        <f>S72-R71</f>
        <v>0.95972222222222237</v>
      </c>
      <c r="U71" s="3"/>
      <c r="V71" s="3"/>
      <c r="W71" s="3"/>
      <c r="X71" s="3"/>
      <c r="Y71" s="3"/>
      <c r="Z71" s="3"/>
      <c r="AA71" s="3"/>
      <c r="AB71" s="3"/>
      <c r="AC71" s="3"/>
    </row>
    <row r="72" spans="1:50">
      <c r="H72" s="65">
        <f t="shared" si="6"/>
        <v>46146</v>
      </c>
      <c r="I72" s="1" t="str">
        <f t="shared" si="7"/>
        <v xml:space="preserve">VITA MALT ( CLASSIC ) </v>
      </c>
      <c r="J72" s="23">
        <f t="shared" ref="J72:J82" si="10">E9</f>
        <v>1.4722222222222223</v>
      </c>
      <c r="K72" s="23">
        <f t="shared" ref="K72:K82" si="11">F9</f>
        <v>2.0013888888888891</v>
      </c>
      <c r="L72" s="68">
        <f t="shared" si="9"/>
        <v>0.52916666666666679</v>
      </c>
      <c r="M72" s="3">
        <v>762</v>
      </c>
      <c r="N72" s="69">
        <f>M72-(H9+J9+K9+L9+M9+N9+AA9+AB9+2+AC9)</f>
        <v>737</v>
      </c>
      <c r="O72" s="3"/>
      <c r="P72" s="65">
        <f t="shared" ref="P72:P99" si="12">B9</f>
        <v>46146</v>
      </c>
      <c r="Q72" s="74" t="str">
        <f t="shared" ref="Q72:Q99" si="13">C9</f>
        <v xml:space="preserve">VITA MALT ( CLASSIC ) </v>
      </c>
      <c r="R72" s="23">
        <f t="shared" ref="R72" si="14">E9</f>
        <v>1.4722222222222223</v>
      </c>
      <c r="S72" s="590">
        <f t="shared" ref="S72" si="15">F9</f>
        <v>2.0013888888888891</v>
      </c>
      <c r="T72" s="668"/>
    </row>
    <row r="73" spans="1:50">
      <c r="F73" t="s">
        <v>454</v>
      </c>
      <c r="H73" s="65">
        <f t="shared" si="6"/>
        <v>46147</v>
      </c>
      <c r="I73" s="1" t="str">
        <f t="shared" si="7"/>
        <v>CARIB FLINT (LOCAL)</v>
      </c>
      <c r="J73" s="23">
        <f t="shared" si="10"/>
        <v>1.1666666666666667</v>
      </c>
      <c r="K73" s="23">
        <f t="shared" si="11"/>
        <v>1.913888888888889</v>
      </c>
      <c r="L73" s="68">
        <f t="shared" si="9"/>
        <v>0.74722222222222223</v>
      </c>
      <c r="M73" s="3">
        <v>1076</v>
      </c>
      <c r="N73" s="69">
        <f t="shared" ref="N73:N77" si="16">M73-(H10+J10+K10+L10+M10+N10+AA10+AB10+2+AC10)</f>
        <v>1063</v>
      </c>
      <c r="P73" s="65">
        <f t="shared" si="12"/>
        <v>46147</v>
      </c>
      <c r="Q73" s="74" t="str">
        <f t="shared" si="13"/>
        <v>CARIB FLINT (LOCAL)</v>
      </c>
      <c r="R73" s="76">
        <v>1</v>
      </c>
      <c r="S73" s="590">
        <f t="shared" ref="S73:S114" si="17">F10</f>
        <v>1.913888888888889</v>
      </c>
      <c r="T73" s="668">
        <f>S74-R73</f>
        <v>1</v>
      </c>
    </row>
    <row r="74" spans="1:50">
      <c r="H74" s="65">
        <f t="shared" si="6"/>
        <v>46147</v>
      </c>
      <c r="I74" s="1" t="str">
        <f t="shared" si="7"/>
        <v>CARIB AMBER</v>
      </c>
      <c r="J74" s="23">
        <f t="shared" si="10"/>
        <v>1.9201388888888888</v>
      </c>
      <c r="K74" s="23">
        <f t="shared" si="11"/>
        <v>2</v>
      </c>
      <c r="L74" s="68">
        <f t="shared" si="9"/>
        <v>7.986111111111116E-2</v>
      </c>
      <c r="M74" s="158">
        <v>115</v>
      </c>
      <c r="N74" s="69">
        <f t="shared" si="16"/>
        <v>107</v>
      </c>
      <c r="P74" s="65">
        <f t="shared" si="12"/>
        <v>46147</v>
      </c>
      <c r="Q74" s="74" t="str">
        <f t="shared" si="13"/>
        <v>CARIB AMBER</v>
      </c>
      <c r="R74" s="23">
        <f t="shared" ref="R74:R114" si="18">E11</f>
        <v>1.9201388888888888</v>
      </c>
      <c r="S74" s="590">
        <f t="shared" si="17"/>
        <v>2</v>
      </c>
      <c r="T74" s="668"/>
    </row>
    <row r="75" spans="1:50">
      <c r="H75" s="65">
        <f t="shared" si="6"/>
        <v>46148</v>
      </c>
      <c r="I75" s="1" t="str">
        <f t="shared" si="7"/>
        <v>CARIB AMBER</v>
      </c>
      <c r="J75" s="23">
        <f t="shared" si="10"/>
        <v>1.0055555555555555</v>
      </c>
      <c r="K75" s="23">
        <f t="shared" si="11"/>
        <v>2</v>
      </c>
      <c r="L75" s="68">
        <f t="shared" si="9"/>
        <v>0.99444444444444446</v>
      </c>
      <c r="M75" s="158">
        <v>1432</v>
      </c>
      <c r="N75" s="69">
        <f t="shared" si="16"/>
        <v>1426</v>
      </c>
      <c r="P75" s="65">
        <f t="shared" si="12"/>
        <v>46148</v>
      </c>
      <c r="Q75" s="74" t="str">
        <f t="shared" si="13"/>
        <v>CARIB AMBER</v>
      </c>
      <c r="R75" s="23">
        <f t="shared" si="18"/>
        <v>1.0055555555555555</v>
      </c>
      <c r="S75" s="590">
        <f t="shared" si="17"/>
        <v>2</v>
      </c>
      <c r="T75" s="75">
        <f>S75-R75</f>
        <v>0.99444444444444446</v>
      </c>
    </row>
    <row r="76" spans="1:50">
      <c r="H76" s="65">
        <f t="shared" si="6"/>
        <v>46149</v>
      </c>
      <c r="I76" s="1" t="str">
        <f t="shared" si="7"/>
        <v>CARIB AMBER</v>
      </c>
      <c r="J76" s="23">
        <f t="shared" si="10"/>
        <v>1.0041666666666667</v>
      </c>
      <c r="K76" s="23">
        <f t="shared" si="11"/>
        <v>1.1708333333333334</v>
      </c>
      <c r="L76" s="68">
        <f t="shared" si="9"/>
        <v>0.16666666666666674</v>
      </c>
      <c r="M76" s="158">
        <v>240</v>
      </c>
      <c r="N76" s="69">
        <f t="shared" si="16"/>
        <v>234</v>
      </c>
      <c r="P76" s="65">
        <f t="shared" si="12"/>
        <v>46149</v>
      </c>
      <c r="Q76" s="74" t="str">
        <f t="shared" si="13"/>
        <v>CARIB AMBER</v>
      </c>
      <c r="R76" s="23">
        <f t="shared" si="18"/>
        <v>1.0041666666666667</v>
      </c>
      <c r="S76" s="590">
        <f t="shared" si="17"/>
        <v>1.1708333333333334</v>
      </c>
      <c r="T76" s="668">
        <f>S78-R76</f>
        <v>0.99583333333333335</v>
      </c>
    </row>
    <row r="77" spans="1:50">
      <c r="H77" s="65">
        <f t="shared" si="6"/>
        <v>46149</v>
      </c>
      <c r="I77" s="1" t="str">
        <f t="shared" si="7"/>
        <v>TING ORIGINAL</v>
      </c>
      <c r="J77" s="23">
        <f t="shared" si="10"/>
        <v>1.3784722222222223</v>
      </c>
      <c r="K77" s="23">
        <f t="shared" si="11"/>
        <v>1.6763888888888889</v>
      </c>
      <c r="L77" s="68">
        <f t="shared" si="9"/>
        <v>0.29791666666666661</v>
      </c>
      <c r="M77" s="158">
        <v>429</v>
      </c>
      <c r="N77" s="69">
        <f t="shared" si="16"/>
        <v>293</v>
      </c>
      <c r="P77" s="65">
        <f t="shared" si="12"/>
        <v>46149</v>
      </c>
      <c r="Q77" s="74" t="str">
        <f t="shared" si="13"/>
        <v>TING ORIGINAL</v>
      </c>
      <c r="R77" s="23">
        <f t="shared" si="18"/>
        <v>1.3784722222222223</v>
      </c>
      <c r="S77" s="590">
        <f t="shared" si="17"/>
        <v>1.6763888888888889</v>
      </c>
      <c r="T77" s="668"/>
    </row>
    <row r="78" spans="1:50">
      <c r="H78" s="65">
        <f t="shared" si="6"/>
        <v>46149</v>
      </c>
      <c r="I78" s="1" t="str">
        <f t="shared" si="7"/>
        <v>STAG</v>
      </c>
      <c r="J78" s="23">
        <f t="shared" si="10"/>
        <v>1.7284722222222222</v>
      </c>
      <c r="K78" s="23">
        <f t="shared" si="11"/>
        <v>2</v>
      </c>
      <c r="L78" s="68">
        <f t="shared" si="9"/>
        <v>0.27152777777777781</v>
      </c>
      <c r="M78" s="158">
        <v>391</v>
      </c>
      <c r="N78" s="69">
        <f>M78-(H15+J15+K15+L15+M15+N15+AA15+AB15+AC15+Z15)</f>
        <v>385</v>
      </c>
      <c r="P78" s="65">
        <f t="shared" si="12"/>
        <v>46149</v>
      </c>
      <c r="Q78" s="74" t="str">
        <f t="shared" si="13"/>
        <v>STAG</v>
      </c>
      <c r="R78" s="23">
        <f t="shared" si="18"/>
        <v>1.7284722222222222</v>
      </c>
      <c r="S78" s="590">
        <f t="shared" si="17"/>
        <v>2</v>
      </c>
      <c r="T78" s="668"/>
    </row>
    <row r="79" spans="1:50">
      <c r="H79" s="65">
        <f t="shared" si="6"/>
        <v>46150</v>
      </c>
      <c r="I79" s="1" t="str">
        <f t="shared" si="7"/>
        <v>STAG</v>
      </c>
      <c r="J79" s="23">
        <f t="shared" si="10"/>
        <v>1.0069444444444444</v>
      </c>
      <c r="K79" s="23">
        <f t="shared" si="11"/>
        <v>1.5138888888888888</v>
      </c>
      <c r="L79" s="68">
        <f t="shared" si="9"/>
        <v>0.50694444444444442</v>
      </c>
      <c r="M79" s="158">
        <v>730</v>
      </c>
      <c r="N79" s="69">
        <f t="shared" ref="N79:N92" si="19">M79-(H16+J16+K16+L16+M16+N16+AA16+AB16+AC16+Z16)</f>
        <v>696</v>
      </c>
      <c r="P79" s="65">
        <f t="shared" si="12"/>
        <v>46150</v>
      </c>
      <c r="Q79" s="74" t="str">
        <f t="shared" si="13"/>
        <v>STAG</v>
      </c>
      <c r="R79" s="23">
        <f t="shared" si="18"/>
        <v>1.0069444444444444</v>
      </c>
      <c r="S79" s="590">
        <f t="shared" si="17"/>
        <v>1.5138888888888888</v>
      </c>
      <c r="T79" s="668">
        <f>S80-R79</f>
        <v>0.88888888888888884</v>
      </c>
    </row>
    <row r="80" spans="1:50">
      <c r="H80" s="65">
        <f t="shared" si="6"/>
        <v>46150</v>
      </c>
      <c r="I80" s="1" t="str">
        <f t="shared" si="7"/>
        <v>GUINNESS</v>
      </c>
      <c r="J80" s="23">
        <f t="shared" si="10"/>
        <v>1.5486111111111112</v>
      </c>
      <c r="K80" s="23">
        <f t="shared" si="11"/>
        <v>1.7291666666666667</v>
      </c>
      <c r="L80" s="68">
        <f t="shared" si="9"/>
        <v>0.18055555555555558</v>
      </c>
      <c r="M80" s="3">
        <v>260</v>
      </c>
      <c r="N80" s="69">
        <f>M80-(H17+29+10+31+K17+L17+M17+N17+AA17+AB17+AC17+Z17)</f>
        <v>190</v>
      </c>
      <c r="P80" s="65">
        <f t="shared" si="12"/>
        <v>46150</v>
      </c>
      <c r="Q80" s="74" t="str">
        <f t="shared" si="13"/>
        <v>GUINNESS</v>
      </c>
      <c r="R80" s="23">
        <f t="shared" si="18"/>
        <v>1.5486111111111112</v>
      </c>
      <c r="S80" s="594">
        <v>1.8958333333333333</v>
      </c>
      <c r="T80" s="668"/>
    </row>
    <row r="81" spans="8:20">
      <c r="H81" s="65">
        <f t="shared" si="6"/>
        <v>46151</v>
      </c>
      <c r="I81" s="1" t="str">
        <f t="shared" si="7"/>
        <v>GUINNESS</v>
      </c>
      <c r="J81" s="23">
        <f t="shared" si="10"/>
        <v>0.34375</v>
      </c>
      <c r="K81" s="23">
        <f t="shared" si="11"/>
        <v>0.95902777777777781</v>
      </c>
      <c r="L81" s="68">
        <f t="shared" si="9"/>
        <v>0.61527777777777781</v>
      </c>
      <c r="M81" s="3">
        <v>886</v>
      </c>
      <c r="N81" s="69">
        <f t="shared" si="19"/>
        <v>845</v>
      </c>
      <c r="P81" s="65">
        <f t="shared" si="12"/>
        <v>46151</v>
      </c>
      <c r="Q81" s="74" t="str">
        <f t="shared" si="13"/>
        <v>GUINNESS</v>
      </c>
      <c r="R81" s="76">
        <v>0.3263888888888889</v>
      </c>
      <c r="S81" s="590">
        <f t="shared" si="17"/>
        <v>0.95902777777777781</v>
      </c>
      <c r="T81" s="75">
        <f>S81-R81</f>
        <v>0.63263888888888897</v>
      </c>
    </row>
    <row r="82" spans="8:20">
      <c r="H82" s="65">
        <f t="shared" si="6"/>
        <v>46153</v>
      </c>
      <c r="I82" s="1" t="str">
        <f t="shared" si="7"/>
        <v>CARIB AMBER</v>
      </c>
      <c r="J82" s="23">
        <f t="shared" si="10"/>
        <v>1.3506944444444444</v>
      </c>
      <c r="K82" s="23">
        <f t="shared" si="11"/>
        <v>1.9791666666666667</v>
      </c>
      <c r="L82" s="68">
        <f t="shared" si="9"/>
        <v>0.62847222222222232</v>
      </c>
      <c r="M82" s="3">
        <v>905</v>
      </c>
      <c r="N82" s="69">
        <f>M82-(H19+J19+K19+L19+M19+N19+AA19+AB19+AC19+4+5)</f>
        <v>844</v>
      </c>
      <c r="P82" s="65">
        <f t="shared" si="12"/>
        <v>46153</v>
      </c>
      <c r="Q82" s="74" t="str">
        <f t="shared" si="13"/>
        <v>CARIB AMBER</v>
      </c>
      <c r="R82" s="76">
        <v>1.0416666666666667</v>
      </c>
      <c r="S82" s="590">
        <f t="shared" si="17"/>
        <v>1.9791666666666667</v>
      </c>
      <c r="T82" s="75">
        <f>S82-R82</f>
        <v>0.9375</v>
      </c>
    </row>
    <row r="83" spans="8:20">
      <c r="H83" s="65">
        <f t="shared" si="6"/>
        <v>46154</v>
      </c>
      <c r="I83" s="1" t="str">
        <f t="shared" si="7"/>
        <v>CARIB AMBER</v>
      </c>
      <c r="J83" s="23">
        <f t="shared" ref="J83:J90" si="20">E20</f>
        <v>1.0034722222222223</v>
      </c>
      <c r="K83" s="23">
        <f t="shared" ref="K83:K90" si="21">F20</f>
        <v>1.2777777777777777</v>
      </c>
      <c r="L83" s="68">
        <f t="shared" ref="L83:L125" si="22">K83-J83</f>
        <v>0.27430555555555536</v>
      </c>
      <c r="M83" s="3">
        <v>395</v>
      </c>
      <c r="N83" s="69">
        <f t="shared" si="19"/>
        <v>385</v>
      </c>
      <c r="P83" s="65">
        <f t="shared" si="12"/>
        <v>46154</v>
      </c>
      <c r="Q83" s="74" t="str">
        <f t="shared" si="13"/>
        <v>CARIB AMBER</v>
      </c>
      <c r="R83" s="23">
        <f t="shared" si="18"/>
        <v>1.0034722222222223</v>
      </c>
      <c r="S83" s="590">
        <f t="shared" si="17"/>
        <v>1.2777777777777777</v>
      </c>
      <c r="T83" s="668">
        <f>S84-R83</f>
        <v>0.99652777777777768</v>
      </c>
    </row>
    <row r="84" spans="8:20">
      <c r="H84" s="65">
        <f t="shared" si="6"/>
        <v>46154</v>
      </c>
      <c r="I84" s="1" t="str">
        <f t="shared" si="7"/>
        <v>STAG</v>
      </c>
      <c r="J84" s="23">
        <f t="shared" si="20"/>
        <v>1.3333333333333333</v>
      </c>
      <c r="K84" s="23">
        <f t="shared" si="21"/>
        <v>2</v>
      </c>
      <c r="L84" s="68">
        <f t="shared" si="22"/>
        <v>0.66666666666666674</v>
      </c>
      <c r="M84" s="3">
        <v>960</v>
      </c>
      <c r="N84" s="69">
        <f t="shared" si="19"/>
        <v>908</v>
      </c>
      <c r="P84" s="65">
        <f t="shared" si="12"/>
        <v>46154</v>
      </c>
      <c r="Q84" s="74" t="str">
        <f t="shared" si="13"/>
        <v>STAG</v>
      </c>
      <c r="R84" s="23">
        <f t="shared" si="18"/>
        <v>1.3333333333333333</v>
      </c>
      <c r="S84" s="590">
        <f t="shared" si="17"/>
        <v>2</v>
      </c>
      <c r="T84" s="668"/>
    </row>
    <row r="85" spans="8:20">
      <c r="H85" s="65">
        <f t="shared" si="6"/>
        <v>46155</v>
      </c>
      <c r="I85" s="1" t="str">
        <f t="shared" si="7"/>
        <v>STAG</v>
      </c>
      <c r="J85" s="23">
        <f t="shared" si="20"/>
        <v>1.007638888888889</v>
      </c>
      <c r="K85" s="23">
        <f t="shared" si="21"/>
        <v>1.1159722222222221</v>
      </c>
      <c r="L85" s="68">
        <f t="shared" si="22"/>
        <v>0.10833333333333317</v>
      </c>
      <c r="M85" s="3">
        <v>156</v>
      </c>
      <c r="N85" s="69">
        <f t="shared" si="19"/>
        <v>141</v>
      </c>
      <c r="P85" s="65">
        <f t="shared" si="12"/>
        <v>46155</v>
      </c>
      <c r="Q85" s="74" t="str">
        <f t="shared" si="13"/>
        <v>STAG</v>
      </c>
      <c r="R85" s="23">
        <f t="shared" si="18"/>
        <v>1.007638888888889</v>
      </c>
      <c r="S85" s="590">
        <f t="shared" si="17"/>
        <v>1.1159722222222221</v>
      </c>
      <c r="T85" s="668">
        <f>S86-R85</f>
        <v>0.99236111111111103</v>
      </c>
    </row>
    <row r="86" spans="8:20">
      <c r="H86" s="65">
        <f t="shared" si="6"/>
        <v>46155</v>
      </c>
      <c r="I86" s="1" t="str">
        <f t="shared" si="7"/>
        <v xml:space="preserve">CARIB </v>
      </c>
      <c r="J86" s="23">
        <f t="shared" si="20"/>
        <v>1.132638888888889</v>
      </c>
      <c r="K86" s="23">
        <f t="shared" si="21"/>
        <v>2</v>
      </c>
      <c r="L86" s="68">
        <f t="shared" si="22"/>
        <v>0.86736111111111103</v>
      </c>
      <c r="M86" s="3">
        <v>1249</v>
      </c>
      <c r="N86" s="69">
        <f t="shared" si="19"/>
        <v>1159</v>
      </c>
      <c r="P86" s="65">
        <f t="shared" si="12"/>
        <v>46155</v>
      </c>
      <c r="Q86" s="74" t="str">
        <f t="shared" si="13"/>
        <v xml:space="preserve">CARIB </v>
      </c>
      <c r="R86" s="23">
        <f t="shared" si="18"/>
        <v>1.132638888888889</v>
      </c>
      <c r="S86" s="590">
        <f t="shared" si="17"/>
        <v>2</v>
      </c>
      <c r="T86" s="668"/>
    </row>
    <row r="87" spans="8:20">
      <c r="H87" s="65">
        <f t="shared" si="6"/>
        <v>46156</v>
      </c>
      <c r="I87" s="1" t="str">
        <f t="shared" si="7"/>
        <v>CARIB</v>
      </c>
      <c r="J87" s="23">
        <f t="shared" si="20"/>
        <v>1.0041666666666667</v>
      </c>
      <c r="K87" s="23">
        <f t="shared" si="21"/>
        <v>1.0402777777777779</v>
      </c>
      <c r="L87" s="68">
        <f t="shared" si="22"/>
        <v>3.6111111111111205E-2</v>
      </c>
      <c r="M87" s="3">
        <v>52</v>
      </c>
      <c r="N87" s="69">
        <f>M87-(H24+J24+K24+L24+M24+N24+AA24+AB24+AC24)</f>
        <v>52</v>
      </c>
      <c r="P87" s="65">
        <f t="shared" si="12"/>
        <v>46156</v>
      </c>
      <c r="Q87" s="74" t="str">
        <f t="shared" si="13"/>
        <v>CARIB</v>
      </c>
      <c r="R87" s="23">
        <f t="shared" si="18"/>
        <v>1.0041666666666667</v>
      </c>
      <c r="S87" s="590">
        <f t="shared" si="17"/>
        <v>1.0402777777777779</v>
      </c>
      <c r="T87" s="668">
        <f>S90-R87</f>
        <v>1.0215277777777778</v>
      </c>
    </row>
    <row r="88" spans="8:20">
      <c r="H88" s="65">
        <f t="shared" si="6"/>
        <v>46156</v>
      </c>
      <c r="I88" s="1" t="str">
        <f t="shared" si="7"/>
        <v>STAG</v>
      </c>
      <c r="J88" s="23">
        <f t="shared" si="20"/>
        <v>1.0729166666666667</v>
      </c>
      <c r="K88" s="23">
        <f t="shared" si="21"/>
        <v>1.2541666666666667</v>
      </c>
      <c r="L88" s="68">
        <f t="shared" si="22"/>
        <v>0.18124999999999991</v>
      </c>
      <c r="M88" s="3">
        <v>261</v>
      </c>
      <c r="N88" s="69">
        <f t="shared" si="19"/>
        <v>256</v>
      </c>
      <c r="P88" s="65">
        <f t="shared" si="12"/>
        <v>46156</v>
      </c>
      <c r="Q88" s="74" t="str">
        <f t="shared" si="13"/>
        <v>STAG</v>
      </c>
      <c r="R88" s="23">
        <f t="shared" si="18"/>
        <v>1.0729166666666667</v>
      </c>
      <c r="S88" s="590">
        <f t="shared" si="17"/>
        <v>1.2541666666666667</v>
      </c>
      <c r="T88" s="668"/>
    </row>
    <row r="89" spans="8:20">
      <c r="H89" s="65">
        <f t="shared" si="6"/>
        <v>46156</v>
      </c>
      <c r="I89" s="1" t="str">
        <f t="shared" si="7"/>
        <v>SHANDY SORREL (LOC)</v>
      </c>
      <c r="J89" s="23">
        <f t="shared" si="20"/>
        <v>1.4513888888888888</v>
      </c>
      <c r="K89" s="23">
        <f t="shared" si="21"/>
        <v>1.7145833333333333</v>
      </c>
      <c r="L89" s="68">
        <f t="shared" si="22"/>
        <v>0.26319444444444451</v>
      </c>
      <c r="M89" s="3">
        <v>379</v>
      </c>
      <c r="N89" s="69">
        <f t="shared" si="19"/>
        <v>342</v>
      </c>
      <c r="P89" s="65">
        <f t="shared" si="12"/>
        <v>46156</v>
      </c>
      <c r="Q89" s="74" t="str">
        <f t="shared" si="13"/>
        <v>SHANDY SORREL (LOC)</v>
      </c>
      <c r="R89" s="23">
        <f t="shared" si="18"/>
        <v>1.4513888888888888</v>
      </c>
      <c r="S89" s="590">
        <f t="shared" si="17"/>
        <v>1.7145833333333333</v>
      </c>
      <c r="T89" s="668"/>
    </row>
    <row r="90" spans="8:20">
      <c r="H90" s="65">
        <f t="shared" si="6"/>
        <v>46156</v>
      </c>
      <c r="I90" s="1" t="str">
        <f t="shared" si="7"/>
        <v>MACKESON</v>
      </c>
      <c r="J90" s="23">
        <f t="shared" si="20"/>
        <v>1.7749999999999999</v>
      </c>
      <c r="K90" s="23">
        <f t="shared" si="21"/>
        <v>2.0256944444444445</v>
      </c>
      <c r="L90" s="68">
        <f t="shared" si="22"/>
        <v>0.25069444444444455</v>
      </c>
      <c r="M90" s="3">
        <v>361</v>
      </c>
      <c r="N90" s="69">
        <f t="shared" si="19"/>
        <v>350</v>
      </c>
      <c r="P90" s="65">
        <f t="shared" si="12"/>
        <v>46156</v>
      </c>
      <c r="Q90" s="74" t="str">
        <f t="shared" si="13"/>
        <v>MACKESON</v>
      </c>
      <c r="R90" s="23">
        <f t="shared" si="18"/>
        <v>1.7749999999999999</v>
      </c>
      <c r="S90" s="590">
        <f t="shared" si="17"/>
        <v>2.0256944444444445</v>
      </c>
      <c r="T90" s="668"/>
    </row>
    <row r="91" spans="8:20">
      <c r="H91" s="65">
        <f t="shared" si="6"/>
        <v>46157</v>
      </c>
      <c r="I91" s="1" t="str">
        <f t="shared" si="7"/>
        <v xml:space="preserve">VITA MALT ( CLASSIC ) </v>
      </c>
      <c r="J91" s="23">
        <f t="shared" ref="J91:J121" si="23">E28</f>
        <v>1.2083333333333333</v>
      </c>
      <c r="K91" s="23">
        <f t="shared" ref="K91:K121" si="24">F28</f>
        <v>1.6854166666666666</v>
      </c>
      <c r="L91" s="68">
        <f t="shared" si="22"/>
        <v>0.4770833333333333</v>
      </c>
      <c r="M91" s="3">
        <v>687</v>
      </c>
      <c r="N91" s="69">
        <f t="shared" si="19"/>
        <v>491</v>
      </c>
      <c r="P91" s="65">
        <f t="shared" si="12"/>
        <v>46157</v>
      </c>
      <c r="Q91" s="74" t="str">
        <f t="shared" si="13"/>
        <v xml:space="preserve">VITA MALT ( CLASSIC ) </v>
      </c>
      <c r="R91" s="76">
        <v>1</v>
      </c>
      <c r="S91" s="590">
        <f t="shared" si="17"/>
        <v>1.6854166666666666</v>
      </c>
      <c r="T91" s="668">
        <f>S92-R91</f>
        <v>0.82638888888888884</v>
      </c>
    </row>
    <row r="92" spans="8:20">
      <c r="H92" s="65">
        <f t="shared" si="6"/>
        <v>46157</v>
      </c>
      <c r="I92" s="1" t="str">
        <f t="shared" si="7"/>
        <v xml:space="preserve">VITA MALT ( GINGER ) </v>
      </c>
      <c r="J92" s="23">
        <f t="shared" si="23"/>
        <v>1.6888888888888889</v>
      </c>
      <c r="K92" s="23">
        <f t="shared" si="24"/>
        <v>1.8263888888888888</v>
      </c>
      <c r="L92" s="68">
        <f t="shared" si="22"/>
        <v>0.13749999999999996</v>
      </c>
      <c r="M92" s="3">
        <v>198</v>
      </c>
      <c r="N92" s="69">
        <f t="shared" si="19"/>
        <v>189</v>
      </c>
      <c r="P92" s="65">
        <f t="shared" si="12"/>
        <v>46157</v>
      </c>
      <c r="Q92" s="74" t="str">
        <f t="shared" si="13"/>
        <v xml:space="preserve">VITA MALT ( GINGER ) </v>
      </c>
      <c r="R92" s="23">
        <f t="shared" si="18"/>
        <v>1.6888888888888889</v>
      </c>
      <c r="S92" s="590">
        <f t="shared" si="17"/>
        <v>1.8263888888888888</v>
      </c>
      <c r="T92" s="668"/>
    </row>
    <row r="93" spans="8:20">
      <c r="H93" s="65">
        <f t="shared" si="6"/>
        <v>46158</v>
      </c>
      <c r="I93" s="1" t="str">
        <f t="shared" si="7"/>
        <v>CARIB AMBER</v>
      </c>
      <c r="J93" s="23">
        <f t="shared" si="23"/>
        <v>0.34583333333333333</v>
      </c>
      <c r="K93" s="23">
        <f t="shared" si="24"/>
        <v>0.88124999999999998</v>
      </c>
      <c r="L93" s="68">
        <f t="shared" si="22"/>
        <v>0.53541666666666665</v>
      </c>
      <c r="M93" s="3">
        <v>771</v>
      </c>
      <c r="N93" s="69">
        <f t="shared" ref="N93:N94" si="25">M93-(H30+J30+K30+L30+M30+N30+AA30+AB30+Z30+AC30)</f>
        <v>719</v>
      </c>
      <c r="P93" s="65">
        <f t="shared" si="12"/>
        <v>46158</v>
      </c>
      <c r="Q93" s="74" t="str">
        <f t="shared" si="13"/>
        <v>CARIB AMBER</v>
      </c>
      <c r="R93" s="76">
        <v>0.3263888888888889</v>
      </c>
      <c r="S93" s="590">
        <f t="shared" si="17"/>
        <v>0.88124999999999998</v>
      </c>
      <c r="T93" s="75">
        <f>S93-R93</f>
        <v>0.55486111111111103</v>
      </c>
    </row>
    <row r="94" spans="8:20">
      <c r="H94" s="65">
        <f t="shared" si="6"/>
        <v>46160</v>
      </c>
      <c r="I94" s="1" t="str">
        <f t="shared" si="7"/>
        <v>STAR MALT</v>
      </c>
      <c r="J94" s="23">
        <f t="shared" si="23"/>
        <v>1.1041666666666667</v>
      </c>
      <c r="K94" s="23">
        <f t="shared" si="24"/>
        <v>1.6479166666666667</v>
      </c>
      <c r="L94" s="68">
        <f t="shared" si="22"/>
        <v>0.54374999999999996</v>
      </c>
      <c r="M94" s="3">
        <v>783</v>
      </c>
      <c r="N94" s="69">
        <f t="shared" si="25"/>
        <v>699</v>
      </c>
      <c r="P94" s="65">
        <f t="shared" si="12"/>
        <v>46160</v>
      </c>
      <c r="Q94" s="74" t="str">
        <f t="shared" si="13"/>
        <v>STAR MALT</v>
      </c>
      <c r="R94" s="76">
        <v>1.0416666666666667</v>
      </c>
      <c r="S94" s="590">
        <f t="shared" si="17"/>
        <v>1.6479166666666667</v>
      </c>
      <c r="T94" s="668">
        <f>S95-R94</f>
        <v>0.95833333333333326</v>
      </c>
    </row>
    <row r="95" spans="8:20">
      <c r="H95" s="65">
        <f t="shared" si="6"/>
        <v>46160</v>
      </c>
      <c r="I95" s="1" t="str">
        <f t="shared" si="7"/>
        <v>CARIB AMBER</v>
      </c>
      <c r="J95" s="23">
        <f t="shared" si="23"/>
        <v>1.6909722222222223</v>
      </c>
      <c r="K95" s="23">
        <f t="shared" si="24"/>
        <v>2</v>
      </c>
      <c r="L95" s="68">
        <f t="shared" si="22"/>
        <v>0.30902777777777768</v>
      </c>
      <c r="M95" s="3">
        <v>445</v>
      </c>
      <c r="N95" s="69">
        <f>M95-(H32+J32+L32+M32+N32+AA32+AB32+Z32+AC32)</f>
        <v>348</v>
      </c>
      <c r="P95" s="65">
        <f t="shared" si="12"/>
        <v>46160</v>
      </c>
      <c r="Q95" s="74" t="str">
        <f t="shared" si="13"/>
        <v>CARIB AMBER</v>
      </c>
      <c r="R95" s="23">
        <f t="shared" si="18"/>
        <v>1.6909722222222223</v>
      </c>
      <c r="S95" s="590">
        <f t="shared" si="17"/>
        <v>2</v>
      </c>
      <c r="T95" s="668"/>
    </row>
    <row r="96" spans="8:20">
      <c r="H96" s="65">
        <f t="shared" si="6"/>
        <v>46161</v>
      </c>
      <c r="I96" s="1" t="str">
        <f t="shared" si="7"/>
        <v>CARIB AMBER</v>
      </c>
      <c r="J96" s="23">
        <f t="shared" si="23"/>
        <v>1.0034722222222223</v>
      </c>
      <c r="K96" s="23">
        <f t="shared" si="24"/>
        <v>1.5416666666666667</v>
      </c>
      <c r="L96" s="68">
        <f t="shared" si="22"/>
        <v>0.53819444444444442</v>
      </c>
      <c r="M96" s="3">
        <v>775</v>
      </c>
      <c r="N96" s="69">
        <f>M96-(H33+J33+K33+L33+M33+N33+AA33+AB33+Z33+AC33)</f>
        <v>750</v>
      </c>
      <c r="P96" s="65">
        <f t="shared" si="12"/>
        <v>46161</v>
      </c>
      <c r="Q96" s="74" t="str">
        <f t="shared" si="13"/>
        <v>CARIB AMBER</v>
      </c>
      <c r="R96" s="23">
        <f t="shared" si="18"/>
        <v>1.0034722222222223</v>
      </c>
      <c r="S96" s="590">
        <f t="shared" si="17"/>
        <v>1.5416666666666667</v>
      </c>
      <c r="T96" s="668">
        <f>S98-R96</f>
        <v>0.99652777777777768</v>
      </c>
    </row>
    <row r="97" spans="8:20">
      <c r="H97" s="65">
        <f t="shared" si="6"/>
        <v>46161</v>
      </c>
      <c r="I97" s="1" t="str">
        <f t="shared" si="7"/>
        <v>CARIB FLINT (LOCAL)</v>
      </c>
      <c r="J97" s="23">
        <f t="shared" si="23"/>
        <v>1.5451388888888888</v>
      </c>
      <c r="K97" s="23">
        <f t="shared" si="24"/>
        <v>1.78125</v>
      </c>
      <c r="L97" s="68">
        <f t="shared" si="22"/>
        <v>0.23611111111111116</v>
      </c>
      <c r="M97" s="3">
        <v>340</v>
      </c>
      <c r="N97" s="69">
        <f>M97-(H34+J34+K34+L34+M34+N34+AA34+AB34+Z34+AC34)</f>
        <v>332</v>
      </c>
      <c r="P97" s="65">
        <f t="shared" si="12"/>
        <v>46161</v>
      </c>
      <c r="Q97" s="74" t="str">
        <f t="shared" si="13"/>
        <v>CARIB FLINT (LOCAL)</v>
      </c>
      <c r="R97" s="23">
        <f t="shared" si="18"/>
        <v>1.5451388888888888</v>
      </c>
      <c r="S97" s="590">
        <f t="shared" si="17"/>
        <v>1.78125</v>
      </c>
      <c r="T97" s="668"/>
    </row>
    <row r="98" spans="8:20">
      <c r="H98" s="65">
        <f t="shared" si="6"/>
        <v>46161</v>
      </c>
      <c r="I98" s="1" t="str">
        <f t="shared" si="7"/>
        <v>STAG</v>
      </c>
      <c r="J98" s="23">
        <f t="shared" si="23"/>
        <v>1.8055555555555556</v>
      </c>
      <c r="K98" s="23">
        <f t="shared" si="24"/>
        <v>2</v>
      </c>
      <c r="L98" s="68">
        <f t="shared" si="22"/>
        <v>0.19444444444444442</v>
      </c>
      <c r="M98" s="3">
        <v>280</v>
      </c>
      <c r="N98" s="69">
        <f>M98-(H35+K35+L35+M35+N35+AA35+AB35+Z35+AC35)</f>
        <v>267</v>
      </c>
      <c r="P98" s="65">
        <f t="shared" si="12"/>
        <v>46161</v>
      </c>
      <c r="Q98" s="74" t="str">
        <f t="shared" si="13"/>
        <v>STAG</v>
      </c>
      <c r="R98" s="23">
        <f t="shared" si="18"/>
        <v>1.8055555555555556</v>
      </c>
      <c r="S98" s="590">
        <f t="shared" si="17"/>
        <v>2</v>
      </c>
      <c r="T98" s="668"/>
    </row>
    <row r="99" spans="8:20">
      <c r="H99" s="65">
        <f t="shared" si="6"/>
        <v>46162</v>
      </c>
      <c r="I99" s="1" t="str">
        <f t="shared" si="7"/>
        <v>STAG</v>
      </c>
      <c r="J99" s="23">
        <f t="shared" si="23"/>
        <v>1.0243055555555556</v>
      </c>
      <c r="K99" s="23">
        <f t="shared" si="24"/>
        <v>1.4895833333333333</v>
      </c>
      <c r="L99" s="68">
        <f t="shared" si="22"/>
        <v>0.46527777777777768</v>
      </c>
      <c r="M99" s="3">
        <v>670</v>
      </c>
      <c r="N99" s="69">
        <f>M99-(H36+J36+K36+L36+M36+N36+AA36+AB36+Z36+AC36)</f>
        <v>647</v>
      </c>
      <c r="P99" s="65">
        <f t="shared" si="12"/>
        <v>46162</v>
      </c>
      <c r="Q99" s="74" t="str">
        <f t="shared" si="13"/>
        <v>STAG</v>
      </c>
      <c r="R99" s="76">
        <v>1</v>
      </c>
      <c r="S99" s="590">
        <f t="shared" si="17"/>
        <v>1.4895833333333333</v>
      </c>
      <c r="T99" s="668">
        <f>S100-R99</f>
        <v>1</v>
      </c>
    </row>
    <row r="100" spans="8:20">
      <c r="H100" s="65">
        <f t="shared" si="6"/>
        <v>46162</v>
      </c>
      <c r="I100" s="1" t="str">
        <f t="shared" si="7"/>
        <v>CARIB AMBER</v>
      </c>
      <c r="J100" s="23">
        <f t="shared" si="23"/>
        <v>1.5694444444444444</v>
      </c>
      <c r="K100" s="23">
        <f t="shared" si="24"/>
        <v>2</v>
      </c>
      <c r="L100" s="68">
        <f t="shared" si="22"/>
        <v>0.43055555555555558</v>
      </c>
      <c r="M100" s="3">
        <v>620</v>
      </c>
      <c r="N100" s="69">
        <f>M100-(H37+J37+K37+L37+M37+N37+AA37+AB37+Z37+AC37)</f>
        <v>505</v>
      </c>
      <c r="P100" s="65">
        <f t="shared" ref="P100:P120" si="26">B37</f>
        <v>46162</v>
      </c>
      <c r="Q100" s="74" t="str">
        <f t="shared" ref="Q100:Q120" si="27">C37</f>
        <v>CARIB AMBER</v>
      </c>
      <c r="R100" s="23">
        <f t="shared" si="18"/>
        <v>1.5694444444444444</v>
      </c>
      <c r="S100" s="590">
        <f t="shared" si="17"/>
        <v>2</v>
      </c>
      <c r="T100" s="668"/>
    </row>
    <row r="101" spans="8:20">
      <c r="H101" s="65">
        <f t="shared" si="6"/>
        <v>46163</v>
      </c>
      <c r="I101" s="1" t="str">
        <f t="shared" si="7"/>
        <v>CARIB AMBER</v>
      </c>
      <c r="J101" s="23">
        <f t="shared" si="23"/>
        <v>1.0069444444444444</v>
      </c>
      <c r="K101" s="23">
        <f t="shared" si="24"/>
        <v>1.0486111111111112</v>
      </c>
      <c r="L101" s="68">
        <f t="shared" si="22"/>
        <v>4.1666666666666741E-2</v>
      </c>
      <c r="M101" s="3">
        <v>60</v>
      </c>
      <c r="N101" s="69">
        <f>M101-(H38+J38+K38+L38+M38+N38+AA38+AB38+Z38+AC38)</f>
        <v>38</v>
      </c>
      <c r="P101" s="65">
        <f t="shared" si="26"/>
        <v>46163</v>
      </c>
      <c r="Q101" s="74" t="str">
        <f t="shared" si="27"/>
        <v>CARIB AMBER</v>
      </c>
      <c r="R101" s="23">
        <f t="shared" si="18"/>
        <v>1.0069444444444444</v>
      </c>
      <c r="S101" s="590">
        <f t="shared" si="17"/>
        <v>1.0486111111111112</v>
      </c>
      <c r="T101" s="668">
        <f>S103-R101</f>
        <v>0.98611111111111116</v>
      </c>
    </row>
    <row r="102" spans="8:20">
      <c r="H102" s="65">
        <f t="shared" si="6"/>
        <v>46163</v>
      </c>
      <c r="I102" s="1" t="str">
        <f t="shared" si="7"/>
        <v>STAG</v>
      </c>
      <c r="J102" s="23">
        <f t="shared" si="23"/>
        <v>1.1041666666666667</v>
      </c>
      <c r="K102" s="23">
        <f t="shared" si="24"/>
        <v>1.6743055555555555</v>
      </c>
      <c r="L102" s="68">
        <f t="shared" si="22"/>
        <v>0.57013888888888875</v>
      </c>
      <c r="M102" s="3">
        <v>821</v>
      </c>
      <c r="N102" s="69">
        <f>M102-(H39+J39+K39+L39+M39+N39+AA39+AB39+Z39+AC39)</f>
        <v>761</v>
      </c>
      <c r="P102" s="65">
        <f t="shared" si="26"/>
        <v>46163</v>
      </c>
      <c r="Q102" s="74" t="str">
        <f t="shared" si="27"/>
        <v>STAG</v>
      </c>
      <c r="R102" s="23">
        <f t="shared" si="18"/>
        <v>1.1041666666666667</v>
      </c>
      <c r="S102" s="590">
        <f t="shared" si="17"/>
        <v>1.6743055555555555</v>
      </c>
      <c r="T102" s="668"/>
    </row>
    <row r="103" spans="8:20">
      <c r="H103" s="65">
        <f t="shared" si="6"/>
        <v>46163</v>
      </c>
      <c r="I103" s="1" t="str">
        <f t="shared" si="7"/>
        <v>CARIBE PEARSECO</v>
      </c>
      <c r="J103" s="23">
        <f t="shared" si="23"/>
        <v>1.7847222222222223</v>
      </c>
      <c r="K103" s="23">
        <f t="shared" si="24"/>
        <v>1.9930555555555556</v>
      </c>
      <c r="L103" s="68">
        <f t="shared" si="22"/>
        <v>0.20833333333333326</v>
      </c>
      <c r="M103" s="3">
        <v>300</v>
      </c>
      <c r="N103" s="69">
        <f>M103-(H40+J40+K40+L40+M40+N40+AA40+AB40+Z40+AC40)</f>
        <v>199</v>
      </c>
      <c r="P103" s="65">
        <f t="shared" si="26"/>
        <v>46163</v>
      </c>
      <c r="Q103" s="74" t="str">
        <f t="shared" si="27"/>
        <v>CARIBE PEARSECO</v>
      </c>
      <c r="R103" s="23">
        <f t="shared" si="18"/>
        <v>1.7847222222222223</v>
      </c>
      <c r="S103" s="590">
        <f t="shared" si="17"/>
        <v>1.9930555555555556</v>
      </c>
      <c r="T103" s="668"/>
    </row>
    <row r="104" spans="8:20">
      <c r="H104" s="65">
        <f t="shared" si="6"/>
        <v>46164</v>
      </c>
      <c r="I104" s="1" t="str">
        <f t="shared" si="7"/>
        <v>CARIBE ROSE'</v>
      </c>
      <c r="J104" s="23">
        <f t="shared" si="23"/>
        <v>1.0152777777777777</v>
      </c>
      <c r="K104" s="23">
        <f t="shared" si="24"/>
        <v>1.35</v>
      </c>
      <c r="L104" s="68">
        <f t="shared" si="22"/>
        <v>0.33472222222222237</v>
      </c>
      <c r="M104" s="3">
        <v>482</v>
      </c>
      <c r="N104" s="69">
        <f>M104-(H41+J41+K41+L41+M41+N41+AA41+AB41+AC41)</f>
        <v>482</v>
      </c>
      <c r="P104" s="65">
        <f t="shared" si="26"/>
        <v>46164</v>
      </c>
      <c r="Q104" s="74" t="str">
        <f t="shared" si="27"/>
        <v>CARIBE ROSE'</v>
      </c>
      <c r="R104" s="23">
        <f t="shared" si="18"/>
        <v>1.0152777777777777</v>
      </c>
      <c r="S104" s="590">
        <f t="shared" si="17"/>
        <v>1.35</v>
      </c>
      <c r="T104" s="668">
        <f>S106-R104</f>
        <v>0.8125</v>
      </c>
    </row>
    <row r="105" spans="8:20">
      <c r="H105" s="65">
        <f t="shared" si="6"/>
        <v>46164</v>
      </c>
      <c r="I105" s="1" t="str">
        <f t="shared" si="7"/>
        <v>ORIGINAL TING</v>
      </c>
      <c r="J105" s="23">
        <f t="shared" si="23"/>
        <v>1.4166666666666667</v>
      </c>
      <c r="K105" s="23">
        <f t="shared" si="24"/>
        <v>1.66875</v>
      </c>
      <c r="L105" s="68">
        <f t="shared" si="22"/>
        <v>0.25208333333333321</v>
      </c>
      <c r="M105" s="3">
        <v>363</v>
      </c>
      <c r="N105" s="69">
        <f>M105-(H42+J42+K42+L42+M42+N42+AA42+Z42+AC42)</f>
        <v>322</v>
      </c>
      <c r="P105" s="65">
        <f t="shared" si="26"/>
        <v>46164</v>
      </c>
      <c r="Q105" s="74" t="str">
        <f t="shared" si="27"/>
        <v>ORIGINAL TING</v>
      </c>
      <c r="R105" s="23">
        <f t="shared" si="18"/>
        <v>1.4166666666666667</v>
      </c>
      <c r="S105" s="590">
        <f t="shared" si="17"/>
        <v>1.66875</v>
      </c>
      <c r="T105" s="668"/>
    </row>
    <row r="106" spans="8:20">
      <c r="H106" s="65">
        <f t="shared" si="6"/>
        <v>46164</v>
      </c>
      <c r="I106" s="1" t="str">
        <f t="shared" si="7"/>
        <v>CARIB AMBER</v>
      </c>
      <c r="J106" s="23">
        <f t="shared" si="23"/>
        <v>1.7277777777777779</v>
      </c>
      <c r="K106" s="23">
        <f t="shared" si="24"/>
        <v>1.8277777777777777</v>
      </c>
      <c r="L106" s="68">
        <f t="shared" si="22"/>
        <v>9.9999999999999867E-2</v>
      </c>
      <c r="M106" s="3">
        <v>144</v>
      </c>
      <c r="N106" s="69">
        <f>M106-(H43+J43+K43+L43+M43+N43+AA43+AB43+Z43+AC43)</f>
        <v>131</v>
      </c>
      <c r="P106" s="65">
        <f t="shared" si="26"/>
        <v>46164</v>
      </c>
      <c r="Q106" s="74" t="str">
        <f t="shared" si="27"/>
        <v>CARIB AMBER</v>
      </c>
      <c r="R106" s="23">
        <f t="shared" si="18"/>
        <v>1.7277777777777779</v>
      </c>
      <c r="S106" s="590">
        <f t="shared" si="17"/>
        <v>1.8277777777777777</v>
      </c>
      <c r="T106" s="668"/>
    </row>
    <row r="107" spans="8:20">
      <c r="H107" s="65">
        <f t="shared" si="6"/>
        <v>46168</v>
      </c>
      <c r="I107" s="1" t="str">
        <f t="shared" si="7"/>
        <v>CARIB AMBER</v>
      </c>
      <c r="J107" s="23">
        <f t="shared" si="23"/>
        <v>0.53125</v>
      </c>
      <c r="K107" s="23">
        <f t="shared" si="24"/>
        <v>1</v>
      </c>
      <c r="L107" s="68">
        <f t="shared" si="22"/>
        <v>0.46875</v>
      </c>
      <c r="M107" s="3">
        <v>675</v>
      </c>
      <c r="N107" s="69">
        <f>M107-(H44+6+K44+L44+M44+N44+AA44+AB44+Z44+AC44)</f>
        <v>485</v>
      </c>
      <c r="P107" s="65">
        <f t="shared" si="26"/>
        <v>46168</v>
      </c>
      <c r="Q107" s="74" t="str">
        <f t="shared" si="27"/>
        <v>CARIB AMBER</v>
      </c>
      <c r="R107" s="76">
        <v>0.3263888888888889</v>
      </c>
      <c r="S107" s="590">
        <f t="shared" si="17"/>
        <v>1</v>
      </c>
      <c r="T107" s="75">
        <f>S107-R107</f>
        <v>0.67361111111111116</v>
      </c>
    </row>
    <row r="108" spans="8:20">
      <c r="H108" s="65">
        <f t="shared" si="6"/>
        <v>46169</v>
      </c>
      <c r="I108" s="1" t="str">
        <f t="shared" si="7"/>
        <v>CARIB AMBER</v>
      </c>
      <c r="J108" s="23">
        <f t="shared" si="23"/>
        <v>1.0055555555555555</v>
      </c>
      <c r="K108" s="23">
        <f t="shared" si="24"/>
        <v>1.7979166666666666</v>
      </c>
      <c r="L108" s="68">
        <f t="shared" si="22"/>
        <v>0.79236111111111107</v>
      </c>
      <c r="M108" s="3">
        <v>1141</v>
      </c>
      <c r="N108" s="69">
        <f t="shared" ref="N108:N125" si="28">M108-(H45+J45+K45+L45+M45+N45+AA45+AB45+Z45+AC45)</f>
        <v>1106</v>
      </c>
      <c r="P108" s="65">
        <f t="shared" si="26"/>
        <v>46169</v>
      </c>
      <c r="Q108" s="74" t="str">
        <f t="shared" si="27"/>
        <v>CARIB AMBER</v>
      </c>
      <c r="R108" s="23">
        <f t="shared" si="18"/>
        <v>1.0055555555555555</v>
      </c>
      <c r="S108" s="590">
        <f t="shared" si="17"/>
        <v>1.7979166666666666</v>
      </c>
      <c r="T108" s="668">
        <f>S109-R108</f>
        <v>0.99444444444444446</v>
      </c>
    </row>
    <row r="109" spans="8:20">
      <c r="H109" s="65">
        <f t="shared" si="6"/>
        <v>46169</v>
      </c>
      <c r="I109" s="1" t="str">
        <f t="shared" si="7"/>
        <v>STARMALT</v>
      </c>
      <c r="J109" s="23">
        <f t="shared" si="23"/>
        <v>1.8541666666666667</v>
      </c>
      <c r="K109" s="23">
        <f t="shared" si="24"/>
        <v>2</v>
      </c>
      <c r="L109" s="68">
        <f t="shared" si="22"/>
        <v>0.14583333333333326</v>
      </c>
      <c r="M109" s="3">
        <v>210</v>
      </c>
      <c r="N109" s="69">
        <f t="shared" si="28"/>
        <v>210</v>
      </c>
      <c r="P109" s="65">
        <f t="shared" si="26"/>
        <v>46169</v>
      </c>
      <c r="Q109" s="74" t="str">
        <f t="shared" si="27"/>
        <v>STARMALT</v>
      </c>
      <c r="R109" s="23">
        <f t="shared" si="18"/>
        <v>1.8541666666666667</v>
      </c>
      <c r="S109" s="590">
        <f t="shared" si="17"/>
        <v>2</v>
      </c>
      <c r="T109" s="668"/>
    </row>
    <row r="110" spans="8:20">
      <c r="H110" s="65">
        <f t="shared" si="6"/>
        <v>46170</v>
      </c>
      <c r="I110" s="1" t="str">
        <f t="shared" si="7"/>
        <v>STARMALT</v>
      </c>
      <c r="J110" s="23">
        <f t="shared" si="23"/>
        <v>1.0034722222222223</v>
      </c>
      <c r="K110" s="23">
        <f t="shared" si="24"/>
        <v>1.1680555555555556</v>
      </c>
      <c r="L110" s="68">
        <f t="shared" si="22"/>
        <v>0.1645833333333333</v>
      </c>
      <c r="M110" s="3">
        <v>237</v>
      </c>
      <c r="N110" s="69">
        <f>M110-(H47+J47+K47+L47+M47+N47+AA47+AB47+AC47)</f>
        <v>237</v>
      </c>
      <c r="P110" s="65">
        <f t="shared" si="26"/>
        <v>46170</v>
      </c>
      <c r="Q110" s="74" t="str">
        <f t="shared" si="27"/>
        <v>STARMALT</v>
      </c>
      <c r="R110" s="23">
        <f t="shared" si="18"/>
        <v>1.0034722222222223</v>
      </c>
      <c r="S110" s="590">
        <f t="shared" si="17"/>
        <v>1.1680555555555556</v>
      </c>
      <c r="T110" s="75">
        <f>S110-R110</f>
        <v>0.1645833333333333</v>
      </c>
    </row>
    <row r="111" spans="8:20">
      <c r="H111" s="65">
        <f t="shared" si="6"/>
        <v>0</v>
      </c>
      <c r="I111" s="1">
        <f t="shared" si="7"/>
        <v>0</v>
      </c>
      <c r="J111" s="23">
        <f t="shared" si="23"/>
        <v>0</v>
      </c>
      <c r="K111" s="23">
        <f t="shared" si="24"/>
        <v>0</v>
      </c>
      <c r="L111" s="68">
        <f t="shared" si="22"/>
        <v>0</v>
      </c>
      <c r="M111" s="3"/>
      <c r="N111" s="69">
        <f t="shared" si="28"/>
        <v>0</v>
      </c>
      <c r="P111" s="65">
        <f t="shared" si="26"/>
        <v>0</v>
      </c>
      <c r="Q111" s="74">
        <f t="shared" si="27"/>
        <v>0</v>
      </c>
      <c r="R111" s="23">
        <f t="shared" si="18"/>
        <v>0</v>
      </c>
      <c r="S111" s="590">
        <f t="shared" si="17"/>
        <v>0</v>
      </c>
      <c r="T111" s="135"/>
    </row>
    <row r="112" spans="8:20">
      <c r="H112" s="65">
        <f t="shared" si="6"/>
        <v>0</v>
      </c>
      <c r="I112" s="1">
        <f t="shared" si="7"/>
        <v>0</v>
      </c>
      <c r="J112" s="23">
        <f t="shared" si="23"/>
        <v>0</v>
      </c>
      <c r="K112" s="23">
        <f t="shared" si="24"/>
        <v>0</v>
      </c>
      <c r="L112" s="68">
        <f t="shared" si="22"/>
        <v>0</v>
      </c>
      <c r="M112" s="3"/>
      <c r="N112" s="69">
        <f t="shared" si="28"/>
        <v>0</v>
      </c>
      <c r="P112" s="65">
        <f t="shared" si="26"/>
        <v>0</v>
      </c>
      <c r="Q112" s="74">
        <f t="shared" si="27"/>
        <v>0</v>
      </c>
      <c r="R112" s="23">
        <f t="shared" si="18"/>
        <v>0</v>
      </c>
      <c r="S112" s="590">
        <f t="shared" si="17"/>
        <v>0</v>
      </c>
      <c r="T112" s="75">
        <f>S112-R112</f>
        <v>0</v>
      </c>
    </row>
    <row r="113" spans="8:20">
      <c r="H113" s="65">
        <f t="shared" si="6"/>
        <v>0</v>
      </c>
      <c r="I113" s="1">
        <f t="shared" si="7"/>
        <v>0</v>
      </c>
      <c r="J113" s="23">
        <f t="shared" si="23"/>
        <v>0</v>
      </c>
      <c r="K113" s="23">
        <f t="shared" si="24"/>
        <v>0</v>
      </c>
      <c r="L113" s="68">
        <f t="shared" si="22"/>
        <v>0</v>
      </c>
      <c r="M113" s="3"/>
      <c r="N113" s="69">
        <f t="shared" si="28"/>
        <v>0</v>
      </c>
      <c r="P113" s="65">
        <f t="shared" si="26"/>
        <v>0</v>
      </c>
      <c r="Q113" s="74">
        <f t="shared" si="27"/>
        <v>0</v>
      </c>
      <c r="R113" s="23">
        <f t="shared" si="18"/>
        <v>0</v>
      </c>
      <c r="S113" s="590">
        <f t="shared" si="17"/>
        <v>0</v>
      </c>
      <c r="T113" s="75">
        <f t="shared" ref="T113:T124" si="29">S113-R113</f>
        <v>0</v>
      </c>
    </row>
    <row r="114" spans="8:20">
      <c r="H114" s="65">
        <f t="shared" si="6"/>
        <v>0</v>
      </c>
      <c r="I114" s="1">
        <f t="shared" si="7"/>
        <v>0</v>
      </c>
      <c r="J114" s="23">
        <f t="shared" si="23"/>
        <v>0</v>
      </c>
      <c r="K114" s="23">
        <f t="shared" si="24"/>
        <v>0</v>
      </c>
      <c r="L114" s="68">
        <f t="shared" si="22"/>
        <v>0</v>
      </c>
      <c r="M114" s="3"/>
      <c r="N114" s="69">
        <f t="shared" si="28"/>
        <v>0</v>
      </c>
      <c r="P114" s="65">
        <f t="shared" si="26"/>
        <v>0</v>
      </c>
      <c r="Q114" s="74">
        <f t="shared" si="27"/>
        <v>0</v>
      </c>
      <c r="R114" s="23">
        <f t="shared" si="18"/>
        <v>0</v>
      </c>
      <c r="S114" s="590">
        <f t="shared" si="17"/>
        <v>0</v>
      </c>
      <c r="T114" s="75">
        <f t="shared" si="29"/>
        <v>0</v>
      </c>
    </row>
    <row r="115" spans="8:20">
      <c r="H115" s="65">
        <f t="shared" si="6"/>
        <v>0</v>
      </c>
      <c r="I115" s="1">
        <f t="shared" si="7"/>
        <v>0</v>
      </c>
      <c r="J115" s="23">
        <f t="shared" si="23"/>
        <v>0</v>
      </c>
      <c r="K115" s="23">
        <f t="shared" si="24"/>
        <v>0</v>
      </c>
      <c r="L115" s="68">
        <f t="shared" si="22"/>
        <v>0</v>
      </c>
      <c r="M115" s="172"/>
      <c r="N115" s="69">
        <f t="shared" si="28"/>
        <v>0</v>
      </c>
      <c r="P115" s="65">
        <f t="shared" si="26"/>
        <v>0</v>
      </c>
      <c r="Q115" s="74">
        <f t="shared" si="27"/>
        <v>0</v>
      </c>
      <c r="R115" s="23">
        <f t="shared" ref="R115:R124" si="30">E52</f>
        <v>0</v>
      </c>
      <c r="S115" s="173">
        <f t="shared" ref="S115:S124" si="31">F52</f>
        <v>0</v>
      </c>
      <c r="T115" s="75">
        <f t="shared" si="29"/>
        <v>0</v>
      </c>
    </row>
    <row r="116" spans="8:20">
      <c r="H116" s="65">
        <f t="shared" si="6"/>
        <v>0</v>
      </c>
      <c r="I116" s="1">
        <f t="shared" si="7"/>
        <v>0</v>
      </c>
      <c r="J116" s="23">
        <f t="shared" si="23"/>
        <v>0</v>
      </c>
      <c r="K116" s="23">
        <f t="shared" si="24"/>
        <v>0</v>
      </c>
      <c r="L116" s="68">
        <f t="shared" si="22"/>
        <v>0</v>
      </c>
      <c r="M116" s="172"/>
      <c r="N116" s="69">
        <f t="shared" si="28"/>
        <v>0</v>
      </c>
      <c r="P116" s="65">
        <f t="shared" si="26"/>
        <v>0</v>
      </c>
      <c r="Q116" s="74">
        <f t="shared" si="27"/>
        <v>0</v>
      </c>
      <c r="R116" s="23">
        <f t="shared" si="30"/>
        <v>0</v>
      </c>
      <c r="S116" s="173">
        <f t="shared" si="31"/>
        <v>0</v>
      </c>
      <c r="T116" s="75">
        <f t="shared" si="29"/>
        <v>0</v>
      </c>
    </row>
    <row r="117" spans="8:20">
      <c r="H117" s="65">
        <f t="shared" si="6"/>
        <v>0</v>
      </c>
      <c r="I117" s="1">
        <f t="shared" si="7"/>
        <v>0</v>
      </c>
      <c r="J117" s="23">
        <f t="shared" si="23"/>
        <v>0</v>
      </c>
      <c r="K117" s="23">
        <f t="shared" si="24"/>
        <v>0</v>
      </c>
      <c r="L117" s="68">
        <f t="shared" si="22"/>
        <v>0</v>
      </c>
      <c r="M117" s="3"/>
      <c r="N117" s="69">
        <f t="shared" si="28"/>
        <v>0</v>
      </c>
      <c r="P117" s="65">
        <f t="shared" si="26"/>
        <v>0</v>
      </c>
      <c r="Q117" s="74">
        <f t="shared" si="27"/>
        <v>0</v>
      </c>
      <c r="R117" s="23">
        <f t="shared" si="30"/>
        <v>0</v>
      </c>
      <c r="S117" s="173">
        <f t="shared" si="31"/>
        <v>0</v>
      </c>
      <c r="T117" s="75">
        <f t="shared" si="29"/>
        <v>0</v>
      </c>
    </row>
    <row r="118" spans="8:20">
      <c r="H118" s="65">
        <f t="shared" si="6"/>
        <v>0</v>
      </c>
      <c r="I118" s="1">
        <f t="shared" si="7"/>
        <v>0</v>
      </c>
      <c r="J118" s="23">
        <f t="shared" si="23"/>
        <v>0</v>
      </c>
      <c r="K118" s="23">
        <f t="shared" si="24"/>
        <v>0</v>
      </c>
      <c r="L118" s="68">
        <f t="shared" si="22"/>
        <v>0</v>
      </c>
      <c r="M118" s="3"/>
      <c r="N118" s="69">
        <f t="shared" si="28"/>
        <v>0</v>
      </c>
      <c r="P118" s="65">
        <f t="shared" si="26"/>
        <v>0</v>
      </c>
      <c r="Q118" s="74">
        <f t="shared" si="27"/>
        <v>0</v>
      </c>
      <c r="R118" s="23">
        <f t="shared" si="30"/>
        <v>0</v>
      </c>
      <c r="S118" s="173">
        <f t="shared" si="31"/>
        <v>0</v>
      </c>
      <c r="T118" s="75">
        <f t="shared" si="29"/>
        <v>0</v>
      </c>
    </row>
    <row r="119" spans="8:20">
      <c r="H119" s="65">
        <f t="shared" ref="H119:I126" si="32">B56</f>
        <v>0</v>
      </c>
      <c r="I119" s="1">
        <f t="shared" si="32"/>
        <v>0</v>
      </c>
      <c r="J119" s="23">
        <f t="shared" si="23"/>
        <v>0</v>
      </c>
      <c r="K119" s="23">
        <f t="shared" si="24"/>
        <v>0</v>
      </c>
      <c r="L119" s="68">
        <f t="shared" si="22"/>
        <v>0</v>
      </c>
      <c r="M119" s="3"/>
      <c r="N119" s="69">
        <f t="shared" si="28"/>
        <v>0</v>
      </c>
      <c r="P119" s="65">
        <f t="shared" si="26"/>
        <v>0</v>
      </c>
      <c r="Q119" s="74">
        <f t="shared" si="27"/>
        <v>0</v>
      </c>
      <c r="R119" s="23">
        <f t="shared" si="30"/>
        <v>0</v>
      </c>
      <c r="S119" s="173">
        <f t="shared" si="31"/>
        <v>0</v>
      </c>
      <c r="T119" s="75">
        <f t="shared" si="29"/>
        <v>0</v>
      </c>
    </row>
    <row r="120" spans="8:20">
      <c r="H120" s="65">
        <f t="shared" si="32"/>
        <v>0</v>
      </c>
      <c r="I120" s="1">
        <f t="shared" si="32"/>
        <v>0</v>
      </c>
      <c r="J120" s="23">
        <f t="shared" si="23"/>
        <v>0</v>
      </c>
      <c r="K120" s="23">
        <f t="shared" si="24"/>
        <v>0</v>
      </c>
      <c r="L120" s="68">
        <f t="shared" si="22"/>
        <v>0</v>
      </c>
      <c r="M120" s="3"/>
      <c r="N120" s="69">
        <f t="shared" si="28"/>
        <v>0</v>
      </c>
      <c r="P120" s="65">
        <f t="shared" si="26"/>
        <v>0</v>
      </c>
      <c r="Q120" s="74">
        <f t="shared" si="27"/>
        <v>0</v>
      </c>
      <c r="R120" s="23">
        <f t="shared" si="30"/>
        <v>0</v>
      </c>
      <c r="S120" s="173">
        <f t="shared" si="31"/>
        <v>0</v>
      </c>
      <c r="T120" s="75">
        <f t="shared" si="29"/>
        <v>0</v>
      </c>
    </row>
    <row r="121" spans="8:20">
      <c r="H121" s="65">
        <f t="shared" si="32"/>
        <v>0</v>
      </c>
      <c r="I121" s="1">
        <f t="shared" si="32"/>
        <v>0</v>
      </c>
      <c r="J121" s="23">
        <f t="shared" si="23"/>
        <v>0</v>
      </c>
      <c r="K121" s="23">
        <f t="shared" si="24"/>
        <v>0</v>
      </c>
      <c r="L121" s="68">
        <f t="shared" si="22"/>
        <v>0</v>
      </c>
      <c r="M121" s="3"/>
      <c r="N121" s="69">
        <f t="shared" si="28"/>
        <v>0</v>
      </c>
      <c r="P121" s="65">
        <f t="shared" ref="P121:P126" si="33">B58</f>
        <v>0</v>
      </c>
      <c r="Q121" s="74">
        <f t="shared" ref="Q121:Q126" si="34">C58</f>
        <v>0</v>
      </c>
      <c r="R121" s="23">
        <f t="shared" si="30"/>
        <v>0</v>
      </c>
      <c r="S121" s="173">
        <f t="shared" si="31"/>
        <v>0</v>
      </c>
      <c r="T121" s="75">
        <f t="shared" si="29"/>
        <v>0</v>
      </c>
    </row>
    <row r="122" spans="8:20">
      <c r="H122" s="65">
        <f t="shared" si="32"/>
        <v>0</v>
      </c>
      <c r="I122" s="1">
        <f t="shared" si="32"/>
        <v>0</v>
      </c>
      <c r="J122" s="23">
        <f t="shared" ref="J122:K124" si="35">E59</f>
        <v>0</v>
      </c>
      <c r="K122" s="23">
        <f t="shared" si="35"/>
        <v>0</v>
      </c>
      <c r="L122" s="68">
        <f t="shared" si="22"/>
        <v>0</v>
      </c>
      <c r="M122" s="3"/>
      <c r="N122" s="69">
        <f t="shared" si="28"/>
        <v>0</v>
      </c>
      <c r="P122" s="65">
        <f t="shared" si="33"/>
        <v>0</v>
      </c>
      <c r="Q122" s="74">
        <f t="shared" si="34"/>
        <v>0</v>
      </c>
      <c r="R122" s="23">
        <f t="shared" si="30"/>
        <v>0</v>
      </c>
      <c r="S122" s="173">
        <f t="shared" si="31"/>
        <v>0</v>
      </c>
      <c r="T122" s="75">
        <f t="shared" si="29"/>
        <v>0</v>
      </c>
    </row>
    <row r="123" spans="8:20">
      <c r="H123" s="65">
        <f t="shared" si="32"/>
        <v>0</v>
      </c>
      <c r="I123" s="1">
        <f t="shared" si="32"/>
        <v>0</v>
      </c>
      <c r="J123" s="23">
        <f t="shared" si="35"/>
        <v>0</v>
      </c>
      <c r="K123" s="23">
        <f t="shared" si="35"/>
        <v>0</v>
      </c>
      <c r="L123" s="68">
        <f t="shared" si="22"/>
        <v>0</v>
      </c>
      <c r="M123" s="3"/>
      <c r="N123" s="69">
        <f t="shared" si="28"/>
        <v>0</v>
      </c>
      <c r="P123" s="65">
        <f t="shared" si="33"/>
        <v>0</v>
      </c>
      <c r="Q123" s="74">
        <f t="shared" si="34"/>
        <v>0</v>
      </c>
      <c r="R123" s="23">
        <f t="shared" si="30"/>
        <v>0</v>
      </c>
      <c r="S123" s="173">
        <f t="shared" si="31"/>
        <v>0</v>
      </c>
      <c r="T123" s="75">
        <f t="shared" si="29"/>
        <v>0</v>
      </c>
    </row>
    <row r="124" spans="8:20">
      <c r="H124" s="65">
        <f t="shared" si="32"/>
        <v>0</v>
      </c>
      <c r="I124" s="1">
        <f t="shared" si="32"/>
        <v>0</v>
      </c>
      <c r="J124" s="23">
        <f t="shared" si="35"/>
        <v>0</v>
      </c>
      <c r="K124" s="23">
        <f t="shared" si="35"/>
        <v>0</v>
      </c>
      <c r="L124" s="68">
        <f t="shared" si="22"/>
        <v>0</v>
      </c>
      <c r="M124" s="3"/>
      <c r="N124" s="69">
        <f t="shared" si="28"/>
        <v>0</v>
      </c>
      <c r="P124" s="65">
        <f t="shared" si="33"/>
        <v>0</v>
      </c>
      <c r="Q124" s="74">
        <f t="shared" si="34"/>
        <v>0</v>
      </c>
      <c r="R124" s="23">
        <f t="shared" si="30"/>
        <v>0</v>
      </c>
      <c r="S124" s="173">
        <f t="shared" si="31"/>
        <v>0</v>
      </c>
      <c r="T124" s="75">
        <f t="shared" si="29"/>
        <v>0</v>
      </c>
    </row>
    <row r="125" spans="8:20">
      <c r="H125" s="65">
        <f t="shared" si="32"/>
        <v>0</v>
      </c>
      <c r="I125" s="1">
        <f t="shared" si="32"/>
        <v>0</v>
      </c>
      <c r="K125" s="23">
        <f>F62</f>
        <v>0</v>
      </c>
      <c r="L125" s="68">
        <f t="shared" si="22"/>
        <v>0</v>
      </c>
      <c r="M125" s="3"/>
      <c r="N125" s="69">
        <f t="shared" si="28"/>
        <v>0</v>
      </c>
      <c r="P125" s="65">
        <f t="shared" si="33"/>
        <v>0</v>
      </c>
      <c r="Q125" s="74">
        <f t="shared" si="34"/>
        <v>0</v>
      </c>
      <c r="R125" s="23">
        <f>E63</f>
        <v>0</v>
      </c>
      <c r="S125" s="173"/>
    </row>
    <row r="126" spans="8:20">
      <c r="H126" s="65">
        <f t="shared" si="32"/>
        <v>0</v>
      </c>
      <c r="I126" s="1">
        <f t="shared" si="32"/>
        <v>0</v>
      </c>
      <c r="P126" s="65">
        <f t="shared" si="33"/>
        <v>0</v>
      </c>
      <c r="Q126" s="74">
        <f t="shared" si="34"/>
        <v>0</v>
      </c>
      <c r="R126" s="23">
        <f>E64</f>
        <v>0</v>
      </c>
      <c r="S126" s="173"/>
    </row>
  </sheetData>
  <mergeCells count="77">
    <mergeCell ref="D45:D46"/>
    <mergeCell ref="AE45:AE46"/>
    <mergeCell ref="T108:T109"/>
    <mergeCell ref="AE28:AE29"/>
    <mergeCell ref="AE31:AE32"/>
    <mergeCell ref="AE33:AE35"/>
    <mergeCell ref="AE38:AE40"/>
    <mergeCell ref="T91:T92"/>
    <mergeCell ref="AE36:AE37"/>
    <mergeCell ref="AE41:AE43"/>
    <mergeCell ref="T99:T100"/>
    <mergeCell ref="T101:T103"/>
    <mergeCell ref="T104:T106"/>
    <mergeCell ref="AE10:AE11"/>
    <mergeCell ref="AE16:AE17"/>
    <mergeCell ref="AE20:AE21"/>
    <mergeCell ref="AE22:AE23"/>
    <mergeCell ref="AE24:AE27"/>
    <mergeCell ref="AE13:AE15"/>
    <mergeCell ref="AD5:AD7"/>
    <mergeCell ref="AE5:AE7"/>
    <mergeCell ref="AE8:AE9"/>
    <mergeCell ref="Y5:Y7"/>
    <mergeCell ref="Z5:Z7"/>
    <mergeCell ref="AA5:AA7"/>
    <mergeCell ref="AB4:AB7"/>
    <mergeCell ref="AC5:AC7"/>
    <mergeCell ref="U5:U7"/>
    <mergeCell ref="V5:V7"/>
    <mergeCell ref="W5:W7"/>
    <mergeCell ref="X5:X7"/>
    <mergeCell ref="T5:T7"/>
    <mergeCell ref="S5:S7"/>
    <mergeCell ref="T94:T95"/>
    <mergeCell ref="T96:T98"/>
    <mergeCell ref="T71:T72"/>
    <mergeCell ref="T73:T74"/>
    <mergeCell ref="T83:T84"/>
    <mergeCell ref="T85:T86"/>
    <mergeCell ref="T79:T80"/>
    <mergeCell ref="T87:T90"/>
    <mergeCell ref="T76:T78"/>
    <mergeCell ref="O5:O7"/>
    <mergeCell ref="R5:R7"/>
    <mergeCell ref="D10:D11"/>
    <mergeCell ref="D13:D15"/>
    <mergeCell ref="D8:D9"/>
    <mergeCell ref="A4:A7"/>
    <mergeCell ref="B4:B7"/>
    <mergeCell ref="C4:C7"/>
    <mergeCell ref="D4:D7"/>
    <mergeCell ref="D41:D43"/>
    <mergeCell ref="D36:D37"/>
    <mergeCell ref="D38:D40"/>
    <mergeCell ref="D22:D23"/>
    <mergeCell ref="D24:D27"/>
    <mergeCell ref="D28:D29"/>
    <mergeCell ref="D31:D32"/>
    <mergeCell ref="D33:D35"/>
    <mergeCell ref="D16:D17"/>
    <mergeCell ref="D20:D21"/>
    <mergeCell ref="B2:AE2"/>
    <mergeCell ref="AL4:AV4"/>
    <mergeCell ref="H69:N69"/>
    <mergeCell ref="P69:T69"/>
    <mergeCell ref="G4:G7"/>
    <mergeCell ref="H5:H7"/>
    <mergeCell ref="E4:E7"/>
    <mergeCell ref="F4:F7"/>
    <mergeCell ref="N5:N7"/>
    <mergeCell ref="I5:I7"/>
    <mergeCell ref="J5:J7"/>
    <mergeCell ref="K5:K7"/>
    <mergeCell ref="P5:P7"/>
    <mergeCell ref="Q5:Q7"/>
    <mergeCell ref="L5:L7"/>
    <mergeCell ref="M5:M7"/>
  </mergeCells>
  <conditionalFormatting sqref="E8:E11 E13:E62">
    <cfRule type="cellIs" dxfId="24" priority="1" stopIfTrue="1" operator="greaterThan">
      <formula>$F$3</formula>
    </cfRule>
  </conditionalFormatting>
  <pageMargins left="0.75" right="0.75" top="1" bottom="1" header="0.5" footer="0.5"/>
  <pageSetup scale="39" fitToHeight="2" orientation="landscape" r:id="rId1"/>
  <headerFooter alignWithMargins="0"/>
  <legacy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3">
    <tabColor rgb="FFFFFF00"/>
    <pageSetUpPr fitToPage="1"/>
  </sheetPr>
  <dimension ref="A1:AX110"/>
  <sheetViews>
    <sheetView showZeros="0" workbookViewId="0">
      <pane xSplit="7" ySplit="7" topLeftCell="O8" activePane="bottomRight" state="frozen"/>
      <selection pane="topRight"/>
      <selection pane="bottomLeft"/>
      <selection pane="bottomRight" activeCell="Z11" sqref="Z11"/>
    </sheetView>
  </sheetViews>
  <sheetFormatPr defaultColWidth="9" defaultRowHeight="12.75"/>
  <cols>
    <col min="1" max="2" width="8.42578125" style="3" customWidth="1"/>
    <col min="3" max="3" width="27.5703125" customWidth="1"/>
    <col min="4" max="4" width="8.5703125" customWidth="1"/>
    <col min="5" max="5" width="9.5703125" customWidth="1"/>
    <col min="6" max="6" width="8.140625" customWidth="1"/>
    <col min="7" max="8" width="12.42578125" customWidth="1"/>
    <col min="9" max="9" width="8.42578125" customWidth="1"/>
    <col min="10" max="10" width="8.85546875" customWidth="1"/>
    <col min="11" max="11" width="9.5703125" customWidth="1"/>
    <col min="12" max="12" width="11" customWidth="1"/>
    <col min="13" max="14" width="10.42578125" customWidth="1"/>
    <col min="15" max="15" width="9.5703125" customWidth="1"/>
    <col min="16" max="16" width="8.5703125" customWidth="1"/>
    <col min="17" max="18" width="7.5703125" customWidth="1"/>
    <col min="19" max="19" width="8.42578125" customWidth="1"/>
    <col min="20" max="20" width="8.5703125" customWidth="1"/>
    <col min="21" max="21" width="8.42578125" customWidth="1"/>
    <col min="22" max="22" width="11.5703125" customWidth="1"/>
    <col min="23" max="23" width="7.5703125" customWidth="1"/>
    <col min="24" max="24" width="10" customWidth="1"/>
    <col min="25" max="25" width="9.140625" customWidth="1"/>
    <col min="26" max="26" width="11.140625" customWidth="1"/>
    <col min="27" max="27" width="13.5703125" customWidth="1"/>
    <col min="28" max="29" width="11.42578125" customWidth="1"/>
    <col min="30" max="30" width="14.5703125" customWidth="1"/>
    <col min="31" max="31" width="12.5703125" customWidth="1"/>
    <col min="32" max="32" width="14.42578125" customWidth="1"/>
  </cols>
  <sheetData>
    <row r="1" spans="1:50">
      <c r="I1" s="3"/>
    </row>
    <row r="2" spans="1:50" ht="27.75">
      <c r="B2" s="670" t="s">
        <v>486</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5"/>
      <c r="E3" s="5"/>
      <c r="H3" s="6"/>
      <c r="I3" s="3"/>
      <c r="S3" s="3"/>
      <c r="AM3" s="6"/>
    </row>
    <row r="4" spans="1:50"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781" t="s">
        <v>56</v>
      </c>
      <c r="AC4" s="156"/>
      <c r="AD4" s="155"/>
      <c r="AE4" s="157"/>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777" t="s">
        <v>6</v>
      </c>
      <c r="I5" s="689" t="s">
        <v>7</v>
      </c>
      <c r="J5" s="689" t="s">
        <v>8</v>
      </c>
      <c r="K5" s="689" t="s">
        <v>9</v>
      </c>
      <c r="L5" s="689" t="s">
        <v>418</v>
      </c>
      <c r="M5" s="689" t="s">
        <v>11</v>
      </c>
      <c r="N5" s="745" t="s">
        <v>12</v>
      </c>
      <c r="O5" s="689" t="s">
        <v>13</v>
      </c>
      <c r="P5" s="689" t="s">
        <v>14</v>
      </c>
      <c r="Q5" s="689" t="s">
        <v>15</v>
      </c>
      <c r="R5" s="689" t="s">
        <v>16</v>
      </c>
      <c r="S5" s="689" t="s">
        <v>419</v>
      </c>
      <c r="T5" s="689" t="s">
        <v>18</v>
      </c>
      <c r="U5" s="689" t="s">
        <v>420</v>
      </c>
      <c r="V5" s="689" t="s">
        <v>20</v>
      </c>
      <c r="W5" s="689" t="s">
        <v>21</v>
      </c>
      <c r="X5" s="748" t="s">
        <v>22</v>
      </c>
      <c r="Y5" s="689" t="s">
        <v>421</v>
      </c>
      <c r="Z5" s="689" t="s">
        <v>24</v>
      </c>
      <c r="AA5" s="693" t="s">
        <v>25</v>
      </c>
      <c r="AB5" s="781"/>
      <c r="AC5" s="752"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777"/>
      <c r="I6" s="689"/>
      <c r="J6" s="689"/>
      <c r="K6" s="689"/>
      <c r="L6" s="689"/>
      <c r="M6" s="689"/>
      <c r="N6" s="689"/>
      <c r="O6" s="689"/>
      <c r="P6" s="689"/>
      <c r="Q6" s="689"/>
      <c r="R6" s="689"/>
      <c r="S6" s="689"/>
      <c r="T6" s="689"/>
      <c r="U6" s="689"/>
      <c r="V6" s="689"/>
      <c r="W6" s="689"/>
      <c r="X6" s="748"/>
      <c r="Y6" s="689"/>
      <c r="Z6" s="689"/>
      <c r="AA6" s="693"/>
      <c r="AB6" s="781"/>
      <c r="AC6" s="752"/>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4"/>
      <c r="B7" s="687"/>
      <c r="C7" s="687"/>
      <c r="D7" s="690"/>
      <c r="E7" s="690"/>
      <c r="F7" s="690"/>
      <c r="G7" s="694"/>
      <c r="H7" s="778"/>
      <c r="I7" s="690"/>
      <c r="J7" s="690"/>
      <c r="K7" s="690"/>
      <c r="L7" s="690"/>
      <c r="M7" s="690"/>
      <c r="N7" s="690"/>
      <c r="O7" s="690"/>
      <c r="P7" s="690"/>
      <c r="Q7" s="690"/>
      <c r="R7" s="690"/>
      <c r="S7" s="690"/>
      <c r="T7" s="690"/>
      <c r="U7" s="690"/>
      <c r="V7" s="690"/>
      <c r="W7" s="690"/>
      <c r="X7" s="749"/>
      <c r="Y7" s="690"/>
      <c r="Z7" s="690"/>
      <c r="AA7" s="694"/>
      <c r="AB7" s="782"/>
      <c r="AC7" s="753"/>
      <c r="AD7" s="696"/>
      <c r="AE7" s="764"/>
      <c r="AF7" s="42" t="s">
        <v>426</v>
      </c>
      <c r="AH7" s="3"/>
      <c r="AI7" s="3"/>
      <c r="AJ7" s="3"/>
      <c r="AK7" s="3"/>
      <c r="AL7" s="3"/>
      <c r="AM7" s="3"/>
      <c r="AN7" s="3"/>
      <c r="AO7" s="3"/>
      <c r="AP7" s="3"/>
      <c r="AQ7" s="3"/>
      <c r="AR7" s="3"/>
      <c r="AS7" s="3"/>
      <c r="AT7" s="3"/>
      <c r="AU7" s="3"/>
      <c r="AV7" s="3"/>
      <c r="AW7" s="3"/>
      <c r="AX7" s="3"/>
    </row>
    <row r="8" spans="1:50" ht="13.5" thickTop="1">
      <c r="A8" s="7">
        <f>[5]June_2026!$C8</f>
        <v>1</v>
      </c>
      <c r="B8" s="139">
        <f>[5]June_2026!$B8</f>
        <v>46192</v>
      </c>
      <c r="C8" s="78" t="str">
        <f>[5]June_2026!$D8</f>
        <v>STAG</v>
      </c>
      <c r="D8" s="609">
        <v>0.70833333333333337</v>
      </c>
      <c r="E8" s="80">
        <v>0.79166666666666663</v>
      </c>
      <c r="F8" s="80">
        <v>0.85624999999999996</v>
      </c>
      <c r="G8" s="11">
        <v>0.91666666666666663</v>
      </c>
      <c r="H8" s="14"/>
      <c r="I8" s="34"/>
      <c r="J8" s="35"/>
      <c r="K8" s="34"/>
      <c r="L8" s="34"/>
      <c r="M8" s="34"/>
      <c r="N8" s="34"/>
      <c r="O8" s="34">
        <f>'Uncaser Downtime Detail '!AG308</f>
        <v>0</v>
      </c>
      <c r="P8" s="34">
        <f>'Washer Downtime Detail'!BH311</f>
        <v>0</v>
      </c>
      <c r="Q8" s="34">
        <f>'EBI Downtime Detail'!AI310</f>
        <v>0</v>
      </c>
      <c r="R8" s="34">
        <f>'Filler Downtime Detail'!AK310</f>
        <v>0</v>
      </c>
      <c r="S8" s="34">
        <f>'Pasteurizer Downtime Detail'!Z308</f>
        <v>24</v>
      </c>
      <c r="T8" s="34">
        <f>'Labeler Downtime Detail'!AN306</f>
        <v>0</v>
      </c>
      <c r="U8" s="34">
        <f>'Videojet Downtime Detail '!O307</f>
        <v>0</v>
      </c>
      <c r="V8" s="34">
        <f>'Conveyor Downtime (new)'!AV308</f>
        <v>10</v>
      </c>
      <c r="W8" s="34">
        <f>'Packer Downtime Detail  '!AD307</f>
        <v>0</v>
      </c>
      <c r="X8" s="34"/>
      <c r="Y8" s="35"/>
      <c r="Z8" s="34"/>
      <c r="AA8" s="90"/>
      <c r="AB8" s="90"/>
      <c r="AC8" s="89"/>
      <c r="AD8" s="44">
        <f t="shared" ref="AD8:AD17" si="0">SUM(H8:J8,K8:AB8)</f>
        <v>34</v>
      </c>
      <c r="AE8" s="45">
        <f t="shared" ref="AE8" si="1">G8-D8</f>
        <v>0.20833333333333326</v>
      </c>
      <c r="AH8" s="3"/>
      <c r="AI8" s="23"/>
      <c r="AJ8" s="23"/>
      <c r="AK8" s="54"/>
      <c r="AL8" s="3"/>
      <c r="AM8" s="3"/>
      <c r="AN8" s="3"/>
      <c r="AO8" s="3"/>
      <c r="AP8" s="3"/>
      <c r="AQ8" s="3"/>
      <c r="AR8" s="3"/>
      <c r="AS8" s="3"/>
      <c r="AT8" s="3"/>
      <c r="AU8" s="3"/>
      <c r="AV8" s="3"/>
      <c r="AW8" s="3"/>
      <c r="AX8" s="3"/>
    </row>
    <row r="9" spans="1:50">
      <c r="A9" s="481">
        <v>2</v>
      </c>
      <c r="B9" s="139">
        <f>[5]June_2026!$B9</f>
        <v>46193</v>
      </c>
      <c r="C9" s="78" t="s">
        <v>499</v>
      </c>
      <c r="D9" s="93">
        <v>0.29166666666666669</v>
      </c>
      <c r="E9" s="80">
        <v>0.40972222222222221</v>
      </c>
      <c r="F9" s="80">
        <v>0.93611111111111112</v>
      </c>
      <c r="G9" s="11">
        <v>0.9770833333333333</v>
      </c>
      <c r="H9" s="82"/>
      <c r="I9" s="32"/>
      <c r="J9" s="86"/>
      <c r="K9" s="71">
        <f>22</f>
        <v>22</v>
      </c>
      <c r="L9" s="71"/>
      <c r="M9" s="71"/>
      <c r="N9" s="71"/>
      <c r="O9" s="71">
        <f>'Uncaser Downtime Detail '!AG309</f>
        <v>9</v>
      </c>
      <c r="P9" s="71">
        <f>'Washer Downtime Detail'!BH312</f>
        <v>135</v>
      </c>
      <c r="Q9" s="71">
        <f>'EBI Downtime Detail'!AI311</f>
        <v>2</v>
      </c>
      <c r="R9" s="71">
        <f>'Filler Downtime Detail'!AK311</f>
        <v>3</v>
      </c>
      <c r="S9" s="71">
        <f>'Pasteurizer Downtime Detail'!Z309</f>
        <v>183</v>
      </c>
      <c r="T9" s="71">
        <f>'Labeler Downtime Detail'!AN307</f>
        <v>31</v>
      </c>
      <c r="U9" s="71">
        <f>'Videojet Downtime Detail '!O308</f>
        <v>0</v>
      </c>
      <c r="V9" s="71">
        <f>'Conveyor Downtime (new)'!AV309</f>
        <v>48</v>
      </c>
      <c r="W9" s="71">
        <f>'Packer Downtime Detail  '!AD308</f>
        <v>0</v>
      </c>
      <c r="X9" s="71"/>
      <c r="Y9" s="71"/>
      <c r="Z9" s="43">
        <f>39+12</f>
        <v>51</v>
      </c>
      <c r="AA9" s="88"/>
      <c r="AB9" s="88"/>
      <c r="AC9" s="71"/>
      <c r="AD9" s="44">
        <f t="shared" si="0"/>
        <v>484</v>
      </c>
      <c r="AE9" s="45">
        <f>G9-D9</f>
        <v>0.68541666666666656</v>
      </c>
      <c r="AH9" s="3"/>
      <c r="AI9" s="23"/>
      <c r="AJ9" s="23"/>
      <c r="AK9" s="54"/>
      <c r="AL9" s="3"/>
      <c r="AM9" s="3"/>
      <c r="AN9" s="3"/>
      <c r="AO9" s="3"/>
      <c r="AP9" s="3"/>
      <c r="AQ9" s="3"/>
      <c r="AR9" s="3"/>
      <c r="AS9" s="3"/>
      <c r="AT9" s="3"/>
      <c r="AU9" s="3"/>
      <c r="AV9" s="3"/>
      <c r="AW9" s="3"/>
      <c r="AX9" s="3"/>
    </row>
    <row r="10" spans="1:50">
      <c r="A10" s="481">
        <v>3</v>
      </c>
      <c r="B10" s="139">
        <f>[5]June_2026!$B10</f>
        <v>46194</v>
      </c>
      <c r="C10" s="78" t="str">
        <f>[5]June_2026!$D10</f>
        <v>STAR MALT</v>
      </c>
      <c r="D10" s="93">
        <v>0.65625</v>
      </c>
      <c r="E10" s="80">
        <v>0.83819444444444446</v>
      </c>
      <c r="F10" s="80">
        <v>1</v>
      </c>
      <c r="G10" s="11">
        <v>1.0458333333333334</v>
      </c>
      <c r="H10" s="14"/>
      <c r="I10" s="34"/>
      <c r="J10" s="35"/>
      <c r="K10" s="34"/>
      <c r="L10" s="34"/>
      <c r="M10" s="34"/>
      <c r="N10" s="34"/>
      <c r="O10" s="34">
        <f>'Uncaser Downtime Detail '!AG310</f>
        <v>8</v>
      </c>
      <c r="P10" s="34">
        <f>'Washer Downtime Detail'!BH313</f>
        <v>13</v>
      </c>
      <c r="Q10" s="34">
        <f>'EBI Downtime Detail'!AI312</f>
        <v>0</v>
      </c>
      <c r="R10" s="34">
        <f>'Filler Downtime Detail'!AK312</f>
        <v>4</v>
      </c>
      <c r="S10" s="34">
        <f>'Pasteurizer Downtime Detail'!Z310</f>
        <v>247</v>
      </c>
      <c r="T10" s="34">
        <f>'Labeler Downtime Detail'!AN308</f>
        <v>0</v>
      </c>
      <c r="U10" s="34">
        <f>'Videojet Downtime Detail '!O309</f>
        <v>0</v>
      </c>
      <c r="V10" s="34">
        <f>'Conveyor Downtime (new)'!AV310</f>
        <v>0</v>
      </c>
      <c r="W10" s="34">
        <f>'Packer Downtime Detail  '!AD309</f>
        <v>0</v>
      </c>
      <c r="X10" s="34"/>
      <c r="Y10" s="35"/>
      <c r="Z10" s="87">
        <f>60+17</f>
        <v>77</v>
      </c>
      <c r="AA10" s="90"/>
      <c r="AB10" s="169"/>
      <c r="AC10" s="89"/>
      <c r="AD10" s="44">
        <f>SUM(H10:J10,K10:AB10)</f>
        <v>349</v>
      </c>
      <c r="AE10" s="45">
        <f>G10-D10</f>
        <v>0.38958333333333339</v>
      </c>
      <c r="AH10" s="3"/>
      <c r="AI10" s="23"/>
      <c r="AJ10" s="23"/>
      <c r="AK10" s="54"/>
      <c r="AL10" s="3"/>
      <c r="AM10" s="3"/>
      <c r="AN10" s="3"/>
      <c r="AO10" s="3"/>
      <c r="AP10" s="3"/>
      <c r="AQ10" s="3"/>
      <c r="AR10" s="3"/>
      <c r="AS10" s="3"/>
      <c r="AT10" s="3"/>
      <c r="AU10" s="3"/>
      <c r="AV10" s="3"/>
      <c r="AW10" s="3"/>
      <c r="AX10" s="3"/>
    </row>
    <row r="11" spans="1:50">
      <c r="A11" s="481">
        <v>4</v>
      </c>
      <c r="B11" s="139">
        <f>[5]June_2026!$B11</f>
        <v>46195</v>
      </c>
      <c r="C11" s="78" t="str">
        <f>[5]June_2026!$D11</f>
        <v>STAR MALT</v>
      </c>
      <c r="D11" s="681">
        <v>1</v>
      </c>
      <c r="E11" s="80">
        <v>1.0069444444444444</v>
      </c>
      <c r="F11" s="80">
        <v>1.5986111111111112</v>
      </c>
      <c r="G11" s="11">
        <v>1.6666666666666667</v>
      </c>
      <c r="H11" s="82">
        <f>2</f>
        <v>2</v>
      </c>
      <c r="I11" s="32"/>
      <c r="J11" s="86"/>
      <c r="K11" s="71">
        <f>2</f>
        <v>2</v>
      </c>
      <c r="L11" s="71"/>
      <c r="M11" s="71"/>
      <c r="N11" s="71"/>
      <c r="O11" s="71">
        <f>'Uncaser Downtime Detail '!AG311</f>
        <v>34</v>
      </c>
      <c r="P11" s="71">
        <f>'Washer Downtime Detail'!BH314</f>
        <v>10</v>
      </c>
      <c r="Q11" s="71">
        <f>'EBI Downtime Detail'!AI313</f>
        <v>8</v>
      </c>
      <c r="R11" s="71">
        <f>'Filler Downtime Detail'!AK313</f>
        <v>10</v>
      </c>
      <c r="S11" s="71">
        <f>'Pasteurizer Downtime Detail'!Z311</f>
        <v>289</v>
      </c>
      <c r="T11" s="71">
        <f>'Labeler Downtime Detail'!AN309</f>
        <v>0</v>
      </c>
      <c r="U11" s="71">
        <f>'Videojet Downtime Detail '!O310</f>
        <v>0</v>
      </c>
      <c r="V11" s="71">
        <f>'Conveyor Downtime (new)'!AV311</f>
        <v>12</v>
      </c>
      <c r="W11" s="71">
        <f>'Packer Downtime Detail  '!AD310</f>
        <v>0</v>
      </c>
      <c r="X11" s="71"/>
      <c r="Y11" s="71"/>
      <c r="Z11" s="43">
        <v>10</v>
      </c>
      <c r="AA11" s="88"/>
      <c r="AB11" s="88">
        <f>10+10</f>
        <v>20</v>
      </c>
      <c r="AC11" s="71"/>
      <c r="AD11" s="44">
        <f t="shared" si="0"/>
        <v>397</v>
      </c>
      <c r="AE11" s="754">
        <f>G12-D11</f>
        <v>1.0479166666666666</v>
      </c>
      <c r="AH11" s="3"/>
      <c r="AI11" s="23"/>
      <c r="AJ11" s="23"/>
      <c r="AK11" s="54"/>
      <c r="AL11" s="3"/>
      <c r="AM11" s="3"/>
      <c r="AN11" s="3"/>
      <c r="AO11" s="3"/>
      <c r="AP11" s="3"/>
      <c r="AQ11" s="3"/>
      <c r="AR11" s="3"/>
      <c r="AS11" s="3"/>
      <c r="AT11" s="3"/>
      <c r="AU11" s="3"/>
      <c r="AV11" s="3"/>
      <c r="AW11" s="3"/>
      <c r="AX11" s="3"/>
    </row>
    <row r="12" spans="1:50">
      <c r="A12" s="481">
        <v>4</v>
      </c>
      <c r="B12" s="139">
        <f>[5]June_2026!$B12</f>
        <v>46195</v>
      </c>
      <c r="C12" s="78" t="str">
        <f>[5]June_2026!$D12</f>
        <v>CARIB AMBER</v>
      </c>
      <c r="D12" s="681"/>
      <c r="E12" s="80">
        <v>1.7256944444444444</v>
      </c>
      <c r="F12" s="80">
        <v>2</v>
      </c>
      <c r="G12" s="11">
        <v>2.0479166666666666</v>
      </c>
      <c r="H12" s="14"/>
      <c r="I12" s="34">
        <f>35+24</f>
        <v>59</v>
      </c>
      <c r="J12" s="315">
        <f>5+3</f>
        <v>8</v>
      </c>
      <c r="K12" s="34"/>
      <c r="L12" s="34">
        <f>16</f>
        <v>16</v>
      </c>
      <c r="M12" s="34"/>
      <c r="N12" s="34"/>
      <c r="O12" s="34">
        <f>'Uncaser Downtime Detail '!AG312</f>
        <v>11</v>
      </c>
      <c r="P12" s="34">
        <f>'Washer Downtime Detail'!BH315</f>
        <v>7</v>
      </c>
      <c r="Q12" s="34">
        <f>'EBI Downtime Detail'!AI314</f>
        <v>0</v>
      </c>
      <c r="R12" s="34">
        <f>'Filler Downtime Detail'!AK314</f>
        <v>0</v>
      </c>
      <c r="S12" s="34">
        <f>'Pasteurizer Downtime Detail'!Z312</f>
        <v>17</v>
      </c>
      <c r="T12" s="34">
        <f>'Labeler Downtime Detail'!AN310</f>
        <v>8</v>
      </c>
      <c r="U12" s="34">
        <f>'Videojet Downtime Detail '!O311</f>
        <v>0</v>
      </c>
      <c r="V12" s="34">
        <f>'Conveyor Downtime (new)'!AV312</f>
        <v>8</v>
      </c>
      <c r="W12" s="34">
        <f>'Packer Downtime Detail  '!AD311</f>
        <v>0</v>
      </c>
      <c r="X12" s="34"/>
      <c r="Y12" s="35"/>
      <c r="Z12" s="34">
        <f>3+2+2+2+2+2+2+3</f>
        <v>18</v>
      </c>
      <c r="AA12" s="90"/>
      <c r="AB12" s="90"/>
      <c r="AC12" s="89"/>
      <c r="AD12" s="44">
        <f t="shared" si="0"/>
        <v>152</v>
      </c>
      <c r="AE12" s="754"/>
      <c r="AH12" s="3"/>
      <c r="AI12" s="23"/>
      <c r="AJ12" s="23"/>
      <c r="AK12" s="54"/>
      <c r="AL12" s="3"/>
      <c r="AM12" s="3"/>
      <c r="AN12" s="3"/>
      <c r="AO12" s="3"/>
      <c r="AP12" s="3"/>
      <c r="AQ12" s="3"/>
      <c r="AR12" s="3"/>
      <c r="AS12" s="3"/>
      <c r="AT12" s="3"/>
      <c r="AU12" s="3"/>
      <c r="AV12" s="3"/>
      <c r="AW12" s="3"/>
      <c r="AX12" s="3"/>
    </row>
    <row r="13" spans="1:50">
      <c r="A13" s="481">
        <v>5</v>
      </c>
      <c r="B13" s="139">
        <f>[5]June_2026!$B13</f>
        <v>46196</v>
      </c>
      <c r="C13" s="78" t="str">
        <f>[5]June_2026!$D13</f>
        <v>CARIB AMBER</v>
      </c>
      <c r="D13" s="681">
        <v>1</v>
      </c>
      <c r="E13" s="80">
        <v>1.0069444444444444</v>
      </c>
      <c r="F13" s="80">
        <v>1.2729166666666667</v>
      </c>
      <c r="G13" s="11">
        <v>1.3256944444444445</v>
      </c>
      <c r="H13" s="82"/>
      <c r="I13" s="32"/>
      <c r="J13" s="86">
        <v>4</v>
      </c>
      <c r="K13" s="71"/>
      <c r="L13" s="71"/>
      <c r="M13" s="71"/>
      <c r="N13" s="71"/>
      <c r="O13" s="71">
        <f>'Uncaser Downtime Detail '!AG313</f>
        <v>10</v>
      </c>
      <c r="P13" s="71">
        <f>'Washer Downtime Detail'!BH316</f>
        <v>18</v>
      </c>
      <c r="Q13" s="71">
        <f>'EBI Downtime Detail'!AI315</f>
        <v>9</v>
      </c>
      <c r="R13" s="71">
        <f>'Filler Downtime Detail'!AK315</f>
        <v>2</v>
      </c>
      <c r="S13" s="71">
        <f>'Pasteurizer Downtime Detail'!Z313</f>
        <v>54</v>
      </c>
      <c r="T13" s="71">
        <f>'Labeler Downtime Detail'!AN311</f>
        <v>0</v>
      </c>
      <c r="U13" s="71">
        <f>'Videojet Downtime Detail '!O312</f>
        <v>0</v>
      </c>
      <c r="V13" s="71">
        <f>'Conveyor Downtime (new)'!AV313</f>
        <v>0</v>
      </c>
      <c r="W13" s="71">
        <f>'Packer Downtime Detail  '!AD312</f>
        <v>0</v>
      </c>
      <c r="X13" s="71">
        <f>'Carton Errector-sealer Detail'!P301</f>
        <v>0</v>
      </c>
      <c r="Y13" s="71"/>
      <c r="Z13" s="43">
        <f>10</f>
        <v>10</v>
      </c>
      <c r="AA13" s="88"/>
      <c r="AB13" s="88"/>
      <c r="AC13" s="71"/>
      <c r="AD13" s="44">
        <f t="shared" si="0"/>
        <v>107</v>
      </c>
      <c r="AE13" s="754">
        <f>G15-D13</f>
        <v>1.0486111111111112</v>
      </c>
      <c r="AH13" s="3"/>
      <c r="AI13" s="23"/>
      <c r="AJ13" s="23"/>
      <c r="AK13" s="54"/>
      <c r="AL13" s="3"/>
      <c r="AM13" s="3"/>
      <c r="AN13" s="3"/>
      <c r="AO13" s="3"/>
      <c r="AP13" s="3"/>
      <c r="AQ13" s="3"/>
      <c r="AR13" s="3"/>
      <c r="AS13" s="3"/>
      <c r="AT13" s="3"/>
      <c r="AU13" s="3"/>
      <c r="AV13" s="3"/>
      <c r="AW13" s="3"/>
      <c r="AX13" s="3"/>
    </row>
    <row r="14" spans="1:50">
      <c r="A14" s="481">
        <v>5</v>
      </c>
      <c r="B14" s="139">
        <f>[5]June_2026!$B14</f>
        <v>46196</v>
      </c>
      <c r="C14" s="78" t="str">
        <f>[5]June_2026!$D14</f>
        <v>STAG</v>
      </c>
      <c r="D14" s="681"/>
      <c r="E14" s="80">
        <v>1.3055555555555556</v>
      </c>
      <c r="F14" s="80">
        <v>1.4361111111111111</v>
      </c>
      <c r="G14" s="11">
        <v>1.4916666666666667</v>
      </c>
      <c r="H14" s="14"/>
      <c r="I14" s="34">
        <f>10</f>
        <v>10</v>
      </c>
      <c r="J14" s="35"/>
      <c r="K14" s="34"/>
      <c r="L14" s="34"/>
      <c r="M14" s="34"/>
      <c r="N14" s="34"/>
      <c r="O14" s="34">
        <f>'Uncaser Downtime Detail '!AG314</f>
        <v>0</v>
      </c>
      <c r="P14" s="34">
        <f>'Washer Downtime Detail'!BH317</f>
        <v>0</v>
      </c>
      <c r="Q14" s="34">
        <f>'EBI Downtime Detail'!AI316</f>
        <v>3</v>
      </c>
      <c r="R14" s="34">
        <f>'Filler Downtime Detail'!AK316</f>
        <v>1</v>
      </c>
      <c r="S14" s="34">
        <f>'Pasteurizer Downtime Detail'!Z314</f>
        <v>22</v>
      </c>
      <c r="T14" s="34">
        <f>'Labeler Downtime Detail'!AN312</f>
        <v>0</v>
      </c>
      <c r="U14" s="34">
        <f>'Videojet Downtime Detail '!O313</f>
        <v>0</v>
      </c>
      <c r="V14" s="34">
        <f>'Conveyor Downtime (new)'!AV314</f>
        <v>2</v>
      </c>
      <c r="W14" s="34">
        <f>'Packer Downtime Detail  '!AD313</f>
        <v>0</v>
      </c>
      <c r="X14" s="34">
        <f>'Carton Errector-sealer Detail'!P302</f>
        <v>0</v>
      </c>
      <c r="Y14" s="35"/>
      <c r="Z14" s="34">
        <f>17+20</f>
        <v>37</v>
      </c>
      <c r="AA14" s="90"/>
      <c r="AB14" s="90">
        <f>3</f>
        <v>3</v>
      </c>
      <c r="AC14" s="89"/>
      <c r="AD14" s="44">
        <f t="shared" si="0"/>
        <v>78</v>
      </c>
      <c r="AE14" s="754"/>
      <c r="AH14" s="3"/>
      <c r="AI14" s="23"/>
      <c r="AJ14" s="23"/>
      <c r="AK14" s="54"/>
      <c r="AL14" s="3"/>
      <c r="AM14" s="3"/>
      <c r="AN14" s="3"/>
      <c r="AO14" s="3"/>
      <c r="AP14" s="3"/>
      <c r="AQ14" s="3"/>
      <c r="AR14" s="3"/>
      <c r="AS14" s="3"/>
      <c r="AT14" s="3"/>
      <c r="AU14" s="3"/>
      <c r="AV14" s="3"/>
      <c r="AW14" s="3"/>
      <c r="AX14" s="3"/>
    </row>
    <row r="15" spans="1:50">
      <c r="A15" s="481">
        <v>5</v>
      </c>
      <c r="B15" s="139">
        <f>[5]June_2026!$B15</f>
        <v>46196</v>
      </c>
      <c r="C15" s="78" t="str">
        <f>[5]June_2026!$D15</f>
        <v>GUINNESS</v>
      </c>
      <c r="D15" s="681"/>
      <c r="E15" s="80">
        <v>1.5208333333333333</v>
      </c>
      <c r="F15" s="80">
        <v>2</v>
      </c>
      <c r="G15" s="11">
        <v>2.0486111111111112</v>
      </c>
      <c r="H15" s="82"/>
      <c r="I15" s="32">
        <f>12+6</f>
        <v>18</v>
      </c>
      <c r="J15" s="86">
        <f>13</f>
        <v>13</v>
      </c>
      <c r="K15" s="71"/>
      <c r="L15" s="71"/>
      <c r="M15" s="71"/>
      <c r="N15" s="71"/>
      <c r="O15" s="71">
        <f>'Uncaser Downtime Detail '!AG315</f>
        <v>0</v>
      </c>
      <c r="P15" s="71">
        <f>'Washer Downtime Detail'!BH318</f>
        <v>29</v>
      </c>
      <c r="Q15" s="71">
        <f>'EBI Downtime Detail'!AI317</f>
        <v>0</v>
      </c>
      <c r="R15" s="71">
        <f>'Filler Downtime Detail'!AK317</f>
        <v>0</v>
      </c>
      <c r="S15" s="71">
        <f>'Pasteurizer Downtime Detail'!Z315</f>
        <v>331</v>
      </c>
      <c r="T15" s="71">
        <f>'Labeler Downtime Detail'!AN313</f>
        <v>0</v>
      </c>
      <c r="U15" s="71">
        <f>'Videojet Downtime Detail '!O314</f>
        <v>51</v>
      </c>
      <c r="V15" s="71">
        <f>'Conveyor Downtime (new)'!AV315</f>
        <v>2</v>
      </c>
      <c r="W15" s="71">
        <f>'Packer Downtime Detail  '!AD314</f>
        <v>0</v>
      </c>
      <c r="X15" s="71">
        <f>'Carton Errector-sealer Detail'!P303</f>
        <v>0</v>
      </c>
      <c r="Y15" s="71"/>
      <c r="Z15" s="43">
        <f>7+48</f>
        <v>55</v>
      </c>
      <c r="AA15" s="88"/>
      <c r="AB15" s="88"/>
      <c r="AC15" s="71"/>
      <c r="AD15" s="44">
        <f t="shared" si="0"/>
        <v>499</v>
      </c>
      <c r="AE15" s="754"/>
      <c r="AH15" s="3"/>
      <c r="AI15" s="23"/>
      <c r="AJ15" s="23"/>
      <c r="AK15" s="54"/>
      <c r="AL15" s="3"/>
      <c r="AM15" s="3"/>
      <c r="AN15" s="3"/>
      <c r="AO15" s="3"/>
      <c r="AP15" s="3"/>
      <c r="AQ15" s="3"/>
      <c r="AR15" s="3"/>
      <c r="AS15" s="3"/>
      <c r="AT15" s="3"/>
      <c r="AU15" s="3"/>
      <c r="AV15" s="3"/>
      <c r="AW15" s="3"/>
      <c r="AX15" s="3"/>
    </row>
    <row r="16" spans="1:50">
      <c r="A16" s="481">
        <v>6</v>
      </c>
      <c r="B16" s="139">
        <f>[5]June_2026!$B16</f>
        <v>46197</v>
      </c>
      <c r="C16" s="78" t="str">
        <f>[5]June_2026!$D16</f>
        <v>GUINNESS</v>
      </c>
      <c r="D16" s="681">
        <v>1</v>
      </c>
      <c r="E16" s="80">
        <v>1.0125</v>
      </c>
      <c r="F16" s="80">
        <v>1.4173611111111111</v>
      </c>
      <c r="G16" s="11">
        <v>0.47638888888888886</v>
      </c>
      <c r="H16" s="14"/>
      <c r="I16" s="34"/>
      <c r="J16" s="35"/>
      <c r="K16" s="34"/>
      <c r="L16" s="34"/>
      <c r="M16" s="34"/>
      <c r="N16" s="34"/>
      <c r="O16" s="34">
        <f>'Uncaser Downtime Detail '!AG316</f>
        <v>0</v>
      </c>
      <c r="P16" s="34">
        <f>'Washer Downtime Detail'!BH319</f>
        <v>33</v>
      </c>
      <c r="Q16" s="34">
        <f>'EBI Downtime Detail'!AI318</f>
        <v>0</v>
      </c>
      <c r="R16" s="34">
        <f>'Filler Downtime Detail'!AK318</f>
        <v>4</v>
      </c>
      <c r="S16" s="34">
        <f>'Pasteurizer Downtime Detail'!Z316</f>
        <v>36</v>
      </c>
      <c r="T16" s="34">
        <f>'Labeler Downtime Detail'!AN314</f>
        <v>8</v>
      </c>
      <c r="U16" s="34">
        <f>'Videojet Downtime Detail '!O315</f>
        <v>0</v>
      </c>
      <c r="V16" s="34">
        <f>'Conveyor Downtime (new)'!AV316</f>
        <v>28</v>
      </c>
      <c r="W16" s="34">
        <f>'Packer Downtime Detail  '!AD315</f>
        <v>0</v>
      </c>
      <c r="X16" s="34">
        <f>'Carton Errector-sealer Detail'!P304</f>
        <v>0</v>
      </c>
      <c r="Y16" s="35"/>
      <c r="Z16" s="34">
        <f>18+3</f>
        <v>21</v>
      </c>
      <c r="AA16" s="90"/>
      <c r="AB16" s="90">
        <v>3</v>
      </c>
      <c r="AC16" s="89"/>
      <c r="AD16" s="44">
        <f t="shared" si="0"/>
        <v>133</v>
      </c>
      <c r="AE16" s="754">
        <f>G11-D10</f>
        <v>1.0104166666666667</v>
      </c>
      <c r="AH16" s="3"/>
      <c r="AI16" s="23"/>
      <c r="AJ16" s="23"/>
      <c r="AK16" s="54"/>
      <c r="AL16" s="3"/>
      <c r="AM16" s="3"/>
      <c r="AN16" s="3"/>
      <c r="AO16" s="3"/>
      <c r="AP16" s="3"/>
      <c r="AQ16" s="3"/>
      <c r="AR16" s="3"/>
      <c r="AS16" s="3"/>
      <c r="AT16" s="3"/>
      <c r="AU16" s="3"/>
      <c r="AV16" s="3"/>
      <c r="AW16" s="3"/>
      <c r="AX16" s="3"/>
    </row>
    <row r="17" spans="1:50">
      <c r="A17" s="481">
        <v>6</v>
      </c>
      <c r="B17" s="139">
        <f>[5]June_2026!$B17</f>
        <v>46197</v>
      </c>
      <c r="C17" s="78" t="str">
        <f>[5]June_2026!$D17</f>
        <v>CARIB AMBER</v>
      </c>
      <c r="D17" s="681"/>
      <c r="E17" s="80">
        <v>1.5625</v>
      </c>
      <c r="F17" s="80">
        <v>2</v>
      </c>
      <c r="G17" s="11">
        <v>2.0458333333333334</v>
      </c>
      <c r="H17" s="82"/>
      <c r="I17" s="32">
        <f>45+10</f>
        <v>55</v>
      </c>
      <c r="J17" s="86"/>
      <c r="K17" s="71"/>
      <c r="L17" s="71"/>
      <c r="M17" s="71"/>
      <c r="N17" s="71"/>
      <c r="O17" s="71">
        <f>'Uncaser Downtime Detail '!AG317</f>
        <v>0</v>
      </c>
      <c r="P17" s="71">
        <f>'Washer Downtime Detail'!BH320</f>
        <v>2</v>
      </c>
      <c r="Q17" s="71">
        <f>'EBI Downtime Detail'!AI319</f>
        <v>0</v>
      </c>
      <c r="R17" s="71">
        <f>'Filler Downtime Detail'!AK319</f>
        <v>0</v>
      </c>
      <c r="S17" s="71">
        <f>'Pasteurizer Downtime Detail'!Z317</f>
        <v>197</v>
      </c>
      <c r="T17" s="71">
        <f>'Labeler Downtime Detail'!AN315</f>
        <v>3</v>
      </c>
      <c r="U17" s="71">
        <f>'Videojet Downtime Detail '!O316</f>
        <v>0</v>
      </c>
      <c r="V17" s="71">
        <f>'Conveyor Downtime (new)'!AV317</f>
        <v>96</v>
      </c>
      <c r="W17" s="71">
        <f>'Packer Downtime Detail  '!AD316</f>
        <v>0</v>
      </c>
      <c r="X17" s="71">
        <f>'Carton Errector-sealer Detail'!P305</f>
        <v>0</v>
      </c>
      <c r="Y17" s="71"/>
      <c r="Z17" s="43">
        <f>26+3</f>
        <v>29</v>
      </c>
      <c r="AA17" s="88"/>
      <c r="AB17" s="88"/>
      <c r="AC17" s="71"/>
      <c r="AD17" s="44">
        <f t="shared" si="0"/>
        <v>382</v>
      </c>
      <c r="AE17" s="754"/>
      <c r="AH17" s="3"/>
      <c r="AI17" s="23"/>
      <c r="AJ17" s="23"/>
      <c r="AK17" s="54"/>
      <c r="AL17" s="3"/>
      <c r="AM17" s="3"/>
      <c r="AN17" s="3"/>
      <c r="AO17" s="3"/>
      <c r="AP17" s="3"/>
      <c r="AQ17" s="3"/>
      <c r="AR17" s="3"/>
      <c r="AS17" s="3"/>
      <c r="AT17" s="3"/>
      <c r="AU17" s="3"/>
      <c r="AV17" s="3"/>
      <c r="AW17" s="3"/>
      <c r="AX17" s="3"/>
    </row>
    <row r="18" spans="1:50">
      <c r="A18" s="481">
        <v>7</v>
      </c>
      <c r="B18" s="139">
        <f>[5]June_2026!$B18</f>
        <v>46198</v>
      </c>
      <c r="C18" s="78" t="str">
        <f>[5]June_2026!$D18</f>
        <v>CARIB AMBER</v>
      </c>
      <c r="D18" s="681">
        <v>1</v>
      </c>
      <c r="E18" s="80">
        <v>1.0083333333333333</v>
      </c>
      <c r="F18" s="80">
        <v>1.1000000000000001</v>
      </c>
      <c r="G18" s="11">
        <v>1.1534722222222222</v>
      </c>
      <c r="H18" s="14"/>
      <c r="I18" s="34"/>
      <c r="J18" s="35"/>
      <c r="K18" s="34"/>
      <c r="L18" s="34"/>
      <c r="M18" s="34"/>
      <c r="N18" s="34"/>
      <c r="O18" s="34">
        <f>'Uncaser Downtime Detail '!AG318</f>
        <v>0</v>
      </c>
      <c r="P18" s="34">
        <f>'Washer Downtime Detail'!BH321</f>
        <v>6</v>
      </c>
      <c r="Q18" s="34">
        <f>'EBI Downtime Detail'!AI320</f>
        <v>0</v>
      </c>
      <c r="R18" s="34">
        <f>'Filler Downtime Detail'!AK320</f>
        <v>1</v>
      </c>
      <c r="S18" s="34">
        <f>'Pasteurizer Downtime Detail'!Z318</f>
        <v>0</v>
      </c>
      <c r="T18" s="34">
        <f>'Labeler Downtime Detail'!AN316</f>
        <v>0</v>
      </c>
      <c r="U18" s="34">
        <f>'Videojet Downtime Detail '!O317</f>
        <v>0</v>
      </c>
      <c r="V18" s="34">
        <f>'Conveyor Downtime (new)'!AV318</f>
        <v>4</v>
      </c>
      <c r="W18" s="34">
        <f>'Packer Downtime Detail  '!AD317</f>
        <v>0</v>
      </c>
      <c r="X18" s="34">
        <f>'Carton Errector-sealer Detail'!P306</f>
        <v>0</v>
      </c>
      <c r="Y18" s="35"/>
      <c r="Z18" s="34">
        <f>12+4+3</f>
        <v>19</v>
      </c>
      <c r="AA18" s="90"/>
      <c r="AB18" s="90"/>
      <c r="AC18" s="89"/>
      <c r="AD18" s="44">
        <f t="shared" ref="AD18:AD56" si="2">SUM(H18:J18,K18:AB18)</f>
        <v>30</v>
      </c>
      <c r="AE18" s="754">
        <f>G21-D18</f>
        <v>1.036111111111111</v>
      </c>
      <c r="AH18" s="3"/>
      <c r="AI18" s="23"/>
      <c r="AJ18" s="23"/>
      <c r="AK18" s="54"/>
      <c r="AL18" s="3"/>
      <c r="AM18" s="3"/>
      <c r="AN18" s="3"/>
      <c r="AO18" s="3"/>
      <c r="AP18" s="3"/>
      <c r="AQ18" s="3"/>
      <c r="AR18" s="3"/>
      <c r="AS18" s="3"/>
      <c r="AT18" s="3"/>
      <c r="AU18" s="3"/>
      <c r="AV18" s="3"/>
      <c r="AW18" s="3"/>
      <c r="AX18" s="3"/>
    </row>
    <row r="19" spans="1:50" ht="13.5" customHeight="1">
      <c r="A19" s="481">
        <v>7</v>
      </c>
      <c r="B19" s="139">
        <f>[5]June_2026!$B19</f>
        <v>46198</v>
      </c>
      <c r="C19" s="78" t="str">
        <f>[5]June_2026!$D19</f>
        <v>STAG</v>
      </c>
      <c r="D19" s="681"/>
      <c r="E19" s="80">
        <v>1.1145833333333333</v>
      </c>
      <c r="F19" s="80">
        <v>1.6409722222222223</v>
      </c>
      <c r="G19" s="11"/>
      <c r="H19" s="82">
        <v>2</v>
      </c>
      <c r="I19" s="32">
        <f>21+6+2</f>
        <v>29</v>
      </c>
      <c r="J19" s="86">
        <f>4+1</f>
        <v>5</v>
      </c>
      <c r="K19" s="71">
        <f>8</f>
        <v>8</v>
      </c>
      <c r="L19" s="71">
        <f>18</f>
        <v>18</v>
      </c>
      <c r="M19" s="71"/>
      <c r="N19" s="71"/>
      <c r="O19" s="71">
        <f>'Uncaser Downtime Detail '!AG319</f>
        <v>0</v>
      </c>
      <c r="P19" s="71">
        <f>'Washer Downtime Detail'!BH322</f>
        <v>3</v>
      </c>
      <c r="Q19" s="71">
        <f>'EBI Downtime Detail'!AI321</f>
        <v>14</v>
      </c>
      <c r="R19" s="71">
        <f>'Filler Downtime Detail'!AK321</f>
        <v>11</v>
      </c>
      <c r="S19" s="71">
        <f>'Pasteurizer Downtime Detail'!Z319</f>
        <v>11</v>
      </c>
      <c r="T19" s="71">
        <f>'Labeler Downtime Detail'!AN317</f>
        <v>18</v>
      </c>
      <c r="U19" s="71">
        <f>'Videojet Downtime Detail '!O318</f>
        <v>0</v>
      </c>
      <c r="V19" s="71">
        <f>'Conveyor Downtime (new)'!AV319</f>
        <v>16</v>
      </c>
      <c r="W19" s="71">
        <f>'Packer Downtime Detail  '!AD318</f>
        <v>3</v>
      </c>
      <c r="X19" s="71">
        <f>'Carton Errector-sealer Detail'!P307</f>
        <v>0</v>
      </c>
      <c r="Y19" s="71"/>
      <c r="Z19" s="43">
        <f>9+21</f>
        <v>30</v>
      </c>
      <c r="AA19" s="88"/>
      <c r="AB19" s="88"/>
      <c r="AC19" s="71"/>
      <c r="AD19" s="44">
        <f t="shared" si="2"/>
        <v>168</v>
      </c>
      <c r="AE19" s="754"/>
      <c r="AH19" s="3"/>
      <c r="AI19" s="23"/>
      <c r="AJ19" s="23"/>
      <c r="AK19" s="54"/>
      <c r="AL19" s="3"/>
      <c r="AM19" s="3"/>
      <c r="AN19" s="3"/>
      <c r="AO19" s="3"/>
      <c r="AP19" s="3"/>
      <c r="AQ19" s="3"/>
      <c r="AR19" s="3"/>
      <c r="AS19" s="3"/>
      <c r="AT19" s="3"/>
      <c r="AU19" s="3"/>
      <c r="AV19" s="3"/>
      <c r="AW19" s="3"/>
      <c r="AX19" s="3"/>
    </row>
    <row r="20" spans="1:50">
      <c r="A20" s="481">
        <v>7</v>
      </c>
      <c r="B20" s="139">
        <f>[5]June_2026!$B20</f>
        <v>46198</v>
      </c>
      <c r="C20" s="78" t="str">
        <f>[5]June_2026!$D20</f>
        <v>CARIB FLINT</v>
      </c>
      <c r="D20" s="681"/>
      <c r="E20" s="80">
        <v>1.6666666666666667</v>
      </c>
      <c r="F20" s="80">
        <v>1.836111111111111</v>
      </c>
      <c r="G20" s="11"/>
      <c r="H20" s="14"/>
      <c r="I20" s="34">
        <f>37</f>
        <v>37</v>
      </c>
      <c r="J20" s="35"/>
      <c r="K20" s="34"/>
      <c r="L20" s="34"/>
      <c r="M20" s="34"/>
      <c r="N20" s="34"/>
      <c r="O20" s="34">
        <f>'Uncaser Downtime Detail '!AG320</f>
        <v>3</v>
      </c>
      <c r="P20" s="34">
        <f>'Washer Downtime Detail'!BH323</f>
        <v>5</v>
      </c>
      <c r="Q20" s="34">
        <f>'EBI Downtime Detail'!AI322</f>
        <v>2</v>
      </c>
      <c r="R20" s="34">
        <f>'Filler Downtime Detail'!AK322</f>
        <v>0</v>
      </c>
      <c r="S20" s="34">
        <f>'Pasteurizer Downtime Detail'!Z320</f>
        <v>27</v>
      </c>
      <c r="T20" s="34">
        <f>'Labeler Downtime Detail'!AN318</f>
        <v>4</v>
      </c>
      <c r="U20" s="34">
        <f>'Videojet Downtime Detail '!O319</f>
        <v>0</v>
      </c>
      <c r="V20" s="34">
        <f>'Conveyor Downtime (new)'!AV320</f>
        <v>5</v>
      </c>
      <c r="W20" s="34">
        <f>'Packer Downtime Detail  '!AD319</f>
        <v>0</v>
      </c>
      <c r="X20" s="34">
        <f>'Carton Errector-sealer Detail'!P308</f>
        <v>0</v>
      </c>
      <c r="Y20" s="35"/>
      <c r="Z20" s="34"/>
      <c r="AA20" s="90"/>
      <c r="AB20" s="90">
        <f>10</f>
        <v>10</v>
      </c>
      <c r="AC20" s="89"/>
      <c r="AD20" s="44">
        <f t="shared" si="2"/>
        <v>93</v>
      </c>
      <c r="AE20" s="754"/>
      <c r="AH20" s="3"/>
      <c r="AI20" s="23"/>
      <c r="AJ20" s="23"/>
      <c r="AK20" s="54"/>
      <c r="AL20" s="3"/>
      <c r="AM20" s="3"/>
      <c r="AN20" s="3"/>
      <c r="AO20" s="3"/>
      <c r="AP20" s="3"/>
      <c r="AQ20" s="3"/>
      <c r="AR20" s="3"/>
      <c r="AS20" s="3"/>
      <c r="AT20" s="3"/>
      <c r="AU20" s="3"/>
      <c r="AV20" s="3"/>
      <c r="AW20" s="3"/>
      <c r="AX20" s="3"/>
    </row>
    <row r="21" spans="1:50">
      <c r="A21" s="481">
        <v>7</v>
      </c>
      <c r="B21" s="139">
        <f>[5]June_2026!$B21</f>
        <v>46198</v>
      </c>
      <c r="C21" s="78" t="str">
        <f>[5]June_2026!$D21</f>
        <v>CARIB AMBER</v>
      </c>
      <c r="D21" s="681"/>
      <c r="E21" s="80">
        <v>1.8444444444444446</v>
      </c>
      <c r="F21" s="80">
        <v>2</v>
      </c>
      <c r="G21" s="11">
        <v>2.036111111111111</v>
      </c>
      <c r="H21" s="82"/>
      <c r="I21" s="32">
        <f>12</f>
        <v>12</v>
      </c>
      <c r="J21" s="86"/>
      <c r="K21" s="71"/>
      <c r="L21" s="71">
        <v>0</v>
      </c>
      <c r="M21" s="71"/>
      <c r="N21" s="71"/>
      <c r="O21" s="71">
        <f>'Uncaser Downtime Detail '!AG321</f>
        <v>10</v>
      </c>
      <c r="P21" s="71">
        <f>'Washer Downtime Detail'!BH324</f>
        <v>47</v>
      </c>
      <c r="Q21" s="71">
        <f>'EBI Downtime Detail'!AI323</f>
        <v>0</v>
      </c>
      <c r="R21" s="71">
        <f>'Filler Downtime Detail'!AK323</f>
        <v>0</v>
      </c>
      <c r="S21" s="71">
        <f>'Pasteurizer Downtime Detail'!Z321</f>
        <v>10</v>
      </c>
      <c r="T21" s="71">
        <f>'Labeler Downtime Detail'!AN319</f>
        <v>0</v>
      </c>
      <c r="U21" s="71">
        <f>'Videojet Downtime Detail '!O320</f>
        <v>0</v>
      </c>
      <c r="V21" s="71">
        <f>'Conveyor Downtime (new)'!AV321</f>
        <v>40</v>
      </c>
      <c r="W21" s="71">
        <f>'Packer Downtime Detail  '!AD320</f>
        <v>0</v>
      </c>
      <c r="X21" s="71">
        <f>'Carton Errector-sealer Detail'!P309</f>
        <v>0</v>
      </c>
      <c r="Y21" s="71"/>
      <c r="Z21" s="43">
        <v>2</v>
      </c>
      <c r="AA21" s="88"/>
      <c r="AB21" s="88"/>
      <c r="AC21" s="71"/>
      <c r="AD21" s="44">
        <f t="shared" ref="AD21:AD39" si="3">SUM(H21:J21,K21:AB21)</f>
        <v>121</v>
      </c>
      <c r="AE21" s="754"/>
      <c r="AH21" s="3"/>
      <c r="AI21" s="23"/>
      <c r="AJ21" s="23"/>
      <c r="AK21" s="54"/>
      <c r="AL21" s="3"/>
      <c r="AM21" s="3"/>
      <c r="AN21" s="3"/>
      <c r="AO21" s="3"/>
      <c r="AP21" s="3"/>
      <c r="AQ21" s="3"/>
      <c r="AR21" s="3"/>
      <c r="AS21" s="3"/>
      <c r="AT21" s="3"/>
      <c r="AU21" s="3"/>
      <c r="AV21" s="3"/>
      <c r="AW21" s="3"/>
      <c r="AX21" s="3"/>
    </row>
    <row r="22" spans="1:50">
      <c r="A22" s="481">
        <v>8</v>
      </c>
      <c r="B22" s="139">
        <f>[5]June_2026!$B22</f>
        <v>46199</v>
      </c>
      <c r="C22" s="78" t="str">
        <f>[5]June_2026!$D22</f>
        <v>CARIB AMBER</v>
      </c>
      <c r="D22" s="681">
        <v>1</v>
      </c>
      <c r="E22" s="80">
        <v>1.0173611111111112</v>
      </c>
      <c r="F22" s="80">
        <v>1.3125</v>
      </c>
      <c r="G22" s="11">
        <v>1.3680555555555556</v>
      </c>
      <c r="H22" s="14"/>
      <c r="I22" s="34"/>
      <c r="J22" s="35">
        <f>2</f>
        <v>2</v>
      </c>
      <c r="K22" s="34"/>
      <c r="L22" s="34">
        <f>17+8</f>
        <v>25</v>
      </c>
      <c r="M22" s="34"/>
      <c r="N22" s="34"/>
      <c r="O22" s="34">
        <f>'Uncaser Downtime Detail '!AG322</f>
        <v>0</v>
      </c>
      <c r="P22" s="34">
        <f>'Washer Downtime Detail'!BH325</f>
        <v>12</v>
      </c>
      <c r="Q22" s="34">
        <f>'EBI Downtime Detail'!AI324</f>
        <v>46</v>
      </c>
      <c r="R22" s="34">
        <f>'Filler Downtime Detail'!AK324</f>
        <v>1</v>
      </c>
      <c r="S22" s="34">
        <f>'Pasteurizer Downtime Detail'!Z322</f>
        <v>7</v>
      </c>
      <c r="T22" s="34">
        <f>'Labeler Downtime Detail'!AN320</f>
        <v>0</v>
      </c>
      <c r="U22" s="34">
        <f>'Videojet Downtime Detail '!O321</f>
        <v>0</v>
      </c>
      <c r="V22" s="34">
        <f>'Conveyor Downtime (new)'!AV322</f>
        <v>27</v>
      </c>
      <c r="W22" s="34">
        <f>'Packer Downtime Detail  '!AD321</f>
        <v>0</v>
      </c>
      <c r="X22" s="34">
        <f>'Carton Errector-sealer Detail'!P310</f>
        <v>0</v>
      </c>
      <c r="Y22" s="35"/>
      <c r="Z22" s="34"/>
      <c r="AA22" s="90"/>
      <c r="AB22" s="90">
        <f>5</f>
        <v>5</v>
      </c>
      <c r="AC22" s="89"/>
      <c r="AD22" s="44">
        <f t="shared" si="3"/>
        <v>125</v>
      </c>
      <c r="AE22" s="754">
        <f>G23-D22</f>
        <v>0.875</v>
      </c>
      <c r="AH22" s="3"/>
      <c r="AI22" s="23"/>
      <c r="AJ22" s="23"/>
      <c r="AK22" s="54"/>
      <c r="AL22" s="3"/>
      <c r="AM22" s="3"/>
      <c r="AN22" s="3"/>
      <c r="AO22" s="3"/>
      <c r="AP22" s="3"/>
      <c r="AQ22" s="3"/>
      <c r="AR22" s="3"/>
      <c r="AS22" s="3"/>
      <c r="AT22" s="3"/>
      <c r="AU22" s="3"/>
      <c r="AV22" s="3"/>
      <c r="AW22" s="3"/>
      <c r="AX22" s="3"/>
    </row>
    <row r="23" spans="1:50" s="77" customFormat="1" ht="14.1" customHeight="1">
      <c r="A23" s="610">
        <v>8</v>
      </c>
      <c r="B23" s="611">
        <f>[5]June_2026!$B23</f>
        <v>46199</v>
      </c>
      <c r="C23" s="612" t="str">
        <f>[5]June_2026!$D23</f>
        <v>TING</v>
      </c>
      <c r="D23" s="681"/>
      <c r="E23" s="83"/>
      <c r="F23" s="83"/>
      <c r="G23" s="178">
        <v>1.875</v>
      </c>
      <c r="H23" s="613"/>
      <c r="I23" s="87">
        <f>30+15</f>
        <v>45</v>
      </c>
      <c r="J23" s="614">
        <f>45+60</f>
        <v>105</v>
      </c>
      <c r="K23" s="615"/>
      <c r="L23" s="615"/>
      <c r="M23" s="615"/>
      <c r="N23" s="615"/>
      <c r="O23" s="615">
        <f>'Uncaser Downtime Detail '!AG324</f>
        <v>0</v>
      </c>
      <c r="P23" s="87">
        <f>'Washer Downtime Detail'!BH326</f>
        <v>0</v>
      </c>
      <c r="Q23" s="87">
        <f>'EBI Downtime Detail'!AI325</f>
        <v>0</v>
      </c>
      <c r="R23" s="87">
        <f>'Filler Downtime Detail'!AK325</f>
        <v>0</v>
      </c>
      <c r="S23" s="87">
        <f>'Pasteurizer Downtime Detail'!Z323</f>
        <v>660</v>
      </c>
      <c r="T23" s="87">
        <f>'Labeler Downtime Detail'!AN321</f>
        <v>0</v>
      </c>
      <c r="U23" s="87">
        <f>'Videojet Downtime Detail '!O322</f>
        <v>0</v>
      </c>
      <c r="V23" s="87">
        <f>'Conveyor Downtime (new)'!AV323</f>
        <v>0</v>
      </c>
      <c r="W23" s="87">
        <f>'Packer Downtime Detail  '!AD322</f>
        <v>0</v>
      </c>
      <c r="X23" s="615">
        <f>'Carton Errector-sealer Detail'!P312</f>
        <v>0</v>
      </c>
      <c r="Y23" s="615"/>
      <c r="Z23" s="149"/>
      <c r="AA23" s="616"/>
      <c r="AB23" s="616"/>
      <c r="AC23" s="615"/>
      <c r="AD23" s="617">
        <f t="shared" si="3"/>
        <v>810</v>
      </c>
      <c r="AE23" s="754"/>
      <c r="AH23" s="92"/>
      <c r="AI23" s="76"/>
      <c r="AJ23" s="76"/>
      <c r="AK23" s="618"/>
      <c r="AL23" s="92"/>
      <c r="AM23" s="92"/>
      <c r="AN23" s="92"/>
      <c r="AO23" s="92"/>
      <c r="AP23" s="92"/>
      <c r="AQ23" s="92"/>
      <c r="AR23" s="92"/>
      <c r="AS23" s="92"/>
      <c r="AT23" s="92"/>
      <c r="AU23" s="92"/>
      <c r="AV23" s="92"/>
      <c r="AW23" s="92"/>
      <c r="AX23" s="92"/>
    </row>
    <row r="24" spans="1:50">
      <c r="A24" s="481">
        <v>9</v>
      </c>
      <c r="B24" s="139">
        <f>[5]June_2026!$B24</f>
        <v>46200</v>
      </c>
      <c r="C24" s="78" t="str">
        <f>[5]June_2026!$D24</f>
        <v>CARIB AMBER</v>
      </c>
      <c r="D24" s="681">
        <v>0.29166666666666669</v>
      </c>
      <c r="E24" s="80">
        <v>0.50694444444444442</v>
      </c>
      <c r="F24" s="80">
        <v>0.71527777777777779</v>
      </c>
      <c r="G24" s="11">
        <v>0.34722222222222221</v>
      </c>
      <c r="H24" s="14"/>
      <c r="I24" s="34"/>
      <c r="J24" s="35">
        <f>10+4</f>
        <v>14</v>
      </c>
      <c r="K24" s="34">
        <v>37</v>
      </c>
      <c r="L24" s="34"/>
      <c r="M24" s="34"/>
      <c r="N24" s="34"/>
      <c r="O24" s="34">
        <f>'Uncaser Downtime Detail '!AG325</f>
        <v>0</v>
      </c>
      <c r="P24" s="34">
        <f>'Washer Downtime Detail'!BH327</f>
        <v>49</v>
      </c>
      <c r="Q24" s="34">
        <f>'EBI Downtime Detail'!AI326</f>
        <v>14</v>
      </c>
      <c r="R24" s="34">
        <f>'Filler Downtime Detail'!AK326</f>
        <v>0</v>
      </c>
      <c r="S24" s="34">
        <f>'Pasteurizer Downtime Detail'!Z324</f>
        <v>210</v>
      </c>
      <c r="T24" s="34">
        <f>'Labeler Downtime Detail'!AN322</f>
        <v>0</v>
      </c>
      <c r="U24" s="34">
        <f>'Videojet Downtime Detail '!O323</f>
        <v>0</v>
      </c>
      <c r="V24" s="34">
        <f>'Conveyor Downtime (new)'!AV324</f>
        <v>46</v>
      </c>
      <c r="W24" s="34">
        <f>'Packer Downtime Detail  '!AD323</f>
        <v>0</v>
      </c>
      <c r="X24" s="34">
        <f>'Carton Errector-sealer Detail'!P313</f>
        <v>0</v>
      </c>
      <c r="Y24" s="35"/>
      <c r="Z24" s="34">
        <f>23+21+60</f>
        <v>104</v>
      </c>
      <c r="AA24" s="90"/>
      <c r="AB24" s="90"/>
      <c r="AC24" s="89"/>
      <c r="AD24" s="44">
        <f t="shared" si="3"/>
        <v>474</v>
      </c>
      <c r="AE24" s="754">
        <f>G25-D24</f>
        <v>0.6645833333333333</v>
      </c>
      <c r="AH24" s="3"/>
      <c r="AI24" s="23"/>
      <c r="AJ24" s="23"/>
      <c r="AK24" s="54"/>
      <c r="AL24" s="3"/>
      <c r="AM24" s="3"/>
      <c r="AN24" s="3"/>
      <c r="AO24" s="3"/>
      <c r="AP24" s="3"/>
      <c r="AQ24" s="3"/>
      <c r="AR24" s="3"/>
      <c r="AS24" s="3"/>
      <c r="AT24" s="3"/>
      <c r="AU24" s="3"/>
      <c r="AV24" s="3"/>
      <c r="AW24" s="3"/>
      <c r="AX24" s="3"/>
    </row>
    <row r="25" spans="1:50">
      <c r="A25" s="7">
        <v>9</v>
      </c>
      <c r="B25" s="139">
        <f>[5]June_2026!$B25</f>
        <v>46200</v>
      </c>
      <c r="C25" s="78" t="str">
        <f>[5]June_2026!$D25</f>
        <v>STAG</v>
      </c>
      <c r="D25" s="681"/>
      <c r="E25" s="80">
        <v>0.72916666666666663</v>
      </c>
      <c r="F25" s="80">
        <v>0.91111111111111109</v>
      </c>
      <c r="G25" s="11">
        <v>0.95625000000000004</v>
      </c>
      <c r="H25" s="82"/>
      <c r="I25" s="32">
        <f>20</f>
        <v>20</v>
      </c>
      <c r="J25" s="86"/>
      <c r="K25" s="71"/>
      <c r="L25" s="71"/>
      <c r="M25" s="71"/>
      <c r="N25" s="71"/>
      <c r="O25" s="71">
        <f>'Uncaser Downtime Detail '!AG326</f>
        <v>0</v>
      </c>
      <c r="P25" s="32">
        <f>'Washer Downtime Detail'!BH328</f>
        <v>0</v>
      </c>
      <c r="Q25" s="32">
        <f>'EBI Downtime Detail'!AI327</f>
        <v>0</v>
      </c>
      <c r="R25" s="32">
        <f>'Filler Downtime Detail'!AK327</f>
        <v>0</v>
      </c>
      <c r="S25" s="32">
        <f>'Pasteurizer Downtime Detail'!Z325</f>
        <v>15</v>
      </c>
      <c r="T25" s="32">
        <f>'Labeler Downtime Detail'!AN323</f>
        <v>17</v>
      </c>
      <c r="U25" s="32">
        <f>'Videojet Downtime Detail '!O324</f>
        <v>0</v>
      </c>
      <c r="V25" s="32">
        <f>'Conveyor Downtime (new)'!AV325</f>
        <v>2</v>
      </c>
      <c r="W25" s="32">
        <f>'Packer Downtime Detail  '!AD324</f>
        <v>0</v>
      </c>
      <c r="X25" s="71">
        <f>'Carton Errector-sealer Detail'!P314</f>
        <v>0</v>
      </c>
      <c r="Y25" s="71"/>
      <c r="Z25" s="43"/>
      <c r="AA25" s="88"/>
      <c r="AB25" s="88"/>
      <c r="AC25" s="71"/>
      <c r="AD25" s="44">
        <f t="shared" si="3"/>
        <v>54</v>
      </c>
      <c r="AE25" s="754"/>
      <c r="AH25" s="3"/>
      <c r="AI25" s="23"/>
      <c r="AJ25" s="23"/>
      <c r="AK25" s="54"/>
      <c r="AL25" s="3"/>
      <c r="AM25" s="3"/>
      <c r="AN25" s="3"/>
      <c r="AO25" s="3"/>
      <c r="AP25" s="3"/>
      <c r="AQ25" s="3"/>
      <c r="AR25" s="3"/>
      <c r="AS25" s="3"/>
      <c r="AT25" s="3"/>
      <c r="AU25" s="3"/>
      <c r="AV25" s="3"/>
      <c r="AW25" s="3"/>
      <c r="AX25" s="3"/>
    </row>
    <row r="26" spans="1:50">
      <c r="A26" s="7">
        <v>10</v>
      </c>
      <c r="B26" s="139">
        <f>[5]June_2026!$B26</f>
        <v>46202</v>
      </c>
      <c r="C26" s="78" t="str">
        <f>[5]June_2026!$D26</f>
        <v>STAG</v>
      </c>
      <c r="D26" s="681">
        <v>1</v>
      </c>
      <c r="E26" s="80">
        <v>1.1041666666666667</v>
      </c>
      <c r="F26" s="80">
        <v>1.3381944444444445</v>
      </c>
      <c r="G26" s="11">
        <v>1.4173611111111111</v>
      </c>
      <c r="H26" s="14"/>
      <c r="I26" s="34"/>
      <c r="J26" s="35"/>
      <c r="K26" s="34"/>
      <c r="L26" s="34">
        <f>3</f>
        <v>3</v>
      </c>
      <c r="M26" s="34"/>
      <c r="N26" s="34"/>
      <c r="O26" s="34">
        <f>'Uncaser Downtime Detail '!AG327</f>
        <v>0</v>
      </c>
      <c r="P26" s="34">
        <f>'Washer Downtime Detail'!BH329</f>
        <v>6</v>
      </c>
      <c r="Q26" s="34">
        <f>'EBI Downtime Detail'!AI328</f>
        <v>4</v>
      </c>
      <c r="R26" s="34">
        <f>'Filler Downtime Detail'!AK328</f>
        <v>0</v>
      </c>
      <c r="S26" s="34">
        <f>'Pasteurizer Downtime Detail'!Z326</f>
        <v>72</v>
      </c>
      <c r="T26" s="34">
        <f>'Labeler Downtime Detail'!AN324</f>
        <v>0</v>
      </c>
      <c r="U26" s="34">
        <f>'Videojet Downtime Detail '!O325</f>
        <v>24</v>
      </c>
      <c r="V26" s="34">
        <f>'Conveyor Downtime (new)'!AV326</f>
        <v>2</v>
      </c>
      <c r="W26" s="34">
        <f>'Packer Downtime Detail  '!AD325</f>
        <v>6</v>
      </c>
      <c r="X26" s="34">
        <f>'Carton Errector-sealer Detail'!P315</f>
        <v>0</v>
      </c>
      <c r="Y26" s="35"/>
      <c r="Z26" s="34">
        <f>18+6</f>
        <v>24</v>
      </c>
      <c r="AA26" s="90"/>
      <c r="AB26" s="90"/>
      <c r="AC26" s="89"/>
      <c r="AD26" s="44">
        <f t="shared" si="3"/>
        <v>141</v>
      </c>
      <c r="AE26" s="754">
        <f>G28-D26</f>
        <v>1.0277777777777777</v>
      </c>
      <c r="AH26" s="3"/>
      <c r="AI26" s="23"/>
      <c r="AJ26" s="23"/>
      <c r="AK26" s="54"/>
      <c r="AL26" s="3"/>
      <c r="AM26" s="3"/>
      <c r="AN26" s="3"/>
      <c r="AO26" s="3"/>
      <c r="AP26" s="3"/>
      <c r="AQ26" s="3"/>
      <c r="AR26" s="3"/>
      <c r="AS26" s="3"/>
      <c r="AT26" s="3"/>
      <c r="AU26" s="3"/>
      <c r="AV26" s="3"/>
      <c r="AW26" s="3"/>
      <c r="AX26" s="3"/>
    </row>
    <row r="27" spans="1:50">
      <c r="A27" s="7">
        <v>10</v>
      </c>
      <c r="B27" s="139">
        <f>[5]June_2026!$B27</f>
        <v>46202</v>
      </c>
      <c r="C27" s="78" t="str">
        <f>[5]June_2026!$D27</f>
        <v>TING</v>
      </c>
      <c r="D27" s="681"/>
      <c r="E27" s="80">
        <v>1.4680555555555554</v>
      </c>
      <c r="F27" s="80">
        <v>1.663888888888889</v>
      </c>
      <c r="G27" s="11">
        <v>0.71527777777777779</v>
      </c>
      <c r="H27" s="82"/>
      <c r="I27" s="32">
        <f>53</f>
        <v>53</v>
      </c>
      <c r="J27" s="86">
        <f>9</f>
        <v>9</v>
      </c>
      <c r="K27" s="71"/>
      <c r="L27" s="71">
        <f>9+6+7</f>
        <v>22</v>
      </c>
      <c r="M27" s="71">
        <f>19</f>
        <v>19</v>
      </c>
      <c r="N27" s="71"/>
      <c r="O27" s="71">
        <f>'Uncaser Downtime Detail '!AG328</f>
        <v>0</v>
      </c>
      <c r="P27" s="32">
        <f>'Washer Downtime Detail'!BH330</f>
        <v>0</v>
      </c>
      <c r="Q27" s="32">
        <f>'EBI Downtime Detail'!AI329</f>
        <v>0</v>
      </c>
      <c r="R27" s="32">
        <f>'Filler Downtime Detail'!AK329</f>
        <v>1</v>
      </c>
      <c r="S27" s="32">
        <f>'Pasteurizer Downtime Detail'!Z327</f>
        <v>65</v>
      </c>
      <c r="T27" s="32">
        <f>'Labeler Downtime Detail'!AN325</f>
        <v>0</v>
      </c>
      <c r="U27" s="32">
        <f>'Videojet Downtime Detail '!O326</f>
        <v>0</v>
      </c>
      <c r="V27" s="32">
        <f>'Conveyor Downtime (new)'!AV327</f>
        <v>4</v>
      </c>
      <c r="W27" s="32">
        <f>'Packer Downtime Detail  '!AD326</f>
        <v>0</v>
      </c>
      <c r="X27" s="71">
        <f>'Carton Errector-sealer Detail'!P316</f>
        <v>0</v>
      </c>
      <c r="Y27" s="71"/>
      <c r="Z27" s="43">
        <f>60+5</f>
        <v>65</v>
      </c>
      <c r="AA27" s="88">
        <v>3</v>
      </c>
      <c r="AB27" s="88">
        <f>13</f>
        <v>13</v>
      </c>
      <c r="AC27" s="71"/>
      <c r="AD27" s="44">
        <f t="shared" si="3"/>
        <v>254</v>
      </c>
      <c r="AE27" s="754"/>
      <c r="AH27" s="3"/>
      <c r="AI27" s="23"/>
      <c r="AJ27" s="23"/>
      <c r="AK27" s="54"/>
      <c r="AL27" s="3"/>
      <c r="AM27" s="3"/>
      <c r="AN27" s="3"/>
      <c r="AO27" s="3"/>
      <c r="AP27" s="3"/>
      <c r="AQ27" s="3"/>
      <c r="AR27" s="3"/>
      <c r="AS27" s="3"/>
      <c r="AT27" s="3"/>
      <c r="AU27" s="3"/>
      <c r="AV27" s="3"/>
      <c r="AW27" s="3"/>
      <c r="AX27" s="3"/>
    </row>
    <row r="28" spans="1:50">
      <c r="A28" s="7">
        <v>10</v>
      </c>
      <c r="B28" s="139">
        <f>[5]June_2026!$B28</f>
        <v>46202</v>
      </c>
      <c r="C28" s="78" t="str">
        <f>[5]June_2026!$D28</f>
        <v>GINSENG UP ORIGINAL</v>
      </c>
      <c r="D28" s="681"/>
      <c r="E28" s="80">
        <v>1.7749999999999999</v>
      </c>
      <c r="F28" s="80">
        <v>1.976388888888889</v>
      </c>
      <c r="G28" s="11">
        <v>2.0277777777777777</v>
      </c>
      <c r="H28" s="14">
        <v>4</v>
      </c>
      <c r="I28" s="34">
        <f>20+20+20</f>
        <v>60</v>
      </c>
      <c r="J28" s="35"/>
      <c r="K28" s="34"/>
      <c r="L28" s="34"/>
      <c r="M28" s="34">
        <v>20</v>
      </c>
      <c r="N28" s="34"/>
      <c r="O28" s="34">
        <f>'Uncaser Downtime Detail '!AG329</f>
        <v>0</v>
      </c>
      <c r="P28" s="34">
        <f>'Washer Downtime Detail'!BH331</f>
        <v>5</v>
      </c>
      <c r="Q28" s="34">
        <f>'EBI Downtime Detail'!AI330</f>
        <v>66</v>
      </c>
      <c r="R28" s="34">
        <f>'Filler Downtime Detail'!AK330</f>
        <v>28</v>
      </c>
      <c r="S28" s="34">
        <f>'Pasteurizer Downtime Detail'!Z328</f>
        <v>19</v>
      </c>
      <c r="T28" s="34">
        <f>'Labeler Downtime Detail'!AN326</f>
        <v>0</v>
      </c>
      <c r="U28" s="34">
        <f>'Videojet Downtime Detail '!O327</f>
        <v>0</v>
      </c>
      <c r="V28" s="34">
        <f>'Conveyor Downtime (new)'!AV328</f>
        <v>0</v>
      </c>
      <c r="W28" s="34">
        <f>'Packer Downtime Detail  '!AD327</f>
        <v>0</v>
      </c>
      <c r="X28" s="34">
        <f>'Carton Errector-sealer Detail'!P317</f>
        <v>0</v>
      </c>
      <c r="Y28" s="35"/>
      <c r="Z28" s="34">
        <f>40+15</f>
        <v>55</v>
      </c>
      <c r="AA28" s="90"/>
      <c r="AB28" s="90"/>
      <c r="AC28" s="89"/>
      <c r="AD28" s="44">
        <f t="shared" si="3"/>
        <v>257</v>
      </c>
      <c r="AE28" s="754"/>
      <c r="AH28" s="3"/>
      <c r="AI28" s="23"/>
      <c r="AJ28" s="23"/>
      <c r="AK28" s="54"/>
      <c r="AL28" s="3"/>
      <c r="AM28" s="3"/>
      <c r="AN28" s="3"/>
      <c r="AO28" s="3"/>
      <c r="AP28" s="3"/>
      <c r="AQ28" s="3"/>
      <c r="AR28" s="3"/>
      <c r="AS28" s="3"/>
      <c r="AT28" s="3"/>
      <c r="AU28" s="3"/>
      <c r="AV28" s="3"/>
      <c r="AW28" s="3"/>
      <c r="AX28" s="3"/>
    </row>
    <row r="29" spans="1:50">
      <c r="A29" s="7">
        <v>11</v>
      </c>
      <c r="B29" s="139">
        <f>[5]June_2026!$B29</f>
        <v>46203</v>
      </c>
      <c r="C29" s="78" t="str">
        <f>[5]June_2026!$D29</f>
        <v>STAG</v>
      </c>
      <c r="D29" s="681">
        <v>1</v>
      </c>
      <c r="E29" s="80">
        <v>1.2569444444444444</v>
      </c>
      <c r="F29" s="80">
        <v>1.398611111111111</v>
      </c>
      <c r="G29" s="11">
        <v>1.4520833333333334</v>
      </c>
      <c r="H29" s="82"/>
      <c r="I29" s="32">
        <f>60+60+40</f>
        <v>160</v>
      </c>
      <c r="J29" s="86"/>
      <c r="K29" s="71"/>
      <c r="L29" s="71">
        <f>10</f>
        <v>10</v>
      </c>
      <c r="M29" s="71"/>
      <c r="N29" s="71"/>
      <c r="O29" s="71">
        <f>'Uncaser Downtime Detail '!AG330</f>
        <v>0</v>
      </c>
      <c r="P29" s="32">
        <f>'Washer Downtime Detail'!BH332</f>
        <v>9</v>
      </c>
      <c r="Q29" s="32">
        <f>'EBI Downtime Detail'!AI331</f>
        <v>11</v>
      </c>
      <c r="R29" s="32">
        <f>'Filler Downtime Detail'!AK331</f>
        <v>0</v>
      </c>
      <c r="S29" s="32">
        <f>'Pasteurizer Downtime Detail'!Z329</f>
        <v>200</v>
      </c>
      <c r="T29" s="32">
        <f>'Labeler Downtime Detail'!AN327</f>
        <v>0</v>
      </c>
      <c r="U29" s="32">
        <f>'Videojet Downtime Detail '!O328</f>
        <v>0</v>
      </c>
      <c r="V29" s="32">
        <f>'Conveyor Downtime (new)'!AV329</f>
        <v>0</v>
      </c>
      <c r="W29" s="32">
        <f>'Packer Downtime Detail  '!AD328</f>
        <v>0</v>
      </c>
      <c r="X29" s="71">
        <f>'Carton Errector-sealer Detail'!P318</f>
        <v>0</v>
      </c>
      <c r="Y29" s="71"/>
      <c r="Z29" s="43">
        <f>10</f>
        <v>10</v>
      </c>
      <c r="AA29" s="88"/>
      <c r="AB29" s="88"/>
      <c r="AC29" s="71"/>
      <c r="AD29" s="44">
        <f t="shared" si="3"/>
        <v>400</v>
      </c>
      <c r="AE29" s="754">
        <f>G30-D29</f>
        <v>1.0277777777777777</v>
      </c>
      <c r="AH29" s="3"/>
      <c r="AI29" s="23"/>
      <c r="AJ29" s="23"/>
      <c r="AK29" s="54"/>
      <c r="AL29" s="3"/>
      <c r="AM29" s="3"/>
      <c r="AN29" s="3"/>
      <c r="AO29" s="3"/>
      <c r="AP29" s="3"/>
      <c r="AQ29" s="3"/>
      <c r="AR29" s="3"/>
      <c r="AS29" s="3"/>
      <c r="AT29" s="3"/>
      <c r="AU29" s="3"/>
      <c r="AV29" s="3"/>
      <c r="AW29" s="3"/>
      <c r="AX29" s="3"/>
    </row>
    <row r="30" spans="1:50">
      <c r="A30" s="7">
        <v>11</v>
      </c>
      <c r="B30" s="139">
        <f>[5]June_2026!$B30</f>
        <v>46203</v>
      </c>
      <c r="C30" s="78" t="str">
        <f>[5]June_2026!$D30</f>
        <v>CARIB AMBER</v>
      </c>
      <c r="D30" s="681"/>
      <c r="E30" s="80">
        <v>1.4097222222222223</v>
      </c>
      <c r="F30" s="80">
        <v>1.9618055555555556</v>
      </c>
      <c r="G30" s="11">
        <v>2.0277777777777777</v>
      </c>
      <c r="H30" s="14">
        <f>11</f>
        <v>11</v>
      </c>
      <c r="I30" s="34">
        <f>16+11</f>
        <v>27</v>
      </c>
      <c r="J30" s="35"/>
      <c r="K30" s="34"/>
      <c r="L30" s="34"/>
      <c r="M30" s="34"/>
      <c r="N30" s="34"/>
      <c r="O30" s="34">
        <f>'Uncaser Downtime Detail '!AG331</f>
        <v>0</v>
      </c>
      <c r="P30" s="34">
        <f>'Washer Downtime Detail'!BH333</f>
        <v>10</v>
      </c>
      <c r="Q30" s="34">
        <f>'EBI Downtime Detail'!AI332</f>
        <v>68</v>
      </c>
      <c r="R30" s="34">
        <f>'Filler Downtime Detail'!AK332</f>
        <v>6</v>
      </c>
      <c r="S30" s="34">
        <f>'Pasteurizer Downtime Detail'!Z330</f>
        <v>0</v>
      </c>
      <c r="T30" s="34">
        <f>'Labeler Downtime Detail'!AN328</f>
        <v>0</v>
      </c>
      <c r="U30" s="34">
        <f>'Videojet Downtime Detail '!O329</f>
        <v>30</v>
      </c>
      <c r="V30" s="34">
        <f>'Conveyor Downtime (new)'!AV330</f>
        <v>21</v>
      </c>
      <c r="W30" s="34">
        <f>'Packer Downtime Detail  '!AD329</f>
        <v>0</v>
      </c>
      <c r="X30" s="34">
        <f>'Carton Errector-sealer Detail'!P319</f>
        <v>0</v>
      </c>
      <c r="Y30" s="35"/>
      <c r="Z30" s="34">
        <f>18+6</f>
        <v>24</v>
      </c>
      <c r="AA30" s="90"/>
      <c r="AB30" s="90">
        <f>4+6</f>
        <v>10</v>
      </c>
      <c r="AC30" s="89"/>
      <c r="AD30" s="44">
        <f t="shared" si="3"/>
        <v>207</v>
      </c>
      <c r="AE30" s="754"/>
      <c r="AH30" s="3"/>
      <c r="AI30" s="23"/>
      <c r="AJ30" s="23"/>
      <c r="AK30" s="54"/>
      <c r="AL30" s="3"/>
      <c r="AM30" s="3"/>
      <c r="AN30" s="3"/>
      <c r="AO30" s="3"/>
      <c r="AP30" s="3"/>
      <c r="AQ30" s="3"/>
      <c r="AR30" s="3"/>
      <c r="AS30" s="3"/>
      <c r="AT30" s="3"/>
      <c r="AU30" s="3"/>
      <c r="AV30" s="3"/>
      <c r="AW30" s="3"/>
      <c r="AX30" s="3"/>
    </row>
    <row r="31" spans="1:50">
      <c r="A31" s="7"/>
      <c r="B31" s="139">
        <f>[5]June_2026!$B31</f>
        <v>0</v>
      </c>
      <c r="C31" s="78">
        <f>[5]June_2026!$D31</f>
        <v>0</v>
      </c>
      <c r="D31" s="85"/>
      <c r="E31" s="80"/>
      <c r="F31" s="80"/>
      <c r="G31" s="11"/>
      <c r="H31" s="82"/>
      <c r="I31" s="32"/>
      <c r="J31" s="86"/>
      <c r="K31" s="71"/>
      <c r="L31" s="71"/>
      <c r="M31" s="71"/>
      <c r="N31" s="71"/>
      <c r="O31" s="71">
        <f>'Uncaser Downtime Detail '!AG332</f>
        <v>0</v>
      </c>
      <c r="P31" s="32">
        <f>'Washer Downtime Detail'!BH334</f>
        <v>0</v>
      </c>
      <c r="Q31" s="32">
        <f>'EBI Downtime Detail'!AI333</f>
        <v>0</v>
      </c>
      <c r="R31" s="32">
        <f>'Filler Downtime Detail'!AK333</f>
        <v>0</v>
      </c>
      <c r="S31" s="32">
        <f>'Pasteurizer Downtime Detail'!Z331</f>
        <v>0</v>
      </c>
      <c r="T31" s="32">
        <f>'Labeler Downtime Detail'!AN329</f>
        <v>0</v>
      </c>
      <c r="U31" s="32">
        <f>'Videojet Downtime Detail '!O330</f>
        <v>0</v>
      </c>
      <c r="V31" s="32">
        <f>'Conveyor Downtime (new)'!AV331</f>
        <v>0</v>
      </c>
      <c r="W31" s="32">
        <f>'Packer Downtime Detail  '!AD330</f>
        <v>0</v>
      </c>
      <c r="X31" s="71">
        <f>'Carton Errector-sealer Detail'!P320</f>
        <v>0</v>
      </c>
      <c r="Y31" s="71"/>
      <c r="Z31" s="43"/>
      <c r="AA31" s="88"/>
      <c r="AB31" s="88"/>
      <c r="AC31" s="71"/>
      <c r="AD31" s="44">
        <f t="shared" si="3"/>
        <v>0</v>
      </c>
      <c r="AE31" s="91">
        <f>G32-D31</f>
        <v>0</v>
      </c>
      <c r="AH31" s="3"/>
      <c r="AI31" s="23"/>
      <c r="AJ31" s="23"/>
      <c r="AK31" s="54"/>
      <c r="AL31" s="3"/>
      <c r="AM31" s="3"/>
      <c r="AN31" s="3"/>
      <c r="AO31" s="3"/>
      <c r="AP31" s="3"/>
      <c r="AQ31" s="3"/>
      <c r="AR31" s="3"/>
      <c r="AS31" s="3"/>
      <c r="AT31" s="3"/>
      <c r="AU31" s="3"/>
      <c r="AV31" s="3"/>
      <c r="AW31" s="3"/>
      <c r="AX31" s="3"/>
    </row>
    <row r="32" spans="1:50">
      <c r="A32" s="7"/>
      <c r="B32" s="139">
        <f>[5]June_2026!$B32</f>
        <v>0</v>
      </c>
      <c r="C32" s="78">
        <f>[5]June_2026!$D32</f>
        <v>0</v>
      </c>
      <c r="D32" s="85"/>
      <c r="E32" s="80"/>
      <c r="F32" s="80"/>
      <c r="G32" s="11"/>
      <c r="H32" s="14"/>
      <c r="I32" s="34"/>
      <c r="J32" s="35"/>
      <c r="K32" s="34"/>
      <c r="L32" s="34"/>
      <c r="M32" s="34"/>
      <c r="N32" s="34"/>
      <c r="O32" s="34">
        <f>'Uncaser Downtime Detail '!AG333</f>
        <v>0</v>
      </c>
      <c r="P32" s="34">
        <f>'Washer Downtime Detail'!BH335</f>
        <v>0</v>
      </c>
      <c r="Q32" s="34">
        <f>'EBI Downtime Detail'!AI334</f>
        <v>0</v>
      </c>
      <c r="R32" s="34">
        <f>'Filler Downtime Detail'!AK334</f>
        <v>0</v>
      </c>
      <c r="S32" s="34">
        <f>'Pasteurizer Downtime Detail'!Z332</f>
        <v>0</v>
      </c>
      <c r="T32" s="34">
        <f>'Labeler Downtime Detail'!AN330</f>
        <v>0</v>
      </c>
      <c r="U32" s="34">
        <f>'Videojet Downtime Detail '!O331</f>
        <v>0</v>
      </c>
      <c r="V32" s="34">
        <f>'Conveyor Downtime (new)'!AV332</f>
        <v>0</v>
      </c>
      <c r="W32" s="34">
        <f>'Packer Downtime Detail  '!AD331</f>
        <v>0</v>
      </c>
      <c r="X32" s="34">
        <f>'Carton Errector-sealer Detail'!P321</f>
        <v>0</v>
      </c>
      <c r="Y32" s="35"/>
      <c r="Z32" s="34"/>
      <c r="AA32" s="90"/>
      <c r="AB32" s="90"/>
      <c r="AC32" s="89"/>
      <c r="AD32" s="44">
        <f t="shared" si="3"/>
        <v>0</v>
      </c>
      <c r="AE32" s="91"/>
      <c r="AH32" s="3"/>
      <c r="AI32" s="23"/>
      <c r="AJ32" s="23"/>
      <c r="AK32" s="54"/>
      <c r="AL32" s="3"/>
      <c r="AM32" s="3"/>
      <c r="AN32" s="3"/>
      <c r="AO32" s="3"/>
      <c r="AP32" s="3"/>
      <c r="AQ32" s="3"/>
      <c r="AR32" s="3"/>
      <c r="AS32" s="3"/>
      <c r="AT32" s="3"/>
      <c r="AU32" s="3"/>
      <c r="AV32" s="3"/>
      <c r="AW32" s="3"/>
      <c r="AX32" s="3"/>
    </row>
    <row r="33" spans="1:50" ht="12" hidden="1" customHeight="1">
      <c r="A33" s="7"/>
      <c r="B33" s="139">
        <f>[5]June_2026!$B33</f>
        <v>0</v>
      </c>
      <c r="C33" s="78">
        <f>[5]June_2026!$D33</f>
        <v>0</v>
      </c>
      <c r="D33" s="85"/>
      <c r="E33" s="80"/>
      <c r="F33" s="80"/>
      <c r="G33" s="11"/>
      <c r="H33" s="82"/>
      <c r="I33" s="32"/>
      <c r="J33" s="86"/>
      <c r="K33" s="71"/>
      <c r="L33" s="71"/>
      <c r="M33" s="71"/>
      <c r="N33" s="71"/>
      <c r="O33" s="71">
        <f>'Uncaser Downtime Detail '!AG334</f>
        <v>0</v>
      </c>
      <c r="P33" s="32">
        <f>'Washer Downtime Detail'!BH336</f>
        <v>0</v>
      </c>
      <c r="Q33" s="32">
        <f>'EBI Downtime Detail'!AI335</f>
        <v>0</v>
      </c>
      <c r="R33" s="32">
        <f>'Filler Downtime Detail'!AK335</f>
        <v>0</v>
      </c>
      <c r="S33" s="32">
        <f>'Pasteurizer Downtime Detail'!Z333</f>
        <v>0</v>
      </c>
      <c r="T33" s="32">
        <f>'Labeler Downtime Detail'!AN331</f>
        <v>0</v>
      </c>
      <c r="U33" s="32">
        <f>'Videojet Downtime Detail '!O332</f>
        <v>0</v>
      </c>
      <c r="V33" s="32">
        <f>'Conveyor Downtime (new)'!AV333</f>
        <v>0</v>
      </c>
      <c r="W33" s="32">
        <f>'Packer Downtime Detail  '!AD332</f>
        <v>0</v>
      </c>
      <c r="X33" s="71">
        <f>'Carton Errector-sealer Detail'!P322</f>
        <v>0</v>
      </c>
      <c r="Y33" s="71"/>
      <c r="Z33" s="43"/>
      <c r="AA33" s="88"/>
      <c r="AB33" s="88"/>
      <c r="AC33" s="71"/>
      <c r="AD33" s="44">
        <f t="shared" si="3"/>
        <v>0</v>
      </c>
      <c r="AE33" s="91">
        <f>G35-D33</f>
        <v>0</v>
      </c>
      <c r="AH33" s="3"/>
      <c r="AI33" s="23"/>
      <c r="AJ33" s="23"/>
      <c r="AK33" s="54"/>
      <c r="AL33" s="3"/>
      <c r="AM33" s="3"/>
      <c r="AN33" s="3"/>
      <c r="AO33" s="3"/>
      <c r="AP33" s="3"/>
      <c r="AQ33" s="3"/>
      <c r="AR33" s="3"/>
      <c r="AS33" s="3"/>
      <c r="AT33" s="3"/>
      <c r="AU33" s="3"/>
      <c r="AV33" s="3"/>
      <c r="AW33" s="3"/>
      <c r="AX33" s="3"/>
    </row>
    <row r="34" spans="1:50" hidden="1">
      <c r="A34" s="7"/>
      <c r="B34" s="139">
        <f>[5]June_2026!$B34</f>
        <v>0</v>
      </c>
      <c r="C34" s="78">
        <f>[5]June_2026!$D34</f>
        <v>0</v>
      </c>
      <c r="D34" s="85"/>
      <c r="E34" s="80"/>
      <c r="F34" s="80"/>
      <c r="G34" s="11"/>
      <c r="H34" s="14"/>
      <c r="I34" s="34"/>
      <c r="J34" s="35"/>
      <c r="K34" s="34"/>
      <c r="L34" s="34"/>
      <c r="M34" s="34"/>
      <c r="N34" s="34"/>
      <c r="O34" s="34">
        <f>'Uncaser Downtime Detail '!AG335</f>
        <v>0</v>
      </c>
      <c r="P34" s="34">
        <f>'Washer Downtime Detail'!BH337</f>
        <v>0</v>
      </c>
      <c r="Q34" s="34">
        <f>'EBI Downtime Detail'!AI336</f>
        <v>0</v>
      </c>
      <c r="R34" s="34">
        <f>'Filler Downtime Detail'!AK336</f>
        <v>0</v>
      </c>
      <c r="S34" s="34">
        <f>'Pasteurizer Downtime Detail'!Z334</f>
        <v>0</v>
      </c>
      <c r="T34" s="34">
        <f>'Labeler Downtime Detail'!AN332</f>
        <v>0</v>
      </c>
      <c r="U34" s="34">
        <f>'Videojet Downtime Detail '!O333</f>
        <v>0</v>
      </c>
      <c r="V34" s="34">
        <f>'Conveyor Downtime (new)'!AV334</f>
        <v>0</v>
      </c>
      <c r="W34" s="34">
        <f>'Packer Downtime Detail  '!AD333</f>
        <v>0</v>
      </c>
      <c r="X34" s="34">
        <f>'Carton Errector-sealer Detail'!P323</f>
        <v>0</v>
      </c>
      <c r="Y34" s="35"/>
      <c r="Z34" s="34"/>
      <c r="AA34" s="90"/>
      <c r="AB34" s="90"/>
      <c r="AC34" s="89"/>
      <c r="AD34" s="44">
        <f t="shared" si="3"/>
        <v>0</v>
      </c>
      <c r="AE34" s="91"/>
      <c r="AH34" s="3"/>
      <c r="AI34" s="23"/>
      <c r="AJ34" s="23"/>
      <c r="AK34" s="54"/>
      <c r="AL34" s="3"/>
      <c r="AM34" s="3"/>
      <c r="AN34" s="3"/>
      <c r="AO34" s="3"/>
      <c r="AP34" s="3"/>
      <c r="AQ34" s="3"/>
      <c r="AR34" s="3"/>
      <c r="AS34" s="3"/>
      <c r="AT34" s="3"/>
      <c r="AU34" s="3"/>
      <c r="AV34" s="3"/>
      <c r="AW34" s="3"/>
      <c r="AX34" s="3"/>
    </row>
    <row r="35" spans="1:50" hidden="1">
      <c r="A35" s="7"/>
      <c r="B35" s="139">
        <f>[5]June_2026!$B35</f>
        <v>0</v>
      </c>
      <c r="C35" s="78">
        <f>[5]June_2026!$D35</f>
        <v>0</v>
      </c>
      <c r="D35" s="85"/>
      <c r="E35" s="80"/>
      <c r="F35" s="80"/>
      <c r="G35" s="11"/>
      <c r="H35" s="82"/>
      <c r="I35" s="32"/>
      <c r="J35" s="86"/>
      <c r="K35" s="71"/>
      <c r="L35" s="71"/>
      <c r="M35" s="71"/>
      <c r="N35" s="71"/>
      <c r="O35" s="71">
        <f>'Uncaser Downtime Detail '!AG336</f>
        <v>0</v>
      </c>
      <c r="P35" s="71">
        <f>'Washer Downtime Detail'!BH339</f>
        <v>0</v>
      </c>
      <c r="Q35" s="32">
        <f>'EBI Downtime Detail'!AI337</f>
        <v>0</v>
      </c>
      <c r="R35" s="71"/>
      <c r="S35" s="71">
        <f>'Pasteurizer Downtime Detail'!Z336</f>
        <v>0</v>
      </c>
      <c r="T35" s="71">
        <f>'Labeler Downtime Detail'!AN334</f>
        <v>0</v>
      </c>
      <c r="U35" s="71">
        <f>'Videojet Downtime Detail '!O335</f>
        <v>0</v>
      </c>
      <c r="V35" s="71">
        <f>'Conveyor Downtime (new)'!AV336</f>
        <v>0</v>
      </c>
      <c r="W35" s="71">
        <f>'Packer Downtime Detail  '!AD335</f>
        <v>0</v>
      </c>
      <c r="X35" s="71">
        <f>'Carton Errector-sealer Detail'!P324</f>
        <v>0</v>
      </c>
      <c r="Y35" s="71"/>
      <c r="Z35" s="43"/>
      <c r="AA35" s="88"/>
      <c r="AB35" s="88"/>
      <c r="AC35" s="71"/>
      <c r="AD35" s="44">
        <f t="shared" si="3"/>
        <v>0</v>
      </c>
      <c r="AE35" s="91"/>
      <c r="AH35" s="3"/>
      <c r="AI35" s="23"/>
      <c r="AJ35" s="23"/>
      <c r="AK35" s="54"/>
      <c r="AL35" s="3"/>
      <c r="AM35" s="3"/>
      <c r="AN35" s="3"/>
      <c r="AO35" s="3"/>
      <c r="AP35" s="3"/>
      <c r="AQ35" s="3"/>
      <c r="AR35" s="3"/>
      <c r="AS35" s="3"/>
      <c r="AT35" s="3"/>
      <c r="AU35" s="3"/>
      <c r="AV35" s="3"/>
      <c r="AW35" s="3"/>
      <c r="AX35" s="3"/>
    </row>
    <row r="36" spans="1:50" hidden="1">
      <c r="A36" s="7"/>
      <c r="B36" s="139">
        <f>[5]June_2026!$B36</f>
        <v>0</v>
      </c>
      <c r="C36" s="78"/>
      <c r="D36" s="85"/>
      <c r="E36" s="80"/>
      <c r="F36" s="80"/>
      <c r="G36" s="11"/>
      <c r="H36" s="14"/>
      <c r="I36" s="34"/>
      <c r="J36" s="35"/>
      <c r="K36" s="34"/>
      <c r="L36" s="34"/>
      <c r="M36" s="34"/>
      <c r="N36" s="34"/>
      <c r="O36" s="34">
        <f>'Uncaser Downtime Detail '!AG337</f>
        <v>0</v>
      </c>
      <c r="P36" s="34">
        <f>'Washer Downtime Detail'!BH340</f>
        <v>0</v>
      </c>
      <c r="Q36" s="34">
        <f>'EBI Downtime Detail'!AI338</f>
        <v>0</v>
      </c>
      <c r="R36" s="34">
        <f>'Filler Downtime Detail'!AK339</f>
        <v>0</v>
      </c>
      <c r="S36" s="34">
        <f>'Pasteurizer Downtime Detail'!Z337</f>
        <v>0</v>
      </c>
      <c r="T36" s="34">
        <f>'Labeler Downtime Detail'!AN335</f>
        <v>0</v>
      </c>
      <c r="U36" s="34">
        <f>'Videojet Downtime Detail '!O336</f>
        <v>0</v>
      </c>
      <c r="V36" s="34">
        <f>'Conveyor Downtime (new)'!AV337</f>
        <v>0</v>
      </c>
      <c r="W36" s="34">
        <f>'Packer Downtime Detail  '!AD336</f>
        <v>0</v>
      </c>
      <c r="X36" s="34">
        <f>'Carton Errector-sealer Detail'!P325</f>
        <v>0</v>
      </c>
      <c r="Y36" s="35"/>
      <c r="Z36" s="34"/>
      <c r="AA36" s="90"/>
      <c r="AB36" s="90"/>
      <c r="AC36" s="89"/>
      <c r="AD36" s="44">
        <f t="shared" si="3"/>
        <v>0</v>
      </c>
      <c r="AE36" s="91">
        <f>G37-D36</f>
        <v>0</v>
      </c>
      <c r="AH36" s="3"/>
      <c r="AI36" s="23"/>
      <c r="AJ36" s="23"/>
      <c r="AK36" s="54"/>
      <c r="AL36" s="3"/>
      <c r="AM36" s="3"/>
      <c r="AN36" s="3"/>
      <c r="AO36" s="3"/>
      <c r="AP36" s="3"/>
      <c r="AQ36" s="3"/>
      <c r="AR36" s="3"/>
      <c r="AS36" s="3"/>
      <c r="AT36" s="3"/>
      <c r="AU36" s="3"/>
      <c r="AV36" s="3"/>
      <c r="AW36" s="3"/>
      <c r="AX36" s="3"/>
    </row>
    <row r="37" spans="1:50" hidden="1">
      <c r="A37" s="7"/>
      <c r="B37" s="139">
        <f>[5]June_2026!$B37</f>
        <v>0</v>
      </c>
      <c r="C37" s="78"/>
      <c r="D37" s="85"/>
      <c r="E37" s="80"/>
      <c r="F37" s="80"/>
      <c r="G37" s="11"/>
      <c r="H37" s="82"/>
      <c r="I37" s="32"/>
      <c r="J37" s="86"/>
      <c r="K37" s="71"/>
      <c r="L37" s="71"/>
      <c r="M37" s="71"/>
      <c r="N37" s="71"/>
      <c r="O37" s="71">
        <f>'Uncaser Downtime Detail '!AG338</f>
        <v>0</v>
      </c>
      <c r="P37" s="71">
        <f>'Washer Downtime Detail'!BH341</f>
        <v>0</v>
      </c>
      <c r="Q37" s="32">
        <f>'EBI Downtime Detail'!AI339</f>
        <v>0</v>
      </c>
      <c r="R37" s="71">
        <f>'Filler Downtime Detail'!AK340</f>
        <v>0</v>
      </c>
      <c r="S37" s="71">
        <f>'Pasteurizer Downtime Detail'!Z338</f>
        <v>0</v>
      </c>
      <c r="T37" s="71">
        <f>'Labeler Downtime Detail'!AN336</f>
        <v>0</v>
      </c>
      <c r="U37" s="71">
        <f>'Videojet Downtime Detail '!O337</f>
        <v>0</v>
      </c>
      <c r="V37" s="71">
        <f>'Conveyor Downtime (new)'!AV338</f>
        <v>0</v>
      </c>
      <c r="W37" s="71">
        <f>'Packer Downtime Detail  '!AD337</f>
        <v>0</v>
      </c>
      <c r="X37" s="71">
        <f>'Carton Errector-sealer Detail'!P326</f>
        <v>0</v>
      </c>
      <c r="Y37" s="71"/>
      <c r="Z37" s="43"/>
      <c r="AA37" s="88"/>
      <c r="AB37" s="88"/>
      <c r="AC37" s="71"/>
      <c r="AD37" s="44">
        <f t="shared" si="3"/>
        <v>0</v>
      </c>
      <c r="AE37" s="91"/>
      <c r="AH37" s="3"/>
      <c r="AI37" s="23"/>
      <c r="AJ37" s="23"/>
      <c r="AK37" s="54"/>
      <c r="AL37" s="3"/>
      <c r="AM37" s="3"/>
      <c r="AN37" s="3"/>
      <c r="AO37" s="3"/>
      <c r="AP37" s="3"/>
      <c r="AQ37" s="3"/>
      <c r="AR37" s="3"/>
      <c r="AS37" s="3"/>
      <c r="AT37" s="3"/>
      <c r="AU37" s="3"/>
      <c r="AV37" s="3"/>
      <c r="AW37" s="3"/>
      <c r="AX37" s="3"/>
    </row>
    <row r="38" spans="1:50" hidden="1">
      <c r="A38" s="7"/>
      <c r="B38" s="139">
        <f>[5]June_2026!$B38</f>
        <v>0</v>
      </c>
      <c r="C38" s="78"/>
      <c r="D38" s="85"/>
      <c r="E38" s="80"/>
      <c r="F38" s="80"/>
      <c r="G38" s="11"/>
      <c r="H38" s="14"/>
      <c r="I38" s="34"/>
      <c r="J38" s="35"/>
      <c r="K38" s="34"/>
      <c r="L38" s="34"/>
      <c r="M38" s="34"/>
      <c r="N38" s="34"/>
      <c r="O38" s="34">
        <f>'Uncaser Downtime Detail '!AG339</f>
        <v>0</v>
      </c>
      <c r="P38" s="34">
        <f>'Washer Downtime Detail'!BH342</f>
        <v>0</v>
      </c>
      <c r="Q38" s="34">
        <f>'EBI Downtime Detail'!AI340</f>
        <v>0</v>
      </c>
      <c r="R38" s="34">
        <f>'Filler Downtime Detail'!AK341</f>
        <v>0</v>
      </c>
      <c r="S38" s="34">
        <f>'Pasteurizer Downtime Detail'!Z339</f>
        <v>0</v>
      </c>
      <c r="T38" s="34">
        <f>'Labeler Downtime Detail'!AN337</f>
        <v>0</v>
      </c>
      <c r="U38" s="34">
        <f>'Videojet Downtime Detail '!O338</f>
        <v>0</v>
      </c>
      <c r="V38" s="34">
        <f>'Conveyor Downtime (new)'!AV339</f>
        <v>0</v>
      </c>
      <c r="W38" s="34">
        <f>'Packer Downtime Detail  '!AD338</f>
        <v>0</v>
      </c>
      <c r="X38" s="34">
        <f>'Carton Errector-sealer Detail'!P327</f>
        <v>0</v>
      </c>
      <c r="Y38" s="35"/>
      <c r="Z38" s="34"/>
      <c r="AA38" s="90"/>
      <c r="AB38" s="90"/>
      <c r="AC38" s="89"/>
      <c r="AD38" s="44">
        <f t="shared" si="3"/>
        <v>0</v>
      </c>
      <c r="AE38" s="45">
        <f>G38-D38</f>
        <v>0</v>
      </c>
      <c r="AH38" s="3"/>
      <c r="AI38" s="23"/>
      <c r="AJ38" s="23"/>
      <c r="AK38" s="54"/>
      <c r="AL38" s="3"/>
      <c r="AM38" s="3"/>
      <c r="AN38" s="3"/>
      <c r="AO38" s="3"/>
      <c r="AP38" s="3"/>
      <c r="AQ38" s="3"/>
      <c r="AR38" s="3"/>
      <c r="AS38" s="3"/>
      <c r="AT38" s="3"/>
      <c r="AU38" s="3"/>
      <c r="AV38" s="3"/>
      <c r="AW38" s="3"/>
      <c r="AX38" s="3"/>
    </row>
    <row r="39" spans="1:50" hidden="1">
      <c r="A39" s="7"/>
      <c r="B39" s="139">
        <f>[5]June_2026!$B39</f>
        <v>0</v>
      </c>
      <c r="C39" s="78"/>
      <c r="D39" s="85"/>
      <c r="E39" s="80"/>
      <c r="F39" s="80"/>
      <c r="G39" s="11"/>
      <c r="H39" s="82"/>
      <c r="I39" s="32"/>
      <c r="J39" s="86"/>
      <c r="K39" s="71"/>
      <c r="L39" s="71"/>
      <c r="M39" s="71"/>
      <c r="N39" s="71"/>
      <c r="O39" s="71">
        <f>'Uncaser Downtime Detail '!AG340</f>
        <v>0</v>
      </c>
      <c r="P39" s="71">
        <f>'Washer Downtime Detail'!BH343</f>
        <v>0</v>
      </c>
      <c r="Q39" s="32">
        <f>'EBI Downtime Detail'!AI341</f>
        <v>0</v>
      </c>
      <c r="R39" s="71">
        <f>'Filler Downtime Detail'!AK342</f>
        <v>0</v>
      </c>
      <c r="S39" s="71">
        <f>'Pasteurizer Downtime Detail'!Z340</f>
        <v>0</v>
      </c>
      <c r="T39" s="71">
        <f>'Labeler Downtime Detail'!AN338</f>
        <v>0</v>
      </c>
      <c r="U39" s="71">
        <f>'Videojet Downtime Detail '!O339</f>
        <v>0</v>
      </c>
      <c r="V39" s="71">
        <f>'Conveyor Downtime (new)'!AV340</f>
        <v>0</v>
      </c>
      <c r="W39" s="71">
        <f>'Packer Downtime Detail  '!AD339</f>
        <v>0</v>
      </c>
      <c r="X39" s="71">
        <f>'Carton Errector-sealer Detail'!P328</f>
        <v>0</v>
      </c>
      <c r="Y39" s="71"/>
      <c r="Z39" s="43"/>
      <c r="AA39" s="88"/>
      <c r="AB39" s="88"/>
      <c r="AC39" s="71"/>
      <c r="AD39" s="44">
        <f t="shared" si="3"/>
        <v>0</v>
      </c>
      <c r="AE39" s="754">
        <f>G40-D39</f>
        <v>0</v>
      </c>
      <c r="AH39" s="3"/>
      <c r="AI39" s="23"/>
      <c r="AJ39" s="23"/>
      <c r="AK39" s="54"/>
      <c r="AL39" s="3"/>
      <c r="AM39" s="3"/>
      <c r="AN39" s="3"/>
      <c r="AO39" s="3"/>
      <c r="AP39" s="3"/>
      <c r="AQ39" s="3"/>
      <c r="AR39" s="3"/>
      <c r="AS39" s="3"/>
      <c r="AT39" s="3"/>
      <c r="AU39" s="3"/>
      <c r="AV39" s="3"/>
      <c r="AW39" s="3"/>
      <c r="AX39" s="3"/>
    </row>
    <row r="40" spans="1:50" hidden="1">
      <c r="A40" s="7"/>
      <c r="B40" s="139">
        <f>[5]June_2026!$B40</f>
        <v>0</v>
      </c>
      <c r="C40" s="78"/>
      <c r="D40" s="85"/>
      <c r="E40" s="80"/>
      <c r="F40" s="80"/>
      <c r="G40" s="11"/>
      <c r="H40" s="14"/>
      <c r="I40" s="34"/>
      <c r="J40" s="35"/>
      <c r="K40" s="34"/>
      <c r="L40" s="34"/>
      <c r="M40" s="34"/>
      <c r="N40" s="34"/>
      <c r="O40" s="34">
        <f>'Uncaser Downtime Detail '!AG341</f>
        <v>0</v>
      </c>
      <c r="P40" s="34">
        <f>'Washer Downtime Detail'!BH344</f>
        <v>0</v>
      </c>
      <c r="Q40" s="34">
        <f>'EBI Downtime Detail'!AI343</f>
        <v>0</v>
      </c>
      <c r="R40" s="34">
        <f>'Filler Downtime Detail'!AK343</f>
        <v>0</v>
      </c>
      <c r="S40" s="34">
        <f>'Pasteurizer Downtime Detail'!Z341</f>
        <v>0</v>
      </c>
      <c r="T40" s="34">
        <f>'Labeler Downtime Detail'!AN339</f>
        <v>0</v>
      </c>
      <c r="U40" s="34">
        <f>'Videojet Downtime Detail '!O340</f>
        <v>0</v>
      </c>
      <c r="V40" s="34">
        <f>'Conveyor Downtime (new)'!AV341</f>
        <v>0</v>
      </c>
      <c r="W40" s="34">
        <f>'Packer Downtime Detail  '!AD340</f>
        <v>0</v>
      </c>
      <c r="X40" s="34">
        <f>'Carton Errector-sealer Detail'!P329</f>
        <v>0</v>
      </c>
      <c r="Y40" s="35"/>
      <c r="Z40" s="34"/>
      <c r="AA40" s="90"/>
      <c r="AB40" s="90"/>
      <c r="AC40" s="89"/>
      <c r="AD40" s="44">
        <f t="shared" si="2"/>
        <v>0</v>
      </c>
      <c r="AE40" s="754"/>
      <c r="AH40" s="3"/>
      <c r="AI40" s="23"/>
      <c r="AJ40" s="23"/>
      <c r="AK40" s="54"/>
      <c r="AL40" s="3"/>
      <c r="AM40" s="3"/>
      <c r="AN40" s="3"/>
      <c r="AO40" s="3"/>
      <c r="AP40" s="3"/>
      <c r="AQ40" s="3"/>
      <c r="AR40" s="3"/>
      <c r="AS40" s="3"/>
      <c r="AT40" s="3"/>
      <c r="AU40" s="3"/>
      <c r="AV40" s="3"/>
      <c r="AW40" s="3"/>
      <c r="AX40" s="3"/>
    </row>
    <row r="41" spans="1:50" hidden="1">
      <c r="A41" s="7"/>
      <c r="B41" s="139">
        <f>[5]June_2026!$B41</f>
        <v>0</v>
      </c>
      <c r="C41" s="78"/>
      <c r="D41" s="85"/>
      <c r="E41" s="80"/>
      <c r="F41" s="80"/>
      <c r="G41" s="11"/>
      <c r="H41" s="82"/>
      <c r="I41" s="32"/>
      <c r="J41" s="86"/>
      <c r="K41" s="71"/>
      <c r="L41" s="71"/>
      <c r="M41" s="71"/>
      <c r="N41" s="71"/>
      <c r="O41" s="71">
        <f>'Uncaser Downtime Detail '!AG342</f>
        <v>0</v>
      </c>
      <c r="P41" s="71">
        <f>'Washer Downtime Detail'!BH345</f>
        <v>0</v>
      </c>
      <c r="Q41" s="71">
        <f>'EBI Downtime Detail'!AI344</f>
        <v>0</v>
      </c>
      <c r="R41" s="71">
        <f>'Filler Downtime Detail'!AK344</f>
        <v>0</v>
      </c>
      <c r="S41" s="71">
        <f>'Pasteurizer Downtime Detail'!Z342</f>
        <v>0</v>
      </c>
      <c r="T41" s="71">
        <f>'Labeler Downtime Detail'!AN340</f>
        <v>0</v>
      </c>
      <c r="U41" s="71">
        <f>'Videojet Downtime Detail '!O341</f>
        <v>0</v>
      </c>
      <c r="V41" s="71">
        <f>'Conveyor Downtime (new)'!AV342</f>
        <v>0</v>
      </c>
      <c r="W41" s="71">
        <f>'Packer Downtime Detail  '!AD341</f>
        <v>0</v>
      </c>
      <c r="X41" s="71">
        <f>'Carton Errector-sealer Detail'!P330</f>
        <v>0</v>
      </c>
      <c r="Y41" s="71"/>
      <c r="Z41" s="43"/>
      <c r="AA41" s="88"/>
      <c r="AB41" s="88"/>
      <c r="AC41" s="71"/>
      <c r="AD41" s="44">
        <f t="shared" si="2"/>
        <v>0</v>
      </c>
      <c r="AE41" s="754">
        <f>G44-D41</f>
        <v>0</v>
      </c>
      <c r="AH41" s="3"/>
      <c r="AI41" s="23"/>
      <c r="AJ41" s="23"/>
      <c r="AK41" s="54"/>
      <c r="AL41" s="3"/>
      <c r="AM41" s="3"/>
      <c r="AN41" s="3"/>
      <c r="AO41" s="3"/>
      <c r="AP41" s="3"/>
      <c r="AQ41" s="3"/>
      <c r="AR41" s="3"/>
      <c r="AS41" s="3"/>
      <c r="AT41" s="3"/>
      <c r="AU41" s="3"/>
      <c r="AV41" s="3"/>
      <c r="AW41" s="3"/>
      <c r="AX41" s="3"/>
    </row>
    <row r="42" spans="1:50" hidden="1">
      <c r="A42" s="7"/>
      <c r="B42" s="139">
        <f>[5]June_2026!$B42</f>
        <v>0</v>
      </c>
      <c r="C42" s="78"/>
      <c r="D42" s="85"/>
      <c r="E42" s="80"/>
      <c r="F42" s="80"/>
      <c r="G42" s="11"/>
      <c r="H42" s="14"/>
      <c r="I42" s="34"/>
      <c r="J42" s="35"/>
      <c r="K42" s="34"/>
      <c r="L42" s="34"/>
      <c r="M42" s="34"/>
      <c r="N42" s="34"/>
      <c r="O42" s="34">
        <f>'Uncaser Downtime Detail '!AG343</f>
        <v>0</v>
      </c>
      <c r="P42" s="34">
        <f>'Washer Downtime Detail'!BH346</f>
        <v>0</v>
      </c>
      <c r="Q42" s="34">
        <f>'EBI Downtime Detail'!AI345</f>
        <v>0</v>
      </c>
      <c r="R42" s="34">
        <f>'Filler Downtime Detail'!AK345</f>
        <v>0</v>
      </c>
      <c r="S42" s="34">
        <f>'Pasteurizer Downtime Detail'!Z343</f>
        <v>0</v>
      </c>
      <c r="T42" s="34">
        <f>'Labeler Downtime Detail'!AN341</f>
        <v>0</v>
      </c>
      <c r="U42" s="34">
        <f>'Videojet Downtime Detail '!O342</f>
        <v>0</v>
      </c>
      <c r="V42" s="34">
        <f>'Conveyor Downtime (new)'!AV343</f>
        <v>0</v>
      </c>
      <c r="W42" s="34">
        <f>'Packer Downtime Detail  '!AD342</f>
        <v>0</v>
      </c>
      <c r="X42" s="34">
        <f>'Carton Errector-sealer Detail'!P331</f>
        <v>0</v>
      </c>
      <c r="Y42" s="35"/>
      <c r="Z42" s="34"/>
      <c r="AA42" s="90"/>
      <c r="AB42" s="90"/>
      <c r="AC42" s="89"/>
      <c r="AD42" s="44">
        <f t="shared" si="2"/>
        <v>0</v>
      </c>
      <c r="AE42" s="754"/>
      <c r="AH42" s="3"/>
      <c r="AI42" s="23"/>
      <c r="AJ42" s="23"/>
      <c r="AK42" s="54"/>
      <c r="AL42" s="3"/>
      <c r="AM42" s="3"/>
      <c r="AN42" s="3"/>
      <c r="AO42" s="3"/>
      <c r="AP42" s="3"/>
      <c r="AQ42" s="3"/>
      <c r="AR42" s="3"/>
      <c r="AS42" s="3"/>
      <c r="AT42" s="3"/>
      <c r="AU42" s="3"/>
      <c r="AV42" s="3"/>
      <c r="AW42" s="3"/>
      <c r="AX42" s="3"/>
    </row>
    <row r="43" spans="1:50" hidden="1">
      <c r="A43" s="7"/>
      <c r="B43" s="139"/>
      <c r="C43" s="78"/>
      <c r="D43" s="85"/>
      <c r="E43" s="80"/>
      <c r="F43" s="80"/>
      <c r="G43" s="11"/>
      <c r="H43" s="82"/>
      <c r="I43" s="32"/>
      <c r="J43" s="86"/>
      <c r="K43" s="71"/>
      <c r="L43" s="71"/>
      <c r="M43" s="71"/>
      <c r="N43" s="71"/>
      <c r="O43" s="71">
        <f>'Uncaser Downtime Detail '!AG344</f>
        <v>0</v>
      </c>
      <c r="P43" s="71">
        <f>'Washer Downtime Detail'!BH347</f>
        <v>0</v>
      </c>
      <c r="Q43" s="71">
        <f>'EBI Downtime Detail'!AI346</f>
        <v>0</v>
      </c>
      <c r="R43" s="71">
        <f>'Filler Downtime Detail'!AK346</f>
        <v>0</v>
      </c>
      <c r="S43" s="71">
        <f>'Pasteurizer Downtime Detail'!Z344</f>
        <v>0</v>
      </c>
      <c r="T43" s="71">
        <f>'Labeler Downtime Detail'!AN342</f>
        <v>0</v>
      </c>
      <c r="U43" s="71">
        <f>'Videojet Downtime Detail '!O343</f>
        <v>0</v>
      </c>
      <c r="V43" s="71">
        <f>'Conveyor Downtime (new)'!AV344</f>
        <v>0</v>
      </c>
      <c r="W43" s="71">
        <f>'Packer Downtime Detail  '!AD343</f>
        <v>0</v>
      </c>
      <c r="X43" s="71">
        <f>'Carton Errector-sealer Detail'!P332</f>
        <v>0</v>
      </c>
      <c r="Y43" s="71"/>
      <c r="Z43" s="43"/>
      <c r="AA43" s="88"/>
      <c r="AB43" s="88"/>
      <c r="AC43" s="71"/>
      <c r="AD43" s="44">
        <f t="shared" si="2"/>
        <v>0</v>
      </c>
      <c r="AE43" s="754"/>
      <c r="AH43" s="3"/>
      <c r="AI43" s="23"/>
      <c r="AJ43" s="23"/>
      <c r="AK43" s="54"/>
      <c r="AL43" s="3"/>
      <c r="AM43" s="3"/>
      <c r="AN43" s="3"/>
      <c r="AO43" s="3"/>
      <c r="AP43" s="3"/>
      <c r="AQ43" s="3"/>
      <c r="AR43" s="3"/>
      <c r="AS43" s="3"/>
      <c r="AT43" s="3"/>
      <c r="AU43" s="3"/>
      <c r="AV43" s="3"/>
      <c r="AW43" s="3"/>
      <c r="AX43" s="3"/>
    </row>
    <row r="44" spans="1:50" hidden="1">
      <c r="A44" s="7"/>
      <c r="B44" s="139"/>
      <c r="C44" s="78"/>
      <c r="D44" s="85"/>
      <c r="E44" s="80"/>
      <c r="F44" s="80"/>
      <c r="G44" s="11"/>
      <c r="H44" s="14"/>
      <c r="I44" s="34"/>
      <c r="J44" s="35"/>
      <c r="K44" s="34"/>
      <c r="L44" s="34"/>
      <c r="M44" s="34"/>
      <c r="N44" s="34"/>
      <c r="O44" s="34">
        <f>'Uncaser Downtime Detail '!AG345</f>
        <v>0</v>
      </c>
      <c r="P44" s="34">
        <f>'Washer Downtime Detail'!BH348</f>
        <v>0</v>
      </c>
      <c r="Q44" s="34">
        <f>'EBI Downtime Detail'!AI347</f>
        <v>0</v>
      </c>
      <c r="R44" s="34">
        <f>'Filler Downtime Detail'!AK347</f>
        <v>0</v>
      </c>
      <c r="S44" s="34">
        <f>'Pasteurizer Downtime Detail'!Z345</f>
        <v>0</v>
      </c>
      <c r="T44" s="34">
        <f>'Labeler Downtime Detail'!AN343</f>
        <v>0</v>
      </c>
      <c r="U44" s="34">
        <f>'Videojet Downtime Detail '!O344</f>
        <v>0</v>
      </c>
      <c r="V44" s="34">
        <f>'Conveyor Downtime (new)'!AV345</f>
        <v>0</v>
      </c>
      <c r="W44" s="34">
        <f>'Packer Downtime Detail  '!AD344</f>
        <v>0</v>
      </c>
      <c r="X44" s="34">
        <f>'Carton Errector-sealer Detail'!P333</f>
        <v>0</v>
      </c>
      <c r="Y44" s="35"/>
      <c r="Z44" s="34"/>
      <c r="AA44" s="90"/>
      <c r="AB44" s="90"/>
      <c r="AC44" s="89"/>
      <c r="AD44" s="44">
        <f t="shared" si="2"/>
        <v>0</v>
      </c>
      <c r="AE44" s="754"/>
      <c r="AH44" s="3"/>
      <c r="AI44" s="23"/>
      <c r="AJ44" s="23"/>
      <c r="AK44" s="54"/>
      <c r="AL44" s="3"/>
      <c r="AM44" s="3"/>
      <c r="AN44" s="3"/>
      <c r="AO44" s="3"/>
      <c r="AP44" s="3"/>
      <c r="AQ44" s="3"/>
      <c r="AR44" s="3"/>
      <c r="AS44" s="3"/>
      <c r="AT44" s="3"/>
      <c r="AU44" s="3"/>
      <c r="AV44" s="3"/>
      <c r="AW44" s="3"/>
      <c r="AX44" s="3"/>
    </row>
    <row r="45" spans="1:50" ht="13.35" hidden="1" customHeight="1">
      <c r="A45" s="7"/>
      <c r="B45" s="139"/>
      <c r="C45" s="78"/>
      <c r="D45" s="85"/>
      <c r="E45" s="80"/>
      <c r="F45" s="80"/>
      <c r="G45" s="11"/>
      <c r="H45" s="82"/>
      <c r="I45" s="32"/>
      <c r="J45" s="86"/>
      <c r="K45" s="71"/>
      <c r="L45" s="71"/>
      <c r="M45" s="71"/>
      <c r="N45" s="71"/>
      <c r="O45" s="71">
        <f>'Uncaser Downtime Detail '!AG346</f>
        <v>0</v>
      </c>
      <c r="P45" s="71">
        <f>'Washer Downtime Detail'!BH349</f>
        <v>0</v>
      </c>
      <c r="Q45" s="71">
        <f>'EBI Downtime Detail'!AI348</f>
        <v>0</v>
      </c>
      <c r="R45" s="71">
        <f>'Filler Downtime Detail'!AK348</f>
        <v>0</v>
      </c>
      <c r="S45" s="71">
        <f>'Pasteurizer Downtime Detail'!Z346</f>
        <v>0</v>
      </c>
      <c r="T45" s="71">
        <f>'Labeler Downtime Detail'!AN344</f>
        <v>0</v>
      </c>
      <c r="U45" s="71">
        <f>'Videojet Downtime Detail '!O345</f>
        <v>0</v>
      </c>
      <c r="V45" s="71">
        <f>'Conveyor Downtime (new)'!AV346</f>
        <v>0</v>
      </c>
      <c r="W45" s="71">
        <f>'Packer Downtime Detail  '!AD345</f>
        <v>0</v>
      </c>
      <c r="X45" s="71">
        <f>'Carton Errector-sealer Detail'!P334</f>
        <v>0</v>
      </c>
      <c r="Y45" s="71"/>
      <c r="Z45" s="43"/>
      <c r="AA45" s="88"/>
      <c r="AB45" s="88"/>
      <c r="AC45" s="71"/>
      <c r="AD45" s="44">
        <f t="shared" si="2"/>
        <v>0</v>
      </c>
      <c r="AE45" s="754">
        <f>G47-D45</f>
        <v>0</v>
      </c>
      <c r="AH45" s="3"/>
      <c r="AI45" s="23"/>
      <c r="AJ45" s="23"/>
      <c r="AK45" s="54"/>
      <c r="AL45" s="3"/>
      <c r="AM45" s="3"/>
      <c r="AN45" s="3"/>
      <c r="AO45" s="3"/>
      <c r="AP45" s="3"/>
      <c r="AQ45" s="3"/>
      <c r="AR45" s="3"/>
      <c r="AS45" s="3"/>
      <c r="AT45" s="3"/>
      <c r="AU45" s="3"/>
      <c r="AV45" s="3"/>
      <c r="AW45" s="3"/>
      <c r="AX45" s="3"/>
    </row>
    <row r="46" spans="1:50" hidden="1">
      <c r="A46" s="7"/>
      <c r="B46" s="139"/>
      <c r="C46" s="78"/>
      <c r="D46" s="85"/>
      <c r="E46" s="80"/>
      <c r="F46" s="80"/>
      <c r="G46" s="11"/>
      <c r="H46" s="14"/>
      <c r="I46" s="34"/>
      <c r="J46" s="35"/>
      <c r="K46" s="34"/>
      <c r="L46" s="34"/>
      <c r="M46" s="34"/>
      <c r="N46" s="34"/>
      <c r="O46" s="34">
        <f>'Uncaser Downtime Detail '!AG347</f>
        <v>0</v>
      </c>
      <c r="P46" s="34">
        <f>'Washer Downtime Detail'!BH350</f>
        <v>0</v>
      </c>
      <c r="Q46" s="34">
        <f>'EBI Downtime Detail'!AI349</f>
        <v>0</v>
      </c>
      <c r="R46" s="34">
        <f>'Filler Downtime Detail'!AK349</f>
        <v>0</v>
      </c>
      <c r="S46" s="34">
        <f>'Pasteurizer Downtime Detail'!Z347</f>
        <v>0</v>
      </c>
      <c r="T46" s="34">
        <f>'Labeler Downtime Detail'!AN345</f>
        <v>0</v>
      </c>
      <c r="U46" s="34">
        <f>'Videojet Downtime Detail '!O346</f>
        <v>0</v>
      </c>
      <c r="V46" s="34">
        <f>'Conveyor Downtime (new)'!AV347</f>
        <v>0</v>
      </c>
      <c r="W46" s="34">
        <f>'Packer Downtime Detail  '!AD346</f>
        <v>0</v>
      </c>
      <c r="X46" s="34"/>
      <c r="Y46" s="35"/>
      <c r="Z46" s="34"/>
      <c r="AA46" s="90"/>
      <c r="AB46" s="90"/>
      <c r="AC46" s="89"/>
      <c r="AD46" s="44">
        <f t="shared" si="2"/>
        <v>0</v>
      </c>
      <c r="AE46" s="754"/>
      <c r="AH46" s="3"/>
      <c r="AI46" s="23"/>
      <c r="AJ46" s="23"/>
      <c r="AK46" s="54"/>
      <c r="AL46" s="3"/>
      <c r="AM46" s="3"/>
      <c r="AN46" s="3"/>
      <c r="AO46" s="3"/>
      <c r="AP46" s="3"/>
      <c r="AQ46" s="3"/>
      <c r="AR46" s="3"/>
      <c r="AS46" s="3"/>
      <c r="AT46" s="3"/>
      <c r="AU46" s="3"/>
      <c r="AV46" s="3"/>
      <c r="AW46" s="3"/>
      <c r="AX46" s="3"/>
    </row>
    <row r="47" spans="1:50" hidden="1">
      <c r="A47" s="7"/>
      <c r="B47" s="139"/>
      <c r="C47" s="78"/>
      <c r="D47" s="85"/>
      <c r="E47" s="80"/>
      <c r="F47" s="80"/>
      <c r="G47" s="11"/>
      <c r="H47" s="82"/>
      <c r="I47" s="32"/>
      <c r="J47" s="86"/>
      <c r="K47" s="71"/>
      <c r="L47" s="71"/>
      <c r="M47" s="71"/>
      <c r="N47" s="71"/>
      <c r="O47" s="71">
        <f>'Uncaser Downtime Detail '!AG348</f>
        <v>0</v>
      </c>
      <c r="P47" s="71">
        <f>'Washer Downtime Detail'!BH351</f>
        <v>0</v>
      </c>
      <c r="Q47" s="71"/>
      <c r="R47" s="71">
        <f>'Filler Downtime Detail'!AK350</f>
        <v>0</v>
      </c>
      <c r="S47" s="71">
        <f>'Pasteurizer Downtime Detail'!Z348</f>
        <v>0</v>
      </c>
      <c r="T47" s="71">
        <f>'Labeler Downtime Detail'!AN346</f>
        <v>0</v>
      </c>
      <c r="U47" s="71">
        <f>'Videojet Downtime Detail '!O347</f>
        <v>0</v>
      </c>
      <c r="V47" s="71">
        <f>'Conveyor Downtime (new)'!AV348</f>
        <v>0</v>
      </c>
      <c r="W47" s="71">
        <f>'Packer Downtime Detail  '!AD347</f>
        <v>0</v>
      </c>
      <c r="X47" s="71"/>
      <c r="Y47" s="71"/>
      <c r="Z47" s="43"/>
      <c r="AA47" s="88"/>
      <c r="AB47" s="88"/>
      <c r="AC47" s="71"/>
      <c r="AD47" s="44">
        <f t="shared" si="2"/>
        <v>0</v>
      </c>
      <c r="AE47" s="754"/>
      <c r="AH47" s="3"/>
      <c r="AI47" s="23"/>
      <c r="AJ47" s="23"/>
      <c r="AK47" s="54"/>
      <c r="AL47" s="3"/>
      <c r="AM47" s="3"/>
      <c r="AN47" s="3"/>
      <c r="AO47" s="3"/>
      <c r="AP47" s="3"/>
      <c r="AQ47" s="3"/>
      <c r="AR47" s="3"/>
      <c r="AS47" s="3"/>
      <c r="AT47" s="3"/>
      <c r="AU47" s="3"/>
      <c r="AV47" s="3"/>
      <c r="AW47" s="3"/>
      <c r="AX47" s="3"/>
    </row>
    <row r="48" spans="1:50" hidden="1">
      <c r="A48" s="7"/>
      <c r="B48" s="139"/>
      <c r="C48" s="78"/>
      <c r="D48" s="85"/>
      <c r="E48" s="80"/>
      <c r="F48" s="80"/>
      <c r="G48" s="11"/>
      <c r="H48" s="14"/>
      <c r="I48" s="34"/>
      <c r="J48" s="35"/>
      <c r="K48" s="34"/>
      <c r="L48" s="34"/>
      <c r="M48" s="34"/>
      <c r="N48" s="34"/>
      <c r="O48" s="34">
        <f>'Uncaser Downtime Detail '!AG349</f>
        <v>0</v>
      </c>
      <c r="P48" s="34">
        <f>'Washer Downtime Detail'!BH352</f>
        <v>0</v>
      </c>
      <c r="Q48" s="34"/>
      <c r="R48" s="34">
        <f>'Filler Downtime Detail'!AK351</f>
        <v>0</v>
      </c>
      <c r="S48" s="34">
        <f>'Pasteurizer Downtime Detail'!Z349</f>
        <v>0</v>
      </c>
      <c r="T48" s="34">
        <f>'Labeler Downtime Detail'!AN347</f>
        <v>0</v>
      </c>
      <c r="U48" s="34">
        <f>'Videojet Downtime Detail '!O348</f>
        <v>0</v>
      </c>
      <c r="V48" s="34">
        <f>'Conveyor Downtime (new)'!AV349</f>
        <v>0</v>
      </c>
      <c r="W48" s="34">
        <f>'Packer Downtime Detail  '!AD348</f>
        <v>0</v>
      </c>
      <c r="X48" s="34"/>
      <c r="Y48" s="35"/>
      <c r="Z48" s="34"/>
      <c r="AA48" s="90"/>
      <c r="AB48" s="90"/>
      <c r="AC48" s="89"/>
      <c r="AD48" s="44">
        <f t="shared" si="2"/>
        <v>0</v>
      </c>
      <c r="AE48" s="754">
        <f>G49-D48</f>
        <v>0</v>
      </c>
      <c r="AH48" s="3"/>
      <c r="AI48" s="23"/>
      <c r="AJ48" s="23"/>
      <c r="AK48" s="54"/>
      <c r="AL48" s="3"/>
      <c r="AM48" s="3"/>
      <c r="AN48" s="3"/>
      <c r="AO48" s="3"/>
      <c r="AP48" s="3"/>
      <c r="AQ48" s="3"/>
      <c r="AR48" s="3"/>
      <c r="AS48" s="3"/>
      <c r="AT48" s="3"/>
      <c r="AU48" s="3"/>
      <c r="AV48" s="3"/>
      <c r="AW48" s="3"/>
      <c r="AX48" s="3"/>
    </row>
    <row r="49" spans="1:50" hidden="1">
      <c r="A49" s="7"/>
      <c r="B49" s="139"/>
      <c r="C49" s="78"/>
      <c r="D49" s="85"/>
      <c r="E49" s="80"/>
      <c r="F49" s="80"/>
      <c r="G49" s="11"/>
      <c r="H49" s="82"/>
      <c r="I49" s="482"/>
      <c r="J49" s="86"/>
      <c r="K49" s="71"/>
      <c r="L49" s="71"/>
      <c r="M49" s="71"/>
      <c r="N49" s="71"/>
      <c r="O49" s="71">
        <f>'Uncaser Downtime Detail '!AG350</f>
        <v>0</v>
      </c>
      <c r="P49" s="71">
        <f>'Washer Downtime Detail'!BH353</f>
        <v>0</v>
      </c>
      <c r="Q49" s="71"/>
      <c r="R49" s="71">
        <f>'Filler Downtime Detail'!AK352</f>
        <v>0</v>
      </c>
      <c r="S49" s="71">
        <f>'Pasteurizer Downtime Detail'!Z350</f>
        <v>0</v>
      </c>
      <c r="T49" s="71">
        <f>'Labeler Downtime Detail'!AN348</f>
        <v>0</v>
      </c>
      <c r="U49" s="71">
        <f>'Videojet Downtime Detail '!O349</f>
        <v>0</v>
      </c>
      <c r="V49" s="71">
        <f>'Conveyor Downtime (new)'!AV350</f>
        <v>0</v>
      </c>
      <c r="W49" s="71">
        <f>'Packer Downtime Detail  '!AD349</f>
        <v>0</v>
      </c>
      <c r="X49" s="71"/>
      <c r="Y49" s="71"/>
      <c r="Z49" s="43"/>
      <c r="AA49" s="88"/>
      <c r="AB49" s="88"/>
      <c r="AC49" s="71"/>
      <c r="AD49" s="44">
        <f t="shared" si="2"/>
        <v>0</v>
      </c>
      <c r="AE49" s="754"/>
      <c r="AH49" s="3"/>
      <c r="AI49" s="23"/>
      <c r="AJ49" s="23"/>
      <c r="AK49" s="54"/>
      <c r="AL49" s="3"/>
      <c r="AM49" s="3"/>
      <c r="AN49" s="3"/>
      <c r="AO49" s="3"/>
      <c r="AP49" s="3"/>
      <c r="AQ49" s="3"/>
      <c r="AR49" s="3"/>
      <c r="AS49" s="3"/>
      <c r="AT49" s="3"/>
      <c r="AU49" s="3"/>
      <c r="AV49" s="3"/>
      <c r="AW49" s="3"/>
      <c r="AX49" s="3"/>
    </row>
    <row r="50" spans="1:50" hidden="1">
      <c r="A50" s="481"/>
      <c r="B50" s="139">
        <f>[8]June_2025!$B50</f>
        <v>0</v>
      </c>
      <c r="C50" s="78">
        <f>[8]June_2025!$D50</f>
        <v>0</v>
      </c>
      <c r="D50" s="93"/>
      <c r="E50" s="80"/>
      <c r="F50" s="80"/>
      <c r="G50" s="11"/>
      <c r="H50" s="14"/>
      <c r="I50" s="34"/>
      <c r="J50" s="35"/>
      <c r="K50" s="34"/>
      <c r="L50" s="34"/>
      <c r="M50" s="34"/>
      <c r="N50" s="34"/>
      <c r="O50" s="34">
        <f>'Uncaser Downtime Detail '!AG351</f>
        <v>0</v>
      </c>
      <c r="P50" s="34">
        <f>'Washer Downtime Detail'!BH354</f>
        <v>0</v>
      </c>
      <c r="Q50" s="34">
        <f>'EBI Downtime Detail'!AI354</f>
        <v>0</v>
      </c>
      <c r="R50" s="34">
        <f>'Filler Downtime Detail'!AK353</f>
        <v>0</v>
      </c>
      <c r="S50" s="34">
        <f>'Pasteurizer Downtime Detail'!Z351</f>
        <v>0</v>
      </c>
      <c r="T50" s="34">
        <f>'Labeler Downtime Detail'!AN349</f>
        <v>0</v>
      </c>
      <c r="U50" s="34">
        <f>'Videojet Downtime Detail '!O350</f>
        <v>0</v>
      </c>
      <c r="V50" s="34">
        <f>'Conveyor Downtime (new)'!AV351</f>
        <v>0</v>
      </c>
      <c r="W50" s="34">
        <f>'Packer Downtime Detail  '!AD350</f>
        <v>0</v>
      </c>
      <c r="X50" s="34"/>
      <c r="Y50" s="35"/>
      <c r="Z50" s="34"/>
      <c r="AA50" s="90"/>
      <c r="AB50" s="90"/>
      <c r="AC50" s="89"/>
      <c r="AD50" s="44">
        <f t="shared" si="2"/>
        <v>0</v>
      </c>
      <c r="AE50" s="45">
        <f t="shared" ref="AE50:AE56" si="4">G50-D50</f>
        <v>0</v>
      </c>
      <c r="AH50" s="3"/>
      <c r="AI50" s="23"/>
      <c r="AJ50" s="23"/>
      <c r="AK50" s="54"/>
      <c r="AL50" s="3"/>
      <c r="AM50" s="3"/>
      <c r="AN50" s="3"/>
      <c r="AO50" s="3"/>
      <c r="AP50" s="3"/>
      <c r="AQ50" s="3"/>
      <c r="AR50" s="3"/>
      <c r="AS50" s="3"/>
      <c r="AT50" s="3"/>
      <c r="AU50" s="3"/>
      <c r="AV50" s="3"/>
      <c r="AW50" s="3"/>
      <c r="AX50" s="3"/>
    </row>
    <row r="51" spans="1:50" hidden="1">
      <c r="A51" s="481">
        <v>17</v>
      </c>
      <c r="B51" s="139">
        <f>[8]June_2025!$B51</f>
        <v>0</v>
      </c>
      <c r="C51" s="78"/>
      <c r="D51" s="93"/>
      <c r="E51" s="80"/>
      <c r="F51" s="80"/>
      <c r="G51" s="11"/>
      <c r="H51" s="82"/>
      <c r="I51" s="32"/>
      <c r="J51" s="86"/>
      <c r="K51" s="71"/>
      <c r="L51" s="71"/>
      <c r="M51" s="71"/>
      <c r="N51" s="71"/>
      <c r="O51" s="71">
        <f>'Uncaser Downtime Detail '!AG352</f>
        <v>0</v>
      </c>
      <c r="P51" s="71">
        <f>'Washer Downtime Detail'!BH355</f>
        <v>0</v>
      </c>
      <c r="Q51" s="71">
        <f>'EBI Downtime Detail'!AI355</f>
        <v>0</v>
      </c>
      <c r="R51" s="71">
        <f>'Filler Downtime Detail'!AK354</f>
        <v>0</v>
      </c>
      <c r="S51" s="71">
        <f>'Pasteurizer Downtime Detail'!Z352</f>
        <v>0</v>
      </c>
      <c r="T51" s="71">
        <f>'Labeler Downtime Detail'!AN350</f>
        <v>0</v>
      </c>
      <c r="U51" s="71">
        <f>'Videojet Downtime Detail '!O351</f>
        <v>0</v>
      </c>
      <c r="V51" s="71">
        <f>'Conveyor Downtime (new)'!AV352</f>
        <v>0</v>
      </c>
      <c r="W51" s="71">
        <f>'Packer Downtime Detail  '!AD351</f>
        <v>0</v>
      </c>
      <c r="X51" s="71"/>
      <c r="Y51" s="71"/>
      <c r="Z51" s="43"/>
      <c r="AA51" s="88"/>
      <c r="AB51" s="88"/>
      <c r="AC51" s="71"/>
      <c r="AD51" s="44">
        <f t="shared" si="2"/>
        <v>0</v>
      </c>
      <c r="AE51" s="45">
        <f t="shared" si="4"/>
        <v>0</v>
      </c>
      <c r="AH51" s="3"/>
      <c r="AI51" s="23"/>
      <c r="AJ51" s="23"/>
      <c r="AK51" s="54"/>
      <c r="AL51" s="3"/>
      <c r="AM51" s="3"/>
      <c r="AN51" s="3"/>
      <c r="AO51" s="3"/>
      <c r="AP51" s="3"/>
      <c r="AQ51" s="3"/>
      <c r="AR51" s="3"/>
      <c r="AS51" s="3"/>
      <c r="AT51" s="3"/>
      <c r="AU51" s="3"/>
      <c r="AV51" s="3"/>
      <c r="AW51" s="3"/>
      <c r="AX51" s="3"/>
    </row>
    <row r="52" spans="1:50" hidden="1">
      <c r="A52" s="481">
        <v>17</v>
      </c>
      <c r="B52" s="139">
        <f>[8]June_2025!$B52</f>
        <v>0</v>
      </c>
      <c r="C52" s="78"/>
      <c r="D52" s="93"/>
      <c r="E52" s="80"/>
      <c r="F52" s="80"/>
      <c r="G52" s="11"/>
      <c r="H52" s="14"/>
      <c r="I52" s="34"/>
      <c r="J52" s="35"/>
      <c r="K52" s="34"/>
      <c r="L52" s="34"/>
      <c r="M52" s="34"/>
      <c r="N52" s="34"/>
      <c r="O52" s="34">
        <f>'Uncaser Downtime Detail '!AG354</f>
        <v>0</v>
      </c>
      <c r="P52" s="34">
        <f>'Washer Downtime Detail'!BH356</f>
        <v>0</v>
      </c>
      <c r="Q52" s="34">
        <f>'EBI Downtime Detail'!AI356</f>
        <v>0</v>
      </c>
      <c r="R52" s="34">
        <f>'Filler Downtime Detail'!AK355</f>
        <v>0</v>
      </c>
      <c r="S52" s="34">
        <f>'Pasteurizer Downtime Detail'!Z353</f>
        <v>0</v>
      </c>
      <c r="T52" s="34">
        <f>'Labeler Downtime Detail'!AN351</f>
        <v>0</v>
      </c>
      <c r="U52" s="34">
        <f>'Videojet Downtime Detail '!O352</f>
        <v>0</v>
      </c>
      <c r="V52" s="34">
        <f>'Conveyor Downtime (new)'!AV353</f>
        <v>0</v>
      </c>
      <c r="W52" s="34">
        <f>'Packer Downtime Detail  '!AD352</f>
        <v>0</v>
      </c>
      <c r="X52" s="34"/>
      <c r="Y52" s="35"/>
      <c r="Z52" s="34"/>
      <c r="AA52" s="90"/>
      <c r="AB52" s="90"/>
      <c r="AC52" s="89"/>
      <c r="AD52" s="44">
        <f t="shared" si="2"/>
        <v>0</v>
      </c>
      <c r="AE52" s="45">
        <f t="shared" si="4"/>
        <v>0</v>
      </c>
      <c r="AH52" s="3"/>
      <c r="AI52" s="23"/>
      <c r="AJ52" s="23"/>
      <c r="AK52" s="54"/>
      <c r="AL52" s="3"/>
      <c r="AM52" s="3"/>
      <c r="AN52" s="3"/>
      <c r="AO52" s="3"/>
      <c r="AP52" s="3"/>
      <c r="AQ52" s="3"/>
      <c r="AR52" s="3"/>
      <c r="AS52" s="3"/>
      <c r="AT52" s="3"/>
      <c r="AU52" s="3"/>
      <c r="AV52" s="3"/>
      <c r="AW52" s="3"/>
      <c r="AX52" s="3"/>
    </row>
    <row r="53" spans="1:50" hidden="1">
      <c r="A53" s="481">
        <v>17</v>
      </c>
      <c r="B53" s="139">
        <f>[8]June_2025!$B53</f>
        <v>0</v>
      </c>
      <c r="C53" s="78"/>
      <c r="D53" s="93"/>
      <c r="E53" s="80"/>
      <c r="F53" s="80"/>
      <c r="G53" s="11"/>
      <c r="H53" s="82"/>
      <c r="I53" s="32"/>
      <c r="J53" s="86"/>
      <c r="K53" s="71"/>
      <c r="L53" s="71"/>
      <c r="M53" s="71"/>
      <c r="N53" s="71"/>
      <c r="O53" s="71">
        <f>'Uncaser Downtime Detail '!AG355</f>
        <v>0</v>
      </c>
      <c r="P53" s="71">
        <f>'Washer Downtime Detail'!BH357</f>
        <v>0</v>
      </c>
      <c r="Q53" s="71">
        <f>'EBI Downtime Detail'!AI357</f>
        <v>0</v>
      </c>
      <c r="R53" s="71">
        <f>'Filler Downtime Detail'!AK356</f>
        <v>0</v>
      </c>
      <c r="S53" s="71">
        <f>'Pasteurizer Downtime Detail'!Z354</f>
        <v>0</v>
      </c>
      <c r="T53" s="71">
        <f>'Labeler Downtime Detail'!AN352</f>
        <v>0</v>
      </c>
      <c r="U53" s="71">
        <f>'Videojet Downtime Detail '!O353</f>
        <v>0</v>
      </c>
      <c r="V53" s="71">
        <f>'Conveyor Downtime (new)'!AV354</f>
        <v>0</v>
      </c>
      <c r="W53" s="71">
        <f>'Packer Downtime Detail  '!AD353</f>
        <v>0</v>
      </c>
      <c r="X53" s="71"/>
      <c r="Y53" s="71"/>
      <c r="Z53" s="43"/>
      <c r="AA53" s="88"/>
      <c r="AB53" s="88"/>
      <c r="AC53" s="71"/>
      <c r="AD53" s="44">
        <f t="shared" si="2"/>
        <v>0</v>
      </c>
      <c r="AE53" s="45">
        <f t="shared" si="4"/>
        <v>0</v>
      </c>
      <c r="AH53" s="3"/>
      <c r="AI53" s="23"/>
      <c r="AJ53" s="23"/>
      <c r="AK53" s="54"/>
      <c r="AL53" s="3"/>
      <c r="AM53" s="3"/>
      <c r="AN53" s="3"/>
      <c r="AO53" s="3"/>
      <c r="AP53" s="3"/>
      <c r="AQ53" s="3"/>
      <c r="AR53" s="3"/>
      <c r="AS53" s="3"/>
      <c r="AT53" s="3"/>
      <c r="AU53" s="3"/>
      <c r="AV53" s="3"/>
      <c r="AW53" s="3"/>
      <c r="AX53" s="3"/>
    </row>
    <row r="54" spans="1:50" hidden="1">
      <c r="A54" s="481">
        <v>17</v>
      </c>
      <c r="B54" s="139" t="e">
        <f>[8]June_2025!$B54</f>
        <v>#REF!</v>
      </c>
      <c r="C54" s="78"/>
      <c r="D54" s="93"/>
      <c r="E54" s="80"/>
      <c r="F54" s="80"/>
      <c r="G54" s="11"/>
      <c r="H54" s="14"/>
      <c r="I54" s="34"/>
      <c r="J54" s="35"/>
      <c r="K54" s="34"/>
      <c r="L54" s="34"/>
      <c r="M54" s="34"/>
      <c r="N54" s="34"/>
      <c r="O54" s="34">
        <f>'Uncaser Downtime Detail '!AG356</f>
        <v>0</v>
      </c>
      <c r="P54" s="34">
        <f>'Washer Downtime Detail'!BH358</f>
        <v>0</v>
      </c>
      <c r="Q54" s="34">
        <f>'EBI Downtime Detail'!AI358</f>
        <v>0</v>
      </c>
      <c r="R54" s="34">
        <f>'Filler Downtime Detail'!AK357</f>
        <v>0</v>
      </c>
      <c r="S54" s="34">
        <f>'Pasteurizer Downtime Detail'!Z355</f>
        <v>0</v>
      </c>
      <c r="T54" s="34">
        <f>'Labeler Downtime Detail'!AN353</f>
        <v>0</v>
      </c>
      <c r="U54" s="34">
        <f>'Videojet Downtime Detail '!O354</f>
        <v>0</v>
      </c>
      <c r="V54" s="34">
        <f>'Conveyor Downtime (new)'!AV355</f>
        <v>0</v>
      </c>
      <c r="W54" s="34">
        <f>'Packer Downtime Detail  '!AD354</f>
        <v>0</v>
      </c>
      <c r="X54" s="34"/>
      <c r="Y54" s="35"/>
      <c r="Z54" s="34"/>
      <c r="AA54" s="90"/>
      <c r="AB54" s="90"/>
      <c r="AC54" s="89"/>
      <c r="AD54" s="44">
        <f t="shared" si="2"/>
        <v>0</v>
      </c>
      <c r="AE54" s="45">
        <f t="shared" si="4"/>
        <v>0</v>
      </c>
      <c r="AH54" s="3"/>
      <c r="AI54" s="23"/>
      <c r="AJ54" s="23"/>
      <c r="AK54" s="54"/>
      <c r="AL54" s="3"/>
      <c r="AM54" s="3"/>
      <c r="AN54" s="3"/>
      <c r="AO54" s="3"/>
      <c r="AP54" s="3"/>
      <c r="AQ54" s="3"/>
      <c r="AR54" s="3"/>
      <c r="AS54" s="3"/>
      <c r="AT54" s="3"/>
      <c r="AU54" s="3"/>
      <c r="AV54" s="3"/>
      <c r="AW54" s="3"/>
      <c r="AX54" s="3"/>
    </row>
    <row r="55" spans="1:50" hidden="1">
      <c r="A55" s="481">
        <v>17</v>
      </c>
      <c r="B55" s="139" t="e">
        <f>[8]June_2025!$B55</f>
        <v>#REF!</v>
      </c>
      <c r="C55" s="78"/>
      <c r="D55" s="93"/>
      <c r="E55" s="80"/>
      <c r="F55" s="80"/>
      <c r="G55" s="11"/>
      <c r="H55" s="82"/>
      <c r="I55" s="32"/>
      <c r="J55" s="86"/>
      <c r="K55" s="71"/>
      <c r="L55" s="71"/>
      <c r="M55" s="71"/>
      <c r="N55" s="71"/>
      <c r="O55" s="71">
        <f>'Uncaser Downtime Detail '!AG357</f>
        <v>0</v>
      </c>
      <c r="P55" s="71">
        <f>'Washer Downtime Detail'!BH359</f>
        <v>0</v>
      </c>
      <c r="Q55" s="71">
        <f>'EBI Downtime Detail'!AI359</f>
        <v>0</v>
      </c>
      <c r="R55" s="71">
        <f>'Filler Downtime Detail'!AK358</f>
        <v>0</v>
      </c>
      <c r="S55" s="71">
        <f>'Pasteurizer Downtime Detail'!Z356</f>
        <v>0</v>
      </c>
      <c r="T55" s="71">
        <f>'Labeler Downtime Detail'!AN354</f>
        <v>0</v>
      </c>
      <c r="U55" s="71">
        <f>'Videojet Downtime Detail '!O355</f>
        <v>0</v>
      </c>
      <c r="V55" s="71">
        <f>'Conveyor Downtime (new)'!AV356</f>
        <v>0</v>
      </c>
      <c r="W55" s="71">
        <f>'Packer Downtime Detail  '!AD355</f>
        <v>0</v>
      </c>
      <c r="X55" s="71"/>
      <c r="Y55" s="71"/>
      <c r="Z55" s="43"/>
      <c r="AA55" s="88"/>
      <c r="AB55" s="88"/>
      <c r="AC55" s="71"/>
      <c r="AD55" s="44">
        <f t="shared" si="2"/>
        <v>0</v>
      </c>
      <c r="AE55" s="45">
        <f t="shared" si="4"/>
        <v>0</v>
      </c>
      <c r="AH55" s="3"/>
      <c r="AI55" s="23"/>
      <c r="AJ55" s="23"/>
      <c r="AK55" s="54"/>
      <c r="AL55" s="3"/>
      <c r="AM55" s="3"/>
      <c r="AN55" s="3"/>
      <c r="AO55" s="3"/>
      <c r="AP55" s="3"/>
      <c r="AQ55" s="3"/>
      <c r="AR55" s="3"/>
      <c r="AS55" s="3"/>
      <c r="AT55" s="3"/>
      <c r="AU55" s="3"/>
      <c r="AV55" s="3"/>
      <c r="AW55" s="3"/>
      <c r="AX55" s="3"/>
    </row>
    <row r="56" spans="1:50" hidden="1">
      <c r="A56" s="481">
        <v>17</v>
      </c>
      <c r="B56" s="139" t="e">
        <f>[8]June_2025!$B56</f>
        <v>#REF!</v>
      </c>
      <c r="C56" s="78"/>
      <c r="D56" s="93"/>
      <c r="E56" s="80"/>
      <c r="F56" s="80"/>
      <c r="G56" s="11"/>
      <c r="H56" s="14"/>
      <c r="I56" s="34"/>
      <c r="J56" s="35"/>
      <c r="K56" s="34"/>
      <c r="L56" s="34"/>
      <c r="M56" s="34"/>
      <c r="N56" s="34"/>
      <c r="O56" s="34">
        <f>'Uncaser Downtime Detail '!AG358</f>
        <v>0</v>
      </c>
      <c r="P56" s="34">
        <f>'Washer Downtime Detail'!BH360</f>
        <v>0</v>
      </c>
      <c r="Q56" s="34">
        <f>'EBI Downtime Detail'!AI360</f>
        <v>0</v>
      </c>
      <c r="R56" s="34">
        <f>'Filler Downtime Detail'!AK359</f>
        <v>0</v>
      </c>
      <c r="S56" s="34">
        <f>'Pasteurizer Downtime Detail'!Z357</f>
        <v>0</v>
      </c>
      <c r="T56" s="34">
        <f>'Labeler Downtime Detail'!AN355</f>
        <v>0</v>
      </c>
      <c r="U56" s="34">
        <f>'Videojet Downtime Detail '!O356</f>
        <v>0</v>
      </c>
      <c r="V56" s="34">
        <f>'Conveyor Downtime (new)'!AV357</f>
        <v>0</v>
      </c>
      <c r="W56" s="34">
        <f>'Packer Downtime Detail  '!AD356</f>
        <v>0</v>
      </c>
      <c r="X56" s="34"/>
      <c r="Y56" s="35"/>
      <c r="Z56" s="34"/>
      <c r="AA56" s="90"/>
      <c r="AB56" s="90"/>
      <c r="AC56" s="89"/>
      <c r="AD56" s="44">
        <f t="shared" si="2"/>
        <v>0</v>
      </c>
      <c r="AE56" s="45">
        <f t="shared" si="4"/>
        <v>0</v>
      </c>
      <c r="AH56" s="3"/>
      <c r="AI56" s="23"/>
      <c r="AJ56" s="23"/>
      <c r="AK56" s="54"/>
      <c r="AL56" s="3"/>
      <c r="AM56" s="3"/>
      <c r="AN56" s="3"/>
      <c r="AO56" s="3"/>
      <c r="AP56" s="3"/>
      <c r="AQ56" s="3"/>
      <c r="AR56" s="3"/>
      <c r="AS56" s="3"/>
      <c r="AT56" s="3"/>
      <c r="AU56" s="3"/>
      <c r="AV56" s="3"/>
      <c r="AW56" s="3"/>
      <c r="AX56" s="3"/>
    </row>
    <row r="57" spans="1:50" ht="15.75" thickBot="1">
      <c r="A57" s="15" t="s">
        <v>427</v>
      </c>
      <c r="B57" s="16"/>
      <c r="C57" s="17"/>
      <c r="D57" s="18"/>
      <c r="E57" s="18"/>
      <c r="F57" s="18"/>
      <c r="G57" s="19">
        <f>SUM(G53:G56)</f>
        <v>0</v>
      </c>
      <c r="H57" s="16">
        <f t="shared" ref="H57:AB57" si="5">SUM(H8:H56)</f>
        <v>19</v>
      </c>
      <c r="I57" s="98">
        <f t="shared" si="5"/>
        <v>585</v>
      </c>
      <c r="J57" s="98">
        <f t="shared" si="5"/>
        <v>160</v>
      </c>
      <c r="K57" s="98">
        <f t="shared" si="5"/>
        <v>69</v>
      </c>
      <c r="L57" s="98">
        <f t="shared" si="5"/>
        <v>94</v>
      </c>
      <c r="M57" s="98">
        <f t="shared" si="5"/>
        <v>39</v>
      </c>
      <c r="N57" s="98">
        <f t="shared" si="5"/>
        <v>0</v>
      </c>
      <c r="O57" s="98">
        <f t="shared" si="5"/>
        <v>85</v>
      </c>
      <c r="P57" s="98">
        <f t="shared" si="5"/>
        <v>399</v>
      </c>
      <c r="Q57" s="98">
        <f t="shared" si="5"/>
        <v>247</v>
      </c>
      <c r="R57" s="98">
        <f t="shared" si="5"/>
        <v>72</v>
      </c>
      <c r="S57" s="98">
        <f t="shared" si="5"/>
        <v>2696</v>
      </c>
      <c r="T57" s="98">
        <f t="shared" si="5"/>
        <v>89</v>
      </c>
      <c r="U57" s="98">
        <f t="shared" si="5"/>
        <v>105</v>
      </c>
      <c r="V57" s="98">
        <f t="shared" si="5"/>
        <v>373</v>
      </c>
      <c r="W57" s="98">
        <f t="shared" si="5"/>
        <v>9</v>
      </c>
      <c r="X57" s="98">
        <f t="shared" si="5"/>
        <v>0</v>
      </c>
      <c r="Y57" s="98">
        <f t="shared" si="5"/>
        <v>0</v>
      </c>
      <c r="Z57" s="98">
        <f t="shared" si="5"/>
        <v>641</v>
      </c>
      <c r="AA57" s="98">
        <f t="shared" si="5"/>
        <v>3</v>
      </c>
      <c r="AB57" s="98">
        <f t="shared" si="5"/>
        <v>64</v>
      </c>
      <c r="AC57" s="98"/>
      <c r="AD57" s="98">
        <f>SUM(AD8:AD56)</f>
        <v>5749</v>
      </c>
      <c r="AE57" s="48">
        <f>SUM(AE8:AE56)</f>
        <v>9.0215277777777771</v>
      </c>
      <c r="AH57" s="3"/>
      <c r="AI57" s="3"/>
      <c r="AJ57" s="3"/>
      <c r="AK57" s="3"/>
      <c r="AL57" s="3"/>
      <c r="AM57" s="3"/>
      <c r="AN57" s="3"/>
      <c r="AO57" s="3"/>
      <c r="AP57" s="3"/>
      <c r="AQ57" s="3"/>
      <c r="AR57" s="3"/>
      <c r="AS57" s="3"/>
      <c r="AT57" s="3"/>
      <c r="AU57" s="3"/>
      <c r="AV57" s="3"/>
      <c r="AW57" s="3"/>
      <c r="AX57" s="3"/>
    </row>
    <row r="58" spans="1:50" ht="13.5" thickTop="1">
      <c r="A58" s="20" t="s">
        <v>45</v>
      </c>
      <c r="B58" s="1"/>
      <c r="C58" s="3"/>
      <c r="D58" s="3"/>
      <c r="E58" s="3"/>
      <c r="F58" s="3"/>
      <c r="G58" s="3"/>
      <c r="H58" s="21">
        <f>H57/$AD$57</f>
        <v>3.3049225952339538E-3</v>
      </c>
      <c r="I58" s="21">
        <f t="shared" ref="I58:AB59" si="6">I57/$AD$57</f>
        <v>0.10175682727430857</v>
      </c>
      <c r="J58" s="21">
        <f t="shared" si="6"/>
        <v>2.7830927117759609E-2</v>
      </c>
      <c r="K58" s="21">
        <f t="shared" si="6"/>
        <v>1.2002087319533832E-2</v>
      </c>
      <c r="L58" s="21">
        <f t="shared" si="6"/>
        <v>1.635066968168377E-2</v>
      </c>
      <c r="M58" s="21">
        <f t="shared" si="6"/>
        <v>6.783788484953905E-3</v>
      </c>
      <c r="N58" s="21">
        <f t="shared" si="6"/>
        <v>0</v>
      </c>
      <c r="O58" s="21">
        <f t="shared" si="6"/>
        <v>1.4785180031309793E-2</v>
      </c>
      <c r="P58" s="21">
        <f t="shared" si="6"/>
        <v>6.9403374499913031E-2</v>
      </c>
      <c r="Q58" s="21">
        <f t="shared" si="6"/>
        <v>4.2963993738041398E-2</v>
      </c>
      <c r="R58" s="21">
        <f t="shared" si="6"/>
        <v>1.2523917202991825E-2</v>
      </c>
      <c r="S58" s="21">
        <f t="shared" si="6"/>
        <v>0.46895112193424943</v>
      </c>
      <c r="T58" s="21">
        <f t="shared" si="6"/>
        <v>1.5480953209253783E-2</v>
      </c>
      <c r="U58" s="21">
        <f t="shared" si="6"/>
        <v>1.8264045921029745E-2</v>
      </c>
      <c r="V58" s="21">
        <f t="shared" si="6"/>
        <v>6.4880848843277092E-2</v>
      </c>
      <c r="W58" s="21">
        <f t="shared" si="6"/>
        <v>1.5654896503739782E-3</v>
      </c>
      <c r="X58" s="21">
        <f t="shared" si="6"/>
        <v>0</v>
      </c>
      <c r="Y58" s="21">
        <f t="shared" si="6"/>
        <v>0</v>
      </c>
      <c r="Z58" s="21">
        <f t="shared" si="6"/>
        <v>0.11149765176552444</v>
      </c>
      <c r="AA58" s="21">
        <f t="shared" si="6"/>
        <v>5.2182988345799266E-4</v>
      </c>
      <c r="AB58" s="21">
        <f t="shared" si="6"/>
        <v>1.1132370847103844E-2</v>
      </c>
      <c r="AC58" s="21"/>
      <c r="AD58" s="3"/>
      <c r="AE58" s="49"/>
      <c r="AH58" s="3"/>
      <c r="AI58" s="3"/>
      <c r="AJ58" s="3"/>
      <c r="AK58" s="3"/>
      <c r="AL58" s="3"/>
      <c r="AM58" s="3"/>
      <c r="AN58" s="3"/>
      <c r="AO58" s="3"/>
      <c r="AP58" s="3"/>
      <c r="AQ58" s="3"/>
      <c r="AR58" s="3"/>
      <c r="AS58" s="3"/>
      <c r="AT58" s="3"/>
      <c r="AU58" s="3"/>
      <c r="AV58" s="3"/>
      <c r="AW58" s="3"/>
      <c r="AX58" s="3"/>
    </row>
    <row r="59" spans="1:50" ht="15">
      <c r="A59" s="20"/>
      <c r="B59" s="1"/>
      <c r="C59" s="3"/>
      <c r="D59" s="3"/>
      <c r="E59" s="3"/>
      <c r="F59" s="3"/>
      <c r="G59" s="3"/>
      <c r="H59" s="3"/>
      <c r="I59" s="36" t="s">
        <v>428</v>
      </c>
      <c r="J59" s="3"/>
      <c r="K59" s="37"/>
      <c r="L59" s="21">
        <f t="shared" si="6"/>
        <v>2.8440893514843919E-6</v>
      </c>
      <c r="M59" s="3"/>
      <c r="N59" s="3"/>
      <c r="O59" s="3"/>
      <c r="P59" s="3"/>
      <c r="Q59" s="3"/>
      <c r="R59" s="3"/>
      <c r="S59" s="3"/>
      <c r="T59" s="3"/>
      <c r="U59" s="3"/>
      <c r="V59" s="3"/>
      <c r="W59" s="3"/>
      <c r="X59" s="3"/>
      <c r="Y59" s="3">
        <f>23+11</f>
        <v>34</v>
      </c>
      <c r="Z59" s="3"/>
      <c r="AA59" s="3"/>
      <c r="AB59" s="3"/>
      <c r="AC59" s="3"/>
      <c r="AD59" s="3"/>
      <c r="AH59" s="3"/>
      <c r="AI59" s="3"/>
      <c r="AJ59" s="3"/>
      <c r="AK59" s="3"/>
      <c r="AL59" s="3"/>
      <c r="AM59" s="3"/>
      <c r="AN59" s="3"/>
      <c r="AO59" s="3"/>
      <c r="AP59" s="3"/>
      <c r="AQ59" s="3"/>
      <c r="AR59" s="3"/>
      <c r="AS59" s="3"/>
      <c r="AT59" s="3"/>
      <c r="AU59" s="3"/>
      <c r="AV59" s="3"/>
      <c r="AW59" s="3"/>
      <c r="AX59" s="3"/>
    </row>
    <row r="60" spans="1:50" ht="15">
      <c r="A60" s="1"/>
      <c r="B60" s="22"/>
      <c r="C60" t="s">
        <v>429</v>
      </c>
      <c r="D60" t="s">
        <v>430</v>
      </c>
      <c r="E60" t="s">
        <v>431</v>
      </c>
      <c r="F60" s="23"/>
      <c r="G60" s="23"/>
      <c r="H60" s="3"/>
      <c r="I60" s="38">
        <f>COUNT(I8:I56)</f>
        <v>13</v>
      </c>
      <c r="J60" s="3"/>
      <c r="K60" s="24"/>
      <c r="L60" s="24"/>
      <c r="M60" s="24"/>
      <c r="N60" s="24"/>
      <c r="O60" s="24"/>
      <c r="P60" s="24"/>
      <c r="Q60" s="24"/>
      <c r="R60" s="24"/>
      <c r="S60" s="24"/>
      <c r="T60" s="24"/>
      <c r="U60" s="24"/>
      <c r="V60" s="24"/>
      <c r="W60" s="24"/>
      <c r="X60" s="24"/>
      <c r="Y60" s="24"/>
      <c r="Z60" s="24"/>
      <c r="AA60" s="3"/>
      <c r="AB60" s="3"/>
      <c r="AC60" s="3"/>
      <c r="AH60" s="3"/>
      <c r="AI60" s="3"/>
      <c r="AJ60" s="3"/>
      <c r="AK60" s="3"/>
      <c r="AL60" s="3"/>
      <c r="AM60" s="3"/>
      <c r="AN60" s="3"/>
      <c r="AO60" s="3"/>
      <c r="AP60" s="3"/>
      <c r="AQ60" s="3"/>
      <c r="AR60" s="3"/>
      <c r="AS60" s="3"/>
      <c r="AT60" s="3"/>
      <c r="AU60" s="3"/>
      <c r="AV60" s="3"/>
      <c r="AW60" s="3"/>
      <c r="AX60" s="3"/>
    </row>
    <row r="61" spans="1:50">
      <c r="A61" s="1"/>
      <c r="B61" s="22"/>
      <c r="C61" s="24">
        <f>COUNTA(I8:I56)</f>
        <v>13</v>
      </c>
      <c r="D61" s="24">
        <f>COUNTA(C8:C56)</f>
        <v>29</v>
      </c>
      <c r="E61" s="24">
        <f>COUNTA(A8:A56)</f>
        <v>29</v>
      </c>
      <c r="F61" s="23"/>
      <c r="G61" s="23"/>
      <c r="H61" s="3"/>
      <c r="I61" s="1"/>
      <c r="J61" s="3"/>
      <c r="K61" s="24"/>
      <c r="L61" s="24"/>
      <c r="M61" s="24"/>
      <c r="N61" s="24"/>
      <c r="O61" s="24"/>
      <c r="P61" s="141"/>
      <c r="Q61" s="24"/>
      <c r="R61" s="24"/>
      <c r="S61" s="24"/>
      <c r="T61" s="24"/>
      <c r="U61" s="24"/>
      <c r="V61" s="24"/>
      <c r="W61" s="24"/>
      <c r="X61" s="24"/>
      <c r="Y61" s="24"/>
      <c r="Z61" s="24"/>
      <c r="AA61" s="100"/>
      <c r="AB61" s="100"/>
      <c r="AC61" s="100"/>
      <c r="AH61" s="3"/>
      <c r="AI61" s="3"/>
      <c r="AJ61" s="3"/>
      <c r="AK61" s="3"/>
      <c r="AL61" s="3"/>
      <c r="AM61" s="3"/>
      <c r="AN61" s="3"/>
      <c r="AO61" s="3"/>
      <c r="AP61" s="3"/>
      <c r="AQ61" s="3"/>
      <c r="AR61" s="3"/>
      <c r="AS61" s="3"/>
      <c r="AT61" s="3"/>
      <c r="AU61" s="3"/>
      <c r="AV61" s="3"/>
      <c r="AW61" s="3"/>
      <c r="AX61" s="3"/>
    </row>
    <row r="62" spans="1:50">
      <c r="A62" s="1"/>
      <c r="B62" s="22"/>
      <c r="C62" s="24"/>
      <c r="D62" s="25"/>
      <c r="E62" s="25"/>
      <c r="F62" s="23"/>
      <c r="G62" s="23"/>
      <c r="H62" s="3"/>
      <c r="I62" s="1"/>
      <c r="J62" s="3"/>
      <c r="K62" s="24"/>
      <c r="L62" s="24"/>
      <c r="M62" s="24"/>
      <c r="N62" s="24"/>
      <c r="O62" s="24"/>
      <c r="P62" s="24"/>
      <c r="Q62" s="24"/>
      <c r="R62" s="24"/>
      <c r="S62" s="24"/>
      <c r="T62" s="24"/>
      <c r="U62" s="24"/>
      <c r="V62" s="24"/>
      <c r="W62" s="24"/>
      <c r="X62" s="24"/>
      <c r="Y62" s="24"/>
      <c r="Z62" s="24"/>
      <c r="AA62" s="100"/>
      <c r="AB62" s="100"/>
      <c r="AC62" s="100"/>
      <c r="AD62" s="3">
        <v>0</v>
      </c>
      <c r="AH62" s="3"/>
      <c r="AI62" s="3"/>
      <c r="AJ62" s="3"/>
      <c r="AK62" s="3"/>
      <c r="AL62" s="3"/>
      <c r="AM62" s="3"/>
      <c r="AN62" s="3"/>
      <c r="AO62" s="3"/>
      <c r="AP62" s="3"/>
      <c r="AQ62" s="3"/>
      <c r="AR62" s="3"/>
      <c r="AS62" s="3"/>
      <c r="AT62" s="3"/>
      <c r="AU62" s="3"/>
      <c r="AV62" s="3"/>
      <c r="AW62" s="3"/>
    </row>
    <row r="63" spans="1:50" ht="15">
      <c r="A63" s="26"/>
      <c r="B63" s="26"/>
      <c r="C63" s="27" t="s">
        <v>432</v>
      </c>
      <c r="D63" s="28">
        <f>($D$61/$E$61)</f>
        <v>1</v>
      </c>
      <c r="E63" s="28">
        <f>($D$61/$E$61)*$I$58</f>
        <v>0.10175682727430857</v>
      </c>
      <c r="F63" s="29"/>
      <c r="G63" s="29"/>
      <c r="H63" s="679" t="s">
        <v>433</v>
      </c>
      <c r="I63" s="679"/>
      <c r="J63" s="679"/>
      <c r="K63" s="679"/>
      <c r="L63" s="679"/>
      <c r="M63" s="679"/>
      <c r="N63" s="679"/>
      <c r="O63" s="24"/>
      <c r="P63" s="680" t="s">
        <v>434</v>
      </c>
      <c r="Q63" s="680"/>
      <c r="R63" s="680"/>
      <c r="S63" s="680"/>
      <c r="T63" s="680"/>
      <c r="U63" s="1"/>
      <c r="V63" s="1"/>
      <c r="W63" s="1"/>
      <c r="X63" s="1"/>
      <c r="Y63" s="1"/>
      <c r="Z63" s="1"/>
      <c r="AA63" s="3"/>
      <c r="AB63" s="3"/>
      <c r="AC63" s="3"/>
    </row>
    <row r="64" spans="1:50" ht="25.5">
      <c r="A64" s="1"/>
      <c r="B64" s="1"/>
      <c r="C64" s="3"/>
      <c r="D64" s="3"/>
      <c r="E64" s="3"/>
      <c r="F64" s="3"/>
      <c r="G64" s="3">
        <f>358-215</f>
        <v>143</v>
      </c>
      <c r="H64" s="30" t="s">
        <v>81</v>
      </c>
      <c r="I64" s="30" t="s">
        <v>435</v>
      </c>
      <c r="J64" s="30" t="s">
        <v>436</v>
      </c>
      <c r="K64" s="30" t="s">
        <v>437</v>
      </c>
      <c r="L64" s="66" t="s">
        <v>438</v>
      </c>
      <c r="M64" s="66" t="s">
        <v>439</v>
      </c>
      <c r="N64" s="66" t="s">
        <v>440</v>
      </c>
      <c r="O64" s="26"/>
      <c r="P64" s="67" t="s">
        <v>81</v>
      </c>
      <c r="Q64" s="67" t="s">
        <v>435</v>
      </c>
      <c r="R64" s="39" t="s">
        <v>436</v>
      </c>
      <c r="S64" s="39" t="s">
        <v>437</v>
      </c>
      <c r="T64" s="73" t="s">
        <v>441</v>
      </c>
      <c r="U64" s="3"/>
      <c r="V64" s="3"/>
      <c r="W64" s="3"/>
      <c r="X64" s="3"/>
      <c r="Y64" s="3"/>
      <c r="Z64" s="3"/>
      <c r="AA64" s="3"/>
      <c r="AB64" s="3"/>
      <c r="AC64" s="3"/>
    </row>
    <row r="65" spans="1:29">
      <c r="A65" s="1"/>
      <c r="B65" s="1"/>
      <c r="C65" s="3"/>
      <c r="D65" s="3"/>
      <c r="E65" s="3"/>
      <c r="F65" s="3"/>
      <c r="G65" s="3"/>
      <c r="H65" s="65">
        <f>B8</f>
        <v>46192</v>
      </c>
      <c r="I65" s="1" t="str">
        <f>C8</f>
        <v>STAG</v>
      </c>
      <c r="J65" s="23">
        <f t="shared" ref="J65" si="7">E8</f>
        <v>0.79166666666666663</v>
      </c>
      <c r="K65" s="23">
        <f t="shared" ref="K65" si="8">F8</f>
        <v>0.85624999999999996</v>
      </c>
      <c r="L65" s="68">
        <f>K65-J65</f>
        <v>6.4583333333333326E-2</v>
      </c>
      <c r="M65" s="3">
        <v>93</v>
      </c>
      <c r="N65" s="69">
        <f>M65-(H8+J8+K8+L8+M8+N8+AA8+AB8+Z8+AC8)</f>
        <v>93</v>
      </c>
      <c r="O65" s="3"/>
      <c r="P65" s="65">
        <f>B8</f>
        <v>46192</v>
      </c>
      <c r="Q65" s="74" t="str">
        <f>C8</f>
        <v>STAG</v>
      </c>
      <c r="R65" s="76">
        <v>0.75</v>
      </c>
      <c r="S65" s="23">
        <f>F8</f>
        <v>0.85624999999999996</v>
      </c>
      <c r="T65" s="75">
        <f t="shared" ref="T65:T66" si="9">S65-R65</f>
        <v>0.10624999999999996</v>
      </c>
      <c r="U65" s="3"/>
      <c r="V65" s="3"/>
      <c r="W65" s="3"/>
      <c r="X65" s="3"/>
      <c r="Y65" s="3"/>
      <c r="Z65" s="3"/>
      <c r="AA65" s="3"/>
      <c r="AB65" s="3"/>
      <c r="AC65" s="3"/>
    </row>
    <row r="66" spans="1:29">
      <c r="H66" s="65">
        <f t="shared" ref="H66:H108" si="10">B9</f>
        <v>46193</v>
      </c>
      <c r="I66" s="1" t="str">
        <f t="shared" ref="I66:I108" si="11">C9</f>
        <v>STAG</v>
      </c>
      <c r="J66" s="23">
        <f t="shared" ref="J66:J110" si="12">E9</f>
        <v>0.40972222222222221</v>
      </c>
      <c r="K66" s="23">
        <f t="shared" ref="K66:K110" si="13">F9</f>
        <v>0.93611111111111112</v>
      </c>
      <c r="L66" s="68">
        <f t="shared" ref="L66:L108" si="14">K66-J66</f>
        <v>0.52638888888888891</v>
      </c>
      <c r="M66" s="3">
        <v>758</v>
      </c>
      <c r="N66" s="69">
        <f>M66-(H9+J9+K9+L9+M9+N9+AA9+AB9+Z9+AC9)</f>
        <v>685</v>
      </c>
      <c r="O66" s="3"/>
      <c r="P66" s="65">
        <f t="shared" ref="P66:P87" si="15">B9</f>
        <v>46193</v>
      </c>
      <c r="Q66" s="74" t="str">
        <f t="shared" ref="Q66:Q87" si="16">C9</f>
        <v>STAG</v>
      </c>
      <c r="R66" s="76">
        <v>0.3263888888888889</v>
      </c>
      <c r="S66" s="23">
        <f t="shared" ref="R66:S68" si="17">F9</f>
        <v>0.93611111111111112</v>
      </c>
      <c r="T66" s="75">
        <f t="shared" si="9"/>
        <v>0.60972222222222228</v>
      </c>
    </row>
    <row r="67" spans="1:29">
      <c r="H67" s="65">
        <f t="shared" si="10"/>
        <v>46194</v>
      </c>
      <c r="I67" s="1" t="str">
        <f t="shared" si="11"/>
        <v>STAR MALT</v>
      </c>
      <c r="J67" s="23">
        <f t="shared" si="12"/>
        <v>0.83819444444444446</v>
      </c>
      <c r="K67" s="23">
        <f t="shared" si="13"/>
        <v>1</v>
      </c>
      <c r="L67" s="68">
        <f t="shared" si="14"/>
        <v>0.16180555555555554</v>
      </c>
      <c r="M67" s="3">
        <v>233</v>
      </c>
      <c r="N67" s="69">
        <f>M67-(H10+J10+K10+L10+M10+N10+AA10+AB10+AC10)</f>
        <v>233</v>
      </c>
      <c r="P67" s="65">
        <f t="shared" si="15"/>
        <v>46194</v>
      </c>
      <c r="Q67" s="74" t="str">
        <f t="shared" si="16"/>
        <v>STAR MALT</v>
      </c>
      <c r="R67" s="76">
        <v>0.625</v>
      </c>
      <c r="S67" s="23">
        <f t="shared" ref="S67:S98" si="18">F10</f>
        <v>1</v>
      </c>
      <c r="T67" s="75">
        <f>S67-R67</f>
        <v>0.375</v>
      </c>
    </row>
    <row r="68" spans="1:29">
      <c r="H68" s="65">
        <f t="shared" si="10"/>
        <v>46195</v>
      </c>
      <c r="I68" s="1" t="str">
        <f t="shared" si="11"/>
        <v>STAR MALT</v>
      </c>
      <c r="J68" s="23">
        <f t="shared" si="12"/>
        <v>1.0069444444444444</v>
      </c>
      <c r="K68" s="23">
        <f t="shared" si="13"/>
        <v>1.5986111111111112</v>
      </c>
      <c r="L68" s="68">
        <f t="shared" si="14"/>
        <v>0.59166666666666679</v>
      </c>
      <c r="M68" s="3">
        <v>852</v>
      </c>
      <c r="N68" s="69">
        <f>M68-(H11+J11+K11+L11+M11+N11+AA11+AB11+Z11+AC11)</f>
        <v>818</v>
      </c>
      <c r="P68" s="65">
        <f t="shared" si="15"/>
        <v>46195</v>
      </c>
      <c r="Q68" s="74" t="str">
        <f t="shared" si="16"/>
        <v>STAR MALT</v>
      </c>
      <c r="R68" s="23">
        <f t="shared" si="17"/>
        <v>1.0069444444444444</v>
      </c>
      <c r="S68" s="23">
        <f t="shared" si="18"/>
        <v>1.5986111111111112</v>
      </c>
      <c r="T68" s="668">
        <f>S69-R68</f>
        <v>0.99305555555555558</v>
      </c>
    </row>
    <row r="69" spans="1:29">
      <c r="H69" s="65">
        <f t="shared" si="10"/>
        <v>46195</v>
      </c>
      <c r="I69" s="1" t="str">
        <f t="shared" si="11"/>
        <v>CARIB AMBER</v>
      </c>
      <c r="J69" s="23">
        <f t="shared" si="12"/>
        <v>1.7256944444444444</v>
      </c>
      <c r="K69" s="23">
        <f t="shared" si="13"/>
        <v>2</v>
      </c>
      <c r="L69" s="68">
        <f t="shared" si="14"/>
        <v>0.27430555555555558</v>
      </c>
      <c r="M69" s="3">
        <v>395</v>
      </c>
      <c r="N69" s="69">
        <f>M69-(H12+J12+K12+L12+M12+N12+AA12+AB12+Z12+AC12)</f>
        <v>353</v>
      </c>
      <c r="P69" s="65">
        <f t="shared" si="15"/>
        <v>46195</v>
      </c>
      <c r="Q69" s="74" t="str">
        <f t="shared" si="16"/>
        <v>CARIB AMBER</v>
      </c>
      <c r="R69" s="23">
        <f t="shared" ref="R69:R97" si="19">E12</f>
        <v>1.7256944444444444</v>
      </c>
      <c r="S69" s="23">
        <f t="shared" ref="S69:S97" si="20">F12</f>
        <v>2</v>
      </c>
      <c r="T69" s="668"/>
    </row>
    <row r="70" spans="1:29">
      <c r="H70" s="65">
        <f t="shared" si="10"/>
        <v>46196</v>
      </c>
      <c r="I70" s="1" t="str">
        <f t="shared" si="11"/>
        <v>CARIB AMBER</v>
      </c>
      <c r="J70" s="23">
        <f t="shared" si="12"/>
        <v>1.0069444444444444</v>
      </c>
      <c r="K70" s="23">
        <f t="shared" si="13"/>
        <v>1.2729166666666667</v>
      </c>
      <c r="L70" s="68">
        <f t="shared" si="14"/>
        <v>0.26597222222222228</v>
      </c>
      <c r="M70" s="3">
        <v>383</v>
      </c>
      <c r="N70" s="69">
        <f>M70-(H13+J13+K13+L13+M13+N13+AA13+AB13+AC13)</f>
        <v>379</v>
      </c>
      <c r="P70" s="65">
        <f t="shared" si="15"/>
        <v>46196</v>
      </c>
      <c r="Q70" s="74" t="str">
        <f t="shared" si="16"/>
        <v>CARIB AMBER</v>
      </c>
      <c r="R70" s="23">
        <f t="shared" si="19"/>
        <v>1.0069444444444444</v>
      </c>
      <c r="S70" s="23">
        <f t="shared" si="20"/>
        <v>1.2729166666666667</v>
      </c>
      <c r="T70" s="668">
        <f>S72-R70</f>
        <v>0.99305555555555558</v>
      </c>
    </row>
    <row r="71" spans="1:29">
      <c r="H71" s="65">
        <f t="shared" si="10"/>
        <v>46196</v>
      </c>
      <c r="I71" s="1" t="str">
        <f t="shared" si="11"/>
        <v>STAG</v>
      </c>
      <c r="J71" s="23">
        <f t="shared" si="12"/>
        <v>1.3055555555555556</v>
      </c>
      <c r="K71" s="23">
        <f t="shared" si="13"/>
        <v>1.4361111111111111</v>
      </c>
      <c r="L71" s="68">
        <f t="shared" si="14"/>
        <v>0.13055555555555554</v>
      </c>
      <c r="M71" s="3">
        <v>188</v>
      </c>
      <c r="N71" s="69">
        <f>M71-(H14+K14+L14+M14+N14+AA14+AB14+Z14+AC14)</f>
        <v>148</v>
      </c>
      <c r="P71" s="65">
        <f t="shared" si="15"/>
        <v>46196</v>
      </c>
      <c r="Q71" s="74" t="str">
        <f t="shared" si="16"/>
        <v>STAG</v>
      </c>
      <c r="R71" s="23">
        <f t="shared" si="19"/>
        <v>1.3055555555555556</v>
      </c>
      <c r="S71" s="23">
        <f t="shared" si="20"/>
        <v>1.4361111111111111</v>
      </c>
      <c r="T71" s="668"/>
    </row>
    <row r="72" spans="1:29">
      <c r="H72" s="65">
        <f t="shared" si="10"/>
        <v>46196</v>
      </c>
      <c r="I72" s="1" t="str">
        <f t="shared" si="11"/>
        <v>GUINNESS</v>
      </c>
      <c r="J72" s="23">
        <f t="shared" si="12"/>
        <v>1.5208333333333333</v>
      </c>
      <c r="K72" s="23">
        <f t="shared" si="13"/>
        <v>2</v>
      </c>
      <c r="L72" s="68">
        <f t="shared" si="14"/>
        <v>0.47916666666666674</v>
      </c>
      <c r="M72" s="3">
        <v>690</v>
      </c>
      <c r="N72" s="69">
        <f>M72-(H15+J15+K15+L15+M15+N15+AA15+AB15+Z15+AC15)</f>
        <v>622</v>
      </c>
      <c r="P72" s="65">
        <f t="shared" si="15"/>
        <v>46196</v>
      </c>
      <c r="Q72" s="74" t="str">
        <f t="shared" si="16"/>
        <v>GUINNESS</v>
      </c>
      <c r="R72" s="23">
        <f t="shared" si="19"/>
        <v>1.5208333333333333</v>
      </c>
      <c r="S72" s="23">
        <f t="shared" si="20"/>
        <v>2</v>
      </c>
      <c r="T72" s="668"/>
    </row>
    <row r="73" spans="1:29">
      <c r="H73" s="65">
        <f t="shared" si="10"/>
        <v>46197</v>
      </c>
      <c r="I73" s="1" t="str">
        <f t="shared" si="11"/>
        <v>GUINNESS</v>
      </c>
      <c r="J73" s="23">
        <f t="shared" si="12"/>
        <v>1.0125</v>
      </c>
      <c r="K73" s="23">
        <f t="shared" si="13"/>
        <v>1.4173611111111111</v>
      </c>
      <c r="L73" s="68">
        <f t="shared" si="14"/>
        <v>0.40486111111111112</v>
      </c>
      <c r="M73" s="3">
        <v>583</v>
      </c>
      <c r="N73" s="69">
        <f>M73-(H16+J16+K16+L16+M16+AA16+AB16+Z16+AC16)</f>
        <v>559</v>
      </c>
      <c r="P73" s="65">
        <f t="shared" si="15"/>
        <v>46197</v>
      </c>
      <c r="Q73" s="74" t="str">
        <f t="shared" si="16"/>
        <v>GUINNESS</v>
      </c>
      <c r="R73" s="23">
        <f t="shared" si="19"/>
        <v>1.0125</v>
      </c>
      <c r="S73" s="23">
        <f t="shared" si="20"/>
        <v>1.4173611111111111</v>
      </c>
      <c r="T73" s="668">
        <f>S74-R73</f>
        <v>0.98750000000000004</v>
      </c>
    </row>
    <row r="74" spans="1:29">
      <c r="H74" s="65">
        <f t="shared" si="10"/>
        <v>46197</v>
      </c>
      <c r="I74" s="1" t="str">
        <f t="shared" si="11"/>
        <v>CARIB AMBER</v>
      </c>
      <c r="J74" s="23">
        <f t="shared" si="12"/>
        <v>1.5625</v>
      </c>
      <c r="K74" s="23">
        <f t="shared" si="13"/>
        <v>2</v>
      </c>
      <c r="L74" s="68">
        <f t="shared" si="14"/>
        <v>0.4375</v>
      </c>
      <c r="M74" s="3">
        <v>630</v>
      </c>
      <c r="N74" s="69">
        <f t="shared" ref="N74:N87" si="21">M74-(H17+J17+K17+L17+M17+N17+AA17+AB17+Z17+AC17)</f>
        <v>601</v>
      </c>
      <c r="P74" s="65">
        <f t="shared" si="15"/>
        <v>46197</v>
      </c>
      <c r="Q74" s="74" t="str">
        <f t="shared" si="16"/>
        <v>CARIB AMBER</v>
      </c>
      <c r="R74" s="23">
        <f t="shared" si="19"/>
        <v>1.5625</v>
      </c>
      <c r="S74" s="23">
        <f t="shared" si="20"/>
        <v>2</v>
      </c>
      <c r="T74" s="668"/>
    </row>
    <row r="75" spans="1:29">
      <c r="H75" s="65">
        <f t="shared" si="10"/>
        <v>46198</v>
      </c>
      <c r="I75" s="1" t="str">
        <f t="shared" si="11"/>
        <v>CARIB AMBER</v>
      </c>
      <c r="J75" s="23">
        <f t="shared" si="12"/>
        <v>1.0083333333333333</v>
      </c>
      <c r="K75" s="23">
        <f t="shared" si="13"/>
        <v>1.1000000000000001</v>
      </c>
      <c r="L75" s="68">
        <f t="shared" si="14"/>
        <v>9.1666666666666785E-2</v>
      </c>
      <c r="M75" s="3">
        <v>132</v>
      </c>
      <c r="N75" s="69">
        <f t="shared" si="21"/>
        <v>113</v>
      </c>
      <c r="P75" s="65">
        <f t="shared" si="15"/>
        <v>46198</v>
      </c>
      <c r="Q75" s="74" t="str">
        <f t="shared" si="16"/>
        <v>CARIB AMBER</v>
      </c>
      <c r="R75" s="23">
        <f t="shared" si="19"/>
        <v>1.0083333333333333</v>
      </c>
      <c r="S75" s="23">
        <f t="shared" si="20"/>
        <v>1.1000000000000001</v>
      </c>
      <c r="T75" s="668">
        <f>S78-R75</f>
        <v>0.9916666666666667</v>
      </c>
    </row>
    <row r="76" spans="1:29">
      <c r="H76" s="65">
        <f t="shared" si="10"/>
        <v>46198</v>
      </c>
      <c r="I76" s="1" t="str">
        <f t="shared" si="11"/>
        <v>STAG</v>
      </c>
      <c r="J76" s="23">
        <f t="shared" si="12"/>
        <v>1.1145833333333333</v>
      </c>
      <c r="K76" s="23">
        <f t="shared" si="13"/>
        <v>1.6409722222222223</v>
      </c>
      <c r="L76" s="68">
        <f t="shared" si="14"/>
        <v>0.52638888888888902</v>
      </c>
      <c r="M76" s="3">
        <v>758</v>
      </c>
      <c r="N76" s="69">
        <f t="shared" si="21"/>
        <v>695</v>
      </c>
      <c r="P76" s="65">
        <f t="shared" si="15"/>
        <v>46198</v>
      </c>
      <c r="Q76" s="74" t="str">
        <f t="shared" si="16"/>
        <v>STAG</v>
      </c>
      <c r="R76" s="23">
        <f t="shared" si="19"/>
        <v>1.1145833333333333</v>
      </c>
      <c r="S76" s="23">
        <f t="shared" si="20"/>
        <v>1.6409722222222223</v>
      </c>
      <c r="T76" s="668"/>
    </row>
    <row r="77" spans="1:29">
      <c r="H77" s="65">
        <f t="shared" si="10"/>
        <v>46198</v>
      </c>
      <c r="I77" s="1" t="str">
        <f t="shared" si="11"/>
        <v>CARIB FLINT</v>
      </c>
      <c r="J77" s="23">
        <f t="shared" si="12"/>
        <v>1.6666666666666667</v>
      </c>
      <c r="K77" s="23">
        <f t="shared" si="13"/>
        <v>1.836111111111111</v>
      </c>
      <c r="L77" s="68">
        <f t="shared" si="14"/>
        <v>0.16944444444444429</v>
      </c>
      <c r="M77" s="3">
        <v>244</v>
      </c>
      <c r="N77" s="69">
        <f t="shared" si="21"/>
        <v>234</v>
      </c>
      <c r="P77" s="65">
        <f t="shared" si="15"/>
        <v>46198</v>
      </c>
      <c r="Q77" s="74" t="str">
        <f t="shared" si="16"/>
        <v>CARIB FLINT</v>
      </c>
      <c r="R77" s="23">
        <f t="shared" si="19"/>
        <v>1.6666666666666667</v>
      </c>
      <c r="S77" s="23">
        <f t="shared" si="20"/>
        <v>1.836111111111111</v>
      </c>
      <c r="T77" s="668"/>
    </row>
    <row r="78" spans="1:29">
      <c r="H78" s="65">
        <f t="shared" si="10"/>
        <v>46198</v>
      </c>
      <c r="I78" s="1" t="str">
        <f t="shared" si="11"/>
        <v>CARIB AMBER</v>
      </c>
      <c r="J78" s="23">
        <f t="shared" si="12"/>
        <v>1.8444444444444446</v>
      </c>
      <c r="K78" s="23">
        <f t="shared" si="13"/>
        <v>2</v>
      </c>
      <c r="L78" s="68">
        <f t="shared" si="14"/>
        <v>0.15555555555555545</v>
      </c>
      <c r="M78" s="3">
        <v>224</v>
      </c>
      <c r="N78" s="69">
        <f t="shared" si="21"/>
        <v>222</v>
      </c>
      <c r="P78" s="65">
        <f t="shared" si="15"/>
        <v>46198</v>
      </c>
      <c r="Q78" s="74" t="str">
        <f t="shared" si="16"/>
        <v>CARIB AMBER</v>
      </c>
      <c r="R78" s="23">
        <f t="shared" si="19"/>
        <v>1.8444444444444446</v>
      </c>
      <c r="S78" s="23">
        <f t="shared" si="20"/>
        <v>2</v>
      </c>
      <c r="T78" s="668"/>
    </row>
    <row r="79" spans="1:29">
      <c r="H79" s="65">
        <f t="shared" si="10"/>
        <v>46199</v>
      </c>
      <c r="I79" s="1" t="str">
        <f t="shared" si="11"/>
        <v>CARIB AMBER</v>
      </c>
      <c r="J79" s="23">
        <f t="shared" si="12"/>
        <v>1.0173611111111112</v>
      </c>
      <c r="K79" s="23">
        <f t="shared" si="13"/>
        <v>1.3125</v>
      </c>
      <c r="L79" s="68">
        <f t="shared" si="14"/>
        <v>0.29513888888888884</v>
      </c>
      <c r="M79" s="3">
        <v>425</v>
      </c>
      <c r="N79" s="69">
        <f t="shared" si="21"/>
        <v>393</v>
      </c>
      <c r="P79" s="65">
        <f t="shared" si="15"/>
        <v>46199</v>
      </c>
      <c r="Q79" s="74" t="str">
        <f t="shared" si="16"/>
        <v>CARIB AMBER</v>
      </c>
      <c r="R79" s="23">
        <f t="shared" si="19"/>
        <v>1.0173611111111112</v>
      </c>
      <c r="S79" s="23">
        <f t="shared" si="20"/>
        <v>1.3125</v>
      </c>
      <c r="T79" s="668">
        <f>S80-R79</f>
        <v>0.85763888888888884</v>
      </c>
    </row>
    <row r="80" spans="1:29">
      <c r="H80" s="65">
        <f t="shared" si="10"/>
        <v>46199</v>
      </c>
      <c r="I80" s="1" t="str">
        <f t="shared" si="11"/>
        <v>TING</v>
      </c>
      <c r="J80" s="23">
        <f t="shared" si="12"/>
        <v>0</v>
      </c>
      <c r="K80" s="23">
        <f t="shared" si="13"/>
        <v>0</v>
      </c>
      <c r="L80" s="68">
        <f t="shared" si="14"/>
        <v>0</v>
      </c>
      <c r="M80" s="3"/>
      <c r="N80" s="69">
        <f>M80-(H23+J23+K23+L23+M23+N23+AA23+AB23+Z23+AC23)</f>
        <v>-105</v>
      </c>
      <c r="P80" s="65">
        <f t="shared" si="15"/>
        <v>46199</v>
      </c>
      <c r="Q80" s="74" t="str">
        <f t="shared" si="16"/>
        <v>TING</v>
      </c>
      <c r="R80" s="23">
        <f t="shared" si="19"/>
        <v>0</v>
      </c>
      <c r="S80" s="76">
        <v>1.875</v>
      </c>
      <c r="T80" s="668"/>
    </row>
    <row r="81" spans="8:20">
      <c r="H81" s="65">
        <f t="shared" si="10"/>
        <v>46200</v>
      </c>
      <c r="I81" s="1" t="str">
        <f t="shared" si="11"/>
        <v>CARIB AMBER</v>
      </c>
      <c r="J81" s="23">
        <f t="shared" si="12"/>
        <v>0.50694444444444442</v>
      </c>
      <c r="K81" s="23">
        <f t="shared" si="13"/>
        <v>0.71527777777777779</v>
      </c>
      <c r="L81" s="68">
        <f t="shared" si="14"/>
        <v>0.20833333333333337</v>
      </c>
      <c r="M81" s="3">
        <v>300</v>
      </c>
      <c r="N81" s="69">
        <f t="shared" si="21"/>
        <v>145</v>
      </c>
      <c r="P81" s="65">
        <f t="shared" si="15"/>
        <v>46200</v>
      </c>
      <c r="Q81" s="74" t="str">
        <f t="shared" si="16"/>
        <v>CARIB AMBER</v>
      </c>
      <c r="R81" s="76">
        <v>0.3263888888888889</v>
      </c>
      <c r="S81" s="23">
        <f t="shared" si="20"/>
        <v>0.71527777777777779</v>
      </c>
      <c r="T81" s="668">
        <f>S82-R81</f>
        <v>0.58472222222222214</v>
      </c>
    </row>
    <row r="82" spans="8:20">
      <c r="H82" s="65">
        <f t="shared" si="10"/>
        <v>46200</v>
      </c>
      <c r="I82" s="1" t="str">
        <f t="shared" si="11"/>
        <v>STAG</v>
      </c>
      <c r="J82" s="23">
        <f t="shared" si="12"/>
        <v>0.72916666666666663</v>
      </c>
      <c r="K82" s="23">
        <f t="shared" si="13"/>
        <v>0.91111111111111109</v>
      </c>
      <c r="L82" s="68">
        <f t="shared" si="14"/>
        <v>0.18194444444444446</v>
      </c>
      <c r="M82" s="72">
        <v>262</v>
      </c>
      <c r="N82" s="69">
        <f>M82-(H25+J25+K25+L25+M25+N25+AA25+AB25+Z25+AC25)</f>
        <v>262</v>
      </c>
      <c r="P82" s="65">
        <f t="shared" si="15"/>
        <v>46200</v>
      </c>
      <c r="Q82" s="74" t="str">
        <f t="shared" si="16"/>
        <v>STAG</v>
      </c>
      <c r="R82" s="23">
        <f t="shared" si="19"/>
        <v>0.72916666666666663</v>
      </c>
      <c r="S82" s="23">
        <f t="shared" si="20"/>
        <v>0.91111111111111109</v>
      </c>
      <c r="T82" s="668"/>
    </row>
    <row r="83" spans="8:20">
      <c r="H83" s="65">
        <f t="shared" si="10"/>
        <v>46202</v>
      </c>
      <c r="I83" s="1" t="str">
        <f t="shared" si="11"/>
        <v>STAG</v>
      </c>
      <c r="J83" s="23">
        <f t="shared" si="12"/>
        <v>1.1041666666666667</v>
      </c>
      <c r="K83" s="23">
        <f t="shared" si="13"/>
        <v>1.3381944444444445</v>
      </c>
      <c r="L83" s="68">
        <f t="shared" si="14"/>
        <v>0.23402777777777772</v>
      </c>
      <c r="M83" s="72">
        <v>337</v>
      </c>
      <c r="N83" s="69">
        <f>M83-(H26+J26+K26+L26+M26+N26+AA26+AB26+Z26+AC26)</f>
        <v>310</v>
      </c>
      <c r="P83" s="65">
        <f t="shared" si="15"/>
        <v>46202</v>
      </c>
      <c r="Q83" s="74" t="str">
        <f t="shared" si="16"/>
        <v>STAG</v>
      </c>
      <c r="R83" s="76">
        <v>1.0416666666666667</v>
      </c>
      <c r="S83" s="23">
        <f t="shared" si="20"/>
        <v>1.3381944444444445</v>
      </c>
      <c r="T83" s="668">
        <f>S85-R83</f>
        <v>0.93472222222222223</v>
      </c>
    </row>
    <row r="84" spans="8:20">
      <c r="H84" s="65">
        <f t="shared" si="10"/>
        <v>46202</v>
      </c>
      <c r="I84" s="1" t="str">
        <f t="shared" si="11"/>
        <v>TING</v>
      </c>
      <c r="J84" s="23">
        <f t="shared" si="12"/>
        <v>1.4680555555555554</v>
      </c>
      <c r="K84" s="23">
        <f t="shared" si="13"/>
        <v>1.663888888888889</v>
      </c>
      <c r="L84" s="68">
        <f t="shared" si="14"/>
        <v>0.19583333333333353</v>
      </c>
      <c r="M84" s="72">
        <v>282</v>
      </c>
      <c r="N84" s="69">
        <f>M84-(H27+J27+K27+L27+M27+N27+AA27+AB27+5+AC27)</f>
        <v>211</v>
      </c>
      <c r="P84" s="65">
        <f t="shared" si="15"/>
        <v>46202</v>
      </c>
      <c r="Q84" s="74" t="str">
        <f t="shared" si="16"/>
        <v>TING</v>
      </c>
      <c r="R84" s="23">
        <f t="shared" si="19"/>
        <v>1.4680555555555554</v>
      </c>
      <c r="S84" s="23">
        <f t="shared" si="20"/>
        <v>1.663888888888889</v>
      </c>
      <c r="T84" s="668"/>
    </row>
    <row r="85" spans="8:20">
      <c r="H85" s="65">
        <f t="shared" si="10"/>
        <v>46202</v>
      </c>
      <c r="I85" s="1" t="str">
        <f t="shared" si="11"/>
        <v>GINSENG UP ORIGINAL</v>
      </c>
      <c r="J85" s="23">
        <f t="shared" si="12"/>
        <v>1.7749999999999999</v>
      </c>
      <c r="K85" s="23">
        <f t="shared" si="13"/>
        <v>1.976388888888889</v>
      </c>
      <c r="L85" s="68">
        <f t="shared" si="14"/>
        <v>0.20138888888888906</v>
      </c>
      <c r="M85" s="72">
        <v>290</v>
      </c>
      <c r="N85" s="69">
        <f>M85-(H28+J28+K28+L28+M28+N28+AA28+AB28+Z28+AC28)</f>
        <v>211</v>
      </c>
      <c r="P85" s="65">
        <f t="shared" si="15"/>
        <v>46202</v>
      </c>
      <c r="Q85" s="74" t="str">
        <f t="shared" si="16"/>
        <v>GINSENG UP ORIGINAL</v>
      </c>
      <c r="R85" s="23">
        <f t="shared" si="19"/>
        <v>1.7749999999999999</v>
      </c>
      <c r="S85" s="23">
        <f t="shared" si="20"/>
        <v>1.976388888888889</v>
      </c>
      <c r="T85" s="668"/>
    </row>
    <row r="86" spans="8:20">
      <c r="H86" s="65">
        <f t="shared" si="10"/>
        <v>46203</v>
      </c>
      <c r="I86" s="1" t="str">
        <f t="shared" si="11"/>
        <v>STAG</v>
      </c>
      <c r="J86" s="23">
        <f t="shared" si="12"/>
        <v>1.2569444444444444</v>
      </c>
      <c r="K86" s="23">
        <f t="shared" si="13"/>
        <v>1.398611111111111</v>
      </c>
      <c r="L86" s="68">
        <f t="shared" si="14"/>
        <v>0.14166666666666661</v>
      </c>
      <c r="M86" s="72">
        <v>204</v>
      </c>
      <c r="N86" s="69">
        <f>M86-(H29+J29+K29+L29+M29+N29+AA29+AB29+AC29)</f>
        <v>194</v>
      </c>
      <c r="P86" s="65">
        <f t="shared" si="15"/>
        <v>46203</v>
      </c>
      <c r="Q86" s="74" t="str">
        <f t="shared" si="16"/>
        <v>STAG</v>
      </c>
      <c r="R86" s="76">
        <v>1</v>
      </c>
      <c r="S86" s="23">
        <f t="shared" si="20"/>
        <v>1.398611111111111</v>
      </c>
      <c r="T86" s="668">
        <f>S87-R86</f>
        <v>0.96180555555555558</v>
      </c>
    </row>
    <row r="87" spans="8:20">
      <c r="H87" s="65">
        <f t="shared" si="10"/>
        <v>46203</v>
      </c>
      <c r="I87" s="1" t="str">
        <f t="shared" si="11"/>
        <v>CARIB AMBER</v>
      </c>
      <c r="J87" s="23">
        <f t="shared" si="12"/>
        <v>1.4097222222222223</v>
      </c>
      <c r="K87" s="23">
        <f t="shared" si="13"/>
        <v>1.9618055555555556</v>
      </c>
      <c r="L87" s="68">
        <f t="shared" si="14"/>
        <v>0.55208333333333326</v>
      </c>
      <c r="M87" s="72">
        <v>795</v>
      </c>
      <c r="N87" s="69">
        <f t="shared" si="21"/>
        <v>750</v>
      </c>
      <c r="P87" s="65">
        <f t="shared" si="15"/>
        <v>46203</v>
      </c>
      <c r="Q87" s="74" t="str">
        <f t="shared" si="16"/>
        <v>CARIB AMBER</v>
      </c>
      <c r="R87" s="23">
        <f t="shared" si="19"/>
        <v>1.4097222222222223</v>
      </c>
      <c r="S87" s="23">
        <f t="shared" si="20"/>
        <v>1.9618055555555556</v>
      </c>
      <c r="T87" s="668"/>
    </row>
    <row r="88" spans="8:20">
      <c r="H88" s="65">
        <f t="shared" si="10"/>
        <v>0</v>
      </c>
      <c r="I88" s="1">
        <f t="shared" si="11"/>
        <v>0</v>
      </c>
      <c r="J88" s="23">
        <f t="shared" si="12"/>
        <v>0</v>
      </c>
      <c r="K88" s="23">
        <f t="shared" si="13"/>
        <v>0</v>
      </c>
      <c r="L88" s="68">
        <f t="shared" si="14"/>
        <v>0</v>
      </c>
      <c r="M88" s="72"/>
      <c r="N88" s="69">
        <f t="shared" ref="N88:N98" si="22">M88-(H31+J31+K31+L31+M31+N31+AA31+AB31+Z31+AC31)</f>
        <v>0</v>
      </c>
      <c r="P88" s="65">
        <f t="shared" ref="P88:P98" si="23">B31</f>
        <v>0</v>
      </c>
      <c r="Q88" s="74">
        <f t="shared" ref="Q88:Q98" si="24">C31</f>
        <v>0</v>
      </c>
      <c r="R88" s="23">
        <f t="shared" si="19"/>
        <v>0</v>
      </c>
      <c r="S88" s="23">
        <f t="shared" si="20"/>
        <v>0</v>
      </c>
      <c r="T88" s="668">
        <f>S89-R88</f>
        <v>0</v>
      </c>
    </row>
    <row r="89" spans="8:20">
      <c r="H89" s="65">
        <f t="shared" si="10"/>
        <v>0</v>
      </c>
      <c r="I89" s="1">
        <f t="shared" si="11"/>
        <v>0</v>
      </c>
      <c r="J89" s="23">
        <f t="shared" si="12"/>
        <v>0</v>
      </c>
      <c r="K89" s="23">
        <f t="shared" si="13"/>
        <v>0</v>
      </c>
      <c r="L89" s="68">
        <f t="shared" si="14"/>
        <v>0</v>
      </c>
      <c r="M89" s="72"/>
      <c r="N89" s="69">
        <f>M89-(H32+J32+K32+L32+M32+N32+AA32+AB32+AC32)</f>
        <v>0</v>
      </c>
      <c r="P89" s="65">
        <f t="shared" si="23"/>
        <v>0</v>
      </c>
      <c r="Q89" s="74">
        <f t="shared" si="24"/>
        <v>0</v>
      </c>
      <c r="R89" s="23">
        <f t="shared" si="19"/>
        <v>0</v>
      </c>
      <c r="S89" s="23">
        <f t="shared" si="20"/>
        <v>0</v>
      </c>
      <c r="T89" s="668"/>
    </row>
    <row r="90" spans="8:20">
      <c r="H90" s="65">
        <f t="shared" si="10"/>
        <v>0</v>
      </c>
      <c r="I90" s="1">
        <f t="shared" si="11"/>
        <v>0</v>
      </c>
      <c r="J90" s="23">
        <f t="shared" si="12"/>
        <v>0</v>
      </c>
      <c r="K90" s="23">
        <f t="shared" si="13"/>
        <v>0</v>
      </c>
      <c r="L90" s="68">
        <f t="shared" si="14"/>
        <v>0</v>
      </c>
      <c r="M90" s="72"/>
      <c r="N90" s="69">
        <f t="shared" si="22"/>
        <v>0</v>
      </c>
      <c r="P90" s="65">
        <f t="shared" si="23"/>
        <v>0</v>
      </c>
      <c r="Q90" s="74">
        <f t="shared" si="24"/>
        <v>0</v>
      </c>
      <c r="R90" s="23">
        <f t="shared" si="19"/>
        <v>0</v>
      </c>
      <c r="S90" s="23">
        <f t="shared" si="20"/>
        <v>0</v>
      </c>
      <c r="T90" s="668">
        <f>S92-R90</f>
        <v>0</v>
      </c>
    </row>
    <row r="91" spans="8:20">
      <c r="H91" s="65">
        <f t="shared" si="10"/>
        <v>0</v>
      </c>
      <c r="I91" s="1">
        <f t="shared" si="11"/>
        <v>0</v>
      </c>
      <c r="J91" s="23">
        <f t="shared" si="12"/>
        <v>0</v>
      </c>
      <c r="K91" s="23">
        <f t="shared" si="13"/>
        <v>0</v>
      </c>
      <c r="L91" s="68">
        <f t="shared" si="14"/>
        <v>0</v>
      </c>
      <c r="M91" s="72"/>
      <c r="N91" s="69">
        <f t="shared" si="22"/>
        <v>0</v>
      </c>
      <c r="P91" s="65">
        <f t="shared" si="23"/>
        <v>0</v>
      </c>
      <c r="Q91" s="74">
        <f t="shared" si="24"/>
        <v>0</v>
      </c>
      <c r="R91" s="23">
        <f t="shared" si="19"/>
        <v>0</v>
      </c>
      <c r="S91" s="23">
        <f t="shared" si="20"/>
        <v>0</v>
      </c>
      <c r="T91" s="668"/>
    </row>
    <row r="92" spans="8:20">
      <c r="H92" s="65">
        <f t="shared" si="10"/>
        <v>0</v>
      </c>
      <c r="I92" s="1">
        <f t="shared" si="11"/>
        <v>0</v>
      </c>
      <c r="J92" s="23">
        <f t="shared" si="12"/>
        <v>0</v>
      </c>
      <c r="K92" s="23">
        <f t="shared" si="13"/>
        <v>0</v>
      </c>
      <c r="L92" s="68">
        <f t="shared" si="14"/>
        <v>0</v>
      </c>
      <c r="M92" s="72"/>
      <c r="N92" s="69">
        <f t="shared" si="22"/>
        <v>0</v>
      </c>
      <c r="P92" s="65">
        <f t="shared" si="23"/>
        <v>0</v>
      </c>
      <c r="Q92" s="74">
        <f t="shared" si="24"/>
        <v>0</v>
      </c>
      <c r="R92" s="23">
        <f t="shared" si="19"/>
        <v>0</v>
      </c>
      <c r="S92" s="23">
        <f t="shared" si="20"/>
        <v>0</v>
      </c>
      <c r="T92" s="668"/>
    </row>
    <row r="93" spans="8:20">
      <c r="H93" s="65">
        <f t="shared" si="10"/>
        <v>0</v>
      </c>
      <c r="I93" s="1">
        <f t="shared" si="11"/>
        <v>0</v>
      </c>
      <c r="J93" s="23">
        <f t="shared" si="12"/>
        <v>0</v>
      </c>
      <c r="K93" s="23">
        <f t="shared" si="13"/>
        <v>0</v>
      </c>
      <c r="L93" s="68">
        <f t="shared" si="14"/>
        <v>0</v>
      </c>
      <c r="M93" s="72"/>
      <c r="N93" s="69">
        <f t="shared" si="22"/>
        <v>0</v>
      </c>
      <c r="P93" s="65">
        <f t="shared" si="23"/>
        <v>0</v>
      </c>
      <c r="Q93" s="74">
        <f t="shared" si="24"/>
        <v>0</v>
      </c>
      <c r="R93" s="23">
        <f t="shared" si="19"/>
        <v>0</v>
      </c>
      <c r="S93" s="23">
        <f t="shared" si="20"/>
        <v>0</v>
      </c>
      <c r="T93" s="668">
        <f>S94-R93</f>
        <v>0</v>
      </c>
    </row>
    <row r="94" spans="8:20">
      <c r="H94" s="65">
        <f t="shared" si="10"/>
        <v>0</v>
      </c>
      <c r="I94" s="1">
        <f t="shared" si="11"/>
        <v>0</v>
      </c>
      <c r="J94" s="23">
        <f t="shared" si="12"/>
        <v>0</v>
      </c>
      <c r="K94" s="23">
        <f t="shared" si="13"/>
        <v>0</v>
      </c>
      <c r="L94" s="68">
        <f t="shared" si="14"/>
        <v>0</v>
      </c>
      <c r="M94" s="72"/>
      <c r="N94" s="69">
        <f t="shared" si="22"/>
        <v>0</v>
      </c>
      <c r="P94" s="65">
        <f t="shared" si="23"/>
        <v>0</v>
      </c>
      <c r="Q94" s="74">
        <f t="shared" si="24"/>
        <v>0</v>
      </c>
      <c r="R94" s="23">
        <f t="shared" si="19"/>
        <v>0</v>
      </c>
      <c r="S94" s="23">
        <f t="shared" si="20"/>
        <v>0</v>
      </c>
      <c r="T94" s="668"/>
    </row>
    <row r="95" spans="8:20">
      <c r="H95" s="65">
        <f t="shared" si="10"/>
        <v>0</v>
      </c>
      <c r="I95" s="1">
        <f t="shared" si="11"/>
        <v>0</v>
      </c>
      <c r="J95" s="23">
        <f t="shared" si="12"/>
        <v>0</v>
      </c>
      <c r="K95" s="23">
        <f t="shared" si="13"/>
        <v>0</v>
      </c>
      <c r="L95" s="68">
        <f t="shared" si="14"/>
        <v>0</v>
      </c>
      <c r="M95" s="72"/>
      <c r="N95" s="69">
        <f t="shared" si="22"/>
        <v>0</v>
      </c>
      <c r="P95" s="65">
        <f t="shared" si="23"/>
        <v>0</v>
      </c>
      <c r="Q95" s="74">
        <f t="shared" si="24"/>
        <v>0</v>
      </c>
      <c r="R95" s="23">
        <f t="shared" si="19"/>
        <v>0</v>
      </c>
      <c r="S95" s="23">
        <f t="shared" si="20"/>
        <v>0</v>
      </c>
      <c r="T95" s="75">
        <f>S95-R95</f>
        <v>0</v>
      </c>
    </row>
    <row r="96" spans="8:20">
      <c r="H96" s="65">
        <f t="shared" si="10"/>
        <v>0</v>
      </c>
      <c r="I96" s="1">
        <f t="shared" si="11"/>
        <v>0</v>
      </c>
      <c r="J96" s="23">
        <f t="shared" si="12"/>
        <v>0</v>
      </c>
      <c r="K96" s="23">
        <f t="shared" si="13"/>
        <v>0</v>
      </c>
      <c r="L96" s="68">
        <f t="shared" si="14"/>
        <v>0</v>
      </c>
      <c r="M96" s="72"/>
      <c r="N96" s="69">
        <f>M96-(H39+J39+K39+L39+M39+N39+AA39+AB39+Z39+AC39)</f>
        <v>0</v>
      </c>
      <c r="P96" s="65">
        <f t="shared" si="23"/>
        <v>0</v>
      </c>
      <c r="Q96" s="74">
        <f t="shared" si="24"/>
        <v>0</v>
      </c>
      <c r="R96" s="23">
        <f t="shared" si="19"/>
        <v>0</v>
      </c>
      <c r="S96" s="23">
        <f t="shared" si="20"/>
        <v>0</v>
      </c>
      <c r="T96" s="668">
        <f>S97-R96</f>
        <v>0</v>
      </c>
    </row>
    <row r="97" spans="8:20">
      <c r="H97" s="65">
        <f t="shared" si="10"/>
        <v>0</v>
      </c>
      <c r="I97" s="1">
        <f t="shared" si="11"/>
        <v>0</v>
      </c>
      <c r="J97" s="23">
        <f t="shared" si="12"/>
        <v>0</v>
      </c>
      <c r="K97" s="23">
        <f t="shared" si="13"/>
        <v>0</v>
      </c>
      <c r="L97" s="68">
        <f t="shared" si="14"/>
        <v>0</v>
      </c>
      <c r="M97" s="72"/>
      <c r="N97" s="69">
        <f>M97-(H40+J40+K40+L40+M40+N40+AA40+AB40+Z40+AC40)</f>
        <v>0</v>
      </c>
      <c r="P97" s="65">
        <f t="shared" si="23"/>
        <v>0</v>
      </c>
      <c r="Q97" s="74">
        <f t="shared" si="24"/>
        <v>0</v>
      </c>
      <c r="R97" s="23">
        <f t="shared" si="19"/>
        <v>0</v>
      </c>
      <c r="S97" s="23">
        <f t="shared" si="20"/>
        <v>0</v>
      </c>
      <c r="T97" s="668"/>
    </row>
    <row r="98" spans="8:20">
      <c r="H98" s="65">
        <f t="shared" si="10"/>
        <v>0</v>
      </c>
      <c r="I98" s="1">
        <f t="shared" si="11"/>
        <v>0</v>
      </c>
      <c r="J98" s="23">
        <f t="shared" si="12"/>
        <v>0</v>
      </c>
      <c r="K98" s="23">
        <f t="shared" si="13"/>
        <v>0</v>
      </c>
      <c r="L98" s="68">
        <f t="shared" si="14"/>
        <v>0</v>
      </c>
      <c r="M98" s="72"/>
      <c r="N98" s="69">
        <f t="shared" si="22"/>
        <v>0</v>
      </c>
      <c r="P98" s="65">
        <f t="shared" si="23"/>
        <v>0</v>
      </c>
      <c r="Q98" s="74">
        <f t="shared" si="24"/>
        <v>0</v>
      </c>
      <c r="R98" s="23">
        <f t="shared" ref="R98" si="25">E41</f>
        <v>0</v>
      </c>
      <c r="S98" s="23">
        <f t="shared" si="18"/>
        <v>0</v>
      </c>
      <c r="T98" s="668">
        <f>S101-R98</f>
        <v>0</v>
      </c>
    </row>
    <row r="99" spans="8:20">
      <c r="H99" s="65">
        <f t="shared" si="10"/>
        <v>0</v>
      </c>
      <c r="I99" s="1">
        <f t="shared" si="11"/>
        <v>0</v>
      </c>
      <c r="J99" s="23">
        <f t="shared" si="12"/>
        <v>0</v>
      </c>
      <c r="K99" s="23">
        <f t="shared" si="13"/>
        <v>0</v>
      </c>
      <c r="L99" s="68">
        <f t="shared" si="14"/>
        <v>0</v>
      </c>
      <c r="M99" s="72"/>
      <c r="N99" s="69">
        <f t="shared" ref="N99:N107" si="26">M99-(H42+K42+L42+M42+N42+AA42+AB42+Z42+AC42)</f>
        <v>0</v>
      </c>
      <c r="P99" s="65">
        <f t="shared" ref="P99:P107" si="27">B42</f>
        <v>0</v>
      </c>
      <c r="Q99" s="74">
        <f t="shared" ref="Q99:Q107" si="28">C42</f>
        <v>0</v>
      </c>
      <c r="R99" s="23">
        <f t="shared" ref="R99:R107" si="29">E42</f>
        <v>0</v>
      </c>
      <c r="S99" s="23">
        <f t="shared" ref="S99:S107" si="30">F42</f>
        <v>0</v>
      </c>
      <c r="T99" s="668"/>
    </row>
    <row r="100" spans="8:20">
      <c r="H100" s="65">
        <f t="shared" si="10"/>
        <v>0</v>
      </c>
      <c r="I100" s="1">
        <f t="shared" si="11"/>
        <v>0</v>
      </c>
      <c r="J100" s="23">
        <f t="shared" si="12"/>
        <v>0</v>
      </c>
      <c r="K100" s="23">
        <f t="shared" si="13"/>
        <v>0</v>
      </c>
      <c r="L100" s="68">
        <f t="shared" si="14"/>
        <v>0</v>
      </c>
      <c r="M100" s="3"/>
      <c r="N100" s="69">
        <f t="shared" si="26"/>
        <v>0</v>
      </c>
      <c r="P100" s="65">
        <f t="shared" si="27"/>
        <v>0</v>
      </c>
      <c r="Q100" s="74">
        <f t="shared" si="28"/>
        <v>0</v>
      </c>
      <c r="R100" s="23">
        <f t="shared" si="29"/>
        <v>0</v>
      </c>
      <c r="S100" s="23">
        <f t="shared" si="30"/>
        <v>0</v>
      </c>
      <c r="T100" s="668"/>
    </row>
    <row r="101" spans="8:20">
      <c r="H101" s="65">
        <f t="shared" si="10"/>
        <v>0</v>
      </c>
      <c r="I101" s="1">
        <f t="shared" si="11"/>
        <v>0</v>
      </c>
      <c r="J101" s="23">
        <f t="shared" si="12"/>
        <v>0</v>
      </c>
      <c r="K101" s="23">
        <f t="shared" si="13"/>
        <v>0</v>
      </c>
      <c r="L101" s="68">
        <f t="shared" si="14"/>
        <v>0</v>
      </c>
      <c r="M101" s="3"/>
      <c r="N101" s="69">
        <f t="shared" si="26"/>
        <v>0</v>
      </c>
      <c r="P101" s="65">
        <f t="shared" si="27"/>
        <v>0</v>
      </c>
      <c r="Q101" s="74">
        <f t="shared" si="28"/>
        <v>0</v>
      </c>
      <c r="R101" s="23">
        <f t="shared" si="29"/>
        <v>0</v>
      </c>
      <c r="S101" s="23">
        <f t="shared" si="30"/>
        <v>0</v>
      </c>
      <c r="T101" s="668"/>
    </row>
    <row r="102" spans="8:20">
      <c r="H102" s="65">
        <f t="shared" si="10"/>
        <v>0</v>
      </c>
      <c r="I102" s="1">
        <f t="shared" si="11"/>
        <v>0</v>
      </c>
      <c r="J102" s="23">
        <f t="shared" si="12"/>
        <v>0</v>
      </c>
      <c r="K102" s="23">
        <f t="shared" si="13"/>
        <v>0</v>
      </c>
      <c r="L102" s="68">
        <f t="shared" si="14"/>
        <v>0</v>
      </c>
      <c r="M102" s="3"/>
      <c r="N102" s="69">
        <f t="shared" si="26"/>
        <v>0</v>
      </c>
      <c r="P102" s="65">
        <f t="shared" si="27"/>
        <v>0</v>
      </c>
      <c r="Q102" s="74">
        <f t="shared" si="28"/>
        <v>0</v>
      </c>
      <c r="R102" s="23">
        <f t="shared" si="29"/>
        <v>0</v>
      </c>
      <c r="S102" s="23">
        <f t="shared" si="30"/>
        <v>0</v>
      </c>
      <c r="T102" s="668">
        <f>S104-R102</f>
        <v>0</v>
      </c>
    </row>
    <row r="103" spans="8:20">
      <c r="H103" s="65">
        <f t="shared" si="10"/>
        <v>0</v>
      </c>
      <c r="I103" s="1">
        <f t="shared" si="11"/>
        <v>0</v>
      </c>
      <c r="J103" s="23">
        <f t="shared" si="12"/>
        <v>0</v>
      </c>
      <c r="K103" s="23">
        <f t="shared" si="13"/>
        <v>0</v>
      </c>
      <c r="L103" s="68">
        <f t="shared" si="14"/>
        <v>0</v>
      </c>
      <c r="M103" s="3"/>
      <c r="N103" s="69">
        <f t="shared" si="26"/>
        <v>0</v>
      </c>
      <c r="P103" s="65">
        <f t="shared" si="27"/>
        <v>0</v>
      </c>
      <c r="Q103" s="74">
        <f t="shared" si="28"/>
        <v>0</v>
      </c>
      <c r="R103" s="23">
        <f t="shared" si="29"/>
        <v>0</v>
      </c>
      <c r="S103" s="23">
        <f t="shared" si="30"/>
        <v>0</v>
      </c>
      <c r="T103" s="668"/>
    </row>
    <row r="104" spans="8:20">
      <c r="H104" s="65">
        <f t="shared" si="10"/>
        <v>0</v>
      </c>
      <c r="I104" s="1">
        <f t="shared" si="11"/>
        <v>0</v>
      </c>
      <c r="J104" s="23">
        <f t="shared" si="12"/>
        <v>0</v>
      </c>
      <c r="K104" s="23">
        <f t="shared" si="13"/>
        <v>0</v>
      </c>
      <c r="L104" s="68">
        <f t="shared" si="14"/>
        <v>0</v>
      </c>
      <c r="M104" s="3"/>
      <c r="N104" s="69">
        <f t="shared" si="26"/>
        <v>0</v>
      </c>
      <c r="P104" s="65">
        <f t="shared" si="27"/>
        <v>0</v>
      </c>
      <c r="Q104" s="74">
        <f t="shared" si="28"/>
        <v>0</v>
      </c>
      <c r="R104" s="23">
        <f t="shared" si="29"/>
        <v>0</v>
      </c>
      <c r="S104" s="23">
        <f t="shared" si="30"/>
        <v>0</v>
      </c>
      <c r="T104" s="668"/>
    </row>
    <row r="105" spans="8:20">
      <c r="H105" s="65">
        <f t="shared" si="10"/>
        <v>0</v>
      </c>
      <c r="I105" s="1">
        <f t="shared" si="11"/>
        <v>0</v>
      </c>
      <c r="J105" s="23">
        <f t="shared" si="12"/>
        <v>0</v>
      </c>
      <c r="K105" s="23">
        <f t="shared" si="13"/>
        <v>0</v>
      </c>
      <c r="L105" s="68">
        <f t="shared" si="14"/>
        <v>0</v>
      </c>
      <c r="M105" s="3"/>
      <c r="N105" s="69">
        <f t="shared" si="26"/>
        <v>0</v>
      </c>
      <c r="P105" s="65">
        <f t="shared" si="27"/>
        <v>0</v>
      </c>
      <c r="Q105" s="74">
        <f t="shared" si="28"/>
        <v>0</v>
      </c>
      <c r="R105" s="76">
        <v>1.0416666666666667</v>
      </c>
      <c r="S105" s="23">
        <f t="shared" si="30"/>
        <v>0</v>
      </c>
      <c r="T105" s="668">
        <f>S106-R105</f>
        <v>-1.0416666666666667</v>
      </c>
    </row>
    <row r="106" spans="8:20">
      <c r="H106" s="65">
        <f t="shared" si="10"/>
        <v>0</v>
      </c>
      <c r="I106" s="1">
        <f t="shared" si="11"/>
        <v>0</v>
      </c>
      <c r="J106" s="23">
        <f t="shared" si="12"/>
        <v>0</v>
      </c>
      <c r="K106" s="23">
        <f t="shared" si="13"/>
        <v>0</v>
      </c>
      <c r="L106" s="68">
        <f t="shared" si="14"/>
        <v>0</v>
      </c>
      <c r="M106" s="3"/>
      <c r="N106" s="69">
        <f t="shared" si="26"/>
        <v>0</v>
      </c>
      <c r="P106" s="65">
        <f t="shared" si="27"/>
        <v>0</v>
      </c>
      <c r="Q106" s="74">
        <f t="shared" si="28"/>
        <v>0</v>
      </c>
      <c r="R106" s="23">
        <f t="shared" si="29"/>
        <v>0</v>
      </c>
      <c r="S106" s="23">
        <f t="shared" si="30"/>
        <v>0</v>
      </c>
      <c r="T106" s="668"/>
    </row>
    <row r="107" spans="8:20">
      <c r="H107" s="65">
        <f t="shared" si="10"/>
        <v>0</v>
      </c>
      <c r="I107" s="1">
        <f t="shared" si="11"/>
        <v>0</v>
      </c>
      <c r="J107" s="23">
        <f t="shared" si="12"/>
        <v>0</v>
      </c>
      <c r="K107" s="23">
        <f t="shared" si="13"/>
        <v>0</v>
      </c>
      <c r="L107" s="68">
        <f t="shared" si="14"/>
        <v>0</v>
      </c>
      <c r="M107" s="3"/>
      <c r="N107" s="69">
        <f t="shared" si="26"/>
        <v>0</v>
      </c>
      <c r="P107" s="65">
        <f t="shared" si="27"/>
        <v>0</v>
      </c>
      <c r="Q107" s="74">
        <f t="shared" si="28"/>
        <v>0</v>
      </c>
      <c r="R107" s="23">
        <f t="shared" si="29"/>
        <v>0</v>
      </c>
      <c r="S107" s="23">
        <f t="shared" si="30"/>
        <v>0</v>
      </c>
      <c r="T107" s="75">
        <f>S107-R107</f>
        <v>0</v>
      </c>
    </row>
    <row r="108" spans="8:20">
      <c r="H108" s="65">
        <f t="shared" si="10"/>
        <v>0</v>
      </c>
      <c r="I108" s="1">
        <f t="shared" si="11"/>
        <v>0</v>
      </c>
      <c r="J108" s="23">
        <f t="shared" si="12"/>
        <v>0</v>
      </c>
      <c r="K108" s="23">
        <f t="shared" si="13"/>
        <v>0</v>
      </c>
      <c r="L108" s="68">
        <f t="shared" si="14"/>
        <v>0</v>
      </c>
      <c r="M108" s="3"/>
      <c r="N108" s="69">
        <f>M108-(H50+J50+K50+L50+M50+N50+AA50+AB50+Z50+AC50)</f>
        <v>0</v>
      </c>
      <c r="P108" s="65">
        <f>B50</f>
        <v>0</v>
      </c>
      <c r="Q108" s="74">
        <f>C50</f>
        <v>0</v>
      </c>
      <c r="R108" s="23">
        <f>J108</f>
        <v>0</v>
      </c>
      <c r="S108" s="23">
        <f>F50</f>
        <v>0</v>
      </c>
    </row>
    <row r="109" spans="8:20">
      <c r="J109" s="23">
        <f t="shared" si="12"/>
        <v>0</v>
      </c>
      <c r="K109" s="23">
        <f t="shared" si="13"/>
        <v>0</v>
      </c>
    </row>
    <row r="110" spans="8:20">
      <c r="J110" s="23">
        <f t="shared" si="12"/>
        <v>0</v>
      </c>
      <c r="K110" s="23">
        <f t="shared" si="13"/>
        <v>0</v>
      </c>
    </row>
  </sheetData>
  <mergeCells count="71">
    <mergeCell ref="D29:D30"/>
    <mergeCell ref="AE29:AE30"/>
    <mergeCell ref="T86:T87"/>
    <mergeCell ref="P63:T63"/>
    <mergeCell ref="I5:I7"/>
    <mergeCell ref="J5:J7"/>
    <mergeCell ref="K5:K7"/>
    <mergeCell ref="L5:L7"/>
    <mergeCell ref="M5:M7"/>
    <mergeCell ref="D13:D15"/>
    <mergeCell ref="D16:D17"/>
    <mergeCell ref="D18:D21"/>
    <mergeCell ref="G4:G7"/>
    <mergeCell ref="H5:H7"/>
    <mergeCell ref="E4:E7"/>
    <mergeCell ref="F4:F7"/>
    <mergeCell ref="A4:A7"/>
    <mergeCell ref="B4:B7"/>
    <mergeCell ref="C4:C7"/>
    <mergeCell ref="D4:D7"/>
    <mergeCell ref="D11:D12"/>
    <mergeCell ref="AL4:AV4"/>
    <mergeCell ref="AB4:AB7"/>
    <mergeCell ref="AC5:AC7"/>
    <mergeCell ref="AD5:AD7"/>
    <mergeCell ref="AE13:AE15"/>
    <mergeCell ref="AE11:AE12"/>
    <mergeCell ref="AE5:AE7"/>
    <mergeCell ref="B2:AE2"/>
    <mergeCell ref="H4:AA4"/>
    <mergeCell ref="N5:N7"/>
    <mergeCell ref="O5:O7"/>
    <mergeCell ref="P5:P7"/>
    <mergeCell ref="Q5:Q7"/>
    <mergeCell ref="R5:R7"/>
    <mergeCell ref="S5:S7"/>
    <mergeCell ref="T5:T7"/>
    <mergeCell ref="U5:U7"/>
    <mergeCell ref="V5:V7"/>
    <mergeCell ref="W5:W7"/>
    <mergeCell ref="X5:X7"/>
    <mergeCell ref="AA5:AA7"/>
    <mergeCell ref="Y5:Y7"/>
    <mergeCell ref="Z5:Z7"/>
    <mergeCell ref="T105:T106"/>
    <mergeCell ref="T102:T104"/>
    <mergeCell ref="T98:T101"/>
    <mergeCell ref="T96:T97"/>
    <mergeCell ref="T93:T94"/>
    <mergeCell ref="T90:T92"/>
    <mergeCell ref="T88:T89"/>
    <mergeCell ref="T75:T78"/>
    <mergeCell ref="T73:T74"/>
    <mergeCell ref="T70:T72"/>
    <mergeCell ref="T83:T85"/>
    <mergeCell ref="D22:D23"/>
    <mergeCell ref="AE16:AE17"/>
    <mergeCell ref="T79:T80"/>
    <mergeCell ref="T81:T82"/>
    <mergeCell ref="AE24:AE25"/>
    <mergeCell ref="AE22:AE23"/>
    <mergeCell ref="H63:N63"/>
    <mergeCell ref="AE41:AE44"/>
    <mergeCell ref="AE39:AE40"/>
    <mergeCell ref="AE45:AE47"/>
    <mergeCell ref="AE48:AE49"/>
    <mergeCell ref="D24:D25"/>
    <mergeCell ref="D26:D28"/>
    <mergeCell ref="AE26:AE28"/>
    <mergeCell ref="AE18:AE21"/>
    <mergeCell ref="T68:T69"/>
  </mergeCells>
  <conditionalFormatting sqref="E21 E50:E56">
    <cfRule type="cellIs" dxfId="23" priority="1" stopIfTrue="1" operator="greaterThan">
      <formula>$E$3</formula>
    </cfRule>
  </conditionalFormatting>
  <pageMargins left="0.75" right="0.75" top="1" bottom="1" header="0.5" footer="0.5"/>
  <pageSetup scale="39" fitToHeight="2" orientation="landscape" r:id="rId1"/>
  <headerFooter alignWithMargins="0"/>
  <legacyDrawing r:id="rId2"/>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4">
    <tabColor rgb="FFEE0000"/>
    <pageSetUpPr fitToPage="1"/>
  </sheetPr>
  <dimension ref="A1:AX133"/>
  <sheetViews>
    <sheetView showZeros="0" zoomScaleNormal="100" workbookViewId="0">
      <pane xSplit="7" ySplit="7" topLeftCell="V54" activePane="bottomRight" state="frozen"/>
      <selection pane="topRight"/>
      <selection pane="bottomLeft"/>
      <selection pane="bottomRight" activeCell="Y61" sqref="O61:Y61"/>
    </sheetView>
  </sheetViews>
  <sheetFormatPr defaultColWidth="9" defaultRowHeight="12.75"/>
  <cols>
    <col min="1" max="1" width="8.42578125" style="3" customWidth="1"/>
    <col min="2" max="2" width="8.5703125" style="3" customWidth="1"/>
    <col min="3" max="3" width="38.140625" customWidth="1"/>
    <col min="4" max="4" width="8.5703125" customWidth="1"/>
    <col min="5" max="5" width="8.42578125" customWidth="1"/>
    <col min="6" max="6" width="10" customWidth="1"/>
    <col min="7" max="7" width="10.42578125" customWidth="1"/>
    <col min="8" max="8" width="13.42578125" customWidth="1"/>
    <col min="9" max="9" width="15.5703125" customWidth="1"/>
    <col min="10" max="11" width="10.5703125" customWidth="1"/>
    <col min="12" max="12" width="12.42578125" customWidth="1"/>
    <col min="13" max="13" width="9.5703125" customWidth="1"/>
    <col min="14" max="14" width="11.140625" customWidth="1"/>
    <col min="15" max="15" width="9.5703125" customWidth="1"/>
    <col min="16" max="16" width="9.42578125" customWidth="1"/>
    <col min="17" max="17" width="11.140625" customWidth="1"/>
    <col min="18" max="18" width="7.5703125" customWidth="1"/>
    <col min="19" max="19" width="8.42578125" customWidth="1"/>
    <col min="20" max="20" width="10.42578125" customWidth="1"/>
    <col min="21" max="21" width="12.5703125" customWidth="1"/>
    <col min="22" max="22" width="13.140625" customWidth="1"/>
    <col min="23" max="23" width="9.140625" customWidth="1"/>
    <col min="24" max="24" width="11.5703125" customWidth="1"/>
    <col min="25" max="25" width="10.140625" customWidth="1"/>
    <col min="26" max="26" width="11.42578125" customWidth="1"/>
    <col min="27" max="27" width="14.85546875" customWidth="1"/>
    <col min="28" max="29" width="11.42578125" customWidth="1"/>
    <col min="30" max="30" width="14.5703125" customWidth="1"/>
    <col min="31" max="31" width="12.5703125" customWidth="1"/>
    <col min="32" max="32" width="14.42578125" customWidth="1"/>
  </cols>
  <sheetData>
    <row r="1" spans="1:50">
      <c r="I1" s="3"/>
    </row>
    <row r="2" spans="1:50" ht="27.75">
      <c r="B2" s="670" t="s">
        <v>487</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5">
        <v>0.29166666666666702</v>
      </c>
      <c r="E3" s="5">
        <v>0.33333333333333298</v>
      </c>
      <c r="H3" s="6"/>
      <c r="I3" s="3"/>
      <c r="S3" s="3"/>
      <c r="AM3" s="6"/>
    </row>
    <row r="4" spans="1:50" ht="12.75" customHeight="1">
      <c r="A4" s="682" t="s">
        <v>411</v>
      </c>
      <c r="B4" s="685" t="s">
        <v>81</v>
      </c>
      <c r="C4" s="685" t="s">
        <v>412</v>
      </c>
      <c r="D4" s="688" t="s">
        <v>413</v>
      </c>
      <c r="E4" s="688" t="s">
        <v>414</v>
      </c>
      <c r="F4" s="688" t="s">
        <v>415</v>
      </c>
      <c r="G4" s="692" t="s">
        <v>416</v>
      </c>
      <c r="H4" s="153" t="s">
        <v>417</v>
      </c>
      <c r="I4" s="155"/>
      <c r="J4" s="155"/>
      <c r="K4" s="155"/>
      <c r="L4" s="155"/>
      <c r="M4" s="155"/>
      <c r="N4" s="155"/>
      <c r="O4" s="155"/>
      <c r="P4" s="155"/>
      <c r="Q4" s="155"/>
      <c r="R4" s="155"/>
      <c r="S4" s="155"/>
      <c r="T4" s="155"/>
      <c r="U4" s="155"/>
      <c r="V4" s="155"/>
      <c r="W4" s="155"/>
      <c r="X4" s="155"/>
      <c r="Y4" s="155"/>
      <c r="Z4" s="155"/>
      <c r="AA4" s="155"/>
      <c r="AB4" s="781" t="s">
        <v>56</v>
      </c>
      <c r="AC4" s="156"/>
      <c r="AD4" s="155"/>
      <c r="AE4" s="157"/>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777" t="s">
        <v>6</v>
      </c>
      <c r="I5" s="689" t="s">
        <v>7</v>
      </c>
      <c r="J5" s="689" t="s">
        <v>8</v>
      </c>
      <c r="K5" s="689" t="s">
        <v>9</v>
      </c>
      <c r="L5" s="689" t="s">
        <v>418</v>
      </c>
      <c r="M5" s="689" t="s">
        <v>11</v>
      </c>
      <c r="N5" s="745" t="s">
        <v>12</v>
      </c>
      <c r="O5" s="689" t="s">
        <v>13</v>
      </c>
      <c r="P5" s="689" t="s">
        <v>14</v>
      </c>
      <c r="Q5" s="689" t="s">
        <v>15</v>
      </c>
      <c r="R5" s="689" t="s">
        <v>16</v>
      </c>
      <c r="S5" s="689" t="s">
        <v>419</v>
      </c>
      <c r="T5" s="689" t="s">
        <v>18</v>
      </c>
      <c r="U5" s="689" t="s">
        <v>420</v>
      </c>
      <c r="V5" s="689" t="s">
        <v>20</v>
      </c>
      <c r="W5" s="689" t="s">
        <v>21</v>
      </c>
      <c r="X5" s="748" t="s">
        <v>22</v>
      </c>
      <c r="Y5" s="689" t="s">
        <v>421</v>
      </c>
      <c r="Z5" s="689" t="s">
        <v>24</v>
      </c>
      <c r="AA5" s="693" t="s">
        <v>25</v>
      </c>
      <c r="AB5" s="781"/>
      <c r="AC5" s="752"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777"/>
      <c r="I6" s="689"/>
      <c r="J6" s="689"/>
      <c r="K6" s="689"/>
      <c r="L6" s="689"/>
      <c r="M6" s="689"/>
      <c r="N6" s="689"/>
      <c r="O6" s="689"/>
      <c r="P6" s="689"/>
      <c r="Q6" s="689"/>
      <c r="R6" s="689"/>
      <c r="S6" s="689"/>
      <c r="T6" s="689"/>
      <c r="U6" s="689"/>
      <c r="V6" s="689"/>
      <c r="W6" s="689"/>
      <c r="X6" s="748"/>
      <c r="Y6" s="689"/>
      <c r="Z6" s="689"/>
      <c r="AA6" s="693"/>
      <c r="AB6" s="781"/>
      <c r="AC6" s="752"/>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4"/>
      <c r="B7" s="687"/>
      <c r="C7" s="687"/>
      <c r="D7" s="690"/>
      <c r="E7" s="690"/>
      <c r="F7" s="690"/>
      <c r="G7" s="694"/>
      <c r="H7" s="778"/>
      <c r="I7" s="690"/>
      <c r="J7" s="690"/>
      <c r="K7" s="690"/>
      <c r="L7" s="690"/>
      <c r="M7" s="690"/>
      <c r="N7" s="690"/>
      <c r="O7" s="690"/>
      <c r="P7" s="690"/>
      <c r="Q7" s="690"/>
      <c r="R7" s="690"/>
      <c r="S7" s="690"/>
      <c r="T7" s="690"/>
      <c r="U7" s="690"/>
      <c r="V7" s="690"/>
      <c r="W7" s="690"/>
      <c r="X7" s="749"/>
      <c r="Y7" s="690"/>
      <c r="Z7" s="690"/>
      <c r="AA7" s="694"/>
      <c r="AB7" s="782"/>
      <c r="AC7" s="753"/>
      <c r="AD7" s="696"/>
      <c r="AE7" s="764"/>
      <c r="AF7" s="42" t="s">
        <v>426</v>
      </c>
      <c r="AH7" s="3"/>
      <c r="AI7" s="3"/>
      <c r="AJ7" s="3"/>
      <c r="AK7" s="3"/>
      <c r="AL7" s="3"/>
      <c r="AM7" s="3"/>
      <c r="AN7" s="3"/>
      <c r="AO7" s="3"/>
      <c r="AP7" s="3"/>
      <c r="AQ7" s="3"/>
      <c r="AR7" s="3"/>
      <c r="AS7" s="3"/>
      <c r="AT7" s="3"/>
      <c r="AU7" s="3"/>
      <c r="AV7" s="3"/>
      <c r="AW7" s="3"/>
      <c r="AX7" s="3"/>
    </row>
    <row r="8" spans="1:50" ht="13.5" thickTop="1">
      <c r="A8" s="7">
        <f>[5]July_2026!$C8</f>
        <v>1</v>
      </c>
      <c r="B8" s="8">
        <f>[5]July_2026!$B8</f>
        <v>46204</v>
      </c>
      <c r="C8" s="78" t="str">
        <f>[5]July_2026!$D8</f>
        <v>CARIB AMBER</v>
      </c>
      <c r="D8" s="691">
        <v>1</v>
      </c>
      <c r="E8" s="80">
        <v>1.0416666666666667</v>
      </c>
      <c r="F8" s="80">
        <v>1.5486111111111112</v>
      </c>
      <c r="G8" s="81">
        <v>0.64652777777777781</v>
      </c>
      <c r="H8" s="14"/>
      <c r="I8" s="34"/>
      <c r="J8" s="35">
        <v>60</v>
      </c>
      <c r="K8" s="34"/>
      <c r="L8" s="34"/>
      <c r="M8" s="34"/>
      <c r="N8" s="34"/>
      <c r="O8" s="34">
        <f>'Uncaser Downtime Detail '!AG371</f>
        <v>9</v>
      </c>
      <c r="P8" s="34">
        <f>'Washer Downtime Detail'!BH375</f>
        <v>24</v>
      </c>
      <c r="Q8" s="34">
        <f>'EBI Downtime Detail'!AI373</f>
        <v>19</v>
      </c>
      <c r="R8" s="34">
        <f>'Filler Downtime Detail'!AK372</f>
        <v>29</v>
      </c>
      <c r="S8" s="34">
        <f>'Pasteurizer Downtime Detail'!Z365</f>
        <v>0</v>
      </c>
      <c r="T8" s="34">
        <f>'Labeler Downtime Detail'!AN363</f>
        <v>3</v>
      </c>
      <c r="U8" s="34">
        <f>'Videojet Downtime Detail '!O369</f>
        <v>0</v>
      </c>
      <c r="V8" s="34">
        <f>'Conveyor Downtime (new)'!AV372</f>
        <v>13</v>
      </c>
      <c r="W8" s="34">
        <f>'Packer Downtime Detail  '!AD368</f>
        <v>0</v>
      </c>
      <c r="X8" s="34"/>
      <c r="Y8" s="35"/>
      <c r="Z8" s="34">
        <f>3+2+2+17+3+10</f>
        <v>37</v>
      </c>
      <c r="AA8" s="90"/>
      <c r="AB8" s="90"/>
      <c r="AC8" s="89"/>
      <c r="AD8" s="44">
        <f>SUM(H8:J8,K8:AC8)</f>
        <v>194</v>
      </c>
      <c r="AE8" s="776">
        <f>G9-D8</f>
        <v>1.0833333333333335</v>
      </c>
      <c r="AH8" s="3"/>
      <c r="AI8" s="23"/>
      <c r="AJ8" s="23"/>
      <c r="AK8" s="54"/>
      <c r="AL8" s="3"/>
      <c r="AM8" s="3"/>
      <c r="AN8" s="3"/>
      <c r="AO8" s="3"/>
      <c r="AP8" s="3"/>
      <c r="AQ8" s="3"/>
      <c r="AR8" s="3"/>
      <c r="AS8" s="3"/>
      <c r="AT8" s="3"/>
      <c r="AU8" s="3"/>
      <c r="AV8" s="3"/>
      <c r="AW8" s="3"/>
      <c r="AX8" s="3"/>
    </row>
    <row r="9" spans="1:50">
      <c r="A9" s="7">
        <f>[5]July_2026!$C9</f>
        <v>1</v>
      </c>
      <c r="B9" s="8">
        <f>[5]July_2026!$B9</f>
        <v>46204</v>
      </c>
      <c r="C9" s="78" t="str">
        <f>[5]July_2026!$D9</f>
        <v>VITA MALT CLASSIC</v>
      </c>
      <c r="D9" s="681"/>
      <c r="E9" s="80">
        <v>1.7951388888888888</v>
      </c>
      <c r="F9" s="80">
        <v>1.9722222222222223</v>
      </c>
      <c r="G9" s="81">
        <v>2.0833333333333335</v>
      </c>
      <c r="H9" s="82"/>
      <c r="I9" s="32">
        <f>50+60</f>
        <v>110</v>
      </c>
      <c r="J9" s="86"/>
      <c r="K9" s="71"/>
      <c r="L9" s="71">
        <f>10+23</f>
        <v>33</v>
      </c>
      <c r="N9" s="71"/>
      <c r="O9" s="71">
        <f>'Uncaser Downtime Detail '!AG372</f>
        <v>0</v>
      </c>
      <c r="P9" s="71">
        <f>'Washer Downtime Detail'!BH376</f>
        <v>0</v>
      </c>
      <c r="Q9" s="71">
        <f>'EBI Downtime Detail'!AI374</f>
        <v>11</v>
      </c>
      <c r="R9" s="71">
        <f>'Filler Downtime Detail'!AK373</f>
        <v>7</v>
      </c>
      <c r="S9" s="71">
        <f>'Pasteurizer Downtime Detail'!Z366</f>
        <v>15</v>
      </c>
      <c r="T9" s="71">
        <f>'Labeler Downtime Detail'!AN364</f>
        <v>66</v>
      </c>
      <c r="U9" s="71">
        <f>'Videojet Downtime Detail '!O370</f>
        <v>0</v>
      </c>
      <c r="V9" s="71">
        <f>'Conveyor Downtime (new)'!AV373</f>
        <v>0</v>
      </c>
      <c r="W9" s="71">
        <f>'Packer Downtime Detail  '!AD369</f>
        <v>0</v>
      </c>
      <c r="X9" s="71"/>
      <c r="Y9" s="71"/>
      <c r="Z9" s="43">
        <f>60+60+60+60</f>
        <v>240</v>
      </c>
      <c r="AA9" s="88"/>
      <c r="AB9" s="88">
        <f>3+2</f>
        <v>5</v>
      </c>
      <c r="AC9" s="71"/>
      <c r="AD9" s="44">
        <f t="shared" ref="AD9:AD60" si="0">SUM(H9:J9,K9:AC9)</f>
        <v>487</v>
      </c>
      <c r="AE9" s="754"/>
      <c r="AH9" s="3"/>
      <c r="AI9" s="23"/>
      <c r="AJ9" s="23"/>
      <c r="AK9" s="54"/>
      <c r="AL9" s="3"/>
      <c r="AM9" s="3"/>
      <c r="AN9" s="3"/>
      <c r="AO9" s="3"/>
      <c r="AP9" s="3"/>
      <c r="AQ9" s="3"/>
      <c r="AR9" s="3"/>
      <c r="AS9" s="3"/>
      <c r="AT9" s="3"/>
      <c r="AU9" s="3"/>
      <c r="AV9" s="3"/>
      <c r="AW9" s="3"/>
      <c r="AX9" s="3"/>
    </row>
    <row r="10" spans="1:50">
      <c r="A10" s="7">
        <f>[5]July_2026!$C10</f>
        <v>2</v>
      </c>
      <c r="B10" s="8">
        <f>[5]July_2026!$B10</f>
        <v>46205</v>
      </c>
      <c r="C10" s="78" t="str">
        <f>[5]July_2026!$D10</f>
        <v>VITA MALT CLASSIC</v>
      </c>
      <c r="D10" s="681">
        <v>1</v>
      </c>
      <c r="E10" s="80">
        <v>1.0062500000000001</v>
      </c>
      <c r="F10" s="80">
        <v>1.2708333333333333</v>
      </c>
      <c r="G10" s="81"/>
      <c r="H10" s="14"/>
      <c r="I10" s="34"/>
      <c r="J10" s="35"/>
      <c r="K10" s="34"/>
      <c r="L10" s="34"/>
      <c r="M10" s="34"/>
      <c r="N10" s="34"/>
      <c r="O10" s="34">
        <f>'Uncaser Downtime Detail '!AG373</f>
        <v>0</v>
      </c>
      <c r="P10" s="34">
        <f>'Washer Downtime Detail'!BH377</f>
        <v>0</v>
      </c>
      <c r="Q10" s="34">
        <f>'EBI Downtime Detail'!AI375</f>
        <v>32</v>
      </c>
      <c r="R10" s="34">
        <f>'Filler Downtime Detail'!AK374</f>
        <v>8</v>
      </c>
      <c r="S10" s="34">
        <f>'Pasteurizer Downtime Detail'!Z367</f>
        <v>5</v>
      </c>
      <c r="T10" s="34">
        <f>'Labeler Downtime Detail'!AN365</f>
        <v>62</v>
      </c>
      <c r="U10" s="34">
        <f>'Videojet Downtime Detail '!O371</f>
        <v>0</v>
      </c>
      <c r="V10" s="34">
        <f>'Conveyor Downtime (new)'!AV374</f>
        <v>0</v>
      </c>
      <c r="W10" s="34">
        <f>'Packer Downtime Detail  '!AD370</f>
        <v>0</v>
      </c>
      <c r="X10" s="34"/>
      <c r="Y10" s="35"/>
      <c r="Z10" s="34">
        <f>9+12</f>
        <v>21</v>
      </c>
      <c r="AA10" s="90"/>
      <c r="AB10" s="169"/>
      <c r="AC10" s="89"/>
      <c r="AD10" s="44">
        <f t="shared" si="0"/>
        <v>128</v>
      </c>
      <c r="AE10" s="754">
        <f>G12-D10</f>
        <v>1.0590277777777777</v>
      </c>
      <c r="AH10" s="3"/>
      <c r="AI10" s="23"/>
      <c r="AJ10" s="23"/>
      <c r="AK10" s="54"/>
      <c r="AL10" s="3"/>
      <c r="AM10" s="3"/>
      <c r="AN10" s="3"/>
      <c r="AO10" s="3"/>
      <c r="AP10" s="3"/>
      <c r="AQ10" s="3"/>
      <c r="AR10" s="3"/>
      <c r="AS10" s="3"/>
      <c r="AT10" s="3"/>
      <c r="AU10" s="3"/>
      <c r="AV10" s="3"/>
      <c r="AW10" s="3"/>
      <c r="AX10" s="3"/>
    </row>
    <row r="11" spans="1:50">
      <c r="A11" s="7">
        <f>[5]July_2026!$C11</f>
        <v>2</v>
      </c>
      <c r="B11" s="8">
        <f>[5]July_2026!$B11</f>
        <v>46205</v>
      </c>
      <c r="C11" s="78" t="str">
        <f>[5]July_2026!$D11</f>
        <v>VITA MALT GINGER</v>
      </c>
      <c r="D11" s="681"/>
      <c r="E11" s="80">
        <v>1.2777777777777777</v>
      </c>
      <c r="F11" s="80">
        <v>1.4236111111111112</v>
      </c>
      <c r="G11" s="81">
        <v>1.5</v>
      </c>
      <c r="H11" s="82"/>
      <c r="I11" s="32">
        <f>10</f>
        <v>10</v>
      </c>
      <c r="J11" s="86"/>
      <c r="K11" s="71"/>
      <c r="L11" s="71"/>
      <c r="M11" s="71"/>
      <c r="N11" s="71"/>
      <c r="O11" s="71">
        <f>'Uncaser Downtime Detail '!AG374</f>
        <v>0</v>
      </c>
      <c r="P11" s="71">
        <f>'Washer Downtime Detail'!BH378</f>
        <v>3</v>
      </c>
      <c r="Q11" s="71">
        <f>'EBI Downtime Detail'!AI376</f>
        <v>5</v>
      </c>
      <c r="R11" s="71">
        <f>'Filler Downtime Detail'!AK375</f>
        <v>0</v>
      </c>
      <c r="S11" s="71">
        <f>'Pasteurizer Downtime Detail'!Z368</f>
        <v>0</v>
      </c>
      <c r="T11" s="71">
        <f>'Labeler Downtime Detail'!AN366</f>
        <v>0</v>
      </c>
      <c r="U11" s="71">
        <f>'Videojet Downtime Detail '!O372</f>
        <v>0</v>
      </c>
      <c r="V11" s="71">
        <f>'Conveyor Downtime (new)'!AV375</f>
        <v>8</v>
      </c>
      <c r="W11" s="71">
        <f>'Packer Downtime Detail  '!AD371</f>
        <v>0</v>
      </c>
      <c r="X11" s="71"/>
      <c r="Y11" s="71"/>
      <c r="Z11" s="43">
        <f>28+13+4</f>
        <v>45</v>
      </c>
      <c r="AA11" s="88"/>
      <c r="AB11" s="88">
        <f>5+2</f>
        <v>7</v>
      </c>
      <c r="AC11" s="71"/>
      <c r="AD11" s="44">
        <f t="shared" si="0"/>
        <v>78</v>
      </c>
      <c r="AE11" s="754"/>
      <c r="AH11" s="3"/>
      <c r="AI11" s="23"/>
      <c r="AJ11" s="23"/>
      <c r="AK11" s="54"/>
      <c r="AL11" s="3"/>
      <c r="AM11" s="3"/>
      <c r="AN11" s="3"/>
      <c r="AO11" s="3"/>
      <c r="AP11" s="3"/>
      <c r="AQ11" s="3"/>
      <c r="AR11" s="3"/>
      <c r="AS11" s="3"/>
      <c r="AT11" s="3"/>
      <c r="AU11" s="3"/>
      <c r="AV11" s="3"/>
      <c r="AW11" s="3"/>
      <c r="AX11" s="3"/>
    </row>
    <row r="12" spans="1:50">
      <c r="A12" s="7">
        <f>[5]July_2026!$C12</f>
        <v>2</v>
      </c>
      <c r="B12" s="8">
        <f>[5]July_2026!$B12</f>
        <v>46205</v>
      </c>
      <c r="C12" s="78" t="str">
        <f>[5]July_2026!$D12</f>
        <v>CARIB AMBER</v>
      </c>
      <c r="D12" s="681"/>
      <c r="E12" s="80">
        <v>1.6493055555555556</v>
      </c>
      <c r="F12" s="80">
        <v>2</v>
      </c>
      <c r="G12" s="81">
        <v>2.0590277777777777</v>
      </c>
      <c r="H12" s="14">
        <v>3</v>
      </c>
      <c r="I12" s="34">
        <f>40+60+40</f>
        <v>140</v>
      </c>
      <c r="J12" s="315"/>
      <c r="K12" s="34"/>
      <c r="L12" s="34"/>
      <c r="M12" s="34"/>
      <c r="N12" s="34"/>
      <c r="O12" s="34">
        <f>'Uncaser Downtime Detail '!AG375</f>
        <v>5</v>
      </c>
      <c r="P12" s="34">
        <f>'Washer Downtime Detail'!BH379</f>
        <v>3</v>
      </c>
      <c r="Q12" s="34">
        <f>'EBI Downtime Detail'!AI377</f>
        <v>33</v>
      </c>
      <c r="R12" s="34">
        <f>'Filler Downtime Detail'!AK376</f>
        <v>3</v>
      </c>
      <c r="S12" s="34">
        <f>'Pasteurizer Downtime Detail'!Z369</f>
        <v>105</v>
      </c>
      <c r="T12" s="34">
        <f>'Labeler Downtime Detail'!AN367</f>
        <v>14</v>
      </c>
      <c r="U12" s="34">
        <f>'Videojet Downtime Detail '!O373</f>
        <v>20</v>
      </c>
      <c r="V12" s="34">
        <f>'Conveyor Downtime (new)'!AV376</f>
        <v>7</v>
      </c>
      <c r="W12" s="34">
        <f>'Packer Downtime Detail  '!AD372</f>
        <v>0</v>
      </c>
      <c r="X12" s="34"/>
      <c r="Y12" s="35"/>
      <c r="Z12" s="34">
        <f>20+60+35</f>
        <v>115</v>
      </c>
      <c r="AA12" s="90"/>
      <c r="AB12" s="90"/>
      <c r="AC12" s="89"/>
      <c r="AD12" s="44">
        <f t="shared" si="0"/>
        <v>448</v>
      </c>
      <c r="AE12" s="754"/>
      <c r="AH12" s="3"/>
      <c r="AI12" s="23"/>
      <c r="AJ12" s="23"/>
      <c r="AK12" s="54"/>
      <c r="AL12" s="3"/>
      <c r="AM12" s="3"/>
      <c r="AN12" s="3"/>
      <c r="AO12" s="3"/>
      <c r="AP12" s="3"/>
      <c r="AQ12" s="3"/>
      <c r="AR12" s="3"/>
      <c r="AS12" s="3"/>
      <c r="AT12" s="3"/>
      <c r="AU12" s="3"/>
      <c r="AV12" s="3"/>
      <c r="AW12" s="3"/>
      <c r="AX12" s="3"/>
    </row>
    <row r="13" spans="1:50">
      <c r="A13" s="7">
        <f>[5]July_2026!$C13</f>
        <v>3</v>
      </c>
      <c r="B13" s="8">
        <f>[5]July_2026!$B13</f>
        <v>46206</v>
      </c>
      <c r="C13" s="78" t="str">
        <f>[5]July_2026!$D13</f>
        <v>CARIB AMBER</v>
      </c>
      <c r="D13" s="681">
        <v>1</v>
      </c>
      <c r="E13" s="80">
        <v>1.0104166666666667</v>
      </c>
      <c r="F13" s="80">
        <v>1.2965277777777777</v>
      </c>
      <c r="G13" s="81">
        <v>1.3625</v>
      </c>
      <c r="H13" s="82"/>
      <c r="I13" s="32"/>
      <c r="J13" s="86"/>
      <c r="K13" s="71"/>
      <c r="L13" s="71"/>
      <c r="M13" s="71"/>
      <c r="N13" s="71"/>
      <c r="O13" s="71">
        <f>'Uncaser Downtime Detail '!AG376</f>
        <v>14</v>
      </c>
      <c r="P13" s="71">
        <f>'Washer Downtime Detail'!BH380</f>
        <v>10</v>
      </c>
      <c r="Q13" s="71">
        <f>'EBI Downtime Detail'!AI378</f>
        <v>3</v>
      </c>
      <c r="R13" s="71">
        <f>'Filler Downtime Detail'!AK377</f>
        <v>0</v>
      </c>
      <c r="S13" s="71">
        <f>'Pasteurizer Downtime Detail'!Z370</f>
        <v>0</v>
      </c>
      <c r="T13" s="71">
        <f>'Labeler Downtime Detail'!AN368</f>
        <v>0</v>
      </c>
      <c r="U13" s="71">
        <f>'Videojet Downtime Detail '!O374</f>
        <v>0</v>
      </c>
      <c r="V13" s="71">
        <f>'Conveyor Downtime (new)'!AV377</f>
        <v>17</v>
      </c>
      <c r="W13" s="71">
        <f>'Packer Downtime Detail  '!AD373</f>
        <v>0</v>
      </c>
      <c r="X13" s="71"/>
      <c r="Y13" s="71"/>
      <c r="Z13" s="43">
        <f>15+5</f>
        <v>20</v>
      </c>
      <c r="AA13" s="88"/>
      <c r="AB13" s="88"/>
      <c r="AC13" s="71"/>
      <c r="AD13" s="44">
        <f t="shared" si="0"/>
        <v>64</v>
      </c>
      <c r="AE13" s="783">
        <f>G14-D13</f>
        <v>0.88819444444444451</v>
      </c>
      <c r="AH13" s="3"/>
      <c r="AI13" s="23"/>
      <c r="AJ13" s="23"/>
      <c r="AK13" s="54"/>
      <c r="AL13" s="3"/>
      <c r="AM13" s="3"/>
      <c r="AN13" s="3"/>
      <c r="AO13" s="3"/>
      <c r="AP13" s="3"/>
      <c r="AQ13" s="3"/>
      <c r="AR13" s="3"/>
      <c r="AS13" s="3"/>
      <c r="AT13" s="3"/>
      <c r="AU13" s="3"/>
      <c r="AV13" s="3"/>
      <c r="AW13" s="3"/>
      <c r="AX13" s="3"/>
    </row>
    <row r="14" spans="1:50">
      <c r="A14" s="7">
        <f>[5]July_2026!$C14</f>
        <v>3</v>
      </c>
      <c r="B14" s="8">
        <f>[5]July_2026!$B14</f>
        <v>46206</v>
      </c>
      <c r="C14" s="78" t="str">
        <f>[5]July_2026!$D14</f>
        <v>STAG</v>
      </c>
      <c r="D14" s="681"/>
      <c r="E14" s="80">
        <v>1.4819444444444445</v>
      </c>
      <c r="F14" s="80">
        <v>1.8298611111111112</v>
      </c>
      <c r="G14" s="81">
        <v>1.8881944444444445</v>
      </c>
      <c r="H14" s="14"/>
      <c r="I14" s="34">
        <f>14</f>
        <v>14</v>
      </c>
      <c r="J14" s="35">
        <f>3</f>
        <v>3</v>
      </c>
      <c r="K14" s="34"/>
      <c r="L14" s="34"/>
      <c r="M14" s="34"/>
      <c r="N14" s="34"/>
      <c r="O14" s="34">
        <f>'Uncaser Downtime Detail '!AG377</f>
        <v>1</v>
      </c>
      <c r="P14" s="34">
        <f>'Washer Downtime Detail'!BH381</f>
        <v>16</v>
      </c>
      <c r="Q14" s="34">
        <f>'EBI Downtime Detail'!AI379</f>
        <v>5</v>
      </c>
      <c r="R14" s="34">
        <f>'Filler Downtime Detail'!AK378</f>
        <v>5</v>
      </c>
      <c r="S14" s="34">
        <f>'Pasteurizer Downtime Detail'!Z371</f>
        <v>64</v>
      </c>
      <c r="T14" s="34">
        <f>'Labeler Downtime Detail'!AN369</f>
        <v>25</v>
      </c>
      <c r="U14" s="34">
        <f>'Videojet Downtime Detail '!O375</f>
        <v>0</v>
      </c>
      <c r="V14" s="34">
        <f>'Conveyor Downtime (new)'!AV378</f>
        <v>24</v>
      </c>
      <c r="W14" s="34">
        <f>'Packer Downtime Detail  '!AD374</f>
        <v>0</v>
      </c>
      <c r="X14" s="34"/>
      <c r="Y14" s="35"/>
      <c r="Z14" s="34">
        <f>39+60+60+30+10+8+3</f>
        <v>210</v>
      </c>
      <c r="AA14" s="90"/>
      <c r="AB14" s="90"/>
      <c r="AC14" s="89"/>
      <c r="AD14" s="44">
        <f t="shared" si="0"/>
        <v>367</v>
      </c>
      <c r="AE14" s="783"/>
      <c r="AH14" s="3"/>
      <c r="AI14" s="23"/>
      <c r="AJ14" s="23"/>
      <c r="AK14" s="54"/>
      <c r="AL14" s="3"/>
      <c r="AM14" s="3"/>
      <c r="AN14" s="3"/>
      <c r="AO14" s="3"/>
      <c r="AP14" s="3"/>
      <c r="AQ14" s="3"/>
      <c r="AR14" s="3"/>
      <c r="AS14" s="3"/>
      <c r="AT14" s="3"/>
      <c r="AU14" s="3"/>
      <c r="AV14" s="3"/>
      <c r="AW14" s="3"/>
      <c r="AX14" s="3"/>
    </row>
    <row r="15" spans="1:50" ht="12.75" customHeight="1">
      <c r="A15" s="7">
        <f>[5]July_2026!$C15</f>
        <v>4</v>
      </c>
      <c r="B15" s="8">
        <f>[5]July_2026!$B15</f>
        <v>46209</v>
      </c>
      <c r="C15" s="78" t="str">
        <f>[5]July_2026!$D15</f>
        <v>STAG</v>
      </c>
      <c r="D15" s="93">
        <v>1.0173611111111112</v>
      </c>
      <c r="E15" s="80">
        <v>1.0833333333333333</v>
      </c>
      <c r="F15" s="80">
        <v>2</v>
      </c>
      <c r="G15" s="81">
        <v>2.1534722222222222</v>
      </c>
      <c r="H15" s="82"/>
      <c r="I15" s="32"/>
      <c r="J15" s="86"/>
      <c r="K15" s="71"/>
      <c r="L15" s="71">
        <f>3</f>
        <v>3</v>
      </c>
      <c r="M15" s="71"/>
      <c r="N15" s="71"/>
      <c r="O15" s="71">
        <f>'Uncaser Downtime Detail '!AG378</f>
        <v>0</v>
      </c>
      <c r="P15" s="71">
        <f>'Washer Downtime Detail'!BH382</f>
        <v>27</v>
      </c>
      <c r="Q15" s="71">
        <f>'EBI Downtime Detail'!AI380</f>
        <v>13</v>
      </c>
      <c r="R15" s="71">
        <f>'Filler Downtime Detail'!AK379</f>
        <v>6</v>
      </c>
      <c r="S15" s="71">
        <f>'Pasteurizer Downtime Detail'!Z372</f>
        <v>0</v>
      </c>
      <c r="T15" s="71">
        <f>'Labeler Downtime Detail'!AN370</f>
        <v>177</v>
      </c>
      <c r="U15" s="71">
        <f>'Videojet Downtime Detail '!O376</f>
        <v>242</v>
      </c>
      <c r="V15" s="71">
        <f>'Conveyor Downtime (new)'!AV379</f>
        <v>138</v>
      </c>
      <c r="W15" s="71">
        <f>'Packer Downtime Detail  '!AD375</f>
        <v>0</v>
      </c>
      <c r="X15" s="71"/>
      <c r="Y15" s="71">
        <f>7+13</f>
        <v>20</v>
      </c>
      <c r="Z15" s="43">
        <f>24+3+2+3+5+2</f>
        <v>39</v>
      </c>
      <c r="AA15" s="88"/>
      <c r="AB15" s="88"/>
      <c r="AC15" s="71"/>
      <c r="AD15" s="44">
        <f t="shared" si="0"/>
        <v>665</v>
      </c>
      <c r="AE15" s="516">
        <f>G15-D15</f>
        <v>1.1361111111111111</v>
      </c>
      <c r="AH15" s="3"/>
      <c r="AI15" s="23"/>
      <c r="AJ15" s="23"/>
      <c r="AK15" s="54"/>
      <c r="AL15" s="3"/>
      <c r="AM15" s="3"/>
      <c r="AN15" s="3"/>
      <c r="AO15" s="3"/>
      <c r="AP15" s="3"/>
      <c r="AQ15" s="3"/>
      <c r="AR15" s="3"/>
      <c r="AS15" s="3"/>
      <c r="AT15" s="3"/>
      <c r="AU15" s="3"/>
      <c r="AV15" s="3"/>
      <c r="AW15" s="3"/>
      <c r="AX15" s="3"/>
    </row>
    <row r="16" spans="1:50" ht="12.75" customHeight="1">
      <c r="A16" s="7">
        <f>[5]July_2026!$C16</f>
        <v>5</v>
      </c>
      <c r="B16" s="8">
        <f>[5]July_2026!$B16</f>
        <v>46210</v>
      </c>
      <c r="C16" s="78" t="str">
        <f>[5]July_2026!$D16</f>
        <v>STAG</v>
      </c>
      <c r="D16" s="681">
        <v>1</v>
      </c>
      <c r="E16" s="80">
        <v>1.0819444444444444</v>
      </c>
      <c r="F16" s="80">
        <v>1.3423611111111111</v>
      </c>
      <c r="G16" s="81"/>
      <c r="H16" s="14"/>
      <c r="I16" s="34"/>
      <c r="J16" s="35"/>
      <c r="K16" s="34"/>
      <c r="L16" s="34"/>
      <c r="M16" s="34"/>
      <c r="N16" s="34"/>
      <c r="O16" s="34">
        <f>'Uncaser Downtime Detail '!AG379</f>
        <v>0</v>
      </c>
      <c r="P16" s="34">
        <f>'Washer Downtime Detail'!BH383</f>
        <v>13</v>
      </c>
      <c r="Q16" s="34">
        <f>'EBI Downtime Detail'!AI381</f>
        <v>3</v>
      </c>
      <c r="R16" s="34">
        <f>'Filler Downtime Detail'!AK380</f>
        <v>10</v>
      </c>
      <c r="S16" s="34">
        <f>'Pasteurizer Downtime Detail'!Z373</f>
        <v>192</v>
      </c>
      <c r="T16" s="34">
        <f>'Labeler Downtime Detail'!AN371</f>
        <v>0</v>
      </c>
      <c r="U16" s="34">
        <f>'Videojet Downtime Detail '!O377</f>
        <v>20</v>
      </c>
      <c r="V16" s="34">
        <f>'Conveyor Downtime (new)'!AV380</f>
        <v>25</v>
      </c>
      <c r="W16" s="34">
        <f>'Packer Downtime Detail  '!AD376</f>
        <v>0</v>
      </c>
      <c r="X16" s="34"/>
      <c r="Y16" s="35"/>
      <c r="Z16" s="34"/>
      <c r="AA16" s="90"/>
      <c r="AB16" s="90">
        <f>5</f>
        <v>5</v>
      </c>
      <c r="AC16" s="89"/>
      <c r="AD16" s="44">
        <f t="shared" si="0"/>
        <v>268</v>
      </c>
      <c r="AE16" s="783">
        <f>G17-D16</f>
        <v>1.1368055555555556</v>
      </c>
      <c r="AH16" s="3"/>
      <c r="AI16" s="23"/>
      <c r="AJ16" s="23"/>
      <c r="AK16" s="54"/>
      <c r="AL16" s="3"/>
      <c r="AM16" s="3"/>
      <c r="AN16" s="3"/>
      <c r="AO16" s="3"/>
      <c r="AP16" s="3"/>
      <c r="AQ16" s="3"/>
      <c r="AR16" s="3"/>
      <c r="AS16" s="3"/>
      <c r="AT16" s="3"/>
      <c r="AU16" s="3"/>
      <c r="AV16" s="3"/>
      <c r="AW16" s="3"/>
      <c r="AX16" s="3"/>
    </row>
    <row r="17" spans="1:50">
      <c r="A17" s="7">
        <f>[5]July_2026!$C17</f>
        <v>5</v>
      </c>
      <c r="B17" s="8">
        <f>[5]July_2026!$B17</f>
        <v>46210</v>
      </c>
      <c r="C17" s="78" t="str">
        <f>[5]July_2026!$D17</f>
        <v>CARIB AMBER</v>
      </c>
      <c r="D17" s="681"/>
      <c r="E17" s="80">
        <v>1.8833333333333333</v>
      </c>
      <c r="F17" s="80">
        <v>2</v>
      </c>
      <c r="G17" s="81">
        <v>2.1368055555555556</v>
      </c>
      <c r="H17" s="82"/>
      <c r="I17" s="32">
        <v>15</v>
      </c>
      <c r="J17" s="86"/>
      <c r="K17" s="71"/>
      <c r="L17" s="71"/>
      <c r="M17" s="71"/>
      <c r="N17" s="71"/>
      <c r="O17" s="71">
        <f>'Uncaser Downtime Detail '!AG380</f>
        <v>0</v>
      </c>
      <c r="P17" s="71">
        <f>'Washer Downtime Detail'!BH384</f>
        <v>14</v>
      </c>
      <c r="Q17" s="71">
        <f>'EBI Downtime Detail'!AI382</f>
        <v>11</v>
      </c>
      <c r="R17" s="71">
        <f>'Filler Downtime Detail'!AK381</f>
        <v>0</v>
      </c>
      <c r="S17" s="71">
        <f>'Pasteurizer Downtime Detail'!Z374</f>
        <v>345</v>
      </c>
      <c r="T17" s="71">
        <f>'Labeler Downtime Detail'!AN372</f>
        <v>0</v>
      </c>
      <c r="U17" s="32">
        <f>'Videojet Downtime Detail '!O378</f>
        <v>0</v>
      </c>
      <c r="V17" s="32">
        <f>'Conveyor Downtime (new)'!AV381</f>
        <v>0</v>
      </c>
      <c r="W17" s="71">
        <f>'Packer Downtime Detail  '!AD377</f>
        <v>0</v>
      </c>
      <c r="X17" s="71">
        <f>'Carton Errector-sealer Detail'!P363</f>
        <v>0</v>
      </c>
      <c r="Y17" s="71"/>
      <c r="Z17" s="43">
        <f>60+60+60+60+60+60</f>
        <v>360</v>
      </c>
      <c r="AA17" s="88"/>
      <c r="AB17" s="88">
        <f>15</f>
        <v>15</v>
      </c>
      <c r="AC17" s="71"/>
      <c r="AD17" s="44">
        <f t="shared" si="0"/>
        <v>760</v>
      </c>
      <c r="AE17" s="783"/>
      <c r="AH17" s="3"/>
      <c r="AI17" s="23"/>
      <c r="AJ17" s="23"/>
      <c r="AK17" s="54"/>
      <c r="AL17" s="3"/>
      <c r="AM17" s="3"/>
      <c r="AN17" s="3"/>
      <c r="AO17" s="3"/>
      <c r="AP17" s="3"/>
      <c r="AQ17" s="3"/>
      <c r="AR17" s="3"/>
      <c r="AS17" s="3"/>
      <c r="AT17" s="3"/>
      <c r="AU17" s="3"/>
      <c r="AV17" s="3"/>
      <c r="AW17" s="3"/>
      <c r="AX17" s="3"/>
    </row>
    <row r="18" spans="1:50">
      <c r="A18" s="7">
        <f>[5]July_2026!$C18</f>
        <v>6</v>
      </c>
      <c r="B18" s="8">
        <f>[5]July_2026!$B18</f>
        <v>46211</v>
      </c>
      <c r="C18" s="78" t="str">
        <f>[5]July_2026!$D18</f>
        <v>CARIB AMBER</v>
      </c>
      <c r="D18" s="681">
        <v>1</v>
      </c>
      <c r="E18" s="80">
        <v>1.0097222222222222</v>
      </c>
      <c r="F18" s="80">
        <v>1.5222222222222221</v>
      </c>
      <c r="G18" s="81"/>
      <c r="H18" s="14"/>
      <c r="I18" s="34"/>
      <c r="J18" s="35">
        <f>9</f>
        <v>9</v>
      </c>
      <c r="K18" s="34"/>
      <c r="L18" s="34"/>
      <c r="M18" s="34"/>
      <c r="N18" s="34"/>
      <c r="O18" s="34">
        <f>'Uncaser Downtime Detail '!AG381</f>
        <v>0</v>
      </c>
      <c r="P18" s="34">
        <f>'Washer Downtime Detail'!BH385</f>
        <v>35</v>
      </c>
      <c r="Q18" s="34">
        <f>'EBI Downtime Detail'!AI383</f>
        <v>5</v>
      </c>
      <c r="R18" s="34">
        <f>'Filler Downtime Detail'!AK382</f>
        <v>2</v>
      </c>
      <c r="S18" s="34">
        <f>'Pasteurizer Downtime Detail'!Z375</f>
        <v>0</v>
      </c>
      <c r="T18" s="34">
        <f>'Labeler Downtime Detail'!AN373</f>
        <v>0</v>
      </c>
      <c r="U18" s="34">
        <f>'Videojet Downtime Detail '!O379</f>
        <v>100</v>
      </c>
      <c r="V18" s="34">
        <f>'Conveyor Downtime (new)'!AV382</f>
        <v>27</v>
      </c>
      <c r="W18" s="34">
        <f>'Packer Downtime Detail  '!AD378</f>
        <v>0</v>
      </c>
      <c r="X18" s="620">
        <f>'Carton Errector-sealer Detail'!P364</f>
        <v>0</v>
      </c>
      <c r="Y18" s="35"/>
      <c r="Z18" s="34">
        <f>5+10+60+60+60+22</f>
        <v>217</v>
      </c>
      <c r="AA18" s="90"/>
      <c r="AB18" s="90"/>
      <c r="AC18" s="89"/>
      <c r="AD18" s="44">
        <f t="shared" si="0"/>
        <v>395</v>
      </c>
      <c r="AE18" s="754">
        <f>G22-D18</f>
        <v>1.1118055555555557</v>
      </c>
      <c r="AH18" s="3"/>
      <c r="AI18" s="23"/>
      <c r="AJ18" s="23"/>
      <c r="AK18" s="54"/>
      <c r="AL18" s="3"/>
      <c r="AM18" s="3"/>
      <c r="AN18" s="3"/>
      <c r="AO18" s="3"/>
      <c r="AP18" s="3"/>
      <c r="AQ18" s="3"/>
      <c r="AR18" s="3"/>
      <c r="AS18" s="3"/>
      <c r="AT18" s="3"/>
      <c r="AU18" s="3"/>
      <c r="AV18" s="3"/>
      <c r="AW18" s="3"/>
      <c r="AX18" s="3"/>
    </row>
    <row r="19" spans="1:50">
      <c r="A19" s="7">
        <f>[5]July_2026!$C19</f>
        <v>8</v>
      </c>
      <c r="B19" s="8">
        <f>[5]July_2026!$B19</f>
        <v>46211</v>
      </c>
      <c r="C19" s="78" t="str">
        <f>[5]July_2026!$D19</f>
        <v>SHANDY LIME LOCAL</v>
      </c>
      <c r="D19" s="681"/>
      <c r="E19" s="80">
        <v>1.5729166666666667</v>
      </c>
      <c r="F19" s="80">
        <v>1.6944444444444444</v>
      </c>
      <c r="G19" s="81"/>
      <c r="H19" s="82">
        <v>11</v>
      </c>
      <c r="I19" s="32">
        <f>28</f>
        <v>28</v>
      </c>
      <c r="J19" s="86"/>
      <c r="K19" s="71"/>
      <c r="L19" s="71"/>
      <c r="M19" s="71"/>
      <c r="N19" s="71"/>
      <c r="O19" s="71">
        <f>'Uncaser Downtime Detail '!AG382</f>
        <v>0</v>
      </c>
      <c r="P19" s="71">
        <f>'Washer Downtime Detail'!BH386</f>
        <v>4</v>
      </c>
      <c r="Q19" s="71">
        <f>'EBI Downtime Detail'!AI384</f>
        <v>26</v>
      </c>
      <c r="R19" s="71">
        <f>'Filler Downtime Detail'!AK383</f>
        <v>1</v>
      </c>
      <c r="S19" s="71">
        <f>'Pasteurizer Downtime Detail'!Z376</f>
        <v>0</v>
      </c>
      <c r="T19" s="71">
        <f>'Labeler Downtime Detail'!AN374</f>
        <v>0</v>
      </c>
      <c r="U19" s="32">
        <f>'Videojet Downtime Detail '!O380</f>
        <v>0</v>
      </c>
      <c r="V19" s="32">
        <f>'Conveyor Downtime (new)'!AV383</f>
        <v>0</v>
      </c>
      <c r="W19" s="71">
        <f>'Packer Downtime Detail  '!AD379</f>
        <v>0</v>
      </c>
      <c r="X19" s="71">
        <f>'Carton Errector-sealer Detail'!P365</f>
        <v>0</v>
      </c>
      <c r="Y19" s="71"/>
      <c r="Z19" s="43">
        <f>15</f>
        <v>15</v>
      </c>
      <c r="AA19" s="88"/>
      <c r="AB19" s="88"/>
      <c r="AC19" s="71"/>
      <c r="AD19" s="44">
        <f t="shared" si="0"/>
        <v>85</v>
      </c>
      <c r="AE19" s="754"/>
      <c r="AH19" s="3"/>
      <c r="AI19" s="23"/>
      <c r="AJ19" s="23"/>
      <c r="AK19" s="54"/>
      <c r="AL19" s="3"/>
      <c r="AM19" s="3"/>
      <c r="AN19" s="3"/>
      <c r="AO19" s="3"/>
      <c r="AP19" s="3"/>
      <c r="AQ19" s="3"/>
      <c r="AR19" s="3"/>
      <c r="AS19" s="3"/>
      <c r="AT19" s="3"/>
      <c r="AU19" s="3"/>
      <c r="AV19" s="3"/>
      <c r="AW19" s="3"/>
      <c r="AX19" s="3"/>
    </row>
    <row r="20" spans="1:50">
      <c r="A20" s="7">
        <f>[5]July_2026!$C20</f>
        <v>8</v>
      </c>
      <c r="B20" s="8">
        <f>[5]July_2026!$B20</f>
        <v>46211</v>
      </c>
      <c r="C20" s="78" t="str">
        <f>[5]July_2026!$D20</f>
        <v>SHANDY LIME EXPORT</v>
      </c>
      <c r="D20" s="681"/>
      <c r="E20" s="80">
        <v>1.7083333333333333</v>
      </c>
      <c r="F20" s="80">
        <v>1.75</v>
      </c>
      <c r="G20" s="81"/>
      <c r="H20" s="14"/>
      <c r="I20" s="34">
        <f>20+27</f>
        <v>47</v>
      </c>
      <c r="J20" s="35"/>
      <c r="K20" s="34"/>
      <c r="L20" s="34"/>
      <c r="M20" s="34"/>
      <c r="N20" s="34"/>
      <c r="O20" s="34">
        <f>'Uncaser Downtime Detail '!AG383</f>
        <v>0</v>
      </c>
      <c r="P20" s="34">
        <f>'Washer Downtime Detail'!BH387</f>
        <v>0</v>
      </c>
      <c r="Q20" s="34">
        <f>'EBI Downtime Detail'!AI385</f>
        <v>1</v>
      </c>
      <c r="R20" s="34">
        <f>'Filler Downtime Detail'!AK384</f>
        <v>0</v>
      </c>
      <c r="S20" s="34">
        <f>'Pasteurizer Downtime Detail'!Z377</f>
        <v>0</v>
      </c>
      <c r="T20" s="34">
        <f>'Labeler Downtime Detail'!AN375</f>
        <v>0</v>
      </c>
      <c r="U20" s="34">
        <f>'Videojet Downtime Detail '!O381</f>
        <v>0</v>
      </c>
      <c r="V20" s="34">
        <f>'Conveyor Downtime (new)'!AV384</f>
        <v>0</v>
      </c>
      <c r="W20" s="34">
        <f>'Packer Downtime Detail  '!AD380</f>
        <v>0</v>
      </c>
      <c r="X20" s="620">
        <f>'Carton Errector-sealer Detail'!P366</f>
        <v>0</v>
      </c>
      <c r="Y20" s="35"/>
      <c r="Z20" s="34"/>
      <c r="AA20" s="90"/>
      <c r="AB20" s="90"/>
      <c r="AC20" s="89"/>
      <c r="AD20" s="44">
        <f t="shared" si="0"/>
        <v>48</v>
      </c>
      <c r="AE20" s="754"/>
      <c r="AH20" s="3"/>
      <c r="AI20" s="23"/>
      <c r="AJ20" s="23"/>
      <c r="AK20" s="54"/>
      <c r="AL20" s="3"/>
      <c r="AM20" s="3"/>
      <c r="AN20" s="3"/>
      <c r="AO20" s="3"/>
      <c r="AP20" s="3"/>
      <c r="AQ20" s="3"/>
      <c r="AR20" s="3"/>
      <c r="AS20" s="3"/>
      <c r="AT20" s="3"/>
      <c r="AU20" s="3"/>
      <c r="AV20" s="3"/>
      <c r="AW20" s="3"/>
      <c r="AX20" s="3"/>
    </row>
    <row r="21" spans="1:50">
      <c r="A21" s="7">
        <f>[5]July_2026!$C21</f>
        <v>8</v>
      </c>
      <c r="B21" s="8">
        <f>[5]July_2026!$B21</f>
        <v>46211</v>
      </c>
      <c r="C21" s="78" t="str">
        <f>[5]July_2026!$D21</f>
        <v>SHANDY GINGER EXPORT</v>
      </c>
      <c r="D21" s="681"/>
      <c r="E21" s="80">
        <v>1.7826388888888889</v>
      </c>
      <c r="F21" s="80"/>
      <c r="G21" s="81"/>
      <c r="H21" s="82"/>
      <c r="I21" s="32">
        <f>20+2</f>
        <v>22</v>
      </c>
      <c r="J21" s="86"/>
      <c r="K21" s="71"/>
      <c r="L21" s="71"/>
      <c r="M21" s="71"/>
      <c r="N21" s="71"/>
      <c r="O21" s="71">
        <f>'Uncaser Downtime Detail '!AG384</f>
        <v>0</v>
      </c>
      <c r="P21" s="71">
        <f>'Washer Downtime Detail'!BH388</f>
        <v>0</v>
      </c>
      <c r="Q21" s="71">
        <f>'EBI Downtime Detail'!AI386</f>
        <v>0</v>
      </c>
      <c r="R21" s="71">
        <f>'Filler Downtime Detail'!AK385</f>
        <v>0</v>
      </c>
      <c r="S21" s="71">
        <f>'Pasteurizer Downtime Detail'!Z378</f>
        <v>0</v>
      </c>
      <c r="T21" s="71">
        <f>'Labeler Downtime Detail'!AN376</f>
        <v>0</v>
      </c>
      <c r="U21" s="32">
        <f>'Videojet Downtime Detail '!O382</f>
        <v>0</v>
      </c>
      <c r="V21" s="32">
        <f>'Conveyor Downtime (new)'!AV385</f>
        <v>12</v>
      </c>
      <c r="W21" s="71">
        <f>'Packer Downtime Detail  '!AD381</f>
        <v>0</v>
      </c>
      <c r="X21" s="71">
        <f>'Carton Errector-sealer Detail'!P368</f>
        <v>1</v>
      </c>
      <c r="Y21" s="71"/>
      <c r="Z21" s="43">
        <f>27+1+5</f>
        <v>33</v>
      </c>
      <c r="AA21" s="88"/>
      <c r="AB21" s="88"/>
      <c r="AC21" s="71"/>
      <c r="AD21" s="44">
        <f t="shared" si="0"/>
        <v>68</v>
      </c>
      <c r="AE21" s="754"/>
      <c r="AH21" s="3"/>
      <c r="AI21" s="23"/>
      <c r="AJ21" s="23"/>
      <c r="AK21" s="54"/>
      <c r="AL21" s="3"/>
      <c r="AM21" s="3"/>
      <c r="AN21" s="3"/>
      <c r="AO21" s="3"/>
      <c r="AP21" s="3"/>
      <c r="AQ21" s="3"/>
      <c r="AR21" s="3"/>
      <c r="AS21" s="3"/>
      <c r="AT21" s="3"/>
      <c r="AU21" s="3"/>
      <c r="AV21" s="3"/>
      <c r="AW21" s="3"/>
      <c r="AX21" s="3"/>
    </row>
    <row r="22" spans="1:50">
      <c r="A22" s="7">
        <f>[5]July_2026!$C22</f>
        <v>8</v>
      </c>
      <c r="B22" s="8">
        <f>[5]July_2026!$B22</f>
        <v>46211</v>
      </c>
      <c r="C22" s="78" t="str">
        <f>[5]July_2026!$D22</f>
        <v>SHANDY GINGER LOCAL</v>
      </c>
      <c r="D22" s="681"/>
      <c r="E22" s="619"/>
      <c r="F22" s="80">
        <v>2</v>
      </c>
      <c r="G22" s="81">
        <v>2.1118055555555557</v>
      </c>
      <c r="H22" s="14"/>
      <c r="I22" s="34"/>
      <c r="J22" s="35"/>
      <c r="K22" s="34"/>
      <c r="L22" s="34"/>
      <c r="M22" s="34"/>
      <c r="N22" s="34"/>
      <c r="O22" s="34">
        <f>'Uncaser Downtime Detail '!AG385</f>
        <v>0</v>
      </c>
      <c r="P22" s="34">
        <f>'Washer Downtime Detail'!BH389</f>
        <v>0</v>
      </c>
      <c r="Q22" s="71">
        <f>'EBI Downtime Detail'!AI387</f>
        <v>0</v>
      </c>
      <c r="R22" s="34">
        <f>'Filler Downtime Detail'!AK386</f>
        <v>0</v>
      </c>
      <c r="S22" s="34">
        <f>'Pasteurizer Downtime Detail'!Z379</f>
        <v>0</v>
      </c>
      <c r="T22" s="34">
        <f>'Labeler Downtime Detail'!AN377</f>
        <v>9</v>
      </c>
      <c r="U22" s="34">
        <f>'Videojet Downtime Detail '!O383</f>
        <v>0</v>
      </c>
      <c r="V22" s="32">
        <f>'Conveyor Downtime (new)'!AV386</f>
        <v>0</v>
      </c>
      <c r="W22" s="34">
        <f>'Packer Downtime Detail  '!AD382</f>
        <v>0</v>
      </c>
      <c r="X22" s="620">
        <f>'Carton Errector-sealer Detail'!P369</f>
        <v>148</v>
      </c>
      <c r="Y22" s="35"/>
      <c r="Z22" s="34"/>
      <c r="AA22" s="90"/>
      <c r="AB22" s="90"/>
      <c r="AC22" s="89"/>
      <c r="AD22" s="44">
        <f t="shared" si="0"/>
        <v>157</v>
      </c>
      <c r="AE22" s="754"/>
      <c r="AH22" s="3"/>
      <c r="AI22" s="23"/>
      <c r="AJ22" s="23"/>
      <c r="AK22" s="54"/>
      <c r="AL22" s="3"/>
      <c r="AM22" s="3"/>
      <c r="AN22" s="3"/>
      <c r="AO22" s="3"/>
      <c r="AP22" s="3"/>
      <c r="AQ22" s="3"/>
      <c r="AR22" s="3"/>
      <c r="AS22" s="3"/>
      <c r="AT22" s="3"/>
      <c r="AU22" s="3"/>
      <c r="AV22" s="3"/>
      <c r="AW22" s="3"/>
      <c r="AX22" s="3"/>
    </row>
    <row r="23" spans="1:50">
      <c r="A23" s="7">
        <f>[5]July_2026!$C23</f>
        <v>9</v>
      </c>
      <c r="B23" s="8">
        <f>[5]July_2026!$B23</f>
        <v>46212</v>
      </c>
      <c r="C23" s="78" t="str">
        <f>[5]July_2026!$D23</f>
        <v>SHANDY GINGER LOCAL</v>
      </c>
      <c r="D23" s="681">
        <v>1</v>
      </c>
      <c r="E23" s="80">
        <v>1.0069444444444444</v>
      </c>
      <c r="F23" s="619">
        <v>1.4618055555555556</v>
      </c>
      <c r="G23" s="81"/>
      <c r="H23" s="82"/>
      <c r="I23" s="32">
        <f>18+29</f>
        <v>47</v>
      </c>
      <c r="J23" s="86"/>
      <c r="K23" s="71"/>
      <c r="L23" s="71"/>
      <c r="M23" s="71"/>
      <c r="N23" s="71"/>
      <c r="O23" s="71">
        <f>'Uncaser Downtime Detail '!AG386</f>
        <v>0</v>
      </c>
      <c r="P23" s="71">
        <f>'Washer Downtime Detail'!BH390</f>
        <v>19</v>
      </c>
      <c r="Q23" s="71">
        <f>'EBI Downtime Detail'!AI388</f>
        <v>35</v>
      </c>
      <c r="R23" s="71">
        <f>'Filler Downtime Detail'!AK387</f>
        <v>14</v>
      </c>
      <c r="S23" s="71">
        <f>'Pasteurizer Downtime Detail'!Z380</f>
        <v>0</v>
      </c>
      <c r="T23" s="71">
        <f>'Labeler Downtime Detail'!AN378</f>
        <v>0</v>
      </c>
      <c r="U23" s="32">
        <f>'Videojet Downtime Detail '!O384</f>
        <v>0</v>
      </c>
      <c r="V23" s="32">
        <f>'Conveyor Downtime (new)'!AV387</f>
        <v>12</v>
      </c>
      <c r="W23" s="71">
        <f>'Packer Downtime Detail  '!AD383</f>
        <v>0</v>
      </c>
      <c r="X23" s="71">
        <f>'Carton Errector-sealer Detail'!P370</f>
        <v>10</v>
      </c>
      <c r="Y23" s="71"/>
      <c r="Z23" s="43">
        <f>10+27+60+60+60+26+3</f>
        <v>246</v>
      </c>
      <c r="AA23" s="88"/>
      <c r="AB23" s="88">
        <f>2+3</f>
        <v>5</v>
      </c>
      <c r="AC23" s="71"/>
      <c r="AD23" s="44">
        <f t="shared" si="0"/>
        <v>388</v>
      </c>
      <c r="AE23" s="754">
        <f>G25-D23</f>
        <v>0.92708333333333326</v>
      </c>
      <c r="AH23" s="3"/>
      <c r="AI23" s="23"/>
      <c r="AJ23" s="23"/>
      <c r="AK23" s="54"/>
      <c r="AL23" s="3"/>
      <c r="AM23" s="3"/>
      <c r="AN23" s="3"/>
      <c r="AO23" s="3"/>
      <c r="AP23" s="3"/>
      <c r="AQ23" s="3"/>
      <c r="AR23" s="3"/>
      <c r="AS23" s="3"/>
      <c r="AT23" s="3"/>
      <c r="AU23" s="3"/>
      <c r="AV23" s="3"/>
      <c r="AW23" s="3"/>
      <c r="AX23" s="3"/>
    </row>
    <row r="24" spans="1:50" ht="13.5" customHeight="1">
      <c r="A24" s="7">
        <f>[5]July_2026!$C24</f>
        <v>9</v>
      </c>
      <c r="B24" s="8">
        <f>[5]July_2026!$B24</f>
        <v>46212</v>
      </c>
      <c r="C24" s="78" t="str">
        <f>[5]July_2026!$D24</f>
        <v>SHANDY SORREL EXPORT</v>
      </c>
      <c r="D24" s="681"/>
      <c r="E24" s="80">
        <v>1.4736111111111112</v>
      </c>
      <c r="F24" s="80">
        <v>1.6715277777777777</v>
      </c>
      <c r="G24" s="81">
        <v>1.6875</v>
      </c>
      <c r="H24" s="14"/>
      <c r="I24" s="34">
        <f>17</f>
        <v>17</v>
      </c>
      <c r="J24" s="35"/>
      <c r="K24" s="34"/>
      <c r="L24" s="34"/>
      <c r="M24" s="34"/>
      <c r="N24" s="34"/>
      <c r="O24" s="34">
        <f>'Uncaser Downtime Detail '!AG387</f>
        <v>0</v>
      </c>
      <c r="P24" s="34">
        <f>'Washer Downtime Detail'!BH391</f>
        <v>57</v>
      </c>
      <c r="Q24" s="71">
        <f>'EBI Downtime Detail'!AI389</f>
        <v>8</v>
      </c>
      <c r="R24" s="34">
        <f>'Filler Downtime Detail'!AK388</f>
        <v>0</v>
      </c>
      <c r="S24" s="34">
        <f>'Pasteurizer Downtime Detail'!Z381</f>
        <v>14</v>
      </c>
      <c r="T24" s="34">
        <f>'Labeler Downtime Detail'!AN379</f>
        <v>26</v>
      </c>
      <c r="U24" s="34">
        <f>'Videojet Downtime Detail '!O385</f>
        <v>0</v>
      </c>
      <c r="V24" s="32">
        <f>'Conveyor Downtime (new)'!AV388</f>
        <v>10</v>
      </c>
      <c r="W24" s="34">
        <f>'Packer Downtime Detail  '!AD384</f>
        <v>0</v>
      </c>
      <c r="X24" s="71">
        <f>'Carton Errector-sealer Detail'!P371</f>
        <v>0</v>
      </c>
      <c r="Y24" s="35"/>
      <c r="Z24" s="34">
        <f>3+4+2</f>
        <v>9</v>
      </c>
      <c r="AA24" s="90">
        <f>4+2</f>
        <v>6</v>
      </c>
      <c r="AB24" s="90"/>
      <c r="AC24" s="89"/>
      <c r="AD24" s="44">
        <f t="shared" si="0"/>
        <v>147</v>
      </c>
      <c r="AE24" s="754"/>
      <c r="AH24" s="3"/>
      <c r="AI24" s="23"/>
      <c r="AJ24" s="23"/>
      <c r="AK24" s="54"/>
      <c r="AL24" s="3"/>
      <c r="AM24" s="3"/>
      <c r="AN24" s="3"/>
      <c r="AO24" s="3"/>
      <c r="AP24" s="3"/>
      <c r="AQ24" s="3"/>
      <c r="AR24" s="3"/>
      <c r="AS24" s="3"/>
      <c r="AT24" s="3"/>
      <c r="AU24" s="3"/>
      <c r="AV24" s="3"/>
      <c r="AW24" s="3"/>
      <c r="AX24" s="3"/>
    </row>
    <row r="25" spans="1:50">
      <c r="A25" s="7">
        <f>[5]July_2026!$C25</f>
        <v>9</v>
      </c>
      <c r="B25" s="8">
        <f>[5]July_2026!$B25</f>
        <v>46212</v>
      </c>
      <c r="C25" s="78" t="str">
        <f>[5]July_2026!$D25</f>
        <v>SHANDY SORREL LOCAL</v>
      </c>
      <c r="D25" s="681"/>
      <c r="E25" s="80">
        <v>1.7083333333333333</v>
      </c>
      <c r="F25" s="80">
        <v>1.8611111111111112</v>
      </c>
      <c r="G25" s="81">
        <v>1.9270833333333333</v>
      </c>
      <c r="H25" s="82">
        <f>2</f>
        <v>2</v>
      </c>
      <c r="I25" s="32">
        <f>53</f>
        <v>53</v>
      </c>
      <c r="J25" s="86">
        <f>2</f>
        <v>2</v>
      </c>
      <c r="K25" s="71"/>
      <c r="L25" s="71"/>
      <c r="M25" s="71"/>
      <c r="N25" s="71"/>
      <c r="O25" s="71">
        <f>'Uncaser Downtime Detail '!AG388</f>
        <v>0</v>
      </c>
      <c r="P25" s="71">
        <f>'Washer Downtime Detail'!BH392</f>
        <v>0</v>
      </c>
      <c r="Q25" s="71">
        <f>'EBI Downtime Detail'!AI390</f>
        <v>2</v>
      </c>
      <c r="R25" s="71">
        <f>'Filler Downtime Detail'!AK389</f>
        <v>2</v>
      </c>
      <c r="S25" s="71">
        <f>'Pasteurizer Downtime Detail'!Z382</f>
        <v>4</v>
      </c>
      <c r="T25" s="71">
        <f>'Labeler Downtime Detail'!AN380</f>
        <v>3</v>
      </c>
      <c r="U25" s="32">
        <f>'Videojet Downtime Detail '!O386</f>
        <v>0</v>
      </c>
      <c r="V25" s="32">
        <f>'Conveyor Downtime (new)'!AV389</f>
        <v>5</v>
      </c>
      <c r="W25" s="71">
        <f>'Packer Downtime Detail  '!AD385</f>
        <v>0</v>
      </c>
      <c r="X25" s="71">
        <f>'Carton Errector-sealer Detail'!P372</f>
        <v>10</v>
      </c>
      <c r="Y25" s="71"/>
      <c r="Z25" s="43">
        <f>5</f>
        <v>5</v>
      </c>
      <c r="AA25" s="88"/>
      <c r="AB25" s="88">
        <f>2</f>
        <v>2</v>
      </c>
      <c r="AC25" s="71"/>
      <c r="AD25" s="44">
        <f t="shared" si="0"/>
        <v>90</v>
      </c>
      <c r="AE25" s="754"/>
      <c r="AH25" s="3"/>
      <c r="AI25" s="23"/>
      <c r="AJ25" s="23"/>
      <c r="AK25" s="54"/>
      <c r="AL25" s="3"/>
      <c r="AM25" s="3"/>
      <c r="AN25" s="3"/>
      <c r="AO25" s="3"/>
      <c r="AP25" s="3"/>
      <c r="AQ25" s="3"/>
      <c r="AR25" s="3"/>
      <c r="AS25" s="3"/>
      <c r="AT25" s="3"/>
      <c r="AU25" s="3"/>
      <c r="AV25" s="3"/>
      <c r="AW25" s="3"/>
      <c r="AX25" s="3"/>
    </row>
    <row r="26" spans="1:50">
      <c r="A26" s="7">
        <f>[5]July_2026!$C26</f>
        <v>10</v>
      </c>
      <c r="B26" s="8">
        <f>[5]July_2026!$B26</f>
        <v>46213</v>
      </c>
      <c r="C26" s="78" t="str">
        <f>[5]July_2026!$D26</f>
        <v>MACKESON</v>
      </c>
      <c r="D26" s="681">
        <v>1</v>
      </c>
      <c r="E26" s="80">
        <v>1.0194444444444444</v>
      </c>
      <c r="F26" s="80">
        <v>1.40625</v>
      </c>
      <c r="G26" s="81"/>
      <c r="H26" s="14"/>
      <c r="I26" s="34">
        <f>20+30</f>
        <v>50</v>
      </c>
      <c r="J26" s="35"/>
      <c r="K26" s="34"/>
      <c r="L26" s="34"/>
      <c r="M26" s="34"/>
      <c r="N26" s="34"/>
      <c r="O26" s="34">
        <f>'Uncaser Downtime Detail '!AG389</f>
        <v>0</v>
      </c>
      <c r="P26" s="34">
        <f>'Washer Downtime Detail'!BH393</f>
        <v>5</v>
      </c>
      <c r="Q26" s="71">
        <f>'EBI Downtime Detail'!AI391</f>
        <v>22</v>
      </c>
      <c r="R26" s="34">
        <f>'Filler Downtime Detail'!AK390</f>
        <v>11</v>
      </c>
      <c r="S26" s="34">
        <f>'Pasteurizer Downtime Detail'!Z383</f>
        <v>135</v>
      </c>
      <c r="T26" s="34">
        <f>'Labeler Downtime Detail'!AN381</f>
        <v>130</v>
      </c>
      <c r="U26" s="34">
        <f>'Videojet Downtime Detail '!O387</f>
        <v>4</v>
      </c>
      <c r="V26" s="32">
        <f>'Conveyor Downtime (new)'!AV390</f>
        <v>36</v>
      </c>
      <c r="W26" s="34">
        <f>'Packer Downtime Detail  '!AD386</f>
        <v>0</v>
      </c>
      <c r="X26" s="71">
        <f>'Carton Errector-sealer Detail'!P373</f>
        <v>0</v>
      </c>
      <c r="Y26" s="35"/>
      <c r="Z26" s="34">
        <f>30+5</f>
        <v>35</v>
      </c>
      <c r="AA26" s="90"/>
      <c r="AB26" s="90">
        <f>5+5+3</f>
        <v>13</v>
      </c>
      <c r="AC26" s="89"/>
      <c r="AD26" s="44">
        <f t="shared" si="0"/>
        <v>441</v>
      </c>
      <c r="AE26" s="783">
        <f>G27-D26</f>
        <v>0.89027777777777772</v>
      </c>
      <c r="AH26" s="3"/>
      <c r="AI26" s="23"/>
      <c r="AJ26" s="23"/>
      <c r="AK26" s="54"/>
      <c r="AL26" s="3"/>
      <c r="AM26" s="3"/>
      <c r="AN26" s="3"/>
      <c r="AO26" s="3"/>
      <c r="AP26" s="3"/>
      <c r="AQ26" s="3"/>
      <c r="AR26" s="3"/>
      <c r="AS26" s="3"/>
      <c r="AT26" s="3"/>
      <c r="AU26" s="3"/>
      <c r="AV26" s="3"/>
      <c r="AW26" s="3"/>
      <c r="AX26" s="3"/>
    </row>
    <row r="27" spans="1:50">
      <c r="A27" s="7">
        <f>[5]July_2026!$C27</f>
        <v>10</v>
      </c>
      <c r="B27" s="8">
        <f>[5]July_2026!$B27</f>
        <v>46213</v>
      </c>
      <c r="C27" s="78" t="str">
        <f>[5]July_2026!$D27</f>
        <v>GUINNESS</v>
      </c>
      <c r="D27" s="681"/>
      <c r="E27" s="80">
        <v>1.5069444444444444</v>
      </c>
      <c r="F27" s="80">
        <v>1.8402777777777777</v>
      </c>
      <c r="G27" s="81">
        <v>1.8902777777777777</v>
      </c>
      <c r="H27" s="82"/>
      <c r="I27" s="32">
        <f>15</f>
        <v>15</v>
      </c>
      <c r="J27" s="86">
        <f>2</f>
        <v>2</v>
      </c>
      <c r="K27" s="71"/>
      <c r="L27" s="71">
        <f>7</f>
        <v>7</v>
      </c>
      <c r="M27" s="71"/>
      <c r="N27" s="71"/>
      <c r="O27" s="71">
        <f>'Uncaser Downtime Detail '!AG390</f>
        <v>8</v>
      </c>
      <c r="P27" s="71">
        <f>'Washer Downtime Detail'!BH394</f>
        <v>17</v>
      </c>
      <c r="Q27" s="71">
        <f>'EBI Downtime Detail'!AI392</f>
        <v>23</v>
      </c>
      <c r="R27" s="71">
        <f>'Filler Downtime Detail'!AK391</f>
        <v>1</v>
      </c>
      <c r="S27" s="71">
        <f>'Pasteurizer Downtime Detail'!Z384</f>
        <v>120</v>
      </c>
      <c r="T27" s="71">
        <f>'Labeler Downtime Detail'!AN382</f>
        <v>9</v>
      </c>
      <c r="U27" s="71"/>
      <c r="V27" s="32">
        <f>'Conveyor Downtime (new)'!AV391</f>
        <v>59</v>
      </c>
      <c r="W27" s="71">
        <f>'Packer Downtime Detail  '!AD387</f>
        <v>0</v>
      </c>
      <c r="X27" s="71">
        <f>'Carton Errector-sealer Detail'!P374</f>
        <v>0</v>
      </c>
      <c r="Y27" s="71"/>
      <c r="Z27" s="43">
        <f>10+7</f>
        <v>17</v>
      </c>
      <c r="AA27" s="88"/>
      <c r="AB27" s="88"/>
      <c r="AC27" s="71"/>
      <c r="AD27" s="44">
        <f t="shared" si="0"/>
        <v>278</v>
      </c>
      <c r="AE27" s="783"/>
      <c r="AH27" s="3"/>
      <c r="AI27" s="23"/>
      <c r="AJ27" s="23"/>
      <c r="AK27" s="54"/>
      <c r="AL27" s="3"/>
      <c r="AM27" s="3"/>
      <c r="AN27" s="3"/>
      <c r="AO27" s="3"/>
      <c r="AP27" s="3"/>
      <c r="AQ27" s="3"/>
      <c r="AR27" s="3"/>
      <c r="AS27" s="3"/>
      <c r="AT27" s="3"/>
      <c r="AU27" s="3"/>
      <c r="AV27" s="3"/>
      <c r="AW27" s="3"/>
      <c r="AX27" s="3"/>
    </row>
    <row r="28" spans="1:50">
      <c r="A28" s="7">
        <f>[5]July_2026!$C28</f>
        <v>11</v>
      </c>
      <c r="B28" s="8">
        <f>[5]July_2026!$B28</f>
        <v>46216</v>
      </c>
      <c r="C28" s="78" t="str">
        <f>[5]July_2026!$D28</f>
        <v>GUINNESS</v>
      </c>
      <c r="D28" s="681">
        <v>1</v>
      </c>
      <c r="E28" s="80">
        <v>1.0729166666666667</v>
      </c>
      <c r="F28" s="80">
        <v>1.7277777777777779</v>
      </c>
      <c r="G28" s="81"/>
      <c r="H28" s="14"/>
      <c r="I28" s="34"/>
      <c r="J28" s="35"/>
      <c r="K28" s="34"/>
      <c r="L28" s="34"/>
      <c r="M28" s="34"/>
      <c r="N28" s="34"/>
      <c r="O28" s="34">
        <f>'Uncaser Downtime Detail '!AG391</f>
        <v>5</v>
      </c>
      <c r="P28" s="34">
        <f>'Washer Downtime Detail'!BH395</f>
        <v>53</v>
      </c>
      <c r="Q28" s="71">
        <f>'EBI Downtime Detail'!AI393</f>
        <v>5</v>
      </c>
      <c r="R28" s="34">
        <f>'Filler Downtime Detail'!AK392</f>
        <v>8</v>
      </c>
      <c r="S28" s="34">
        <f>'Pasteurizer Downtime Detail'!Z385</f>
        <v>64</v>
      </c>
      <c r="T28" s="34">
        <f>'Labeler Downtime Detail'!AN383</f>
        <v>44</v>
      </c>
      <c r="U28" s="34">
        <f>'Videojet Downtime Detail '!O389</f>
        <v>167</v>
      </c>
      <c r="V28" s="32">
        <f>'Conveyor Downtime (new)'!AV392</f>
        <v>102</v>
      </c>
      <c r="W28" s="34">
        <f>'Packer Downtime Detail  '!AD388</f>
        <v>0</v>
      </c>
      <c r="X28" s="71">
        <f>'Carton Errector-sealer Detail'!P375</f>
        <v>0</v>
      </c>
      <c r="Y28" s="35"/>
      <c r="Z28" s="34">
        <f>20+5</f>
        <v>25</v>
      </c>
      <c r="AA28" s="90"/>
      <c r="AB28" s="90">
        <f>10+4</f>
        <v>14</v>
      </c>
      <c r="AC28" s="89"/>
      <c r="AD28" s="44">
        <f t="shared" si="0"/>
        <v>487</v>
      </c>
      <c r="AE28" s="783">
        <f>G29-D28</f>
        <v>1.067361111111111</v>
      </c>
      <c r="AH28" s="3"/>
      <c r="AI28" s="23"/>
      <c r="AJ28" s="23"/>
      <c r="AK28" s="54"/>
      <c r="AL28" s="3"/>
      <c r="AM28" s="3"/>
      <c r="AN28" s="3"/>
      <c r="AO28" s="3"/>
      <c r="AP28" s="3"/>
      <c r="AQ28" s="3"/>
      <c r="AR28" s="3"/>
      <c r="AS28" s="3"/>
      <c r="AT28" s="3"/>
      <c r="AU28" s="3"/>
      <c r="AV28" s="3"/>
      <c r="AW28" s="3"/>
      <c r="AX28" s="3"/>
    </row>
    <row r="29" spans="1:50">
      <c r="A29" s="7">
        <f>[5]July_2026!$C29</f>
        <v>11</v>
      </c>
      <c r="B29" s="8">
        <f>[5]July_2026!$B29</f>
        <v>46216</v>
      </c>
      <c r="C29" s="78" t="str">
        <f>[5]July_2026!$D29</f>
        <v>STAG</v>
      </c>
      <c r="D29" s="681"/>
      <c r="E29" s="80">
        <v>1.8340277777777778</v>
      </c>
      <c r="F29" s="80">
        <v>2</v>
      </c>
      <c r="G29" s="154">
        <v>2.067361111111111</v>
      </c>
      <c r="H29" s="82"/>
      <c r="I29" s="32">
        <f>32+23</f>
        <v>55</v>
      </c>
      <c r="J29" s="86">
        <f>60</f>
        <v>60</v>
      </c>
      <c r="K29" s="71"/>
      <c r="L29" s="71"/>
      <c r="M29" s="71"/>
      <c r="N29" s="71"/>
      <c r="O29" s="71">
        <f>'Uncaser Downtime Detail '!AG392</f>
        <v>0</v>
      </c>
      <c r="P29" s="71">
        <f>'Washer Downtime Detail'!BH396</f>
        <v>5</v>
      </c>
      <c r="Q29" s="71">
        <f>'EBI Downtime Detail'!AI394</f>
        <v>0</v>
      </c>
      <c r="R29" s="71">
        <f>'Filler Downtime Detail'!AK393</f>
        <v>0</v>
      </c>
      <c r="S29" s="71">
        <f>'Pasteurizer Downtime Detail'!Z386</f>
        <v>0</v>
      </c>
      <c r="T29" s="71">
        <f>'Labeler Downtime Detail'!AN384</f>
        <v>0</v>
      </c>
      <c r="U29" s="71">
        <f>'Videojet Downtime Detail '!O390</f>
        <v>0</v>
      </c>
      <c r="V29" s="32">
        <f>'Conveyor Downtime (new)'!AV393</f>
        <v>30</v>
      </c>
      <c r="W29" s="71">
        <f>'Packer Downtime Detail  '!AD389</f>
        <v>0</v>
      </c>
      <c r="X29" s="71">
        <f>'Carton Errector-sealer Detail'!P376</f>
        <v>0</v>
      </c>
      <c r="Y29" s="71"/>
      <c r="Z29" s="43">
        <f>33+3</f>
        <v>36</v>
      </c>
      <c r="AA29" s="88"/>
      <c r="AB29" s="88"/>
      <c r="AC29" s="71"/>
      <c r="AD29" s="44">
        <f t="shared" si="0"/>
        <v>186</v>
      </c>
      <c r="AE29" s="783"/>
      <c r="AH29" s="3"/>
      <c r="AI29" s="23"/>
      <c r="AJ29" s="23"/>
      <c r="AK29" s="54"/>
      <c r="AL29" s="3"/>
      <c r="AM29" s="3"/>
      <c r="AN29" s="3"/>
      <c r="AO29" s="3"/>
      <c r="AP29" s="3"/>
      <c r="AQ29" s="3"/>
      <c r="AR29" s="3"/>
      <c r="AS29" s="3"/>
      <c r="AT29" s="3"/>
      <c r="AU29" s="3"/>
      <c r="AV29" s="3"/>
      <c r="AW29" s="3"/>
      <c r="AX29" s="3"/>
    </row>
    <row r="30" spans="1:50">
      <c r="A30" s="7">
        <f>[5]July_2026!$C30</f>
        <v>12</v>
      </c>
      <c r="B30" s="8">
        <f>[5]July_2026!$B30</f>
        <v>46217</v>
      </c>
      <c r="C30" s="78" t="str">
        <f>[5]July_2026!$D30</f>
        <v>STAG</v>
      </c>
      <c r="D30" s="93">
        <v>1</v>
      </c>
      <c r="E30" s="80">
        <v>1.0104166666666667</v>
      </c>
      <c r="F30" s="80">
        <v>2.0222222222222221</v>
      </c>
      <c r="G30" s="154">
        <v>2.0687500000000001</v>
      </c>
      <c r="H30" s="14"/>
      <c r="I30" s="34"/>
      <c r="J30" s="35">
        <f>4+8</f>
        <v>12</v>
      </c>
      <c r="K30" s="34"/>
      <c r="L30" s="34"/>
      <c r="M30" s="34"/>
      <c r="N30" s="34"/>
      <c r="O30" s="34">
        <f>'Uncaser Downtime Detail '!AG393</f>
        <v>12</v>
      </c>
      <c r="P30" s="34">
        <f>'Washer Downtime Detail'!BH397</f>
        <v>51</v>
      </c>
      <c r="Q30" s="71">
        <f>'EBI Downtime Detail'!AI395</f>
        <v>63</v>
      </c>
      <c r="R30" s="34">
        <f>'Filler Downtime Detail'!AK394</f>
        <v>7</v>
      </c>
      <c r="S30" s="34">
        <f>'Pasteurizer Downtime Detail'!Z387</f>
        <v>0</v>
      </c>
      <c r="T30" s="34">
        <f>'Labeler Downtime Detail'!AN385</f>
        <v>6</v>
      </c>
      <c r="U30" s="34">
        <f>'Videojet Downtime Detail '!O391</f>
        <v>19</v>
      </c>
      <c r="V30" s="32">
        <f>'Conveyor Downtime (new)'!AV394</f>
        <v>73</v>
      </c>
      <c r="W30" s="34">
        <f>'Packer Downtime Detail  '!AD390</f>
        <v>4</v>
      </c>
      <c r="X30" s="71">
        <f>'Carton Errector-sealer Detail'!P377</f>
        <v>0</v>
      </c>
      <c r="Y30" s="35"/>
      <c r="Z30" s="34">
        <f>15+10+4</f>
        <v>29</v>
      </c>
      <c r="AA30" s="90"/>
      <c r="AB30" s="90">
        <f>2+5+5+6+5+9+4+16+42+4+60</f>
        <v>158</v>
      </c>
      <c r="AC30" s="89"/>
      <c r="AD30" s="44">
        <f>SUM(H30:J30,K30:AC30)</f>
        <v>434</v>
      </c>
      <c r="AE30" s="516">
        <f>G30-D30</f>
        <v>1.0687500000000001</v>
      </c>
      <c r="AH30" s="3"/>
      <c r="AI30" s="23"/>
      <c r="AJ30" s="23"/>
      <c r="AK30" s="54"/>
      <c r="AL30" s="3"/>
      <c r="AM30" s="3"/>
      <c r="AN30" s="3"/>
      <c r="AO30" s="3"/>
      <c r="AP30" s="3"/>
      <c r="AQ30" s="3"/>
      <c r="AR30" s="3"/>
      <c r="AS30" s="3"/>
      <c r="AT30" s="3"/>
      <c r="AU30" s="3"/>
      <c r="AV30" s="3"/>
      <c r="AW30" s="3"/>
      <c r="AX30" s="3"/>
    </row>
    <row r="31" spans="1:50">
      <c r="A31" s="7">
        <f>[5]July_2026!$C31</f>
        <v>13</v>
      </c>
      <c r="B31" s="8">
        <f>[5]July_2026!$B31</f>
        <v>46218</v>
      </c>
      <c r="C31" s="78" t="str">
        <f>[5]July_2026!$D31</f>
        <v xml:space="preserve">CARIB FLINT EXPORT </v>
      </c>
      <c r="D31" s="681">
        <v>1</v>
      </c>
      <c r="E31" s="80">
        <v>1.0694444444444444</v>
      </c>
      <c r="F31" s="80">
        <v>1.4861111111111112</v>
      </c>
      <c r="G31" s="81">
        <v>1.5638888888888889</v>
      </c>
      <c r="H31" s="82"/>
      <c r="I31" s="32">
        <f>28+40+4</f>
        <v>72</v>
      </c>
      <c r="J31" s="86">
        <f>8+11</f>
        <v>19</v>
      </c>
      <c r="K31" s="71"/>
      <c r="L31" s="71"/>
      <c r="M31" s="71"/>
      <c r="N31" s="71"/>
      <c r="O31" s="71">
        <f>'Uncaser Downtime Detail '!AG394</f>
        <v>0</v>
      </c>
      <c r="P31" s="71"/>
      <c r="Q31" s="71">
        <f>'EBI Downtime Detail'!AI396</f>
        <v>33</v>
      </c>
      <c r="R31" s="71">
        <f>'Filler Downtime Detail'!AK395</f>
        <v>31</v>
      </c>
      <c r="S31" s="71">
        <f>'Pasteurizer Downtime Detail'!Z388</f>
        <v>0</v>
      </c>
      <c r="T31" s="71">
        <f>'Labeler Downtime Detail'!AN386</f>
        <v>36</v>
      </c>
      <c r="U31" s="71">
        <f>'Videojet Downtime Detail '!O392</f>
        <v>0</v>
      </c>
      <c r="V31" s="32">
        <f>'Conveyor Downtime (new)'!AV395</f>
        <v>23</v>
      </c>
      <c r="W31" s="71">
        <f>'Packer Downtime Detail  '!AD391</f>
        <v>0</v>
      </c>
      <c r="X31" s="71">
        <f>'Carton Errector-sealer Detail'!P378</f>
        <v>41</v>
      </c>
      <c r="Y31" s="71"/>
      <c r="Z31" s="43">
        <f>13+2</f>
        <v>15</v>
      </c>
      <c r="AA31" s="88"/>
      <c r="AB31" s="88">
        <f>13+2</f>
        <v>15</v>
      </c>
      <c r="AC31" s="71"/>
      <c r="AD31" s="44">
        <f t="shared" si="0"/>
        <v>285</v>
      </c>
      <c r="AE31" s="783">
        <f>G32-D31</f>
        <v>1.0625</v>
      </c>
      <c r="AH31" s="3"/>
      <c r="AI31" s="23"/>
      <c r="AJ31" s="23"/>
      <c r="AK31" s="54"/>
      <c r="AL31" s="3"/>
      <c r="AM31" s="3"/>
      <c r="AN31" s="3"/>
      <c r="AO31" s="3"/>
      <c r="AP31" s="3"/>
      <c r="AQ31" s="3"/>
      <c r="AR31" s="3"/>
      <c r="AS31" s="3"/>
      <c r="AT31" s="3"/>
      <c r="AU31" s="3"/>
      <c r="AV31" s="3"/>
      <c r="AW31" s="3"/>
      <c r="AX31" s="3"/>
    </row>
    <row r="32" spans="1:50">
      <c r="A32" s="7">
        <f>[5]July_2026!$C32</f>
        <v>13</v>
      </c>
      <c r="B32" s="8">
        <f>[5]July_2026!$B32</f>
        <v>46218</v>
      </c>
      <c r="C32" s="78" t="str">
        <f>[5]July_2026!$D32</f>
        <v>STAG</v>
      </c>
      <c r="D32" s="681"/>
      <c r="E32" s="80">
        <v>1.5333333333333334</v>
      </c>
      <c r="F32" s="80">
        <v>2</v>
      </c>
      <c r="G32" s="81">
        <v>2.0625</v>
      </c>
      <c r="H32" s="14"/>
      <c r="I32" s="34">
        <f>20+36+10</f>
        <v>66</v>
      </c>
      <c r="J32" s="35">
        <v>12</v>
      </c>
      <c r="K32" s="34"/>
      <c r="L32" s="34"/>
      <c r="M32" s="34">
        <v>5</v>
      </c>
      <c r="N32" s="34"/>
      <c r="O32" s="34">
        <f>'Uncaser Downtime Detail '!AG395</f>
        <v>0</v>
      </c>
      <c r="P32" s="34">
        <f>'Washer Downtime Detail'!BH399</f>
        <v>44</v>
      </c>
      <c r="Q32" s="71">
        <f>'EBI Downtime Detail'!AI397</f>
        <v>20</v>
      </c>
      <c r="R32" s="34">
        <f>'Filler Downtime Detail'!AK396</f>
        <v>2</v>
      </c>
      <c r="S32" s="34">
        <f>'Pasteurizer Downtime Detail'!Z389</f>
        <v>36</v>
      </c>
      <c r="T32" s="34">
        <f>'Labeler Downtime Detail'!AN387</f>
        <v>125</v>
      </c>
      <c r="U32" s="34">
        <f>'Videojet Downtime Detail '!O393</f>
        <v>0</v>
      </c>
      <c r="V32" s="32">
        <f>'Conveyor Downtime (new)'!AV396</f>
        <v>9</v>
      </c>
      <c r="W32" s="34">
        <f>'Packer Downtime Detail  '!AD392</f>
        <v>3</v>
      </c>
      <c r="X32" s="71">
        <f>'Carton Errector-sealer Detail'!P379</f>
        <v>0</v>
      </c>
      <c r="Y32" s="35"/>
      <c r="Z32" s="34"/>
      <c r="AA32" s="90"/>
      <c r="AB32" s="90"/>
      <c r="AC32" s="89"/>
      <c r="AD32" s="44">
        <f t="shared" si="0"/>
        <v>322</v>
      </c>
      <c r="AE32" s="783"/>
      <c r="AH32" s="3"/>
      <c r="AI32" s="23"/>
      <c r="AJ32" s="23"/>
      <c r="AK32" s="54"/>
      <c r="AL32" s="3"/>
      <c r="AM32" s="3"/>
      <c r="AN32" s="3"/>
      <c r="AO32" s="3"/>
      <c r="AP32" s="3"/>
      <c r="AQ32" s="3"/>
      <c r="AR32" s="3"/>
      <c r="AS32" s="3"/>
      <c r="AT32" s="3"/>
      <c r="AU32" s="3"/>
      <c r="AV32" s="3"/>
      <c r="AW32" s="3"/>
      <c r="AX32" s="3"/>
    </row>
    <row r="33" spans="1:50">
      <c r="A33" s="7">
        <f>[5]July_2026!$C33</f>
        <v>14</v>
      </c>
      <c r="B33" s="8">
        <f>[5]July_2026!$B33</f>
        <v>46219</v>
      </c>
      <c r="C33" s="78" t="str">
        <f>[5]July_2026!$D33</f>
        <v>STAG</v>
      </c>
      <c r="D33" s="681">
        <v>1</v>
      </c>
      <c r="E33" s="80">
        <v>1.0104166666666667</v>
      </c>
      <c r="F33" s="80">
        <v>1.1388888888888888</v>
      </c>
      <c r="G33" s="81"/>
      <c r="H33" s="82"/>
      <c r="I33" s="32"/>
      <c r="J33" s="86"/>
      <c r="K33" s="71"/>
      <c r="L33" s="71"/>
      <c r="M33" s="71"/>
      <c r="N33" s="71"/>
      <c r="O33" s="71">
        <f>'Uncaser Downtime Detail '!AG396</f>
        <v>0</v>
      </c>
      <c r="P33" s="71"/>
      <c r="Q33" s="71">
        <f>'EBI Downtime Detail'!AI398</f>
        <v>9</v>
      </c>
      <c r="R33" s="71">
        <f>'Filler Downtime Detail'!AK397</f>
        <v>1</v>
      </c>
      <c r="S33" s="71">
        <f>'Pasteurizer Downtime Detail'!Z390</f>
        <v>0</v>
      </c>
      <c r="T33" s="71">
        <f>'Labeler Downtime Detail'!AN388</f>
        <v>0</v>
      </c>
      <c r="U33" s="71">
        <f>'Videojet Downtime Detail '!O394</f>
        <v>0</v>
      </c>
      <c r="V33" s="32">
        <f>'Conveyor Downtime (new)'!AV397</f>
        <v>5</v>
      </c>
      <c r="W33" s="71">
        <f>'Packer Downtime Detail  '!AD393</f>
        <v>17</v>
      </c>
      <c r="X33" s="71">
        <f>'Carton Errector-sealer Detail'!P380</f>
        <v>0</v>
      </c>
      <c r="Y33" s="71"/>
      <c r="Z33" s="43">
        <f>15+1+1</f>
        <v>17</v>
      </c>
      <c r="AA33" s="88"/>
      <c r="AB33" s="88"/>
      <c r="AC33" s="71">
        <v>9</v>
      </c>
      <c r="AD33" s="44">
        <f t="shared" si="0"/>
        <v>58</v>
      </c>
      <c r="AE33" s="754">
        <f>G36-D33</f>
        <v>1.1124999999999998</v>
      </c>
      <c r="AH33" s="3"/>
      <c r="AI33" s="23"/>
      <c r="AJ33" s="23"/>
      <c r="AK33" s="54"/>
      <c r="AL33" s="3"/>
      <c r="AM33" s="3"/>
      <c r="AN33" s="3"/>
      <c r="AO33" s="3"/>
      <c r="AP33" s="3"/>
      <c r="AQ33" s="3"/>
      <c r="AR33" s="3"/>
      <c r="AS33" s="3"/>
      <c r="AT33" s="3"/>
      <c r="AU33" s="3"/>
      <c r="AV33" s="3"/>
      <c r="AW33" s="3"/>
      <c r="AX33" s="3"/>
    </row>
    <row r="34" spans="1:50">
      <c r="A34" s="7">
        <f>[5]July_2026!$C34</f>
        <v>14</v>
      </c>
      <c r="B34" s="8">
        <f>[5]July_2026!$B34</f>
        <v>46219</v>
      </c>
      <c r="C34" s="78" t="str">
        <f>[5]July_2026!$D34</f>
        <v xml:space="preserve">CARIB FLINT EXPORT </v>
      </c>
      <c r="D34" s="681"/>
      <c r="E34" s="80">
        <v>1.1666666666666667</v>
      </c>
      <c r="F34" s="80">
        <v>1.5874999999999999</v>
      </c>
      <c r="G34" s="81">
        <v>0.66597222222222219</v>
      </c>
      <c r="H34" s="14"/>
      <c r="I34" s="34">
        <f>13+11+20</f>
        <v>44</v>
      </c>
      <c r="J34" s="35"/>
      <c r="K34" s="34"/>
      <c r="L34" s="34"/>
      <c r="M34" s="34"/>
      <c r="N34" s="34"/>
      <c r="O34" s="34">
        <f>'Uncaser Downtime Detail '!AG397</f>
        <v>4</v>
      </c>
      <c r="P34" s="34">
        <f>'Washer Downtime Detail'!BH401</f>
        <v>0</v>
      </c>
      <c r="Q34" s="71">
        <f>'EBI Downtime Detail'!AI399</f>
        <v>30</v>
      </c>
      <c r="R34" s="34">
        <f>'Filler Downtime Detail'!AK398</f>
        <v>77</v>
      </c>
      <c r="S34" s="34">
        <f>'Pasteurizer Downtime Detail'!Z391</f>
        <v>0</v>
      </c>
      <c r="T34" s="34">
        <f>'Labeler Downtime Detail'!AN389</f>
        <v>0</v>
      </c>
      <c r="U34" s="34">
        <f>'Videojet Downtime Detail '!O395</f>
        <v>0</v>
      </c>
      <c r="V34" s="32">
        <f>'Conveyor Downtime (new)'!AV398</f>
        <v>27</v>
      </c>
      <c r="W34" s="34">
        <f>'Packer Downtime Detail  '!AD394</f>
        <v>166</v>
      </c>
      <c r="X34" s="71">
        <f>'Carton Errector-sealer Detail'!P381</f>
        <v>11</v>
      </c>
      <c r="Y34" s="35"/>
      <c r="Z34" s="34">
        <f>30+4</f>
        <v>34</v>
      </c>
      <c r="AA34" s="90"/>
      <c r="AB34" s="90"/>
      <c r="AC34" s="89"/>
      <c r="AD34" s="44">
        <f t="shared" si="0"/>
        <v>393</v>
      </c>
      <c r="AE34" s="754"/>
      <c r="AH34" s="3"/>
      <c r="AI34" s="23"/>
      <c r="AJ34" s="23"/>
      <c r="AK34" s="54"/>
      <c r="AL34" s="3"/>
      <c r="AM34" s="3"/>
      <c r="AN34" s="3"/>
      <c r="AO34" s="3"/>
      <c r="AP34" s="3"/>
      <c r="AQ34" s="3"/>
      <c r="AR34" s="3"/>
      <c r="AS34" s="3"/>
      <c r="AT34" s="3"/>
      <c r="AU34" s="3"/>
      <c r="AV34" s="3"/>
      <c r="AW34" s="3"/>
      <c r="AX34" s="3"/>
    </row>
    <row r="35" spans="1:50">
      <c r="A35" s="7">
        <f>[5]July_2026!$C35</f>
        <v>14</v>
      </c>
      <c r="B35" s="8">
        <f>[5]July_2026!$B35</f>
        <v>46219</v>
      </c>
      <c r="C35" s="78" t="str">
        <f>[5]July_2026!$D35</f>
        <v>CARIB FLINT LOCAL</v>
      </c>
      <c r="D35" s="681"/>
      <c r="E35" s="80">
        <v>1.6020833333333333</v>
      </c>
      <c r="F35" s="80">
        <v>1.7715277777777778</v>
      </c>
      <c r="G35" s="80"/>
      <c r="H35" s="82"/>
      <c r="I35" s="32">
        <f>21+3+23</f>
        <v>47</v>
      </c>
      <c r="J35" s="86"/>
      <c r="K35" s="71"/>
      <c r="L35" s="71"/>
      <c r="M35" s="71"/>
      <c r="N35" s="71"/>
      <c r="O35" s="71">
        <f>'Uncaser Downtime Detail '!AG398</f>
        <v>0</v>
      </c>
      <c r="P35" s="71">
        <f>'Washer Downtime Detail'!BH402</f>
        <v>0</v>
      </c>
      <c r="Q35" s="71">
        <f>'EBI Downtime Detail'!AI400</f>
        <v>13</v>
      </c>
      <c r="R35" s="71">
        <f>'Filler Downtime Detail'!AK399</f>
        <v>0</v>
      </c>
      <c r="S35" s="71">
        <f>'Pasteurizer Downtime Detail'!Z392</f>
        <v>0</v>
      </c>
      <c r="T35" s="71">
        <f>'Labeler Downtime Detail'!AN390</f>
        <v>8</v>
      </c>
      <c r="U35" s="71">
        <f>'Videojet Downtime Detail '!O396</f>
        <v>0</v>
      </c>
      <c r="V35" s="32">
        <f>'Conveyor Downtime (new)'!AV399</f>
        <v>31</v>
      </c>
      <c r="W35" s="71">
        <f>'Packer Downtime Detail  '!AD395</f>
        <v>0</v>
      </c>
      <c r="X35" s="71">
        <f>'Carton Errector-sealer Detail'!P382</f>
        <v>0</v>
      </c>
      <c r="Y35" s="71"/>
      <c r="Z35" s="43">
        <f>8</f>
        <v>8</v>
      </c>
      <c r="AA35" s="88"/>
      <c r="AB35" s="88"/>
      <c r="AC35" s="71"/>
      <c r="AD35" s="44">
        <f t="shared" si="0"/>
        <v>107</v>
      </c>
      <c r="AE35" s="754"/>
      <c r="AH35" s="3"/>
      <c r="AI35" s="23"/>
      <c r="AJ35" s="23"/>
      <c r="AK35" s="54"/>
      <c r="AL35" s="3"/>
      <c r="AM35" s="3"/>
      <c r="AN35" s="3"/>
      <c r="AO35" s="3"/>
      <c r="AP35" s="3"/>
      <c r="AQ35" s="3"/>
      <c r="AR35" s="3"/>
      <c r="AS35" s="3"/>
      <c r="AT35" s="3"/>
      <c r="AU35" s="3"/>
      <c r="AV35" s="3"/>
      <c r="AW35" s="3"/>
      <c r="AX35" s="3"/>
    </row>
    <row r="36" spans="1:50">
      <c r="A36" s="7">
        <f>[5]July_2026!$C36</f>
        <v>14</v>
      </c>
      <c r="B36" s="8">
        <f>[5]July_2026!$B36</f>
        <v>46219</v>
      </c>
      <c r="C36" s="78" t="str">
        <f>[5]July_2026!$D36</f>
        <v>CARIB AMBER</v>
      </c>
      <c r="D36" s="681"/>
      <c r="E36" s="80">
        <v>1.820138888888889</v>
      </c>
      <c r="F36" s="80">
        <v>2</v>
      </c>
      <c r="G36" s="81">
        <v>2.1124999999999998</v>
      </c>
      <c r="H36" s="14"/>
      <c r="I36" s="34">
        <v>10</v>
      </c>
      <c r="J36" s="35"/>
      <c r="K36" s="34"/>
      <c r="L36" s="34"/>
      <c r="M36" s="34"/>
      <c r="N36" s="34"/>
      <c r="O36" s="34">
        <f>'Uncaser Downtime Detail '!AG399</f>
        <v>0</v>
      </c>
      <c r="P36" s="34">
        <f>'Washer Downtime Detail'!BH403</f>
        <v>2</v>
      </c>
      <c r="Q36" s="71">
        <f>'EBI Downtime Detail'!AI401</f>
        <v>6</v>
      </c>
      <c r="R36" s="34">
        <f>'Filler Downtime Detail'!AK400</f>
        <v>2</v>
      </c>
      <c r="S36" s="34">
        <f>'Pasteurizer Downtime Detail'!Z393</f>
        <v>2</v>
      </c>
      <c r="T36" s="34">
        <f>'Labeler Downtime Detail'!AN391</f>
        <v>9</v>
      </c>
      <c r="U36" s="34">
        <f>'Videojet Downtime Detail '!O397</f>
        <v>0</v>
      </c>
      <c r="V36" s="32">
        <f>'Conveyor Downtime (new)'!AV400</f>
        <v>51</v>
      </c>
      <c r="W36" s="34">
        <f>'Packer Downtime Detail  '!AD396</f>
        <v>5</v>
      </c>
      <c r="X36" s="71">
        <f>'Carton Errector-sealer Detail'!P383</f>
        <v>0</v>
      </c>
      <c r="Y36" s="35"/>
      <c r="Z36" s="34">
        <f>3</f>
        <v>3</v>
      </c>
      <c r="AA36" s="90">
        <v>2</v>
      </c>
      <c r="AB36" s="90"/>
      <c r="AC36" s="89"/>
      <c r="AD36" s="44">
        <f t="shared" si="0"/>
        <v>92</v>
      </c>
      <c r="AE36" s="754"/>
      <c r="AH36" s="3"/>
      <c r="AI36" s="23"/>
      <c r="AJ36" s="23"/>
      <c r="AK36" s="54"/>
      <c r="AL36" s="3"/>
      <c r="AM36" s="3"/>
      <c r="AN36" s="3"/>
      <c r="AO36" s="3"/>
      <c r="AP36" s="3"/>
      <c r="AQ36" s="3"/>
      <c r="AR36" s="3"/>
      <c r="AS36" s="3"/>
      <c r="AT36" s="3"/>
      <c r="AU36" s="3"/>
      <c r="AV36" s="3"/>
      <c r="AW36" s="3"/>
      <c r="AX36" s="3"/>
    </row>
    <row r="37" spans="1:50">
      <c r="A37" s="7">
        <f>[5]July_2026!$C37</f>
        <v>15</v>
      </c>
      <c r="B37" s="8">
        <f>[5]July_2026!$B37</f>
        <v>46220</v>
      </c>
      <c r="C37" s="78" t="str">
        <f>[5]July_2026!$D37</f>
        <v xml:space="preserve">CARIB AMBER </v>
      </c>
      <c r="D37" s="681">
        <v>1</v>
      </c>
      <c r="E37" s="80">
        <v>1.0152777777777777</v>
      </c>
      <c r="F37" s="80">
        <v>1.15625</v>
      </c>
      <c r="G37" s="81"/>
      <c r="H37" s="82"/>
      <c r="I37" s="32"/>
      <c r="J37" s="86"/>
      <c r="K37" s="71"/>
      <c r="L37" s="71"/>
      <c r="M37" s="71"/>
      <c r="N37" s="71"/>
      <c r="O37" s="71">
        <f>'Uncaser Downtime Detail '!AG400</f>
        <v>0</v>
      </c>
      <c r="P37" s="71">
        <f>'Washer Downtime Detail'!BH404</f>
        <v>3</v>
      </c>
      <c r="Q37" s="71">
        <f>'EBI Downtime Detail'!AI402</f>
        <v>5</v>
      </c>
      <c r="R37" s="34">
        <f>'Filler Downtime Detail'!AK401</f>
        <v>0</v>
      </c>
      <c r="S37" s="34">
        <f>'Pasteurizer Downtime Detail'!Z394</f>
        <v>61</v>
      </c>
      <c r="T37" s="34">
        <f>'Labeler Downtime Detail'!AN392</f>
        <v>0</v>
      </c>
      <c r="U37" s="71">
        <f>'Videojet Downtime Detail '!O398</f>
        <v>0</v>
      </c>
      <c r="V37" s="32">
        <f>'Conveyor Downtime (new)'!AV401</f>
        <v>10</v>
      </c>
      <c r="W37" s="71">
        <f>'Packer Downtime Detail  '!AD397</f>
        <v>0</v>
      </c>
      <c r="X37" s="71">
        <f>'Carton Errector-sealer Detail'!P384</f>
        <v>0</v>
      </c>
      <c r="Y37" s="71"/>
      <c r="Z37" s="43">
        <v>15</v>
      </c>
      <c r="AA37" s="88"/>
      <c r="AB37" s="88"/>
      <c r="AC37" s="71"/>
      <c r="AD37" s="44">
        <f t="shared" si="0"/>
        <v>94</v>
      </c>
      <c r="AE37" s="783">
        <f>G38-D37</f>
        <v>0.875</v>
      </c>
      <c r="AH37" s="3"/>
      <c r="AI37" s="23"/>
      <c r="AJ37" s="23"/>
      <c r="AK37" s="54"/>
      <c r="AL37" s="3"/>
      <c r="AM37" s="3"/>
      <c r="AN37" s="3"/>
      <c r="AO37" s="3"/>
      <c r="AP37" s="3"/>
      <c r="AQ37" s="3"/>
      <c r="AR37" s="3"/>
      <c r="AS37" s="3"/>
      <c r="AT37" s="3"/>
      <c r="AU37" s="3"/>
      <c r="AV37" s="3"/>
      <c r="AW37" s="3"/>
      <c r="AX37" s="3"/>
    </row>
    <row r="38" spans="1:50" ht="14.25" customHeight="1">
      <c r="A38" s="7">
        <f>[5]July_2026!$C38</f>
        <v>15</v>
      </c>
      <c r="B38" s="8">
        <f>[5]July_2026!$B38</f>
        <v>46220</v>
      </c>
      <c r="C38" s="78" t="str">
        <f>[5]July_2026!$D38</f>
        <v>PINK TING</v>
      </c>
      <c r="D38" s="681"/>
      <c r="E38" s="80"/>
      <c r="F38" s="80"/>
      <c r="G38" s="84">
        <v>1.875</v>
      </c>
      <c r="H38" s="14"/>
      <c r="I38" s="34">
        <f>15+30</f>
        <v>45</v>
      </c>
      <c r="J38" s="35">
        <f>30</f>
        <v>30</v>
      </c>
      <c r="K38" s="34"/>
      <c r="L38" s="34">
        <f>20+15+31+60+35</f>
        <v>161</v>
      </c>
      <c r="M38" s="34"/>
      <c r="N38" s="34"/>
      <c r="O38" s="34">
        <f>'Uncaser Downtime Detail '!AG401</f>
        <v>0</v>
      </c>
      <c r="P38" s="34">
        <f>'Washer Downtime Detail'!BH405</f>
        <v>0</v>
      </c>
      <c r="Q38" s="71">
        <f>'EBI Downtime Detail'!AI403</f>
        <v>0</v>
      </c>
      <c r="R38" s="34">
        <f>'Filler Downtime Detail'!AK402</f>
        <v>0</v>
      </c>
      <c r="S38" s="34">
        <f>'Pasteurizer Downtime Detail'!Z395</f>
        <v>220</v>
      </c>
      <c r="T38" s="34">
        <f>'Labeler Downtime Detail'!AN393</f>
        <v>0</v>
      </c>
      <c r="U38" s="34">
        <f>'Videojet Downtime Detail '!O399</f>
        <v>0</v>
      </c>
      <c r="V38" s="32">
        <f>'Conveyor Downtime (new)'!AV402</f>
        <v>0</v>
      </c>
      <c r="W38" s="34">
        <f>'Packer Downtime Detail  '!AD398</f>
        <v>0</v>
      </c>
      <c r="X38" s="71">
        <f>'Carton Errector-sealer Detail'!P385</f>
        <v>0</v>
      </c>
      <c r="Y38" s="35"/>
      <c r="Z38" s="34">
        <f>13+25+60+8+50+60+420</f>
        <v>636</v>
      </c>
      <c r="AA38" s="90"/>
      <c r="AB38" s="90"/>
      <c r="AC38" s="89"/>
      <c r="AD38" s="44">
        <f>SUM(H38:J38,K38:AC38)</f>
        <v>1092</v>
      </c>
      <c r="AE38" s="783"/>
      <c r="AH38" s="3"/>
      <c r="AI38" s="23"/>
      <c r="AJ38" s="23"/>
      <c r="AK38" s="54"/>
      <c r="AL38" s="3"/>
      <c r="AM38" s="3"/>
      <c r="AN38" s="3"/>
      <c r="AO38" s="3"/>
      <c r="AP38" s="3"/>
      <c r="AQ38" s="3"/>
      <c r="AR38" s="3"/>
      <c r="AS38" s="3"/>
      <c r="AT38" s="3"/>
      <c r="AU38" s="3"/>
      <c r="AV38" s="3"/>
      <c r="AW38" s="3"/>
      <c r="AX38" s="3"/>
    </row>
    <row r="39" spans="1:50">
      <c r="A39" s="7">
        <f>[5]July_2026!$C39</f>
        <v>16</v>
      </c>
      <c r="B39" s="8">
        <f>[5]July_2026!$B39</f>
        <v>46223</v>
      </c>
      <c r="C39" s="78" t="str">
        <f>[5]July_2026!$D39</f>
        <v>STAR MALT</v>
      </c>
      <c r="D39" s="681">
        <v>1.0055555555555555</v>
      </c>
      <c r="E39" s="80">
        <v>1.1444444444444444</v>
      </c>
      <c r="F39" s="80">
        <v>1.8708333333333333</v>
      </c>
      <c r="G39" s="81">
        <v>0.9194444444444444</v>
      </c>
      <c r="H39" s="82">
        <v>15</v>
      </c>
      <c r="I39" s="32"/>
      <c r="J39" s="86">
        <f>2</f>
        <v>2</v>
      </c>
      <c r="K39" s="71"/>
      <c r="L39" s="71"/>
      <c r="M39" s="71"/>
      <c r="N39" s="71"/>
      <c r="O39" s="71">
        <f>'Uncaser Downtime Detail '!AG402</f>
        <v>11</v>
      </c>
      <c r="P39" s="71">
        <f>'Washer Downtime Detail'!BH406</f>
        <v>34</v>
      </c>
      <c r="Q39" s="71">
        <f>'EBI Downtime Detail'!AI404</f>
        <v>132</v>
      </c>
      <c r="R39" s="34">
        <f>'Filler Downtime Detail'!AK403</f>
        <v>58</v>
      </c>
      <c r="S39" s="34">
        <f>'Pasteurizer Downtime Detail'!Z396</f>
        <v>7</v>
      </c>
      <c r="T39" s="34">
        <f>'Labeler Downtime Detail'!AN394</f>
        <v>0</v>
      </c>
      <c r="U39" s="71"/>
      <c r="V39" s="32">
        <f>'Conveyor Downtime (new)'!AV403</f>
        <v>24</v>
      </c>
      <c r="W39" s="71">
        <f>'Packer Downtime Detail  '!AD399</f>
        <v>194</v>
      </c>
      <c r="X39" s="71">
        <f>'Carton Errector-sealer Detail'!P386</f>
        <v>0</v>
      </c>
      <c r="Y39" s="71"/>
      <c r="Z39" s="43">
        <f>3+3+40</f>
        <v>46</v>
      </c>
      <c r="AA39" s="88"/>
      <c r="AB39" s="88">
        <f>3+4</f>
        <v>7</v>
      </c>
      <c r="AC39" s="71"/>
      <c r="AD39" s="44">
        <f t="shared" si="0"/>
        <v>530</v>
      </c>
      <c r="AE39" s="783">
        <f>G40-D39</f>
        <v>0.99444444444444446</v>
      </c>
      <c r="AH39" s="3"/>
      <c r="AI39" s="23"/>
      <c r="AJ39" s="23"/>
      <c r="AK39" s="54"/>
      <c r="AL39" s="3"/>
      <c r="AM39" s="3"/>
      <c r="AN39" s="3"/>
      <c r="AO39" s="3"/>
      <c r="AP39" s="3"/>
      <c r="AQ39" s="3"/>
      <c r="AR39" s="3"/>
      <c r="AS39" s="3"/>
      <c r="AT39" s="3"/>
      <c r="AU39" s="3"/>
      <c r="AV39" s="3"/>
      <c r="AW39" s="3"/>
      <c r="AX39" s="3"/>
    </row>
    <row r="40" spans="1:50">
      <c r="A40" s="7">
        <f>[5]July_2026!$C40</f>
        <v>16</v>
      </c>
      <c r="B40" s="8">
        <f>[5]July_2026!$B40</f>
        <v>46223</v>
      </c>
      <c r="C40" s="78" t="str">
        <f>[5]July_2026!$D40</f>
        <v>PINK TING</v>
      </c>
      <c r="D40" s="681"/>
      <c r="E40" s="80"/>
      <c r="F40" s="80"/>
      <c r="G40" s="81">
        <v>2</v>
      </c>
      <c r="H40" s="14"/>
      <c r="I40" s="34">
        <f>19+6+50</f>
        <v>75</v>
      </c>
      <c r="J40" s="35"/>
      <c r="K40" s="34"/>
      <c r="L40" s="34"/>
      <c r="M40" s="34"/>
      <c r="N40" s="34"/>
      <c r="O40" s="34">
        <f>'Uncaser Downtime Detail '!AG403</f>
        <v>0</v>
      </c>
      <c r="P40" s="34">
        <f>'Washer Downtime Detail'!BH407</f>
        <v>0</v>
      </c>
      <c r="Q40" s="71">
        <f>'EBI Downtime Detail'!AI405</f>
        <v>0</v>
      </c>
      <c r="R40" s="34">
        <f>'Filler Downtime Detail'!AK404</f>
        <v>0</v>
      </c>
      <c r="S40" s="34">
        <f>'Pasteurizer Downtime Detail'!Z397</f>
        <v>0</v>
      </c>
      <c r="T40" s="34">
        <f>'Labeler Downtime Detail'!AN395</f>
        <v>0</v>
      </c>
      <c r="U40" s="34">
        <f>'Videojet Downtime Detail '!O401</f>
        <v>0</v>
      </c>
      <c r="V40" s="32">
        <f>'Conveyor Downtime (new)'!AV404</f>
        <v>0</v>
      </c>
      <c r="W40" s="34">
        <f>'Packer Downtime Detail  '!AD400</f>
        <v>0</v>
      </c>
      <c r="X40" s="71">
        <f>'Carton Errector-sealer Detail'!P387</f>
        <v>0</v>
      </c>
      <c r="Y40" s="35"/>
      <c r="Z40" s="34">
        <f>10+5+55</f>
        <v>70</v>
      </c>
      <c r="AA40" s="90"/>
      <c r="AB40" s="90"/>
      <c r="AC40" s="89"/>
      <c r="AD40" s="44">
        <f t="shared" si="0"/>
        <v>145</v>
      </c>
      <c r="AE40" s="783"/>
      <c r="AH40" s="3"/>
      <c r="AI40" s="23"/>
      <c r="AJ40" s="23"/>
      <c r="AK40" s="54"/>
      <c r="AL40" s="3"/>
      <c r="AM40" s="3"/>
      <c r="AN40" s="3"/>
      <c r="AO40" s="3"/>
      <c r="AP40" s="3"/>
      <c r="AQ40" s="3"/>
      <c r="AR40" s="3"/>
      <c r="AS40" s="3"/>
      <c r="AT40" s="3"/>
      <c r="AU40" s="3"/>
      <c r="AV40" s="3"/>
      <c r="AW40" s="3"/>
      <c r="AX40" s="3"/>
    </row>
    <row r="41" spans="1:50">
      <c r="A41" s="7">
        <f>[5]July_2026!$C41</f>
        <v>17</v>
      </c>
      <c r="B41" s="8">
        <f>[5]July_2026!$B41</f>
        <v>46224</v>
      </c>
      <c r="C41" s="78" t="str">
        <f>[5]July_2026!$D41</f>
        <v>PINK TING</v>
      </c>
      <c r="D41" s="681">
        <v>1</v>
      </c>
      <c r="E41" s="83">
        <v>1</v>
      </c>
      <c r="F41" s="80"/>
      <c r="G41" s="81"/>
      <c r="H41" s="14"/>
      <c r="I41" s="34"/>
      <c r="J41" s="86">
        <v>60</v>
      </c>
      <c r="K41" s="34"/>
      <c r="L41" s="34"/>
      <c r="M41" s="34"/>
      <c r="N41" s="34"/>
      <c r="O41" s="34">
        <f>'Uncaser Downtime Detail '!AG404</f>
        <v>0</v>
      </c>
      <c r="P41" s="34">
        <f>'Washer Downtime Detail'!BH408</f>
        <v>0</v>
      </c>
      <c r="Q41" s="71">
        <f>'EBI Downtime Detail'!AI406</f>
        <v>0</v>
      </c>
      <c r="R41" s="34">
        <f>'Filler Downtime Detail'!AK405</f>
        <v>0</v>
      </c>
      <c r="S41" s="34">
        <f>'Pasteurizer Downtime Detail'!Z398</f>
        <v>0</v>
      </c>
      <c r="T41" s="34">
        <f>'Labeler Downtime Detail'!AN396</f>
        <v>0</v>
      </c>
      <c r="U41" s="34"/>
      <c r="V41" s="32">
        <f>'Conveyor Downtime (new)'!AV405</f>
        <v>0</v>
      </c>
      <c r="W41" s="34"/>
      <c r="X41" s="71">
        <f>'Carton Errector-sealer Detail'!P388</f>
        <v>0</v>
      </c>
      <c r="Y41" s="34"/>
      <c r="Z41" s="34">
        <f>60+15</f>
        <v>75</v>
      </c>
      <c r="AA41" s="90"/>
      <c r="AB41" s="90">
        <f>3+3</f>
        <v>6</v>
      </c>
      <c r="AC41" s="89"/>
      <c r="AD41" s="44">
        <f t="shared" si="0"/>
        <v>141</v>
      </c>
      <c r="AE41" s="783">
        <f>G43-D41</f>
        <v>1.0499999999999998</v>
      </c>
      <c r="AH41" s="3"/>
      <c r="AI41" s="23"/>
      <c r="AJ41" s="23"/>
      <c r="AK41" s="54"/>
      <c r="AL41" s="3"/>
      <c r="AM41" s="3"/>
      <c r="AN41" s="3"/>
      <c r="AO41" s="3"/>
      <c r="AP41" s="3"/>
      <c r="AQ41" s="3"/>
      <c r="AR41" s="3"/>
      <c r="AS41" s="3"/>
      <c r="AT41" s="3"/>
      <c r="AU41" s="3"/>
      <c r="AV41" s="3"/>
      <c r="AW41" s="3"/>
      <c r="AX41" s="3"/>
    </row>
    <row r="42" spans="1:50">
      <c r="A42" s="7">
        <f>[5]July_2026!$C42</f>
        <v>17</v>
      </c>
      <c r="B42" s="8">
        <f>[5]July_2026!$B42</f>
        <v>46224</v>
      </c>
      <c r="C42" s="78" t="str">
        <f>[5]July_2026!$D42</f>
        <v>CARIB AMBER</v>
      </c>
      <c r="D42" s="681"/>
      <c r="E42" s="80">
        <v>1.1354166666666667</v>
      </c>
      <c r="F42" s="80">
        <v>1.6666666666666667</v>
      </c>
      <c r="G42" s="81">
        <v>0.71944444444444444</v>
      </c>
      <c r="H42" s="82"/>
      <c r="I42" s="32">
        <f>45+15</f>
        <v>60</v>
      </c>
      <c r="J42" s="86"/>
      <c r="K42" s="71"/>
      <c r="L42" s="71"/>
      <c r="M42" s="71"/>
      <c r="N42" s="71"/>
      <c r="O42" s="34">
        <f>'Uncaser Downtime Detail '!AG405</f>
        <v>0</v>
      </c>
      <c r="P42" s="34">
        <f>'Washer Downtime Detail'!BH409</f>
        <v>29</v>
      </c>
      <c r="Q42" s="71">
        <f>'EBI Downtime Detail'!AI407</f>
        <v>9</v>
      </c>
      <c r="R42" s="34">
        <f>'Filler Downtime Detail'!AK406</f>
        <v>19</v>
      </c>
      <c r="S42" s="34">
        <f>'Pasteurizer Downtime Detail'!Z399</f>
        <v>0</v>
      </c>
      <c r="T42" s="34">
        <f>'Labeler Downtime Detail'!AN397</f>
        <v>2</v>
      </c>
      <c r="U42" s="71">
        <f>'Videojet Downtime Detail '!O402</f>
        <v>0</v>
      </c>
      <c r="V42" s="32">
        <f>'Conveyor Downtime (new)'!AV406</f>
        <v>22</v>
      </c>
      <c r="W42" s="71">
        <f>'Packer Downtime Detail  '!AD401</f>
        <v>0</v>
      </c>
      <c r="X42" s="71">
        <f>'Carton Errector-sealer Detail'!P389</f>
        <v>0</v>
      </c>
      <c r="Y42" s="71"/>
      <c r="Z42" s="43">
        <f>5+6</f>
        <v>11</v>
      </c>
      <c r="AA42" s="88"/>
      <c r="AB42" s="88"/>
      <c r="AC42" s="71"/>
      <c r="AD42" s="44">
        <f t="shared" si="0"/>
        <v>152</v>
      </c>
      <c r="AE42" s="783"/>
      <c r="AH42" s="3"/>
      <c r="AI42" s="23"/>
      <c r="AJ42" s="23"/>
      <c r="AK42" s="54"/>
      <c r="AL42" s="3"/>
      <c r="AM42" s="3"/>
      <c r="AN42" s="3"/>
      <c r="AO42" s="3"/>
      <c r="AP42" s="3"/>
      <c r="AQ42" s="3"/>
      <c r="AR42" s="3"/>
      <c r="AS42" s="3"/>
      <c r="AT42" s="3"/>
      <c r="AU42" s="3"/>
      <c r="AV42" s="3"/>
      <c r="AW42" s="3"/>
      <c r="AX42" s="3"/>
    </row>
    <row r="43" spans="1:50">
      <c r="A43" s="7">
        <f>[5]July_2026!$C43</f>
        <v>17</v>
      </c>
      <c r="B43" s="8">
        <f>[5]July_2026!$B43</f>
        <v>46224</v>
      </c>
      <c r="C43" s="78" t="str">
        <f>[5]July_2026!$D43</f>
        <v>PINK TING</v>
      </c>
      <c r="D43" s="681"/>
      <c r="E43" s="80">
        <v>1.8125</v>
      </c>
      <c r="F43" s="80">
        <v>2</v>
      </c>
      <c r="G43" s="81">
        <v>2.0499999999999998</v>
      </c>
      <c r="H43" s="14"/>
      <c r="I43" s="34">
        <f>60</f>
        <v>60</v>
      </c>
      <c r="J43" s="35"/>
      <c r="K43" s="34"/>
      <c r="L43" s="34"/>
      <c r="M43" s="34"/>
      <c r="N43" s="34"/>
      <c r="O43" s="34">
        <f>'Uncaser Downtime Detail '!AG406</f>
        <v>0</v>
      </c>
      <c r="P43" s="34">
        <f>'Washer Downtime Detail'!BH410</f>
        <v>3</v>
      </c>
      <c r="Q43" s="71">
        <f>'EBI Downtime Detail'!AI408</f>
        <v>0</v>
      </c>
      <c r="R43" s="34">
        <f>'Filler Downtime Detail'!AK407</f>
        <v>10</v>
      </c>
      <c r="S43" s="34">
        <f>'Pasteurizer Downtime Detail'!Z400</f>
        <v>150</v>
      </c>
      <c r="T43" s="34">
        <f>'Labeler Downtime Detail'!AN398</f>
        <v>0</v>
      </c>
      <c r="U43" s="34">
        <f>'Videojet Downtime Detail '!O403</f>
        <v>0</v>
      </c>
      <c r="V43" s="32">
        <f>'Conveyor Downtime (new)'!AV407</f>
        <v>3</v>
      </c>
      <c r="W43" s="34">
        <f>'Packer Downtime Detail  '!AD402</f>
        <v>0</v>
      </c>
      <c r="X43" s="71">
        <f>'Carton Errector-sealer Detail'!P390</f>
        <v>0</v>
      </c>
      <c r="Y43" s="35"/>
      <c r="Z43" s="34"/>
      <c r="AA43" s="90"/>
      <c r="AB43" s="88">
        <f>2+2+2+4+2+3+2+3+2+2+3+2+2+1</f>
        <v>32</v>
      </c>
      <c r="AC43" s="89"/>
      <c r="AD43" s="44">
        <f t="shared" si="0"/>
        <v>258</v>
      </c>
      <c r="AE43" s="783"/>
      <c r="AH43" s="3"/>
      <c r="AI43" s="3"/>
      <c r="AJ43" s="3"/>
      <c r="AK43" s="3"/>
      <c r="AL43" s="3"/>
      <c r="AM43" s="3"/>
      <c r="AN43" s="3"/>
      <c r="AO43" s="3"/>
      <c r="AP43" s="3"/>
      <c r="AQ43" s="3"/>
      <c r="AR43" s="3"/>
      <c r="AS43" s="3"/>
      <c r="AT43" s="3"/>
      <c r="AU43" s="3"/>
      <c r="AV43" s="3"/>
      <c r="AW43" s="3"/>
      <c r="AX43" s="3"/>
    </row>
    <row r="44" spans="1:50">
      <c r="A44" s="7">
        <f>[5]July_2026!$C44</f>
        <v>18</v>
      </c>
      <c r="B44" s="8">
        <f>[5]July_2026!$B44</f>
        <v>46225</v>
      </c>
      <c r="C44" s="78" t="str">
        <f>[5]July_2026!$D44</f>
        <v>PINK TING</v>
      </c>
      <c r="D44" s="681">
        <v>1</v>
      </c>
      <c r="E44" s="80">
        <v>1.0090277777777779</v>
      </c>
      <c r="F44" s="80">
        <v>1.4722222222222223</v>
      </c>
      <c r="G44" s="81">
        <v>1.5194444444444444</v>
      </c>
      <c r="H44" s="82"/>
      <c r="I44" s="32"/>
      <c r="J44" s="86"/>
      <c r="K44" s="71"/>
      <c r="L44" s="71"/>
      <c r="M44" s="71">
        <v>13</v>
      </c>
      <c r="N44" s="71"/>
      <c r="O44" s="34">
        <f>'Uncaser Downtime Detail '!AG407</f>
        <v>35</v>
      </c>
      <c r="P44" s="34">
        <f>'Washer Downtime Detail'!BH411</f>
        <v>32</v>
      </c>
      <c r="Q44" s="71">
        <f>'EBI Downtime Detail'!AI409</f>
        <v>0</v>
      </c>
      <c r="R44" s="34">
        <f>'Filler Downtime Detail'!AK408</f>
        <v>5</v>
      </c>
      <c r="S44" s="34">
        <f>'Pasteurizer Downtime Detail'!Z401</f>
        <v>0</v>
      </c>
      <c r="T44" s="34">
        <f>'Labeler Downtime Detail'!AN399</f>
        <v>0</v>
      </c>
      <c r="U44" s="71">
        <f>'Videojet Downtime Detail '!O404</f>
        <v>0</v>
      </c>
      <c r="V44" s="32">
        <f>'Conveyor Downtime (new)'!AV408</f>
        <v>2</v>
      </c>
      <c r="W44" s="71">
        <f>'Packer Downtime Detail  '!AD403</f>
        <v>0</v>
      </c>
      <c r="X44" s="71">
        <f>'Carton Errector-sealer Detail'!P391</f>
        <v>0</v>
      </c>
      <c r="Y44" s="71"/>
      <c r="Z44" s="43">
        <f>13</f>
        <v>13</v>
      </c>
      <c r="AA44" s="88"/>
      <c r="AB44" s="90">
        <f>17+8+3+28+4+4+4+4+2+2+2+2+2+3+2+2+1+2+2+1+2+2+2+2+2+2+2+2+2+2</f>
        <v>115</v>
      </c>
      <c r="AC44" s="71"/>
      <c r="AD44" s="44">
        <f t="shared" si="0"/>
        <v>215</v>
      </c>
      <c r="AE44" s="783">
        <f>G45-D44</f>
        <v>1</v>
      </c>
      <c r="AH44" s="3"/>
      <c r="AI44" s="3"/>
      <c r="AJ44" s="3"/>
      <c r="AK44" s="3"/>
      <c r="AL44" s="3"/>
      <c r="AM44" s="3"/>
      <c r="AN44" s="3"/>
      <c r="AO44" s="3"/>
      <c r="AP44" s="3"/>
      <c r="AQ44" s="3"/>
      <c r="AR44" s="3"/>
      <c r="AS44" s="3"/>
      <c r="AT44" s="3"/>
      <c r="AU44" s="3"/>
      <c r="AV44" s="3"/>
      <c r="AW44" s="3"/>
      <c r="AX44" s="3"/>
    </row>
    <row r="45" spans="1:50" s="497" customFormat="1">
      <c r="A45" s="486">
        <f>[5]July_2026!$C45</f>
        <v>18</v>
      </c>
      <c r="B45" s="487">
        <f>[5]July_2026!$B45</f>
        <v>46225</v>
      </c>
      <c r="C45" s="78" t="str">
        <f>[5]July_2026!$D45</f>
        <v>PORNSTAR MARTINI (TRIAL)</v>
      </c>
      <c r="D45" s="681"/>
      <c r="E45" s="488"/>
      <c r="F45" s="488"/>
      <c r="G45" s="625">
        <v>2</v>
      </c>
      <c r="H45" s="490"/>
      <c r="I45" s="491"/>
      <c r="J45" s="492">
        <f>40+60+60+60+60+60+60+60+60+60+60+60+60</f>
        <v>760</v>
      </c>
      <c r="K45" s="491"/>
      <c r="L45" s="491"/>
      <c r="M45" s="491"/>
      <c r="N45" s="491"/>
      <c r="O45" s="491">
        <f>'Uncaser Downtime Detail '!AG408</f>
        <v>0</v>
      </c>
      <c r="P45" s="491">
        <f>'Washer Downtime Detail'!BH412</f>
        <v>0</v>
      </c>
      <c r="Q45" s="494">
        <f>'EBI Downtime Detail'!AI410</f>
        <v>0</v>
      </c>
      <c r="R45" s="491">
        <f>'Filler Downtime Detail'!AK409</f>
        <v>0</v>
      </c>
      <c r="S45" s="491">
        <f>'Pasteurizer Downtime Detail'!Z402</f>
        <v>0</v>
      </c>
      <c r="T45" s="491">
        <f>'Labeler Downtime Detail'!AN400</f>
        <v>0</v>
      </c>
      <c r="U45" s="491">
        <f>'Videojet Downtime Detail '!O405</f>
        <v>0</v>
      </c>
      <c r="V45" s="491">
        <f>'Conveyor Downtime (new)'!AV409</f>
        <v>0</v>
      </c>
      <c r="W45" s="491">
        <f>'Packer Downtime Detail  '!AD404</f>
        <v>0</v>
      </c>
      <c r="X45" s="71">
        <f>'Carton Errector-sealer Detail'!P392</f>
        <v>0</v>
      </c>
      <c r="Y45" s="492"/>
      <c r="Z45" s="491"/>
      <c r="AA45" s="493"/>
      <c r="AB45" s="493"/>
      <c r="AC45" s="494"/>
      <c r="AD45" s="495">
        <f t="shared" si="0"/>
        <v>760</v>
      </c>
      <c r="AE45" s="783"/>
      <c r="AH45" s="498"/>
      <c r="AI45" s="498"/>
      <c r="AJ45" s="498"/>
      <c r="AK45" s="498"/>
      <c r="AL45" s="498"/>
      <c r="AM45" s="498"/>
      <c r="AN45" s="498"/>
      <c r="AO45" s="498"/>
      <c r="AP45" s="498"/>
      <c r="AQ45" s="498"/>
      <c r="AR45" s="498"/>
      <c r="AS45" s="498"/>
      <c r="AT45" s="498"/>
      <c r="AU45" s="498"/>
      <c r="AV45" s="498"/>
      <c r="AW45" s="498"/>
      <c r="AX45" s="498"/>
    </row>
    <row r="46" spans="1:50">
      <c r="A46" s="7">
        <f>[5]July_2026!$C46</f>
        <v>19</v>
      </c>
      <c r="B46" s="8">
        <f>[5]July_2026!$B46</f>
        <v>46226</v>
      </c>
      <c r="C46" s="78" t="str">
        <f>[5]July_2026!$D46</f>
        <v>PORNSTAR MARTINI (TRIAL)</v>
      </c>
      <c r="D46" s="681">
        <v>1</v>
      </c>
      <c r="E46" s="80">
        <v>1.2361111111111112</v>
      </c>
      <c r="F46" s="80">
        <v>1.7319444444444445</v>
      </c>
      <c r="G46" s="81">
        <v>0.85277777777777775</v>
      </c>
      <c r="H46" s="82"/>
      <c r="I46" s="32"/>
      <c r="J46" s="86">
        <f>60+60+60+60+60+20+20+5+60+60+15</f>
        <v>480</v>
      </c>
      <c r="K46" s="71"/>
      <c r="L46" s="71"/>
      <c r="M46" s="71"/>
      <c r="N46" s="71"/>
      <c r="O46" s="34">
        <f>'Uncaser Downtime Detail '!AG409</f>
        <v>38</v>
      </c>
      <c r="P46" s="34">
        <f>'Washer Downtime Detail'!BH413</f>
        <v>6</v>
      </c>
      <c r="Q46" s="71">
        <f>'EBI Downtime Detail'!AI411</f>
        <v>2</v>
      </c>
      <c r="R46" s="34">
        <f>'Filler Downtime Detail'!AK410</f>
        <v>4</v>
      </c>
      <c r="S46" s="34">
        <f>'Pasteurizer Downtime Detail'!Z403</f>
        <v>0</v>
      </c>
      <c r="T46" s="34">
        <f>'Labeler Downtime Detail'!AN401</f>
        <v>31</v>
      </c>
      <c r="U46" s="71">
        <f>'Videojet Downtime Detail '!O406</f>
        <v>0</v>
      </c>
      <c r="V46" s="32">
        <f>'Conveyor Downtime (new)'!AV410</f>
        <v>6</v>
      </c>
      <c r="W46" s="71">
        <f>'Packer Downtime Detail  '!AD405</f>
        <v>0</v>
      </c>
      <c r="X46" s="71">
        <f>'Carton Errector-sealer Detail'!P393</f>
        <v>141</v>
      </c>
      <c r="Y46" s="71"/>
      <c r="Z46" s="43"/>
      <c r="AA46" s="88">
        <f>3+3+2</f>
        <v>8</v>
      </c>
      <c r="AB46" s="88">
        <f>15+10+7</f>
        <v>32</v>
      </c>
      <c r="AC46" s="71"/>
      <c r="AD46" s="44">
        <f t="shared" si="0"/>
        <v>748</v>
      </c>
      <c r="AE46" s="783">
        <f>G47-D46</f>
        <v>1.1041666666666665</v>
      </c>
      <c r="AH46" s="3"/>
      <c r="AI46" s="3"/>
      <c r="AJ46" s="3"/>
      <c r="AK46" s="3"/>
      <c r="AL46" s="3"/>
      <c r="AM46" s="3"/>
      <c r="AN46" s="3"/>
      <c r="AO46" s="3"/>
      <c r="AP46" s="3"/>
      <c r="AQ46" s="3"/>
      <c r="AR46" s="3"/>
      <c r="AS46" s="3"/>
      <c r="AT46" s="3"/>
      <c r="AU46" s="3"/>
      <c r="AV46" s="3"/>
      <c r="AW46" s="3"/>
      <c r="AX46" s="3"/>
    </row>
    <row r="47" spans="1:50">
      <c r="A47" s="7">
        <f>[5]July_2026!$C47</f>
        <v>19</v>
      </c>
      <c r="B47" s="8">
        <f>[5]July_2026!$B47</f>
        <v>46226</v>
      </c>
      <c r="C47" s="78" t="str">
        <f>[5]July_2026!$D47</f>
        <v>DARK BERRY ROYALE (TRAIL)</v>
      </c>
      <c r="D47" s="681"/>
      <c r="E47" s="80">
        <v>1.7916666666666667</v>
      </c>
      <c r="F47" s="80">
        <v>2</v>
      </c>
      <c r="G47" s="81">
        <v>2.1041666666666665</v>
      </c>
      <c r="H47" s="14"/>
      <c r="I47" s="34">
        <f>26+60</f>
        <v>86</v>
      </c>
      <c r="J47" s="35"/>
      <c r="K47" s="34"/>
      <c r="L47" s="34"/>
      <c r="M47" s="34"/>
      <c r="N47" s="34"/>
      <c r="O47" s="34">
        <f>'Uncaser Downtime Detail '!AG410</f>
        <v>0</v>
      </c>
      <c r="P47" s="34">
        <f>'Washer Downtime Detail'!BH414</f>
        <v>0</v>
      </c>
      <c r="Q47" s="71">
        <f>'EBI Downtime Detail'!AI412</f>
        <v>77</v>
      </c>
      <c r="R47" s="34">
        <f>'Filler Downtime Detail'!AK411</f>
        <v>1</v>
      </c>
      <c r="S47" s="34">
        <f>'Pasteurizer Downtime Detail'!Z404</f>
        <v>0</v>
      </c>
      <c r="T47" s="34">
        <f>'Labeler Downtime Detail'!AN402</f>
        <v>0</v>
      </c>
      <c r="U47" s="71">
        <f>'Videojet Downtime Detail '!O407</f>
        <v>0</v>
      </c>
      <c r="V47" s="32">
        <f>'Conveyor Downtime (new)'!AV411</f>
        <v>7</v>
      </c>
      <c r="W47" s="71">
        <f>'Packer Downtime Detail  '!AD406</f>
        <v>0</v>
      </c>
      <c r="X47" s="71">
        <f>'Carton Errector-sealer Detail'!P394</f>
        <v>46</v>
      </c>
      <c r="Y47" s="35"/>
      <c r="Z47" s="34"/>
      <c r="AA47" s="90"/>
      <c r="AB47" s="90">
        <v>3</v>
      </c>
      <c r="AC47" s="89"/>
      <c r="AD47" s="44">
        <f t="shared" si="0"/>
        <v>220</v>
      </c>
      <c r="AE47" s="783"/>
      <c r="AH47" s="3"/>
      <c r="AI47" s="3"/>
      <c r="AJ47" s="3"/>
      <c r="AK47" s="3"/>
      <c r="AL47" s="3"/>
      <c r="AM47" s="3"/>
      <c r="AN47" s="3"/>
      <c r="AO47" s="3"/>
      <c r="AP47" s="3"/>
      <c r="AQ47" s="3"/>
      <c r="AR47" s="3"/>
      <c r="AS47" s="3"/>
      <c r="AT47" s="3"/>
      <c r="AU47" s="3"/>
      <c r="AV47" s="3"/>
      <c r="AW47" s="3"/>
      <c r="AX47" s="3"/>
    </row>
    <row r="48" spans="1:50">
      <c r="A48" s="7">
        <f>[5]July_2026!$C48</f>
        <v>20</v>
      </c>
      <c r="B48" s="8">
        <f>[5]July_2026!$B48</f>
        <v>46227</v>
      </c>
      <c r="C48" s="78" t="str">
        <f>[5]July_2026!$D48</f>
        <v>DARK BERRY ROYALE (TRAIL)</v>
      </c>
      <c r="D48" s="681">
        <v>1</v>
      </c>
      <c r="E48" s="80">
        <v>1.5368055555555555</v>
      </c>
      <c r="F48" s="80">
        <v>1.7527777777777778</v>
      </c>
      <c r="G48" s="81">
        <v>1.804861111111111</v>
      </c>
      <c r="H48" s="82"/>
      <c r="I48" s="32"/>
      <c r="J48" s="86">
        <f>15+35+60+60+60+60+60+60+60+60+60+60+60+53</f>
        <v>763</v>
      </c>
      <c r="K48" s="71"/>
      <c r="L48" s="71"/>
      <c r="M48" s="71"/>
      <c r="N48" s="71"/>
      <c r="O48" s="34">
        <f>'Uncaser Downtime Detail '!AG411</f>
        <v>71</v>
      </c>
      <c r="P48" s="34">
        <f>'Washer Downtime Detail'!BH415</f>
        <v>0</v>
      </c>
      <c r="Q48" s="71">
        <f>'EBI Downtime Detail'!AI413</f>
        <v>0</v>
      </c>
      <c r="R48" s="34">
        <f>'Filler Downtime Detail'!AK412</f>
        <v>5</v>
      </c>
      <c r="S48" s="34">
        <f>'Pasteurizer Downtime Detail'!Z405</f>
        <v>0</v>
      </c>
      <c r="T48" s="34">
        <f>'Labeler Downtime Detail'!AN403</f>
        <v>3</v>
      </c>
      <c r="U48" s="71">
        <f>'Videojet Downtime Detail '!O408</f>
        <v>3</v>
      </c>
      <c r="V48" s="32">
        <f>'Conveyor Downtime (new)'!AV412</f>
        <v>14</v>
      </c>
      <c r="W48" s="71">
        <f>'Packer Downtime Detail  '!AD407</f>
        <v>0</v>
      </c>
      <c r="X48" s="71">
        <f>'Carton Errector-sealer Detail'!P395</f>
        <v>7</v>
      </c>
      <c r="Y48" s="71"/>
      <c r="Z48" s="43">
        <f>4+2</f>
        <v>6</v>
      </c>
      <c r="AA48" s="88"/>
      <c r="AB48" s="88"/>
      <c r="AC48" s="71"/>
      <c r="AD48" s="44">
        <f t="shared" si="0"/>
        <v>872</v>
      </c>
      <c r="AE48" s="783">
        <f>G49-D48</f>
        <v>0.875</v>
      </c>
      <c r="AH48" s="3"/>
      <c r="AI48" s="3"/>
      <c r="AJ48" s="3"/>
      <c r="AK48" s="3"/>
      <c r="AL48" s="3"/>
      <c r="AM48" s="3"/>
      <c r="AN48" s="3"/>
      <c r="AO48" s="3"/>
      <c r="AP48" s="3"/>
      <c r="AQ48" s="3"/>
      <c r="AR48" s="3"/>
      <c r="AS48" s="3"/>
      <c r="AT48" s="3"/>
      <c r="AU48" s="3"/>
      <c r="AV48" s="3"/>
      <c r="AW48" s="3"/>
      <c r="AX48" s="3"/>
    </row>
    <row r="49" spans="1:50">
      <c r="A49" s="7">
        <f>[5]July_2026!$C49</f>
        <v>20</v>
      </c>
      <c r="B49" s="8">
        <f>[5]July_2026!$B49</f>
        <v>46227</v>
      </c>
      <c r="C49" s="78" t="str">
        <f>[5]July_2026!$D49</f>
        <v>CARIB AMBER</v>
      </c>
      <c r="D49" s="681"/>
      <c r="E49" s="80"/>
      <c r="F49" s="80"/>
      <c r="G49" s="84">
        <v>1.875</v>
      </c>
      <c r="H49" s="14"/>
      <c r="I49" s="34">
        <f>50+7</f>
        <v>57</v>
      </c>
      <c r="J49" s="35"/>
      <c r="K49" s="34"/>
      <c r="L49" s="34"/>
      <c r="M49" s="34"/>
      <c r="N49" s="34"/>
      <c r="O49" s="34">
        <f>'Uncaser Downtime Detail '!AG412</f>
        <v>0</v>
      </c>
      <c r="P49" s="34">
        <f>'Washer Downtime Detail'!BH416</f>
        <v>0</v>
      </c>
      <c r="Q49" s="71">
        <f>'EBI Downtime Detail'!AI414</f>
        <v>113</v>
      </c>
      <c r="R49" s="34">
        <f>'Filler Downtime Detail'!AK413</f>
        <v>0</v>
      </c>
      <c r="S49" s="34">
        <f>'Pasteurizer Downtime Detail'!Z406</f>
        <v>0</v>
      </c>
      <c r="T49" s="34">
        <f>'Labeler Downtime Detail'!AN404</f>
        <v>0</v>
      </c>
      <c r="U49" s="71">
        <f>'Videojet Downtime Detail '!O409</f>
        <v>0</v>
      </c>
      <c r="V49" s="32">
        <f>'Conveyor Downtime (new)'!AV413</f>
        <v>0</v>
      </c>
      <c r="W49" s="71">
        <f>'Packer Downtime Detail  '!AD408</f>
        <v>0</v>
      </c>
      <c r="X49" s="71">
        <f>'Carton Errector-sealer Detail'!P396</f>
        <v>0</v>
      </c>
      <c r="Y49" s="35"/>
      <c r="Z49" s="34"/>
      <c r="AA49" s="90"/>
      <c r="AB49" s="90"/>
      <c r="AC49" s="89"/>
      <c r="AD49" s="44">
        <f t="shared" si="0"/>
        <v>170</v>
      </c>
      <c r="AE49" s="783"/>
      <c r="AH49" s="3"/>
      <c r="AI49" s="3"/>
      <c r="AJ49" s="3"/>
      <c r="AK49" s="3"/>
      <c r="AL49" s="3"/>
      <c r="AM49" s="3"/>
      <c r="AN49" s="3"/>
      <c r="AO49" s="3"/>
      <c r="AP49" s="3"/>
      <c r="AQ49" s="3"/>
      <c r="AR49" s="3"/>
      <c r="AS49" s="3"/>
      <c r="AT49" s="3"/>
      <c r="AU49" s="3"/>
      <c r="AV49" s="3"/>
      <c r="AW49" s="3"/>
      <c r="AX49" s="3"/>
    </row>
    <row r="50" spans="1:50">
      <c r="A50" s="7">
        <f>[5]July_2026!$C50</f>
        <v>21</v>
      </c>
      <c r="B50" s="8">
        <f>[5]July_2026!$B50</f>
        <v>46230</v>
      </c>
      <c r="C50" s="78" t="str">
        <f>[5]July_2026!$D50</f>
        <v>CARIB AMBER</v>
      </c>
      <c r="D50" s="93">
        <v>1.0194444444444444</v>
      </c>
      <c r="E50" s="80">
        <v>1.2256944444444444</v>
      </c>
      <c r="F50" s="80">
        <v>2</v>
      </c>
      <c r="G50" s="81">
        <v>2.0534722222222221</v>
      </c>
      <c r="H50" s="12"/>
      <c r="I50" s="32"/>
      <c r="J50" s="33"/>
      <c r="K50" s="32"/>
      <c r="L50" s="32"/>
      <c r="M50" s="32"/>
      <c r="N50" s="32"/>
      <c r="O50" s="34">
        <f>'Uncaser Downtime Detail '!AG413</f>
        <v>0</v>
      </c>
      <c r="P50" s="34">
        <f>'Washer Downtime Detail'!BH417</f>
        <v>262</v>
      </c>
      <c r="Q50" s="71">
        <f>'EBI Downtime Detail'!AI415</f>
        <v>92</v>
      </c>
      <c r="R50" s="34">
        <f>'Filler Downtime Detail'!AK414</f>
        <v>57</v>
      </c>
      <c r="S50" s="34">
        <f>'Pasteurizer Downtime Detail'!Z407</f>
        <v>0</v>
      </c>
      <c r="T50" s="34">
        <f>'Labeler Downtime Detail'!AN405</f>
        <v>0</v>
      </c>
      <c r="U50" s="71">
        <f>'Videojet Downtime Detail '!O410</f>
        <v>0</v>
      </c>
      <c r="V50" s="32">
        <f>'Conveyor Downtime (new)'!AV414</f>
        <v>45</v>
      </c>
      <c r="W50" s="71">
        <f>'Packer Downtime Detail  '!AD409</f>
        <v>0</v>
      </c>
      <c r="X50" s="71">
        <f>'Carton Errector-sealer Detail'!P397</f>
        <v>0</v>
      </c>
      <c r="Y50" s="32"/>
      <c r="Z50" s="32">
        <f>10+50+60+60+10+6+35+7+2</f>
        <v>240</v>
      </c>
      <c r="AA50" s="88">
        <f>1+4</f>
        <v>5</v>
      </c>
      <c r="AB50" s="88"/>
      <c r="AC50" s="71"/>
      <c r="AD50" s="44">
        <f t="shared" si="0"/>
        <v>701</v>
      </c>
      <c r="AE50" s="516">
        <f>G50-D50</f>
        <v>1.0340277777777778</v>
      </c>
      <c r="AH50" s="3"/>
      <c r="AI50" s="3"/>
      <c r="AJ50" s="3"/>
      <c r="AK50" s="3"/>
      <c r="AL50" s="3"/>
      <c r="AM50" s="3"/>
      <c r="AN50" s="3"/>
      <c r="AO50" s="3"/>
      <c r="AP50" s="3"/>
      <c r="AQ50" s="3"/>
      <c r="AR50" s="3"/>
      <c r="AS50" s="3"/>
      <c r="AT50" s="3"/>
      <c r="AU50" s="3"/>
      <c r="AV50" s="3"/>
      <c r="AW50" s="3"/>
      <c r="AX50" s="3"/>
    </row>
    <row r="51" spans="1:50">
      <c r="A51" s="7">
        <f>[5]July_2026!$C51</f>
        <v>22</v>
      </c>
      <c r="B51" s="8">
        <f>[5]July_2026!$B51</f>
        <v>46231</v>
      </c>
      <c r="C51" s="78" t="str">
        <f>[5]July_2026!$D51</f>
        <v>CARIB AMBER</v>
      </c>
      <c r="D51" s="681">
        <v>1</v>
      </c>
      <c r="E51" s="80">
        <v>1.0062500000000001</v>
      </c>
      <c r="F51" s="80">
        <v>1.5243055555555556</v>
      </c>
      <c r="G51" s="81"/>
      <c r="H51" s="12"/>
      <c r="I51" s="32"/>
      <c r="J51" s="33">
        <f>8+2</f>
        <v>10</v>
      </c>
      <c r="K51" s="32"/>
      <c r="L51" s="32"/>
      <c r="M51" s="32"/>
      <c r="N51" s="32"/>
      <c r="O51" s="34">
        <f>'Uncaser Downtime Detail '!AG414</f>
        <v>41</v>
      </c>
      <c r="P51" s="34">
        <f>'Washer Downtime Detail'!BH418</f>
        <v>37</v>
      </c>
      <c r="Q51" s="71">
        <f>'EBI Downtime Detail'!AI416</f>
        <v>8</v>
      </c>
      <c r="R51" s="34">
        <f>'Filler Downtime Detail'!AK415</f>
        <v>4</v>
      </c>
      <c r="S51" s="34">
        <f>'Pasteurizer Downtime Detail'!Z408</f>
        <v>0</v>
      </c>
      <c r="T51" s="34">
        <f>'Labeler Downtime Detail'!AN406</f>
        <v>0</v>
      </c>
      <c r="U51" s="71">
        <f>'Videojet Downtime Detail '!O411</f>
        <v>16</v>
      </c>
      <c r="V51" s="32">
        <f>'Conveyor Downtime (new)'!AV415</f>
        <v>6</v>
      </c>
      <c r="W51" s="71">
        <f>'Packer Downtime Detail  '!AD410</f>
        <v>0</v>
      </c>
      <c r="X51" s="71">
        <f>'Carton Errector-sealer Detail'!P398</f>
        <v>0</v>
      </c>
      <c r="Y51" s="32"/>
      <c r="Z51" s="32">
        <f>9+4+2</f>
        <v>15</v>
      </c>
      <c r="AA51" s="88"/>
      <c r="AB51" s="88"/>
      <c r="AC51" s="71"/>
      <c r="AD51" s="44">
        <f t="shared" si="0"/>
        <v>137</v>
      </c>
      <c r="AE51" s="783">
        <f>G52-D51</f>
        <v>1.0763888888888888</v>
      </c>
      <c r="AH51" s="3"/>
      <c r="AI51" s="3"/>
      <c r="AJ51" s="3"/>
      <c r="AK51" s="3"/>
      <c r="AL51" s="3"/>
      <c r="AM51" s="3"/>
      <c r="AN51" s="3"/>
      <c r="AO51" s="3"/>
      <c r="AP51" s="3"/>
      <c r="AQ51" s="3"/>
      <c r="AR51" s="3"/>
      <c r="AS51" s="3"/>
      <c r="AT51" s="3"/>
      <c r="AU51" s="3"/>
      <c r="AV51" s="3"/>
      <c r="AW51" s="3"/>
      <c r="AX51" s="3"/>
    </row>
    <row r="52" spans="1:50">
      <c r="A52" s="7">
        <f>[5]July_2026!$C52</f>
        <v>22</v>
      </c>
      <c r="B52" s="8">
        <f>[5]July_2026!$B52</f>
        <v>46231</v>
      </c>
      <c r="C52" s="78" t="str">
        <f>[5]July_2026!$D52</f>
        <v>CARIB FLINT (EXPORT)</v>
      </c>
      <c r="D52" s="681"/>
      <c r="E52" s="80">
        <v>1.5326388888888889</v>
      </c>
      <c r="F52" s="80">
        <v>2</v>
      </c>
      <c r="G52" s="81">
        <v>2.0763888888888888</v>
      </c>
      <c r="H52" s="82"/>
      <c r="I52" s="482">
        <f>12+10</f>
        <v>22</v>
      </c>
      <c r="J52" s="86"/>
      <c r="K52" s="71"/>
      <c r="L52" s="71"/>
      <c r="M52" s="71"/>
      <c r="N52" s="71"/>
      <c r="O52" s="34">
        <f>'Uncaser Downtime Detail '!AG415</f>
        <v>0</v>
      </c>
      <c r="P52" s="34">
        <f>'Washer Downtime Detail'!BH419</f>
        <v>4</v>
      </c>
      <c r="Q52" s="71">
        <f>'EBI Downtime Detail'!AI417</f>
        <v>13</v>
      </c>
      <c r="R52" s="34">
        <f>'Filler Downtime Detail'!AK416</f>
        <v>41</v>
      </c>
      <c r="S52" s="34">
        <f>'Pasteurizer Downtime Detail'!Z409</f>
        <v>0</v>
      </c>
      <c r="T52" s="34">
        <f>'Labeler Downtime Detail'!AN407</f>
        <v>6</v>
      </c>
      <c r="U52" s="71">
        <f>'Videojet Downtime Detail '!O412</f>
        <v>0</v>
      </c>
      <c r="V52" s="32">
        <f>'Conveyor Downtime (new)'!AV416</f>
        <v>9</v>
      </c>
      <c r="W52" s="71">
        <f>'Packer Downtime Detail  '!AD411</f>
        <v>0</v>
      </c>
      <c r="X52" s="71">
        <f>'Carton Errector-sealer Detail'!P399</f>
        <v>49</v>
      </c>
      <c r="Y52" s="71"/>
      <c r="Z52" s="43">
        <f>3+5+3</f>
        <v>11</v>
      </c>
      <c r="AA52" s="88"/>
      <c r="AB52" s="88">
        <f>10</f>
        <v>10</v>
      </c>
      <c r="AC52" s="71"/>
      <c r="AD52" s="44">
        <f t="shared" si="0"/>
        <v>165</v>
      </c>
      <c r="AE52" s="783"/>
      <c r="AH52" s="3"/>
      <c r="AI52" s="3"/>
      <c r="AJ52" s="3"/>
      <c r="AK52" s="3"/>
      <c r="AL52" s="3"/>
      <c r="AM52" s="3"/>
      <c r="AN52" s="3"/>
      <c r="AO52" s="3"/>
      <c r="AP52" s="3"/>
      <c r="AQ52" s="3"/>
      <c r="AR52" s="3"/>
      <c r="AS52" s="3"/>
      <c r="AT52" s="3"/>
      <c r="AU52" s="3"/>
      <c r="AV52" s="3"/>
      <c r="AW52" s="3"/>
      <c r="AX52" s="3"/>
    </row>
    <row r="53" spans="1:50">
      <c r="A53" s="7">
        <f>[5]July_2026!$C53</f>
        <v>23</v>
      </c>
      <c r="B53" s="8">
        <f>[5]July_2026!$B53</f>
        <v>46232</v>
      </c>
      <c r="C53" s="78" t="str">
        <f>[5]July_2026!$D53</f>
        <v>CARIB FLINT (EXPORT)</v>
      </c>
      <c r="D53" s="681">
        <v>1</v>
      </c>
      <c r="E53" s="80">
        <v>1.0069444444444444</v>
      </c>
      <c r="F53" s="80">
        <v>1.0833333333333333</v>
      </c>
      <c r="G53" s="81"/>
      <c r="H53" s="14"/>
      <c r="I53" s="34"/>
      <c r="J53" s="35"/>
      <c r="K53" s="34"/>
      <c r="L53" s="34"/>
      <c r="M53" s="34"/>
      <c r="N53" s="34"/>
      <c r="O53" s="34">
        <f>'Uncaser Downtime Detail '!AG416</f>
        <v>0</v>
      </c>
      <c r="P53" s="34">
        <f>'Washer Downtime Detail'!BH420</f>
        <v>0</v>
      </c>
      <c r="Q53" s="71">
        <f>'EBI Downtime Detail'!AI418</f>
        <v>0</v>
      </c>
      <c r="R53" s="34">
        <f>'Filler Downtime Detail'!AK417</f>
        <v>0</v>
      </c>
      <c r="S53" s="34">
        <f>'Pasteurizer Downtime Detail'!Z410</f>
        <v>0</v>
      </c>
      <c r="T53" s="34">
        <f>'Labeler Downtime Detail'!AN408</f>
        <v>5</v>
      </c>
      <c r="U53" s="71">
        <f>'Videojet Downtime Detail '!O413</f>
        <v>0</v>
      </c>
      <c r="V53" s="32">
        <f>'Conveyor Downtime (new)'!AV417</f>
        <v>0</v>
      </c>
      <c r="W53" s="71">
        <f>'Packer Downtime Detail  '!AD412</f>
        <v>0</v>
      </c>
      <c r="X53" s="71">
        <f>'Carton Errector-sealer Detail'!P400</f>
        <v>17</v>
      </c>
      <c r="Y53" s="35"/>
      <c r="Z53" s="34">
        <f>10</f>
        <v>10</v>
      </c>
      <c r="AA53" s="90"/>
      <c r="AB53" s="90"/>
      <c r="AC53" s="89"/>
      <c r="AD53" s="44">
        <f t="shared" si="0"/>
        <v>32</v>
      </c>
      <c r="AE53" s="783">
        <f>G55-D53</f>
        <v>1.0527777777777776</v>
      </c>
      <c r="AH53" s="3"/>
      <c r="AI53" s="3"/>
      <c r="AJ53" s="3"/>
      <c r="AK53" s="3"/>
      <c r="AL53" s="3"/>
      <c r="AM53" s="3"/>
      <c r="AN53" s="3"/>
      <c r="AO53" s="3"/>
      <c r="AP53" s="3"/>
      <c r="AQ53" s="3"/>
      <c r="AR53" s="3"/>
      <c r="AS53" s="3"/>
      <c r="AT53" s="3"/>
      <c r="AU53" s="3"/>
      <c r="AV53" s="3"/>
      <c r="AW53" s="3"/>
      <c r="AX53" s="3"/>
    </row>
    <row r="54" spans="1:50">
      <c r="A54" s="7">
        <f>[5]July_2026!$C54</f>
        <v>23</v>
      </c>
      <c r="B54" s="8">
        <f>[5]July_2026!$B54</f>
        <v>46232</v>
      </c>
      <c r="C54" s="78" t="str">
        <f>[5]July_2026!$D54</f>
        <v>CARIB FLINT (LOCAL)</v>
      </c>
      <c r="D54" s="681"/>
      <c r="E54" s="80">
        <v>1.0833333333333333</v>
      </c>
      <c r="F54" s="80">
        <v>1.1888888888888889</v>
      </c>
      <c r="G54" s="81">
        <v>0.1875</v>
      </c>
      <c r="H54" s="14"/>
      <c r="I54" s="34">
        <f>22+58</f>
        <v>80</v>
      </c>
      <c r="J54" s="35"/>
      <c r="K54" s="34"/>
      <c r="L54" s="34"/>
      <c r="M54" s="34"/>
      <c r="N54" s="34"/>
      <c r="O54" s="34">
        <f>'Uncaser Downtime Detail '!AG417</f>
        <v>0</v>
      </c>
      <c r="P54" s="34">
        <f>'Washer Downtime Detail'!BH421</f>
        <v>0</v>
      </c>
      <c r="Q54" s="71">
        <f>'EBI Downtime Detail'!AI419</f>
        <v>0</v>
      </c>
      <c r="R54" s="34">
        <f>'Filler Downtime Detail'!AK418</f>
        <v>0</v>
      </c>
      <c r="S54" s="34">
        <f>'Pasteurizer Downtime Detail'!Z411</f>
        <v>0</v>
      </c>
      <c r="T54" s="34">
        <f>'Labeler Downtime Detail'!AN409</f>
        <v>0</v>
      </c>
      <c r="U54" s="71">
        <f>'Videojet Downtime Detail '!O414</f>
        <v>6</v>
      </c>
      <c r="V54" s="32">
        <f>'Conveyor Downtime (new)'!AV418</f>
        <v>6</v>
      </c>
      <c r="W54" s="71">
        <f>'Packer Downtime Detail  '!AD413</f>
        <v>0</v>
      </c>
      <c r="X54" s="71">
        <f>'Carton Errector-sealer Detail'!P401</f>
        <v>6</v>
      </c>
      <c r="Y54" s="35"/>
      <c r="Z54" s="3">
        <f>7+5+5</f>
        <v>17</v>
      </c>
      <c r="AA54" s="90"/>
      <c r="AB54" s="90"/>
      <c r="AC54" s="89"/>
      <c r="AD54" s="44">
        <f t="shared" si="0"/>
        <v>115</v>
      </c>
      <c r="AE54" s="783"/>
      <c r="AH54" s="3"/>
      <c r="AI54" s="3"/>
      <c r="AJ54" s="3"/>
      <c r="AK54" s="3"/>
      <c r="AL54" s="3"/>
      <c r="AM54" s="3"/>
      <c r="AN54" s="3"/>
      <c r="AO54" s="3"/>
      <c r="AP54" s="3"/>
      <c r="AQ54" s="3"/>
      <c r="AR54" s="3"/>
      <c r="AS54" s="3"/>
      <c r="AT54" s="3"/>
      <c r="AU54" s="3"/>
      <c r="AV54" s="3"/>
      <c r="AW54" s="3"/>
      <c r="AX54" s="3"/>
    </row>
    <row r="55" spans="1:50">
      <c r="A55" s="7">
        <f>[5]July_2026!$C55</f>
        <v>23</v>
      </c>
      <c r="B55" s="8">
        <f>[5]July_2026!$B55</f>
        <v>46232</v>
      </c>
      <c r="C55" s="78" t="str">
        <f>[5]July_2026!$D55</f>
        <v>VITA MALT CLASSIC</v>
      </c>
      <c r="D55" s="681"/>
      <c r="E55" s="80">
        <v>1.5874999999999999</v>
      </c>
      <c r="F55" s="80">
        <v>2</v>
      </c>
      <c r="G55" s="81">
        <v>2.0527777777777776</v>
      </c>
      <c r="H55" s="82"/>
      <c r="I55" s="32">
        <f>20+50</f>
        <v>70</v>
      </c>
      <c r="J55" s="86">
        <f>3</f>
        <v>3</v>
      </c>
      <c r="K55" s="71"/>
      <c r="L55" s="71"/>
      <c r="M55" s="71"/>
      <c r="N55" s="71"/>
      <c r="O55" s="34">
        <f>'Uncaser Downtime Detail '!AG418</f>
        <v>0</v>
      </c>
      <c r="P55" s="34">
        <f>'Washer Downtime Detail'!BH422</f>
        <v>11</v>
      </c>
      <c r="Q55" s="71">
        <f>'EBI Downtime Detail'!AI420</f>
        <v>14</v>
      </c>
      <c r="R55" s="34">
        <f>'Filler Downtime Detail'!AK419</f>
        <v>42</v>
      </c>
      <c r="S55" s="34">
        <f>'Pasteurizer Downtime Detail'!Z412</f>
        <v>9</v>
      </c>
      <c r="T55" s="34">
        <f>'Labeler Downtime Detail'!AN410</f>
        <v>10</v>
      </c>
      <c r="U55" s="71">
        <f>'Videojet Downtime Detail '!O415</f>
        <v>0</v>
      </c>
      <c r="V55" s="32">
        <f>'Conveyor Downtime (new)'!AV419</f>
        <v>10</v>
      </c>
      <c r="W55" s="71">
        <f>'Packer Downtime Detail  '!AD414</f>
        <v>5</v>
      </c>
      <c r="X55" s="71">
        <f>'Carton Errector-sealer Detail'!P402</f>
        <v>0</v>
      </c>
      <c r="Y55" s="71"/>
      <c r="Z55" s="43">
        <f>10+60+60+60+60+60+45+15+60+11+6</f>
        <v>447</v>
      </c>
      <c r="AA55" s="88"/>
      <c r="AB55" s="88">
        <f>1+4+2+4+2+5</f>
        <v>18</v>
      </c>
      <c r="AC55" s="71"/>
      <c r="AD55" s="44">
        <f t="shared" si="0"/>
        <v>639</v>
      </c>
      <c r="AE55" s="783"/>
      <c r="AH55" s="3"/>
      <c r="AI55" s="3"/>
      <c r="AJ55" s="3"/>
      <c r="AK55" s="3"/>
      <c r="AL55" s="3"/>
      <c r="AM55" s="3"/>
      <c r="AN55" s="3"/>
      <c r="AO55" s="3"/>
      <c r="AP55" s="3"/>
      <c r="AQ55" s="3"/>
      <c r="AR55" s="3"/>
      <c r="AS55" s="3"/>
      <c r="AT55" s="3"/>
      <c r="AU55" s="3"/>
      <c r="AV55" s="3"/>
      <c r="AW55" s="3"/>
      <c r="AX55" s="3"/>
    </row>
    <row r="56" spans="1:50">
      <c r="A56" s="7">
        <f>[5]July_2026!$C56</f>
        <v>24</v>
      </c>
      <c r="B56" s="8">
        <f>[5]July_2026!$B56</f>
        <v>46233</v>
      </c>
      <c r="C56" s="78" t="str">
        <f>[5]July_2026!$D56</f>
        <v>VITA MALT CLASSIC</v>
      </c>
      <c r="D56" s="681">
        <v>1</v>
      </c>
      <c r="E56" s="80">
        <v>1.0041666666666667</v>
      </c>
      <c r="F56" s="80">
        <v>1.1145833333333333</v>
      </c>
      <c r="G56" s="81">
        <v>0.18888888888888888</v>
      </c>
      <c r="H56" s="14"/>
      <c r="I56" s="34"/>
      <c r="J56" s="35"/>
      <c r="K56" s="34"/>
      <c r="L56" s="34"/>
      <c r="M56" s="34"/>
      <c r="N56" s="34"/>
      <c r="O56" s="34">
        <f>'Uncaser Downtime Detail '!AG419</f>
        <v>0</v>
      </c>
      <c r="P56" s="34">
        <f>'Washer Downtime Detail'!BH423</f>
        <v>5</v>
      </c>
      <c r="Q56" s="71">
        <f>'EBI Downtime Detail'!AI421</f>
        <v>0</v>
      </c>
      <c r="R56" s="34">
        <f>'Filler Downtime Detail'!AK420</f>
        <v>1</v>
      </c>
      <c r="S56" s="34">
        <f>'Pasteurizer Downtime Detail'!Z413</f>
        <v>2</v>
      </c>
      <c r="T56" s="34">
        <f>'Labeler Downtime Detail'!AN411</f>
        <v>0</v>
      </c>
      <c r="U56" s="71">
        <f>'Videojet Downtime Detail '!O416</f>
        <v>0</v>
      </c>
      <c r="V56" s="32">
        <f>'Conveyor Downtime (new)'!AV420</f>
        <v>20</v>
      </c>
      <c r="W56" s="71">
        <f>'Packer Downtime Detail  '!AD415</f>
        <v>0</v>
      </c>
      <c r="X56" s="71">
        <f>'Carton Errector-sealer Detail'!P403</f>
        <v>0</v>
      </c>
      <c r="Y56" s="35"/>
      <c r="Z56" s="34">
        <v>6</v>
      </c>
      <c r="AA56" s="90"/>
      <c r="AB56" s="169">
        <f>2</f>
        <v>2</v>
      </c>
      <c r="AC56" s="89"/>
      <c r="AD56" s="44">
        <f t="shared" si="0"/>
        <v>36</v>
      </c>
      <c r="AE56" s="783">
        <f>G58-D56</f>
        <v>1.0499999999999998</v>
      </c>
      <c r="AH56" s="3"/>
      <c r="AI56" s="3"/>
      <c r="AJ56" s="3"/>
      <c r="AK56" s="3"/>
      <c r="AL56" s="3"/>
      <c r="AM56" s="3"/>
      <c r="AN56" s="3"/>
      <c r="AO56" s="3"/>
      <c r="AP56" s="3"/>
      <c r="AQ56" s="3"/>
      <c r="AR56" s="3"/>
      <c r="AS56" s="3"/>
      <c r="AT56" s="3"/>
      <c r="AU56" s="3"/>
      <c r="AV56" s="3"/>
      <c r="AW56" s="3"/>
      <c r="AX56" s="3"/>
    </row>
    <row r="57" spans="1:50">
      <c r="A57" s="7">
        <f>[5]July_2026!$C57</f>
        <v>24</v>
      </c>
      <c r="B57" s="8">
        <f>[5]July_2026!$B57</f>
        <v>46233</v>
      </c>
      <c r="C57" s="78" t="str">
        <f>[5]July_2026!$D57</f>
        <v>STAG</v>
      </c>
      <c r="D57" s="681"/>
      <c r="E57" s="81">
        <v>1.2430555555555556</v>
      </c>
      <c r="F57" s="80">
        <v>1.8958333333333333</v>
      </c>
      <c r="G57" s="94">
        <v>1.945138888888889</v>
      </c>
      <c r="H57" s="82"/>
      <c r="I57" s="32">
        <f>45+60</f>
        <v>105</v>
      </c>
      <c r="J57" s="86">
        <f>2</f>
        <v>2</v>
      </c>
      <c r="K57" s="71"/>
      <c r="L57" s="71"/>
      <c r="M57" s="71"/>
      <c r="N57" s="71"/>
      <c r="O57" s="34">
        <f>'Uncaser Downtime Detail '!AG420</f>
        <v>26</v>
      </c>
      <c r="P57" s="34">
        <f>'Washer Downtime Detail'!BH424</f>
        <v>22</v>
      </c>
      <c r="Q57" s="71">
        <f>'EBI Downtime Detail'!AI422</f>
        <v>27</v>
      </c>
      <c r="R57" s="34">
        <f>'Filler Downtime Detail'!AK421</f>
        <v>4</v>
      </c>
      <c r="S57" s="34">
        <f>'Pasteurizer Downtime Detail'!Z414</f>
        <v>0</v>
      </c>
      <c r="T57" s="34">
        <f>'Labeler Downtime Detail'!AN412</f>
        <v>20</v>
      </c>
      <c r="U57" s="71">
        <f>'Videojet Downtime Detail '!O417</f>
        <v>0</v>
      </c>
      <c r="V57" s="32">
        <f>'Conveyor Downtime (new)'!AV421</f>
        <v>18</v>
      </c>
      <c r="W57" s="71">
        <f>'Packer Downtime Detail  '!AD416</f>
        <v>0</v>
      </c>
      <c r="X57" s="71">
        <f>'Carton Errector-sealer Detail'!P404</f>
        <v>0</v>
      </c>
      <c r="Y57" s="71"/>
      <c r="Z57" s="43">
        <f>26+60+9+2+3+26+2+2+2</f>
        <v>132</v>
      </c>
      <c r="AA57" s="88"/>
      <c r="AB57" s="88">
        <f>5+6</f>
        <v>11</v>
      </c>
      <c r="AC57" s="71"/>
      <c r="AD57" s="44">
        <f t="shared" si="0"/>
        <v>367</v>
      </c>
      <c r="AE57" s="783"/>
      <c r="AH57" s="3"/>
      <c r="AI57" s="3"/>
      <c r="AJ57" s="3"/>
      <c r="AK57" s="3"/>
      <c r="AL57" s="3"/>
      <c r="AM57" s="3"/>
      <c r="AN57" s="3"/>
      <c r="AO57" s="3"/>
      <c r="AP57" s="3"/>
      <c r="AQ57" s="3"/>
      <c r="AR57" s="3"/>
      <c r="AS57" s="3"/>
      <c r="AT57" s="3"/>
      <c r="AU57" s="3"/>
      <c r="AV57" s="3"/>
      <c r="AW57" s="3"/>
      <c r="AX57" s="3"/>
    </row>
    <row r="58" spans="1:50">
      <c r="A58" s="7">
        <f>[5]July_2026!$C58</f>
        <v>24</v>
      </c>
      <c r="B58" s="8">
        <f>[5]July_2026!$B58</f>
        <v>46233</v>
      </c>
      <c r="C58" s="78" t="str">
        <f>[5]July_2026!$D58</f>
        <v xml:space="preserve">CARIB AMBER </v>
      </c>
      <c r="D58" s="681"/>
      <c r="E58" s="81">
        <v>1.9395833333333334</v>
      </c>
      <c r="F58" s="81">
        <v>2</v>
      </c>
      <c r="G58" s="81">
        <v>2.0499999999999998</v>
      </c>
      <c r="H58" s="14"/>
      <c r="I58" s="34">
        <f>7</f>
        <v>7</v>
      </c>
      <c r="J58" s="315">
        <f>6</f>
        <v>6</v>
      </c>
      <c r="K58" s="34"/>
      <c r="L58" s="34"/>
      <c r="M58" s="34"/>
      <c r="N58" s="34"/>
      <c r="O58" s="34">
        <f>'Uncaser Downtime Detail '!AG421</f>
        <v>14</v>
      </c>
      <c r="P58" s="34">
        <f>'Washer Downtime Detail'!BH425</f>
        <v>0</v>
      </c>
      <c r="Q58" s="71">
        <f>'EBI Downtime Detail'!AI423</f>
        <v>18</v>
      </c>
      <c r="R58" s="34">
        <f>'Filler Downtime Detail'!AK422</f>
        <v>0</v>
      </c>
      <c r="S58" s="34">
        <f>'Pasteurizer Downtime Detail'!Z415</f>
        <v>0</v>
      </c>
      <c r="T58" s="34">
        <f>'Labeler Downtime Detail'!AN413</f>
        <v>0</v>
      </c>
      <c r="U58" s="71">
        <f>'Videojet Downtime Detail '!O418</f>
        <v>0</v>
      </c>
      <c r="V58" s="32">
        <f>'Conveyor Downtime (new)'!AV422</f>
        <v>2</v>
      </c>
      <c r="W58" s="71">
        <f>'Packer Downtime Detail  '!AD417</f>
        <v>0</v>
      </c>
      <c r="X58" s="71">
        <f>'Carton Errector-sealer Detail'!P405</f>
        <v>0</v>
      </c>
      <c r="Y58" s="35"/>
      <c r="Z58" s="34">
        <f>17+33</f>
        <v>50</v>
      </c>
      <c r="AA58" s="90"/>
      <c r="AB58" s="90"/>
      <c r="AC58" s="89"/>
      <c r="AD58" s="44">
        <f t="shared" si="0"/>
        <v>97</v>
      </c>
      <c r="AE58" s="783"/>
      <c r="AH58" s="3"/>
      <c r="AI58" s="3"/>
      <c r="AJ58" s="3"/>
      <c r="AK58" s="3"/>
      <c r="AL58" s="3"/>
      <c r="AM58" s="3"/>
      <c r="AN58" s="3"/>
      <c r="AO58" s="3"/>
      <c r="AP58" s="3"/>
      <c r="AQ58" s="3"/>
      <c r="AR58" s="3"/>
      <c r="AS58" s="3"/>
      <c r="AT58" s="3"/>
      <c r="AU58" s="3"/>
      <c r="AV58" s="3"/>
      <c r="AW58" s="3"/>
      <c r="AX58" s="3"/>
    </row>
    <row r="59" spans="1:50">
      <c r="A59" s="7">
        <f>[5]July_2026!$C59</f>
        <v>25</v>
      </c>
      <c r="B59" s="8">
        <f>[5]July_2026!$B59</f>
        <v>46234</v>
      </c>
      <c r="C59" s="78" t="str">
        <f>[5]July_2026!$D59</f>
        <v>CARIB AMBER</v>
      </c>
      <c r="D59" s="81">
        <v>1</v>
      </c>
      <c r="E59" s="81">
        <v>1.0069444444444444</v>
      </c>
      <c r="F59" s="81">
        <v>1.7444444444444445</v>
      </c>
      <c r="G59" s="81">
        <v>1.7979166666666666</v>
      </c>
      <c r="H59" s="82"/>
      <c r="I59" s="32"/>
      <c r="J59" s="86">
        <f>6+5+50+5</f>
        <v>66</v>
      </c>
      <c r="K59" s="71"/>
      <c r="L59" s="71"/>
      <c r="M59" s="71">
        <f>40</f>
        <v>40</v>
      </c>
      <c r="N59" s="71"/>
      <c r="O59" s="34">
        <f>'Uncaser Downtime Detail '!AG422</f>
        <v>30</v>
      </c>
      <c r="P59" s="34">
        <f>'Washer Downtime Detail'!BH426</f>
        <v>14</v>
      </c>
      <c r="Q59" s="71">
        <f>'EBI Downtime Detail'!AI424</f>
        <v>21</v>
      </c>
      <c r="R59" s="34">
        <f>'Filler Downtime Detail'!AK423</f>
        <v>5</v>
      </c>
      <c r="S59" s="34">
        <f>'Pasteurizer Downtime Detail'!Z416</f>
        <v>0</v>
      </c>
      <c r="T59" s="34">
        <f>'Labeler Downtime Detail'!AN414</f>
        <v>0</v>
      </c>
      <c r="U59" s="71">
        <f>'Videojet Downtime Detail '!O419</f>
        <v>12</v>
      </c>
      <c r="V59" s="32">
        <f>'Conveyor Downtime (new)'!AV423</f>
        <v>16</v>
      </c>
      <c r="W59" s="71">
        <f>'Packer Downtime Detail  '!AD418</f>
        <v>0</v>
      </c>
      <c r="X59" s="71">
        <f>'Carton Errector-sealer Detail'!P406</f>
        <v>0</v>
      </c>
      <c r="Y59" s="71"/>
      <c r="Z59" s="43">
        <f>10+16+17+3</f>
        <v>46</v>
      </c>
      <c r="AA59" s="88">
        <f>4+2+2</f>
        <v>8</v>
      </c>
      <c r="AB59" s="88">
        <f>4+3</f>
        <v>7</v>
      </c>
      <c r="AC59" s="71"/>
      <c r="AD59" s="44">
        <f t="shared" si="0"/>
        <v>265</v>
      </c>
      <c r="AE59" s="45">
        <f>G59-D59</f>
        <v>0.79791666666666661</v>
      </c>
      <c r="AH59" s="3"/>
      <c r="AI59" s="3"/>
      <c r="AJ59" s="3"/>
      <c r="AK59" s="3"/>
      <c r="AL59" s="3"/>
      <c r="AM59" s="3"/>
      <c r="AN59" s="3"/>
      <c r="AO59" s="3"/>
      <c r="AP59" s="3"/>
      <c r="AQ59" s="3"/>
      <c r="AR59" s="3"/>
      <c r="AS59" s="3"/>
      <c r="AT59" s="3"/>
      <c r="AU59" s="3"/>
      <c r="AV59" s="3"/>
      <c r="AW59" s="3"/>
      <c r="AX59" s="3"/>
    </row>
    <row r="60" spans="1:50">
      <c r="A60" s="7"/>
      <c r="B60" s="95"/>
      <c r="C60" s="29"/>
      <c r="D60" s="93"/>
      <c r="E60" s="80"/>
      <c r="F60" s="80"/>
      <c r="G60" s="81"/>
      <c r="H60" s="71"/>
      <c r="I60" s="32"/>
      <c r="J60" s="71"/>
      <c r="K60" s="71"/>
      <c r="L60" s="71"/>
      <c r="M60" s="71"/>
      <c r="N60" s="71"/>
      <c r="O60" s="34">
        <f>'Uncaser Downtime Detail '!AG423</f>
        <v>0</v>
      </c>
      <c r="P60" s="34">
        <f>'Washer Downtime Detail'!BH427</f>
        <v>0</v>
      </c>
      <c r="Q60" s="71">
        <f>'EBI Downtime Detail'!AI425</f>
        <v>0</v>
      </c>
      <c r="R60" s="34">
        <f>'Filler Downtime Detail'!AK424</f>
        <v>0</v>
      </c>
      <c r="S60" s="34">
        <f>'Pasteurizer Downtime Detail'!Z417</f>
        <v>0</v>
      </c>
      <c r="T60" s="34">
        <f>'Labeler Downtime Detail'!AN415</f>
        <v>0</v>
      </c>
      <c r="U60" s="71">
        <f>'Videojet Downtime Detail '!O420</f>
        <v>0</v>
      </c>
      <c r="V60" s="32">
        <f>'Conveyor Downtime (new)'!AV424</f>
        <v>0</v>
      </c>
      <c r="W60" s="71">
        <f>'Packer Downtime Detail  '!AD419</f>
        <v>0</v>
      </c>
      <c r="X60" s="71">
        <f>'Carton Errector-sealer Detail'!P407</f>
        <v>0</v>
      </c>
      <c r="Y60" s="71"/>
      <c r="Z60" s="32"/>
      <c r="AA60" s="71"/>
      <c r="AB60" s="71"/>
      <c r="AC60" s="71"/>
      <c r="AD60" s="44">
        <f t="shared" si="0"/>
        <v>0</v>
      </c>
      <c r="AE60" s="626"/>
      <c r="AH60" s="3"/>
      <c r="AI60" s="3"/>
      <c r="AJ60" s="3"/>
      <c r="AK60" s="3"/>
      <c r="AL60" s="3"/>
      <c r="AM60" s="3"/>
      <c r="AN60" s="3"/>
      <c r="AO60" s="3"/>
      <c r="AP60" s="3"/>
      <c r="AQ60" s="3"/>
      <c r="AR60" s="3"/>
      <c r="AS60" s="3"/>
      <c r="AT60" s="3"/>
      <c r="AU60" s="3"/>
      <c r="AV60" s="3"/>
      <c r="AW60" s="3"/>
      <c r="AX60" s="3"/>
    </row>
    <row r="61" spans="1:50" ht="15.75" thickBot="1">
      <c r="A61" s="15" t="s">
        <v>427</v>
      </c>
      <c r="B61" s="16"/>
      <c r="C61" s="17"/>
      <c r="D61" s="18"/>
      <c r="E61" s="18"/>
      <c r="F61" s="18"/>
      <c r="G61" s="19">
        <f>SUM(G56:G59)</f>
        <v>5.9819444444444443</v>
      </c>
      <c r="H61" s="16">
        <f t="shared" ref="H61:AE61" si="1">SUM(H8:H59)</f>
        <v>31</v>
      </c>
      <c r="I61" s="98">
        <f t="shared" si="1"/>
        <v>1529</v>
      </c>
      <c r="J61" s="98">
        <f t="shared" si="1"/>
        <v>2361</v>
      </c>
      <c r="K61" s="98">
        <f t="shared" si="1"/>
        <v>0</v>
      </c>
      <c r="L61" s="98">
        <f t="shared" si="1"/>
        <v>204</v>
      </c>
      <c r="M61" s="98">
        <f t="shared" si="1"/>
        <v>58</v>
      </c>
      <c r="N61" s="98">
        <f t="shared" si="1"/>
        <v>0</v>
      </c>
      <c r="O61" s="98">
        <f t="shared" si="1"/>
        <v>324</v>
      </c>
      <c r="P61" s="98">
        <f t="shared" si="1"/>
        <v>864</v>
      </c>
      <c r="Q61" s="98">
        <f t="shared" si="1"/>
        <v>967</v>
      </c>
      <c r="R61" s="98">
        <f t="shared" si="1"/>
        <v>483</v>
      </c>
      <c r="S61" s="98">
        <f t="shared" si="1"/>
        <v>1550</v>
      </c>
      <c r="T61" s="98">
        <f t="shared" si="1"/>
        <v>829</v>
      </c>
      <c r="U61" s="98">
        <f t="shared" si="1"/>
        <v>609</v>
      </c>
      <c r="V61" s="98">
        <f t="shared" si="1"/>
        <v>964</v>
      </c>
      <c r="W61" s="98">
        <f t="shared" si="1"/>
        <v>394</v>
      </c>
      <c r="X61" s="98">
        <f t="shared" si="1"/>
        <v>487</v>
      </c>
      <c r="Y61" s="98">
        <f t="shared" si="1"/>
        <v>20</v>
      </c>
      <c r="Z61" s="98">
        <f t="shared" si="1"/>
        <v>3677</v>
      </c>
      <c r="AA61" s="98">
        <f t="shared" si="1"/>
        <v>29</v>
      </c>
      <c r="AB61" s="98">
        <f t="shared" si="1"/>
        <v>482</v>
      </c>
      <c r="AC61" s="98">
        <f t="shared" si="1"/>
        <v>9</v>
      </c>
      <c r="AD61" s="47">
        <f t="shared" si="1"/>
        <v>15871</v>
      </c>
      <c r="AE61" s="48">
        <f t="shared" si="1"/>
        <v>23.453472222222221</v>
      </c>
      <c r="AH61" s="3"/>
      <c r="AI61" s="3"/>
      <c r="AJ61" s="3"/>
      <c r="AK61" s="3"/>
      <c r="AL61" s="3"/>
      <c r="AM61" s="3"/>
      <c r="AN61" s="3"/>
      <c r="AO61" s="3"/>
      <c r="AP61" s="3"/>
      <c r="AQ61" s="3"/>
      <c r="AR61" s="3"/>
      <c r="AS61" s="3"/>
      <c r="AT61" s="3"/>
      <c r="AU61" s="3"/>
      <c r="AV61" s="3"/>
      <c r="AW61" s="3"/>
      <c r="AX61" s="3"/>
    </row>
    <row r="62" spans="1:50">
      <c r="A62" s="20" t="s">
        <v>45</v>
      </c>
      <c r="B62" s="1"/>
      <c r="C62" s="3"/>
      <c r="D62" s="3"/>
      <c r="E62" s="3"/>
      <c r="F62" s="3"/>
      <c r="G62" s="3"/>
      <c r="H62" s="21">
        <f>H61/$AD$61</f>
        <v>1.9532480625039381E-3</v>
      </c>
      <c r="I62" s="21">
        <f t="shared" ref="I62:AB62" si="2">I61/$AD$61</f>
        <v>9.6339235082855523E-2</v>
      </c>
      <c r="J62" s="21">
        <f t="shared" si="2"/>
        <v>0.14876189276038057</v>
      </c>
      <c r="K62" s="21">
        <f t="shared" si="2"/>
        <v>0</v>
      </c>
      <c r="L62" s="21">
        <f t="shared" si="2"/>
        <v>1.2853632411316237E-2</v>
      </c>
      <c r="M62" s="21">
        <f t="shared" si="2"/>
        <v>3.6544641169428517E-3</v>
      </c>
      <c r="N62" s="21">
        <f t="shared" si="2"/>
        <v>0</v>
      </c>
      <c r="O62" s="21">
        <f t="shared" si="2"/>
        <v>2.0414592653266964E-2</v>
      </c>
      <c r="P62" s="21">
        <f t="shared" si="2"/>
        <v>5.4438913742045243E-2</v>
      </c>
      <c r="Q62" s="21">
        <f t="shared" si="2"/>
        <v>6.0928737949719612E-2</v>
      </c>
      <c r="R62" s="21">
        <f t="shared" si="2"/>
        <v>3.043286497385168E-2</v>
      </c>
      <c r="S62" s="21">
        <f t="shared" si="2"/>
        <v>9.7662403125196903E-2</v>
      </c>
      <c r="T62" s="21">
        <f t="shared" si="2"/>
        <v>5.2233633671476279E-2</v>
      </c>
      <c r="U62" s="21">
        <f t="shared" si="2"/>
        <v>3.8371873227899943E-2</v>
      </c>
      <c r="V62" s="21">
        <f t="shared" si="2"/>
        <v>6.0739713943670844E-2</v>
      </c>
      <c r="W62" s="21">
        <f t="shared" si="2"/>
        <v>2.4825152794404889E-2</v>
      </c>
      <c r="X62" s="21">
        <f t="shared" si="2"/>
        <v>3.0684896981916704E-2</v>
      </c>
      <c r="Y62" s="21">
        <f t="shared" si="2"/>
        <v>1.2601600403251212E-3</v>
      </c>
      <c r="Z62" s="21">
        <f t="shared" si="2"/>
        <v>0.23168042341377354</v>
      </c>
      <c r="AA62" s="21">
        <f t="shared" si="2"/>
        <v>1.8272320584714259E-3</v>
      </c>
      <c r="AB62" s="21">
        <f t="shared" si="2"/>
        <v>3.0369856971835422E-2</v>
      </c>
      <c r="AC62" s="21"/>
      <c r="AD62" s="3"/>
      <c r="AE62" s="49"/>
      <c r="AH62" s="3"/>
      <c r="AI62" s="3"/>
      <c r="AJ62" s="3"/>
      <c r="AK62" s="3"/>
      <c r="AL62" s="3"/>
      <c r="AM62" s="3"/>
      <c r="AN62" s="3"/>
      <c r="AO62" s="3"/>
      <c r="AP62" s="3"/>
      <c r="AQ62" s="3"/>
      <c r="AR62" s="3"/>
      <c r="AS62" s="3"/>
      <c r="AT62" s="3"/>
      <c r="AU62" s="3"/>
      <c r="AV62" s="3"/>
      <c r="AW62" s="3"/>
      <c r="AX62" s="3"/>
    </row>
    <row r="63" spans="1:50" ht="15">
      <c r="A63" s="20"/>
      <c r="B63" s="1"/>
      <c r="C63" s="3"/>
      <c r="D63" s="3"/>
      <c r="E63" s="3"/>
      <c r="F63" s="3"/>
      <c r="G63" s="3"/>
      <c r="H63" s="3"/>
      <c r="I63" s="36" t="s">
        <v>428</v>
      </c>
      <c r="J63" s="3"/>
      <c r="K63" s="37"/>
      <c r="L63" s="37"/>
      <c r="M63" s="3"/>
      <c r="N63" s="3"/>
      <c r="O63" s="3"/>
      <c r="P63" s="3"/>
      <c r="Q63" s="3"/>
      <c r="R63" s="3"/>
      <c r="S63" s="3"/>
      <c r="T63" s="3"/>
      <c r="U63" s="3"/>
      <c r="V63" s="3"/>
      <c r="W63" s="3"/>
      <c r="X63" s="3"/>
      <c r="Y63" s="3"/>
      <c r="Z63" s="3"/>
      <c r="AA63" s="3"/>
      <c r="AB63" s="3"/>
      <c r="AC63" s="3"/>
      <c r="AD63" s="3"/>
      <c r="AH63" s="3"/>
      <c r="AI63" s="3"/>
      <c r="AJ63" s="3"/>
      <c r="AK63" s="3"/>
      <c r="AL63" s="3"/>
      <c r="AM63" s="3"/>
      <c r="AN63" s="3"/>
      <c r="AO63" s="3"/>
      <c r="AP63" s="3"/>
      <c r="AQ63" s="3"/>
      <c r="AR63" s="3"/>
      <c r="AS63" s="3"/>
      <c r="AT63" s="3"/>
      <c r="AU63" s="3"/>
      <c r="AV63" s="3"/>
      <c r="AW63" s="3"/>
      <c r="AX63" s="3"/>
    </row>
    <row r="64" spans="1:50" ht="15">
      <c r="A64"/>
      <c r="B64"/>
      <c r="C64" t="s">
        <v>429</v>
      </c>
      <c r="D64" t="s">
        <v>430</v>
      </c>
      <c r="E64" t="s">
        <v>431</v>
      </c>
      <c r="F64" s="23"/>
      <c r="G64" s="23"/>
      <c r="H64" s="3"/>
      <c r="I64" s="38">
        <f>COUNT(I8:I59)</f>
        <v>30</v>
      </c>
      <c r="J64" s="3"/>
      <c r="K64" s="24">
        <f>30+60+60+40</f>
        <v>190</v>
      </c>
      <c r="L64" s="24"/>
      <c r="M64" s="24"/>
      <c r="N64" s="24"/>
      <c r="O64" s="24"/>
      <c r="P64" s="24"/>
      <c r="Q64" s="24"/>
      <c r="R64" s="24"/>
      <c r="S64" s="24"/>
      <c r="T64" s="24"/>
      <c r="U64" s="24"/>
      <c r="V64" s="24"/>
      <c r="W64" s="24"/>
      <c r="X64" s="24"/>
      <c r="Y64" s="24"/>
      <c r="Z64" s="24"/>
      <c r="AA64" s="3"/>
      <c r="AB64" s="3"/>
      <c r="AC64" s="3"/>
      <c r="AH64" s="3"/>
      <c r="AI64" s="3"/>
      <c r="AJ64" s="3"/>
      <c r="AK64" s="3"/>
      <c r="AL64" s="3"/>
      <c r="AM64" s="3"/>
      <c r="AN64" s="3"/>
      <c r="AO64" s="3"/>
      <c r="AP64" s="3"/>
      <c r="AQ64" s="3"/>
      <c r="AR64" s="3"/>
      <c r="AS64" s="3"/>
      <c r="AT64" s="3"/>
      <c r="AU64" s="3"/>
      <c r="AV64" s="3"/>
      <c r="AW64" s="3"/>
      <c r="AX64" s="3"/>
    </row>
    <row r="65" spans="1:50">
      <c r="A65" s="1"/>
      <c r="B65" s="22"/>
      <c r="C65" s="24">
        <f>COUNTA(I8:I59)</f>
        <v>30</v>
      </c>
      <c r="D65" s="24">
        <f>COUNTA(C8:C59)</f>
        <v>52</v>
      </c>
      <c r="E65" s="24">
        <f>COUNTA(A8:A59)</f>
        <v>52</v>
      </c>
      <c r="F65" s="23"/>
      <c r="G65" s="23"/>
      <c r="H65" s="3"/>
      <c r="I65" s="1"/>
      <c r="J65" s="3"/>
      <c r="K65" s="24"/>
      <c r="L65" s="24"/>
      <c r="M65" s="24"/>
      <c r="N65" s="24"/>
      <c r="O65" s="24"/>
      <c r="P65" s="141"/>
      <c r="Q65" s="24">
        <f>Q61-Jul!Q61</f>
        <v>0</v>
      </c>
      <c r="R65" s="24"/>
      <c r="S65" s="24"/>
      <c r="T65" s="24"/>
      <c r="U65" s="24"/>
      <c r="V65" s="24"/>
      <c r="W65" s="24"/>
      <c r="X65" s="24"/>
      <c r="Y65" s="24"/>
      <c r="Z65" s="24"/>
      <c r="AA65" s="100"/>
      <c r="AB65" s="100"/>
      <c r="AC65" s="100"/>
      <c r="AH65" s="3"/>
      <c r="AI65" s="3"/>
      <c r="AJ65" s="3"/>
      <c r="AK65" s="3"/>
      <c r="AL65" s="3"/>
      <c r="AM65" s="3"/>
      <c r="AN65" s="3"/>
      <c r="AO65" s="3"/>
      <c r="AP65" s="3"/>
      <c r="AQ65" s="3"/>
      <c r="AR65" s="3"/>
      <c r="AS65" s="3"/>
      <c r="AT65" s="3"/>
      <c r="AU65" s="3"/>
      <c r="AV65" s="3"/>
      <c r="AW65" s="3"/>
      <c r="AX65" s="3"/>
    </row>
    <row r="66" spans="1:50">
      <c r="A66" s="1"/>
      <c r="B66" s="22"/>
      <c r="C66" s="24"/>
      <c r="D66" s="25"/>
      <c r="E66" s="25"/>
      <c r="F66" s="23"/>
      <c r="G66" s="23"/>
      <c r="H66" s="3"/>
      <c r="I66" s="1"/>
      <c r="J66" s="3"/>
      <c r="K66" s="24"/>
      <c r="L66" s="24"/>
      <c r="M66" s="24"/>
      <c r="N66" s="24"/>
      <c r="O66" s="24"/>
      <c r="P66" s="24"/>
      <c r="Q66" s="24"/>
      <c r="R66" s="24"/>
      <c r="S66" s="24"/>
      <c r="T66" s="24"/>
      <c r="U66" s="24"/>
      <c r="V66" s="24"/>
      <c r="W66" s="24"/>
      <c r="X66" s="24"/>
      <c r="Y66" s="24"/>
      <c r="Z66" s="24"/>
      <c r="AA66" s="100"/>
      <c r="AB66" s="100"/>
      <c r="AC66" s="100"/>
      <c r="AD66" s="3">
        <v>0</v>
      </c>
      <c r="AH66" s="3"/>
      <c r="AI66" s="3"/>
      <c r="AJ66" s="3"/>
      <c r="AK66" s="3"/>
      <c r="AL66" s="3"/>
      <c r="AM66" s="3"/>
      <c r="AN66" s="3"/>
      <c r="AO66" s="3"/>
      <c r="AP66" s="3"/>
      <c r="AQ66" s="3"/>
      <c r="AR66" s="3"/>
      <c r="AS66" s="3"/>
      <c r="AT66" s="3"/>
      <c r="AU66" s="3"/>
      <c r="AV66" s="3"/>
      <c r="AW66" s="3"/>
    </row>
    <row r="67" spans="1:50" ht="15">
      <c r="A67" s="26"/>
      <c r="B67" s="26"/>
      <c r="C67" s="27" t="s">
        <v>432</v>
      </c>
      <c r="D67" s="28">
        <f>($D$65/$E$65)</f>
        <v>1</v>
      </c>
      <c r="E67" s="28">
        <f>($D$65/$E$65)*$I$62</f>
        <v>9.6339235082855523E-2</v>
      </c>
      <c r="F67" s="29"/>
      <c r="G67" s="29"/>
      <c r="H67" s="679" t="s">
        <v>433</v>
      </c>
      <c r="I67" s="679"/>
      <c r="J67" s="679"/>
      <c r="K67" s="679"/>
      <c r="L67" s="679"/>
      <c r="M67" s="679"/>
      <c r="N67" s="679"/>
      <c r="O67" s="24"/>
      <c r="P67" s="680" t="s">
        <v>434</v>
      </c>
      <c r="Q67" s="680"/>
      <c r="R67" s="680"/>
      <c r="S67" s="680"/>
      <c r="T67" s="680"/>
      <c r="U67" s="1"/>
      <c r="V67" s="1"/>
      <c r="W67" s="1"/>
      <c r="X67" s="1"/>
      <c r="Y67" s="1"/>
      <c r="Z67" s="1"/>
      <c r="AA67" s="3"/>
      <c r="AB67" s="3"/>
      <c r="AC67" s="3"/>
    </row>
    <row r="68" spans="1:50" ht="25.5">
      <c r="A68" s="1"/>
      <c r="B68" s="1"/>
      <c r="C68" s="3"/>
      <c r="D68" s="3"/>
      <c r="E68" s="3"/>
      <c r="F68" s="3"/>
      <c r="G68" s="3"/>
      <c r="H68" s="30" t="s">
        <v>81</v>
      </c>
      <c r="I68" s="30" t="s">
        <v>435</v>
      </c>
      <c r="J68" s="30" t="s">
        <v>436</v>
      </c>
      <c r="K68" s="30" t="s">
        <v>437</v>
      </c>
      <c r="L68" s="66" t="s">
        <v>438</v>
      </c>
      <c r="M68" s="66" t="s">
        <v>439</v>
      </c>
      <c r="N68" s="66" t="s">
        <v>440</v>
      </c>
      <c r="O68" s="26"/>
      <c r="P68" s="67" t="s">
        <v>81</v>
      </c>
      <c r="Q68" s="67" t="s">
        <v>435</v>
      </c>
      <c r="R68" s="39" t="s">
        <v>436</v>
      </c>
      <c r="S68" s="39" t="s">
        <v>437</v>
      </c>
      <c r="T68" s="73" t="s">
        <v>441</v>
      </c>
      <c r="U68" s="3"/>
      <c r="V68" s="3"/>
      <c r="W68" s="3"/>
      <c r="X68" s="3"/>
      <c r="Y68" s="3"/>
      <c r="Z68" s="3"/>
      <c r="AA68" s="3"/>
      <c r="AB68" s="3"/>
      <c r="AC68" s="3"/>
    </row>
    <row r="69" spans="1:50">
      <c r="A69" s="1"/>
      <c r="B69" s="1"/>
      <c r="C69" s="3"/>
      <c r="D69" s="3"/>
      <c r="E69" s="3"/>
      <c r="F69" s="3"/>
      <c r="G69" s="3"/>
      <c r="H69" s="65">
        <f t="shared" ref="H69:H100" si="3">B8</f>
        <v>46204</v>
      </c>
      <c r="I69" s="1" t="str">
        <f t="shared" ref="I69:I100" si="4">C8</f>
        <v>CARIB AMBER</v>
      </c>
      <c r="J69" s="23">
        <f t="shared" ref="J69:J100" si="5">E8</f>
        <v>1.0416666666666667</v>
      </c>
      <c r="K69" s="23">
        <f t="shared" ref="K69:K100" si="6">F8</f>
        <v>1.5486111111111112</v>
      </c>
      <c r="L69" s="68">
        <f>K69-J69</f>
        <v>0.50694444444444442</v>
      </c>
      <c r="M69" s="72">
        <v>730</v>
      </c>
      <c r="N69" s="69">
        <f>M69-(H8+J8+K8+L8+M8+N8+AA8+Z8+AB8+AC8)</f>
        <v>633</v>
      </c>
      <c r="O69" s="3"/>
      <c r="P69" s="65">
        <f t="shared" ref="P69:P100" si="7">B8</f>
        <v>46204</v>
      </c>
      <c r="Q69" s="74" t="str">
        <f t="shared" ref="Q69:Q100" si="8">C8</f>
        <v>CARIB AMBER</v>
      </c>
      <c r="R69" s="76">
        <v>1</v>
      </c>
      <c r="S69" s="23">
        <f t="shared" ref="S69:S85" si="9">F8</f>
        <v>1.5486111111111112</v>
      </c>
      <c r="T69" s="668">
        <f>S70-R69</f>
        <v>0.97222222222222232</v>
      </c>
      <c r="U69" s="3"/>
      <c r="V69" s="3"/>
      <c r="W69" s="3"/>
      <c r="X69" s="3"/>
      <c r="Y69" s="3"/>
      <c r="Z69" s="3"/>
      <c r="AA69" s="3"/>
      <c r="AB69" s="3"/>
      <c r="AC69" s="3"/>
    </row>
    <row r="70" spans="1:50">
      <c r="H70" s="65">
        <f t="shared" si="3"/>
        <v>46204</v>
      </c>
      <c r="I70" s="1" t="str">
        <f t="shared" si="4"/>
        <v>VITA MALT CLASSIC</v>
      </c>
      <c r="J70" s="23">
        <f t="shared" si="5"/>
        <v>1.7951388888888888</v>
      </c>
      <c r="K70" s="23">
        <f t="shared" si="6"/>
        <v>1.9722222222222223</v>
      </c>
      <c r="L70" s="68">
        <f t="shared" ref="L70:L79" si="10">K70-J70</f>
        <v>0.17708333333333348</v>
      </c>
      <c r="M70" s="72">
        <v>255</v>
      </c>
      <c r="N70" s="69">
        <f>M70-(H9+J9+K9+L9+M9+N9+AA9+AB9+AC9)</f>
        <v>217</v>
      </c>
      <c r="O70" s="3"/>
      <c r="P70" s="65">
        <f t="shared" si="7"/>
        <v>46204</v>
      </c>
      <c r="Q70" s="74" t="str">
        <f t="shared" si="8"/>
        <v>VITA MALT CLASSIC</v>
      </c>
      <c r="R70" s="23">
        <f t="shared" ref="R70:R75" si="11">E9</f>
        <v>1.7951388888888888</v>
      </c>
      <c r="S70" s="23">
        <f t="shared" si="9"/>
        <v>1.9722222222222223</v>
      </c>
      <c r="T70" s="668"/>
    </row>
    <row r="71" spans="1:50">
      <c r="H71" s="65">
        <f t="shared" si="3"/>
        <v>46205</v>
      </c>
      <c r="I71" s="1" t="str">
        <f t="shared" si="4"/>
        <v>VITA MALT CLASSIC</v>
      </c>
      <c r="J71" s="23">
        <f t="shared" si="5"/>
        <v>1.0062500000000001</v>
      </c>
      <c r="K71" s="23">
        <f t="shared" si="6"/>
        <v>1.2708333333333333</v>
      </c>
      <c r="L71" s="68">
        <f t="shared" si="10"/>
        <v>0.26458333333333317</v>
      </c>
      <c r="M71" s="158">
        <v>381</v>
      </c>
      <c r="N71" s="69">
        <f>M71-(H10+J10+K10+L10+M10+N10+AA10+Z10+AB10+AC10)</f>
        <v>360</v>
      </c>
      <c r="P71" s="65">
        <f t="shared" si="7"/>
        <v>46205</v>
      </c>
      <c r="Q71" s="74" t="str">
        <f t="shared" si="8"/>
        <v>VITA MALT CLASSIC</v>
      </c>
      <c r="R71" s="23">
        <f t="shared" si="11"/>
        <v>1.0062500000000001</v>
      </c>
      <c r="S71" s="23">
        <f t="shared" si="9"/>
        <v>1.2708333333333333</v>
      </c>
      <c r="T71" s="668">
        <f>S73-R71</f>
        <v>0.99374999999999991</v>
      </c>
    </row>
    <row r="72" spans="1:50">
      <c r="H72" s="65">
        <f t="shared" si="3"/>
        <v>46205</v>
      </c>
      <c r="I72" s="1" t="str">
        <f t="shared" si="4"/>
        <v>VITA MALT GINGER</v>
      </c>
      <c r="J72" s="23">
        <f t="shared" si="5"/>
        <v>1.2777777777777777</v>
      </c>
      <c r="K72" s="23">
        <f t="shared" si="6"/>
        <v>1.4236111111111112</v>
      </c>
      <c r="L72" s="68">
        <f t="shared" si="10"/>
        <v>0.14583333333333348</v>
      </c>
      <c r="M72" s="72">
        <v>210</v>
      </c>
      <c r="N72" s="69">
        <f>M72-(H11+J11+K11+L11+M11+N11+AA11+Z11+AB11+AC11)</f>
        <v>158</v>
      </c>
      <c r="P72" s="65">
        <f t="shared" si="7"/>
        <v>46205</v>
      </c>
      <c r="Q72" s="74" t="str">
        <f t="shared" si="8"/>
        <v>VITA MALT GINGER</v>
      </c>
      <c r="R72" s="23">
        <f t="shared" si="11"/>
        <v>1.2777777777777777</v>
      </c>
      <c r="S72" s="23">
        <f t="shared" si="9"/>
        <v>1.4236111111111112</v>
      </c>
      <c r="T72" s="668"/>
    </row>
    <row r="73" spans="1:50">
      <c r="H73" s="65">
        <f t="shared" si="3"/>
        <v>46205</v>
      </c>
      <c r="I73" s="1" t="str">
        <f t="shared" si="4"/>
        <v>CARIB AMBER</v>
      </c>
      <c r="J73" s="23">
        <f t="shared" si="5"/>
        <v>1.6493055555555556</v>
      </c>
      <c r="K73" s="23">
        <f t="shared" si="6"/>
        <v>2</v>
      </c>
      <c r="L73" s="68">
        <f t="shared" si="10"/>
        <v>0.35069444444444442</v>
      </c>
      <c r="M73" s="72">
        <v>505</v>
      </c>
      <c r="N73" s="69">
        <f>M73-(H12+J12+K12+L12+M12+N12+AA12+AB12+AC12)</f>
        <v>502</v>
      </c>
      <c r="P73" s="65">
        <f t="shared" si="7"/>
        <v>46205</v>
      </c>
      <c r="Q73" s="74" t="str">
        <f t="shared" si="8"/>
        <v>CARIB AMBER</v>
      </c>
      <c r="R73" s="23">
        <f t="shared" si="11"/>
        <v>1.6493055555555556</v>
      </c>
      <c r="S73" s="23">
        <f t="shared" si="9"/>
        <v>2</v>
      </c>
      <c r="T73" s="668"/>
    </row>
    <row r="74" spans="1:50">
      <c r="H74" s="65">
        <f t="shared" si="3"/>
        <v>46206</v>
      </c>
      <c r="I74" s="1" t="str">
        <f t="shared" si="4"/>
        <v>CARIB AMBER</v>
      </c>
      <c r="J74" s="23">
        <f t="shared" si="5"/>
        <v>1.0104166666666667</v>
      </c>
      <c r="K74" s="23">
        <f t="shared" si="6"/>
        <v>1.2965277777777777</v>
      </c>
      <c r="L74" s="68">
        <f t="shared" si="10"/>
        <v>0.28611111111111098</v>
      </c>
      <c r="M74" s="3">
        <v>412</v>
      </c>
      <c r="N74" s="69">
        <f>M74-(H13+J13+K13+L13+M13+N13+AA13+Z13+AB13+AC13)</f>
        <v>392</v>
      </c>
      <c r="P74" s="65">
        <f t="shared" si="7"/>
        <v>46206</v>
      </c>
      <c r="Q74" s="74" t="str">
        <f t="shared" si="8"/>
        <v>CARIB AMBER</v>
      </c>
      <c r="R74" s="23">
        <f t="shared" si="11"/>
        <v>1.0104166666666667</v>
      </c>
      <c r="S74" s="23">
        <f t="shared" si="9"/>
        <v>1.2965277777777777</v>
      </c>
      <c r="T74" s="668">
        <f>S75-R74</f>
        <v>0.81944444444444442</v>
      </c>
    </row>
    <row r="75" spans="1:50">
      <c r="H75" s="65">
        <f t="shared" si="3"/>
        <v>46206</v>
      </c>
      <c r="I75" s="1" t="str">
        <f t="shared" si="4"/>
        <v>STAG</v>
      </c>
      <c r="J75" s="23">
        <f t="shared" si="5"/>
        <v>1.4819444444444445</v>
      </c>
      <c r="K75" s="23">
        <f t="shared" si="6"/>
        <v>1.8298611111111112</v>
      </c>
      <c r="L75" s="68">
        <f t="shared" si="10"/>
        <v>0.34791666666666665</v>
      </c>
      <c r="M75" s="3">
        <v>501</v>
      </c>
      <c r="N75" s="69">
        <f>M75-(H14+J14+K14+L14+M14+N14+AA14+AB14+10+3+AC14)</f>
        <v>485</v>
      </c>
      <c r="P75" s="65">
        <f t="shared" si="7"/>
        <v>46206</v>
      </c>
      <c r="Q75" s="74" t="str">
        <f t="shared" si="8"/>
        <v>STAG</v>
      </c>
      <c r="R75" s="23">
        <f t="shared" si="11"/>
        <v>1.4819444444444445</v>
      </c>
      <c r="S75" s="23">
        <f t="shared" si="9"/>
        <v>1.8298611111111112</v>
      </c>
      <c r="T75" s="668"/>
    </row>
    <row r="76" spans="1:50">
      <c r="H76" s="65">
        <f t="shared" si="3"/>
        <v>46209</v>
      </c>
      <c r="I76" s="1" t="str">
        <f t="shared" si="4"/>
        <v>STAG</v>
      </c>
      <c r="J76" s="23">
        <f t="shared" si="5"/>
        <v>1.0833333333333333</v>
      </c>
      <c r="K76" s="23">
        <f t="shared" si="6"/>
        <v>2</v>
      </c>
      <c r="L76" s="68">
        <f t="shared" si="10"/>
        <v>0.91666666666666674</v>
      </c>
      <c r="M76" s="72">
        <v>1320</v>
      </c>
      <c r="N76" s="69">
        <f>M76-(H15+J15+K15+L15+M15+N15+AA15+Z15+AB15+AC15)</f>
        <v>1278</v>
      </c>
      <c r="P76" s="65">
        <f t="shared" si="7"/>
        <v>46209</v>
      </c>
      <c r="Q76" s="74" t="str">
        <f t="shared" si="8"/>
        <v>STAG</v>
      </c>
      <c r="R76" s="76">
        <v>1.0416666666666667</v>
      </c>
      <c r="S76" s="23">
        <f t="shared" si="9"/>
        <v>2</v>
      </c>
      <c r="T76" s="75">
        <f>S76-R76</f>
        <v>0.95833333333333326</v>
      </c>
    </row>
    <row r="77" spans="1:50">
      <c r="H77" s="65">
        <f t="shared" si="3"/>
        <v>46210</v>
      </c>
      <c r="I77" s="1" t="str">
        <f t="shared" si="4"/>
        <v>STAG</v>
      </c>
      <c r="J77" s="23">
        <f t="shared" si="5"/>
        <v>1.0819444444444444</v>
      </c>
      <c r="K77" s="23">
        <f t="shared" si="6"/>
        <v>1.3423611111111111</v>
      </c>
      <c r="L77" s="68">
        <f t="shared" si="10"/>
        <v>0.26041666666666674</v>
      </c>
      <c r="M77" s="72">
        <v>375</v>
      </c>
      <c r="N77" s="69">
        <f>M77-(H16+J16+K16+L16+L17+N16+AA16+AB16+AC16)</f>
        <v>370</v>
      </c>
      <c r="P77" s="65">
        <f t="shared" si="7"/>
        <v>46210</v>
      </c>
      <c r="Q77" s="74" t="str">
        <f t="shared" si="8"/>
        <v>STAG</v>
      </c>
      <c r="R77" s="76">
        <v>1</v>
      </c>
      <c r="S77" s="23">
        <f t="shared" si="9"/>
        <v>1.3423611111111111</v>
      </c>
      <c r="T77" s="668">
        <f>S78-R77</f>
        <v>1</v>
      </c>
    </row>
    <row r="78" spans="1:50">
      <c r="H78" s="65">
        <f t="shared" si="3"/>
        <v>46210</v>
      </c>
      <c r="I78" s="1" t="str">
        <f t="shared" si="4"/>
        <v>CARIB AMBER</v>
      </c>
      <c r="J78" s="23">
        <f t="shared" si="5"/>
        <v>1.8833333333333333</v>
      </c>
      <c r="K78" s="23">
        <f t="shared" si="6"/>
        <v>2</v>
      </c>
      <c r="L78" s="68">
        <f t="shared" si="10"/>
        <v>0.1166666666666667</v>
      </c>
      <c r="M78" s="3">
        <v>168</v>
      </c>
      <c r="N78" s="69">
        <f>M78-(H17+J17+K17+L17+L18+N17+AA17+AB17+AC17)</f>
        <v>153</v>
      </c>
      <c r="P78" s="65">
        <f t="shared" si="7"/>
        <v>46210</v>
      </c>
      <c r="Q78" s="74" t="str">
        <f t="shared" si="8"/>
        <v>CARIB AMBER</v>
      </c>
      <c r="R78" s="23">
        <f t="shared" ref="R78:R85" si="12">E17</f>
        <v>1.8833333333333333</v>
      </c>
      <c r="S78" s="23">
        <f t="shared" si="9"/>
        <v>2</v>
      </c>
      <c r="T78" s="668"/>
    </row>
    <row r="79" spans="1:50">
      <c r="H79" s="65">
        <f t="shared" si="3"/>
        <v>46211</v>
      </c>
      <c r="I79" s="1" t="str">
        <f t="shared" si="4"/>
        <v>CARIB AMBER</v>
      </c>
      <c r="J79" s="23">
        <f t="shared" si="5"/>
        <v>1.0097222222222222</v>
      </c>
      <c r="K79" s="23">
        <f t="shared" si="6"/>
        <v>1.5222222222222221</v>
      </c>
      <c r="L79" s="68">
        <f t="shared" si="10"/>
        <v>0.51249999999999996</v>
      </c>
      <c r="M79" s="3">
        <v>738</v>
      </c>
      <c r="N79" s="69">
        <f>M79-(H18+J18+K18+L18+L19+N18+AA18+AB18+AC18)</f>
        <v>729</v>
      </c>
      <c r="P79" s="65">
        <f t="shared" si="7"/>
        <v>46211</v>
      </c>
      <c r="Q79" s="74" t="str">
        <f t="shared" si="8"/>
        <v>CARIB AMBER</v>
      </c>
      <c r="R79" s="23">
        <f t="shared" si="12"/>
        <v>1.0097222222222222</v>
      </c>
      <c r="S79" s="23">
        <f t="shared" si="9"/>
        <v>1.5222222222222221</v>
      </c>
      <c r="T79" s="668">
        <f>S83-R79</f>
        <v>0.99027777777777781</v>
      </c>
    </row>
    <row r="80" spans="1:50">
      <c r="H80" s="65">
        <f t="shared" si="3"/>
        <v>46211</v>
      </c>
      <c r="I80" s="1" t="str">
        <f t="shared" si="4"/>
        <v>SHANDY LIME LOCAL</v>
      </c>
      <c r="J80" s="23">
        <f t="shared" si="5"/>
        <v>1.5729166666666667</v>
      </c>
      <c r="K80" s="23">
        <f t="shared" si="6"/>
        <v>1.6944444444444444</v>
      </c>
      <c r="L80" s="68">
        <f>K80-J80</f>
        <v>0.12152777777777768</v>
      </c>
      <c r="M80" s="3">
        <v>175</v>
      </c>
      <c r="N80" s="69">
        <f>M80-(H19+J19+K19+L19+L20+N19+AA19+AB19+AC19)</f>
        <v>164</v>
      </c>
      <c r="P80" s="65">
        <f t="shared" si="7"/>
        <v>46211</v>
      </c>
      <c r="Q80" s="74" t="str">
        <f t="shared" si="8"/>
        <v>SHANDY LIME LOCAL</v>
      </c>
      <c r="R80" s="23">
        <f t="shared" si="12"/>
        <v>1.5729166666666667</v>
      </c>
      <c r="S80" s="23">
        <f t="shared" si="9"/>
        <v>1.6944444444444444</v>
      </c>
      <c r="T80" s="668"/>
    </row>
    <row r="81" spans="8:20">
      <c r="H81" s="65">
        <f t="shared" si="3"/>
        <v>46211</v>
      </c>
      <c r="I81" s="1" t="str">
        <f t="shared" si="4"/>
        <v>SHANDY LIME EXPORT</v>
      </c>
      <c r="J81" s="23">
        <f t="shared" si="5"/>
        <v>1.7083333333333333</v>
      </c>
      <c r="K81" s="23">
        <f t="shared" si="6"/>
        <v>1.75</v>
      </c>
      <c r="L81" s="68">
        <f>K81-J81</f>
        <v>4.1666666666666741E-2</v>
      </c>
      <c r="M81" s="3">
        <v>60</v>
      </c>
      <c r="N81" s="69">
        <f>M81-(H20+J20+K20+L20+L21+N20+AA20+AB20+AC20)</f>
        <v>60</v>
      </c>
      <c r="P81" s="65">
        <f t="shared" si="7"/>
        <v>46211</v>
      </c>
      <c r="Q81" s="74" t="str">
        <f t="shared" si="8"/>
        <v>SHANDY LIME EXPORT</v>
      </c>
      <c r="R81" s="23">
        <f t="shared" si="12"/>
        <v>1.7083333333333333</v>
      </c>
      <c r="S81" s="23">
        <f t="shared" si="9"/>
        <v>1.75</v>
      </c>
      <c r="T81" s="668"/>
    </row>
    <row r="82" spans="8:20">
      <c r="H82" s="65">
        <f t="shared" si="3"/>
        <v>46211</v>
      </c>
      <c r="I82" s="1" t="str">
        <f t="shared" si="4"/>
        <v>SHANDY GINGER EXPORT</v>
      </c>
      <c r="J82" s="23">
        <f t="shared" si="5"/>
        <v>1.7826388888888889</v>
      </c>
      <c r="K82" s="23">
        <f t="shared" si="6"/>
        <v>0</v>
      </c>
      <c r="L82" s="785">
        <f>K83-J82</f>
        <v>0.21736111111111112</v>
      </c>
      <c r="M82" s="784">
        <v>313</v>
      </c>
      <c r="N82" s="786">
        <f>M82-(H21+J21+K21+L21+L22+N21+AA21+AB21+AC21+Z21)</f>
        <v>280</v>
      </c>
      <c r="P82" s="65">
        <f t="shared" si="7"/>
        <v>46211</v>
      </c>
      <c r="Q82" s="74" t="str">
        <f t="shared" si="8"/>
        <v>SHANDY GINGER EXPORT</v>
      </c>
      <c r="R82" s="23">
        <f t="shared" si="12"/>
        <v>1.7826388888888889</v>
      </c>
      <c r="S82" s="23">
        <f t="shared" si="9"/>
        <v>0</v>
      </c>
      <c r="T82" s="668"/>
    </row>
    <row r="83" spans="8:20">
      <c r="H83" s="65">
        <f t="shared" si="3"/>
        <v>46211</v>
      </c>
      <c r="I83" s="1" t="str">
        <f t="shared" si="4"/>
        <v>SHANDY GINGER LOCAL</v>
      </c>
      <c r="J83" s="23">
        <f t="shared" si="5"/>
        <v>0</v>
      </c>
      <c r="K83" s="23">
        <f t="shared" si="6"/>
        <v>2</v>
      </c>
      <c r="L83" s="785"/>
      <c r="M83" s="784"/>
      <c r="N83" s="786"/>
      <c r="P83" s="65">
        <f t="shared" si="7"/>
        <v>46211</v>
      </c>
      <c r="Q83" s="74" t="str">
        <f t="shared" si="8"/>
        <v>SHANDY GINGER LOCAL</v>
      </c>
      <c r="R83" s="23">
        <f t="shared" si="12"/>
        <v>0</v>
      </c>
      <c r="S83" s="23">
        <f t="shared" si="9"/>
        <v>2</v>
      </c>
      <c r="T83" s="668"/>
    </row>
    <row r="84" spans="8:20">
      <c r="H84" s="65">
        <f t="shared" si="3"/>
        <v>46212</v>
      </c>
      <c r="I84" s="1" t="str">
        <f t="shared" si="4"/>
        <v>SHANDY GINGER LOCAL</v>
      </c>
      <c r="J84" s="23">
        <f t="shared" si="5"/>
        <v>1.0069444444444444</v>
      </c>
      <c r="K84" s="23">
        <f t="shared" si="6"/>
        <v>1.4618055555555556</v>
      </c>
      <c r="L84" s="68">
        <f t="shared" ref="L84" si="13">K84-J84</f>
        <v>0.45486111111111116</v>
      </c>
      <c r="M84" s="3">
        <v>655</v>
      </c>
      <c r="N84" s="69">
        <f>M84-(H23+J23+K23+L23+L24+N23+AA23+AB23+AC23)</f>
        <v>650</v>
      </c>
      <c r="P84" s="65">
        <f t="shared" si="7"/>
        <v>46212</v>
      </c>
      <c r="Q84" s="74" t="str">
        <f t="shared" si="8"/>
        <v>SHANDY GINGER LOCAL</v>
      </c>
      <c r="R84" s="23">
        <f t="shared" si="12"/>
        <v>1.0069444444444444</v>
      </c>
      <c r="S84" s="23">
        <f t="shared" si="9"/>
        <v>1.4618055555555556</v>
      </c>
      <c r="T84" s="668">
        <f>S86-R84</f>
        <v>0.99305555555555558</v>
      </c>
    </row>
    <row r="85" spans="8:20">
      <c r="H85" s="65">
        <f t="shared" si="3"/>
        <v>46212</v>
      </c>
      <c r="I85" s="1" t="str">
        <f t="shared" si="4"/>
        <v>SHANDY SORREL EXPORT</v>
      </c>
      <c r="J85" s="23">
        <f t="shared" si="5"/>
        <v>1.4736111111111112</v>
      </c>
      <c r="K85" s="23">
        <f t="shared" si="6"/>
        <v>1.6715277777777777</v>
      </c>
      <c r="L85" s="68">
        <f t="shared" ref="L85:L105" si="14">K85-J85</f>
        <v>0.19791666666666652</v>
      </c>
      <c r="M85" s="3">
        <v>285</v>
      </c>
      <c r="N85" s="69">
        <f>M85-(H24+J24+K24+L24+L25+N24+AA24+AB24+AC24)</f>
        <v>279</v>
      </c>
      <c r="P85" s="65">
        <f t="shared" si="7"/>
        <v>46212</v>
      </c>
      <c r="Q85" s="74" t="str">
        <f t="shared" si="8"/>
        <v>SHANDY SORREL EXPORT</v>
      </c>
      <c r="R85" s="23">
        <f t="shared" si="12"/>
        <v>1.4736111111111112</v>
      </c>
      <c r="S85" s="23">
        <f t="shared" si="9"/>
        <v>1.6715277777777777</v>
      </c>
      <c r="T85" s="668"/>
    </row>
    <row r="86" spans="8:20">
      <c r="H86" s="65">
        <f t="shared" si="3"/>
        <v>46212</v>
      </c>
      <c r="I86" s="1" t="str">
        <f t="shared" si="4"/>
        <v>SHANDY SORREL LOCAL</v>
      </c>
      <c r="J86" s="23">
        <f t="shared" si="5"/>
        <v>1.7083333333333333</v>
      </c>
      <c r="K86" s="23">
        <f t="shared" si="6"/>
        <v>1.8611111111111112</v>
      </c>
      <c r="L86" s="68">
        <f t="shared" si="14"/>
        <v>0.1527777777777779</v>
      </c>
      <c r="M86" s="3">
        <v>220</v>
      </c>
      <c r="N86" s="69">
        <f>M86-(H25+J25+K25+L25+L26+N25+AA25+AB25+AC25)</f>
        <v>214</v>
      </c>
      <c r="P86" s="65">
        <f t="shared" si="7"/>
        <v>46212</v>
      </c>
      <c r="Q86" s="74" t="str">
        <f t="shared" si="8"/>
        <v>SHANDY SORREL LOCAL</v>
      </c>
      <c r="R86" s="23">
        <f>F24</f>
        <v>1.6715277777777777</v>
      </c>
      <c r="S86" s="76">
        <v>2</v>
      </c>
      <c r="T86" s="668"/>
    </row>
    <row r="87" spans="8:20">
      <c r="H87" s="65">
        <f t="shared" si="3"/>
        <v>46213</v>
      </c>
      <c r="I87" s="1" t="str">
        <f t="shared" si="4"/>
        <v>MACKESON</v>
      </c>
      <c r="J87" s="23">
        <f t="shared" si="5"/>
        <v>1.0194444444444444</v>
      </c>
      <c r="K87" s="23">
        <f t="shared" si="6"/>
        <v>1.40625</v>
      </c>
      <c r="L87" s="68">
        <f t="shared" si="14"/>
        <v>0.38680555555555562</v>
      </c>
      <c r="M87" s="3">
        <v>557</v>
      </c>
      <c r="N87" s="69">
        <f>M87-(H26+J26+K26+L26+L27+N26+AA26+AB26+AC26)</f>
        <v>537</v>
      </c>
      <c r="P87" s="65">
        <f t="shared" si="7"/>
        <v>46213</v>
      </c>
      <c r="Q87" s="74" t="str">
        <f t="shared" si="8"/>
        <v>MACKESON</v>
      </c>
      <c r="R87" s="23">
        <f t="shared" ref="R87:S91" si="15">E26</f>
        <v>1.0194444444444444</v>
      </c>
      <c r="S87" s="23">
        <f t="shared" si="15"/>
        <v>1.40625</v>
      </c>
      <c r="T87" s="668">
        <f>S88-R87</f>
        <v>0.8208333333333333</v>
      </c>
    </row>
    <row r="88" spans="8:20">
      <c r="H88" s="65">
        <f t="shared" si="3"/>
        <v>46213</v>
      </c>
      <c r="I88" s="1" t="str">
        <f t="shared" si="4"/>
        <v>GUINNESS</v>
      </c>
      <c r="J88" s="23">
        <f t="shared" si="5"/>
        <v>1.5069444444444444</v>
      </c>
      <c r="K88" s="23">
        <f t="shared" si="6"/>
        <v>1.8402777777777777</v>
      </c>
      <c r="L88" s="68">
        <f t="shared" si="14"/>
        <v>0.33333333333333326</v>
      </c>
      <c r="M88" s="3">
        <v>480</v>
      </c>
      <c r="N88" s="69">
        <f>M88-(H27+J27+K27+L27+N27+AA27+AB27+AC27)</f>
        <v>471</v>
      </c>
      <c r="P88" s="65">
        <f t="shared" si="7"/>
        <v>46213</v>
      </c>
      <c r="Q88" s="74" t="str">
        <f t="shared" si="8"/>
        <v>GUINNESS</v>
      </c>
      <c r="R88" s="23">
        <f t="shared" si="15"/>
        <v>1.5069444444444444</v>
      </c>
      <c r="S88" s="23">
        <f t="shared" si="15"/>
        <v>1.8402777777777777</v>
      </c>
      <c r="T88" s="668"/>
    </row>
    <row r="89" spans="8:20">
      <c r="H89" s="65">
        <f t="shared" si="3"/>
        <v>46216</v>
      </c>
      <c r="I89" s="1" t="str">
        <f t="shared" si="4"/>
        <v>GUINNESS</v>
      </c>
      <c r="J89" s="23">
        <f t="shared" si="5"/>
        <v>1.0729166666666667</v>
      </c>
      <c r="K89" s="23">
        <f t="shared" si="6"/>
        <v>1.7277777777777779</v>
      </c>
      <c r="L89" s="68">
        <f t="shared" si="14"/>
        <v>0.65486111111111112</v>
      </c>
      <c r="M89" s="3">
        <v>943</v>
      </c>
      <c r="N89" s="69">
        <f>M89-(H28+J28+K28+L28+L29+N28+AA28+AB28+AC28)</f>
        <v>929</v>
      </c>
      <c r="P89" s="65">
        <f t="shared" si="7"/>
        <v>46216</v>
      </c>
      <c r="Q89" s="74" t="str">
        <f t="shared" si="8"/>
        <v>GUINNESS</v>
      </c>
      <c r="R89" s="23">
        <f t="shared" si="15"/>
        <v>1.0729166666666667</v>
      </c>
      <c r="S89" s="23">
        <f t="shared" si="15"/>
        <v>1.7277777777777779</v>
      </c>
      <c r="T89" s="668">
        <f>S90-R89</f>
        <v>0.92708333333333326</v>
      </c>
    </row>
    <row r="90" spans="8:20">
      <c r="H90" s="65">
        <f t="shared" si="3"/>
        <v>46216</v>
      </c>
      <c r="I90" s="1" t="str">
        <f t="shared" si="4"/>
        <v>STAG</v>
      </c>
      <c r="J90" s="23">
        <f t="shared" si="5"/>
        <v>1.8340277777777778</v>
      </c>
      <c r="K90" s="23">
        <f t="shared" si="6"/>
        <v>2</v>
      </c>
      <c r="L90" s="68">
        <f t="shared" si="14"/>
        <v>0.16597222222222219</v>
      </c>
      <c r="M90" s="3">
        <v>239</v>
      </c>
      <c r="N90" s="69">
        <f>M90-(H29+J29+K29+L29+N29+AA29+AB29+AC29+3)</f>
        <v>176</v>
      </c>
      <c r="P90" s="65">
        <f t="shared" si="7"/>
        <v>46216</v>
      </c>
      <c r="Q90" s="74" t="str">
        <f t="shared" si="8"/>
        <v>STAG</v>
      </c>
      <c r="R90" s="23">
        <f t="shared" si="15"/>
        <v>1.8340277777777778</v>
      </c>
      <c r="S90" s="23">
        <f t="shared" si="15"/>
        <v>2</v>
      </c>
      <c r="T90" s="668"/>
    </row>
    <row r="91" spans="8:20">
      <c r="H91" s="65">
        <f t="shared" si="3"/>
        <v>46217</v>
      </c>
      <c r="I91" s="1" t="str">
        <f t="shared" si="4"/>
        <v>STAG</v>
      </c>
      <c r="J91" s="23">
        <f t="shared" si="5"/>
        <v>1.0104166666666667</v>
      </c>
      <c r="K91" s="23">
        <f t="shared" si="6"/>
        <v>2.0222222222222221</v>
      </c>
      <c r="L91" s="68">
        <f t="shared" si="14"/>
        <v>1.0118055555555554</v>
      </c>
      <c r="M91" s="3">
        <v>1472</v>
      </c>
      <c r="N91" s="69">
        <f t="shared" ref="N91:N97" si="16">M91-(H30+J30+K30+L30+L31+N30+AA30+AB30+AC30)</f>
        <v>1302</v>
      </c>
      <c r="P91" s="65">
        <f t="shared" si="7"/>
        <v>46217</v>
      </c>
      <c r="Q91" s="74" t="str">
        <f t="shared" si="8"/>
        <v>STAG</v>
      </c>
      <c r="R91" s="23">
        <f t="shared" si="15"/>
        <v>1.0104166666666667</v>
      </c>
      <c r="S91" s="23">
        <f t="shared" si="15"/>
        <v>2.0222222222222221</v>
      </c>
      <c r="T91" s="75">
        <f>S91-R91</f>
        <v>1.0118055555555554</v>
      </c>
    </row>
    <row r="92" spans="8:20">
      <c r="H92" s="65">
        <f t="shared" si="3"/>
        <v>46218</v>
      </c>
      <c r="I92" s="1" t="str">
        <f t="shared" si="4"/>
        <v xml:space="preserve">CARIB FLINT EXPORT </v>
      </c>
      <c r="J92" s="23">
        <f t="shared" si="5"/>
        <v>1.0694444444444444</v>
      </c>
      <c r="K92" s="23">
        <f t="shared" si="6"/>
        <v>1.4861111111111112</v>
      </c>
      <c r="L92" s="68">
        <f t="shared" si="14"/>
        <v>0.41666666666666674</v>
      </c>
      <c r="M92" s="3">
        <v>600</v>
      </c>
      <c r="N92" s="69">
        <f t="shared" si="16"/>
        <v>566</v>
      </c>
      <c r="P92" s="65">
        <f t="shared" si="7"/>
        <v>46218</v>
      </c>
      <c r="Q92" s="74" t="str">
        <f t="shared" si="8"/>
        <v xml:space="preserve">CARIB FLINT EXPORT </v>
      </c>
      <c r="R92" s="76">
        <v>1</v>
      </c>
      <c r="S92" s="23">
        <f t="shared" ref="S92:S98" si="17">F31</f>
        <v>1.4861111111111112</v>
      </c>
      <c r="T92" s="668">
        <f>S93-R92</f>
        <v>1</v>
      </c>
    </row>
    <row r="93" spans="8:20">
      <c r="H93" s="65">
        <f t="shared" si="3"/>
        <v>46218</v>
      </c>
      <c r="I93" s="1" t="str">
        <f t="shared" si="4"/>
        <v>STAG</v>
      </c>
      <c r="J93" s="23">
        <f t="shared" si="5"/>
        <v>1.5333333333333334</v>
      </c>
      <c r="K93" s="23">
        <f t="shared" si="6"/>
        <v>2</v>
      </c>
      <c r="L93" s="68">
        <f t="shared" si="14"/>
        <v>0.46666666666666656</v>
      </c>
      <c r="M93" s="3">
        <v>672</v>
      </c>
      <c r="N93" s="69">
        <f t="shared" si="16"/>
        <v>660</v>
      </c>
      <c r="P93" s="65">
        <f t="shared" si="7"/>
        <v>46218</v>
      </c>
      <c r="Q93" s="74" t="str">
        <f t="shared" si="8"/>
        <v>STAG</v>
      </c>
      <c r="R93" s="23">
        <f t="shared" ref="R93:R99" si="18">E32</f>
        <v>1.5333333333333334</v>
      </c>
      <c r="S93" s="23">
        <f t="shared" si="17"/>
        <v>2</v>
      </c>
      <c r="T93" s="668"/>
    </row>
    <row r="94" spans="8:20">
      <c r="H94" s="65">
        <f t="shared" si="3"/>
        <v>46219</v>
      </c>
      <c r="I94" s="1" t="str">
        <f t="shared" si="4"/>
        <v>STAG</v>
      </c>
      <c r="J94" s="23">
        <f t="shared" si="5"/>
        <v>1.0104166666666667</v>
      </c>
      <c r="K94" s="23">
        <f t="shared" si="6"/>
        <v>1.1388888888888888</v>
      </c>
      <c r="L94" s="68">
        <f t="shared" si="14"/>
        <v>0.1284722222222221</v>
      </c>
      <c r="M94" s="3">
        <v>185</v>
      </c>
      <c r="N94" s="69">
        <f t="shared" si="16"/>
        <v>176</v>
      </c>
      <c r="P94" s="65">
        <f t="shared" si="7"/>
        <v>46219</v>
      </c>
      <c r="Q94" s="74" t="str">
        <f t="shared" si="8"/>
        <v>STAG</v>
      </c>
      <c r="R94" s="23">
        <f t="shared" si="18"/>
        <v>1.0104166666666667</v>
      </c>
      <c r="S94" s="23">
        <f t="shared" si="17"/>
        <v>1.1388888888888888</v>
      </c>
      <c r="T94" s="668">
        <f>S97-R94</f>
        <v>0.98958333333333326</v>
      </c>
    </row>
    <row r="95" spans="8:20">
      <c r="H95" s="65">
        <f t="shared" si="3"/>
        <v>46219</v>
      </c>
      <c r="I95" s="1" t="str">
        <f t="shared" si="4"/>
        <v xml:space="preserve">CARIB FLINT EXPORT </v>
      </c>
      <c r="J95" s="23">
        <f t="shared" si="5"/>
        <v>1.1666666666666667</v>
      </c>
      <c r="K95" s="23">
        <f t="shared" si="6"/>
        <v>1.5874999999999999</v>
      </c>
      <c r="L95" s="68">
        <f t="shared" si="14"/>
        <v>0.42083333333333317</v>
      </c>
      <c r="M95" s="3">
        <v>606</v>
      </c>
      <c r="N95" s="69">
        <f t="shared" si="16"/>
        <v>606</v>
      </c>
      <c r="P95" s="65">
        <f t="shared" si="7"/>
        <v>46219</v>
      </c>
      <c r="Q95" s="74" t="str">
        <f t="shared" si="8"/>
        <v xml:space="preserve">CARIB FLINT EXPORT </v>
      </c>
      <c r="R95" s="23">
        <f t="shared" si="18"/>
        <v>1.1666666666666667</v>
      </c>
      <c r="S95" s="23">
        <f t="shared" si="17"/>
        <v>1.5874999999999999</v>
      </c>
      <c r="T95" s="668"/>
    </row>
    <row r="96" spans="8:20">
      <c r="H96" s="65">
        <f t="shared" si="3"/>
        <v>46219</v>
      </c>
      <c r="I96" s="1" t="str">
        <f t="shared" si="4"/>
        <v>CARIB FLINT LOCAL</v>
      </c>
      <c r="J96" s="23">
        <f t="shared" si="5"/>
        <v>1.6020833333333333</v>
      </c>
      <c r="K96" s="23">
        <f t="shared" si="6"/>
        <v>1.7715277777777778</v>
      </c>
      <c r="L96" s="68">
        <f t="shared" si="14"/>
        <v>0.16944444444444451</v>
      </c>
      <c r="M96" s="3">
        <v>244</v>
      </c>
      <c r="N96" s="69">
        <f t="shared" si="16"/>
        <v>244</v>
      </c>
      <c r="P96" s="65">
        <f t="shared" si="7"/>
        <v>46219</v>
      </c>
      <c r="Q96" s="74" t="str">
        <f t="shared" si="8"/>
        <v>CARIB FLINT LOCAL</v>
      </c>
      <c r="R96" s="23">
        <f t="shared" si="18"/>
        <v>1.6020833333333333</v>
      </c>
      <c r="S96" s="23">
        <f t="shared" si="17"/>
        <v>1.7715277777777778</v>
      </c>
      <c r="T96" s="668"/>
    </row>
    <row r="97" spans="1:20">
      <c r="H97" s="65">
        <f t="shared" si="3"/>
        <v>46219</v>
      </c>
      <c r="I97" s="1" t="str">
        <f t="shared" si="4"/>
        <v>CARIB AMBER</v>
      </c>
      <c r="J97" s="23">
        <f t="shared" si="5"/>
        <v>1.820138888888889</v>
      </c>
      <c r="K97" s="23">
        <f t="shared" si="6"/>
        <v>2</v>
      </c>
      <c r="L97" s="68">
        <f t="shared" si="14"/>
        <v>0.17986111111111103</v>
      </c>
      <c r="M97" s="3">
        <v>259</v>
      </c>
      <c r="N97" s="69">
        <f t="shared" si="16"/>
        <v>257</v>
      </c>
      <c r="P97" s="65">
        <f t="shared" si="7"/>
        <v>46219</v>
      </c>
      <c r="Q97" s="74" t="str">
        <f t="shared" si="8"/>
        <v>CARIB AMBER</v>
      </c>
      <c r="R97" s="23">
        <f t="shared" si="18"/>
        <v>1.820138888888889</v>
      </c>
      <c r="S97" s="23">
        <f t="shared" si="17"/>
        <v>2</v>
      </c>
      <c r="T97" s="668"/>
    </row>
    <row r="98" spans="1:20">
      <c r="H98" s="65">
        <f t="shared" si="3"/>
        <v>46220</v>
      </c>
      <c r="I98" s="1" t="str">
        <f t="shared" si="4"/>
        <v xml:space="preserve">CARIB AMBER </v>
      </c>
      <c r="J98" s="23">
        <f t="shared" si="5"/>
        <v>1.0152777777777777</v>
      </c>
      <c r="K98" s="23">
        <f t="shared" si="6"/>
        <v>1.15625</v>
      </c>
      <c r="L98" s="68">
        <f t="shared" si="14"/>
        <v>0.14097222222222228</v>
      </c>
      <c r="M98" s="3">
        <v>203</v>
      </c>
      <c r="N98" s="69">
        <f>M98-(H37+J37+K37+L37+N37+AA37+AB37+AC37)</f>
        <v>203</v>
      </c>
      <c r="P98" s="65">
        <f t="shared" si="7"/>
        <v>46220</v>
      </c>
      <c r="Q98" s="74" t="str">
        <f t="shared" si="8"/>
        <v xml:space="preserve">CARIB AMBER </v>
      </c>
      <c r="R98" s="23">
        <f t="shared" si="18"/>
        <v>1.0152777777777777</v>
      </c>
      <c r="S98" s="23">
        <f t="shared" si="17"/>
        <v>1.15625</v>
      </c>
      <c r="T98" s="668">
        <f>S99-R98</f>
        <v>0.85972222222222228</v>
      </c>
    </row>
    <row r="99" spans="1:20" s="497" customFormat="1">
      <c r="A99" s="498"/>
      <c r="B99" s="498"/>
      <c r="H99" s="621">
        <f t="shared" si="3"/>
        <v>46220</v>
      </c>
      <c r="I99" s="622" t="str">
        <f t="shared" si="4"/>
        <v>PINK TING</v>
      </c>
      <c r="J99" s="504">
        <f t="shared" si="5"/>
        <v>0</v>
      </c>
      <c r="K99" s="504">
        <f t="shared" si="6"/>
        <v>0</v>
      </c>
      <c r="L99" s="623">
        <f t="shared" si="14"/>
        <v>0</v>
      </c>
      <c r="M99" s="498"/>
      <c r="N99" s="69"/>
      <c r="P99" s="621">
        <f t="shared" si="7"/>
        <v>46220</v>
      </c>
      <c r="Q99" s="624" t="str">
        <f t="shared" si="8"/>
        <v>PINK TING</v>
      </c>
      <c r="R99" s="504">
        <f t="shared" si="18"/>
        <v>0</v>
      </c>
      <c r="S99" s="504">
        <v>1.875</v>
      </c>
      <c r="T99" s="668"/>
    </row>
    <row r="100" spans="1:20">
      <c r="H100" s="65">
        <f t="shared" si="3"/>
        <v>46223</v>
      </c>
      <c r="I100" s="1" t="str">
        <f t="shared" si="4"/>
        <v>STAR MALT</v>
      </c>
      <c r="J100" s="23">
        <f t="shared" si="5"/>
        <v>1.1444444444444444</v>
      </c>
      <c r="K100" s="23">
        <f t="shared" si="6"/>
        <v>1.8708333333333333</v>
      </c>
      <c r="L100" s="68">
        <f t="shared" si="14"/>
        <v>0.72638888888888897</v>
      </c>
      <c r="M100" s="3">
        <v>1046</v>
      </c>
      <c r="N100" s="69">
        <f>M100-(H39+J39+K39+L39+N39+AA39+AB39+AC39)</f>
        <v>1022</v>
      </c>
      <c r="P100" s="65">
        <f t="shared" si="7"/>
        <v>46223</v>
      </c>
      <c r="Q100" s="74" t="str">
        <f t="shared" si="8"/>
        <v>STAR MALT</v>
      </c>
      <c r="R100" s="76">
        <v>1.0416666666666667</v>
      </c>
      <c r="S100" s="23">
        <f>F39</f>
        <v>1.8708333333333333</v>
      </c>
      <c r="T100" s="668">
        <f>S101-R100</f>
        <v>0.95833333333333326</v>
      </c>
    </row>
    <row r="101" spans="1:20">
      <c r="H101" s="65">
        <f t="shared" ref="H101:H120" si="19">B40</f>
        <v>46223</v>
      </c>
      <c r="I101" s="1" t="str">
        <f t="shared" ref="I101:I120" si="20">C40</f>
        <v>PINK TING</v>
      </c>
      <c r="J101" s="23">
        <f t="shared" ref="J101:J120" si="21">E40</f>
        <v>0</v>
      </c>
      <c r="K101" s="23">
        <f t="shared" ref="K101:K120" si="22">F40</f>
        <v>0</v>
      </c>
      <c r="L101" s="68">
        <f t="shared" si="14"/>
        <v>0</v>
      </c>
      <c r="M101" s="3"/>
      <c r="N101" s="69">
        <f>M101-(H40+J40+K40+L40+N40+AA40+AB40+AC40)</f>
        <v>0</v>
      </c>
      <c r="P101" s="65">
        <f t="shared" ref="P101:P121" si="23">B40</f>
        <v>46223</v>
      </c>
      <c r="Q101" s="74" t="str">
        <f t="shared" ref="Q101:Q121" si="24">C40</f>
        <v>PINK TING</v>
      </c>
      <c r="R101" s="23">
        <f t="shared" ref="R101:R106" si="25">E40</f>
        <v>0</v>
      </c>
      <c r="S101" s="76">
        <v>2</v>
      </c>
      <c r="T101" s="668"/>
    </row>
    <row r="102" spans="1:20">
      <c r="H102" s="65">
        <f t="shared" si="19"/>
        <v>46224</v>
      </c>
      <c r="I102" s="1" t="str">
        <f t="shared" si="20"/>
        <v>PINK TING</v>
      </c>
      <c r="J102" s="23">
        <f t="shared" si="21"/>
        <v>1</v>
      </c>
      <c r="K102" s="23">
        <f t="shared" si="22"/>
        <v>0</v>
      </c>
      <c r="L102" s="68">
        <f t="shared" si="14"/>
        <v>-1</v>
      </c>
      <c r="M102" s="3"/>
      <c r="N102" s="69"/>
      <c r="P102" s="65">
        <f t="shared" si="23"/>
        <v>46224</v>
      </c>
      <c r="Q102" s="74" t="str">
        <f t="shared" si="24"/>
        <v>PINK TING</v>
      </c>
      <c r="R102" s="23">
        <f t="shared" si="25"/>
        <v>1</v>
      </c>
      <c r="S102" s="23">
        <f>F41</f>
        <v>0</v>
      </c>
      <c r="T102" s="668">
        <f>S104-R102</f>
        <v>1</v>
      </c>
    </row>
    <row r="103" spans="1:20">
      <c r="H103" s="65">
        <f t="shared" si="19"/>
        <v>46224</v>
      </c>
      <c r="I103" s="1" t="str">
        <f t="shared" si="20"/>
        <v>CARIB AMBER</v>
      </c>
      <c r="J103" s="23">
        <f t="shared" si="21"/>
        <v>1.1354166666666667</v>
      </c>
      <c r="K103" s="23">
        <f t="shared" si="22"/>
        <v>1.6666666666666667</v>
      </c>
      <c r="L103" s="68">
        <f t="shared" si="14"/>
        <v>0.53125</v>
      </c>
      <c r="M103" s="3">
        <v>765</v>
      </c>
      <c r="N103" s="69">
        <f>M103-(H42+J42+K42+L42+N42+AA42+AB42+AC42+Z42)</f>
        <v>754</v>
      </c>
      <c r="P103" s="65">
        <f t="shared" si="23"/>
        <v>46224</v>
      </c>
      <c r="Q103" s="74" t="str">
        <f t="shared" si="24"/>
        <v>CARIB AMBER</v>
      </c>
      <c r="R103" s="23">
        <f t="shared" si="25"/>
        <v>1.1354166666666667</v>
      </c>
      <c r="S103" s="23">
        <f>F42</f>
        <v>1.6666666666666667</v>
      </c>
      <c r="T103" s="668"/>
    </row>
    <row r="104" spans="1:20">
      <c r="H104" s="65">
        <f t="shared" si="19"/>
        <v>46224</v>
      </c>
      <c r="I104" s="1" t="str">
        <f t="shared" si="20"/>
        <v>PINK TING</v>
      </c>
      <c r="J104" s="23">
        <f t="shared" si="21"/>
        <v>1.8125</v>
      </c>
      <c r="K104" s="23">
        <f t="shared" si="22"/>
        <v>2</v>
      </c>
      <c r="L104" s="68">
        <f t="shared" si="14"/>
        <v>0.1875</v>
      </c>
      <c r="M104" s="3">
        <v>270</v>
      </c>
      <c r="N104" s="69">
        <f>M104-(H43+J43+K43+L43+N43+AA43+AB43+AC43+Z43)</f>
        <v>238</v>
      </c>
      <c r="P104" s="65">
        <f t="shared" si="23"/>
        <v>46224</v>
      </c>
      <c r="Q104" s="74" t="str">
        <f t="shared" si="24"/>
        <v>PINK TING</v>
      </c>
      <c r="R104" s="23">
        <f t="shared" si="25"/>
        <v>1.8125</v>
      </c>
      <c r="S104" s="23">
        <f>F43</f>
        <v>2</v>
      </c>
      <c r="T104" s="668"/>
    </row>
    <row r="105" spans="1:20">
      <c r="H105" s="65">
        <f t="shared" si="19"/>
        <v>46225</v>
      </c>
      <c r="I105" s="1" t="str">
        <f t="shared" si="20"/>
        <v>PINK TING</v>
      </c>
      <c r="J105" s="23">
        <f t="shared" si="21"/>
        <v>1.0090277777777779</v>
      </c>
      <c r="K105" s="23">
        <f t="shared" si="22"/>
        <v>1.4722222222222223</v>
      </c>
      <c r="L105" s="68">
        <f t="shared" si="14"/>
        <v>0.46319444444444446</v>
      </c>
      <c r="M105" s="3">
        <v>667</v>
      </c>
      <c r="N105" s="69">
        <f>M105-(H44+J44+K44+L44+N44+AA44+AB44+AC44+Z44)</f>
        <v>539</v>
      </c>
      <c r="P105" s="65">
        <f t="shared" si="23"/>
        <v>46225</v>
      </c>
      <c r="Q105" s="74" t="str">
        <f t="shared" si="24"/>
        <v>PINK TING</v>
      </c>
      <c r="R105" s="23">
        <f t="shared" si="25"/>
        <v>1.0090277777777779</v>
      </c>
      <c r="S105" s="23">
        <f>F44</f>
        <v>1.4722222222222223</v>
      </c>
      <c r="T105" s="668">
        <f>S106-R105</f>
        <v>0.99097222222222214</v>
      </c>
    </row>
    <row r="106" spans="1:20">
      <c r="H106" s="65">
        <f t="shared" si="19"/>
        <v>46225</v>
      </c>
      <c r="I106" s="1" t="str">
        <f t="shared" si="20"/>
        <v>PORNSTAR MARTINI (TRIAL)</v>
      </c>
      <c r="J106" s="23">
        <f t="shared" si="21"/>
        <v>0</v>
      </c>
      <c r="K106" s="23">
        <f t="shared" si="22"/>
        <v>0</v>
      </c>
      <c r="L106" s="68">
        <f t="shared" ref="L106:L108" si="26">K106-J106</f>
        <v>0</v>
      </c>
      <c r="M106" s="3"/>
      <c r="N106" s="69"/>
      <c r="P106" s="65">
        <f t="shared" si="23"/>
        <v>46225</v>
      </c>
      <c r="Q106" s="74" t="str">
        <f t="shared" si="24"/>
        <v>PORNSTAR MARTINI (TRIAL)</v>
      </c>
      <c r="R106" s="23">
        <f t="shared" si="25"/>
        <v>0</v>
      </c>
      <c r="S106" s="76">
        <v>2</v>
      </c>
      <c r="T106" s="668"/>
    </row>
    <row r="107" spans="1:20">
      <c r="H107" s="65">
        <f t="shared" si="19"/>
        <v>46226</v>
      </c>
      <c r="I107" s="1" t="str">
        <f t="shared" si="20"/>
        <v>PORNSTAR MARTINI (TRIAL)</v>
      </c>
      <c r="J107" s="23">
        <f t="shared" si="21"/>
        <v>1.2361111111111112</v>
      </c>
      <c r="K107" s="23">
        <f t="shared" si="22"/>
        <v>1.7319444444444445</v>
      </c>
      <c r="L107" s="68">
        <f t="shared" si="26"/>
        <v>0.49583333333333335</v>
      </c>
      <c r="M107" s="3">
        <v>714</v>
      </c>
      <c r="N107" s="69">
        <f>M107-(H46+J46+K46+L46+N46+AA46+AB46+AC46+Z46)</f>
        <v>194</v>
      </c>
      <c r="P107" s="65">
        <f t="shared" si="23"/>
        <v>46226</v>
      </c>
      <c r="Q107" s="74" t="str">
        <f t="shared" si="24"/>
        <v>PORNSTAR MARTINI (TRIAL)</v>
      </c>
      <c r="R107" s="76">
        <v>1</v>
      </c>
      <c r="S107" s="23">
        <f>F46</f>
        <v>1.7319444444444445</v>
      </c>
      <c r="T107" s="668">
        <f>S108-R107</f>
        <v>1</v>
      </c>
    </row>
    <row r="108" spans="1:20">
      <c r="H108" s="65">
        <f t="shared" si="19"/>
        <v>46226</v>
      </c>
      <c r="I108" s="1" t="str">
        <f t="shared" si="20"/>
        <v>DARK BERRY ROYALE (TRAIL)</v>
      </c>
      <c r="J108" s="23">
        <f t="shared" si="21"/>
        <v>1.7916666666666667</v>
      </c>
      <c r="K108" s="23">
        <f t="shared" si="22"/>
        <v>2</v>
      </c>
      <c r="L108" s="68">
        <f t="shared" si="26"/>
        <v>0.20833333333333326</v>
      </c>
      <c r="M108" s="3">
        <v>300</v>
      </c>
      <c r="N108" s="69">
        <f>M108-(H47+J47+K47+L47+N47+AA47+AB47+AC47+Z47)</f>
        <v>297</v>
      </c>
      <c r="P108" s="65">
        <f t="shared" si="23"/>
        <v>46226</v>
      </c>
      <c r="Q108" s="74" t="str">
        <f t="shared" si="24"/>
        <v>DARK BERRY ROYALE (TRAIL)</v>
      </c>
      <c r="R108" s="23">
        <f>E47</f>
        <v>1.7916666666666667</v>
      </c>
      <c r="S108" s="23">
        <f>F47</f>
        <v>2</v>
      </c>
      <c r="T108" s="668"/>
    </row>
    <row r="109" spans="1:20">
      <c r="H109" s="65">
        <f t="shared" si="19"/>
        <v>46227</v>
      </c>
      <c r="I109" s="1" t="str">
        <f t="shared" si="20"/>
        <v>DARK BERRY ROYALE (TRAIL)</v>
      </c>
      <c r="J109" s="23">
        <f t="shared" si="21"/>
        <v>1.5368055555555555</v>
      </c>
      <c r="K109" s="23">
        <f t="shared" si="22"/>
        <v>1.7527777777777778</v>
      </c>
      <c r="L109" s="68">
        <f t="shared" ref="L109:L121" si="27">K109-J109</f>
        <v>0.21597222222222223</v>
      </c>
      <c r="M109" s="3">
        <v>311</v>
      </c>
      <c r="N109" s="69">
        <f>M109-(H48+K48+L48+N48+AA48+AB48+AC48+Z48)</f>
        <v>305</v>
      </c>
      <c r="P109" s="65">
        <f t="shared" si="23"/>
        <v>46227</v>
      </c>
      <c r="Q109" s="74" t="str">
        <f t="shared" si="24"/>
        <v>DARK BERRY ROYALE (TRAIL)</v>
      </c>
      <c r="R109" s="76">
        <v>1</v>
      </c>
      <c r="S109" s="23">
        <f>F48</f>
        <v>1.7527777777777778</v>
      </c>
      <c r="T109" s="668">
        <f>S110-R109</f>
        <v>0.875</v>
      </c>
    </row>
    <row r="110" spans="1:20">
      <c r="H110" s="65">
        <f t="shared" si="19"/>
        <v>46227</v>
      </c>
      <c r="I110" s="1" t="str">
        <f t="shared" si="20"/>
        <v>CARIB AMBER</v>
      </c>
      <c r="J110" s="23">
        <f t="shared" si="21"/>
        <v>0</v>
      </c>
      <c r="K110" s="23">
        <f t="shared" si="22"/>
        <v>0</v>
      </c>
      <c r="L110" s="68">
        <f t="shared" si="27"/>
        <v>0</v>
      </c>
      <c r="M110" s="3"/>
      <c r="N110" s="69">
        <f>M110-(H49+J49+K49+L49+N49+AA49+AB49+AC49+Z49)</f>
        <v>0</v>
      </c>
      <c r="P110" s="65">
        <f t="shared" si="23"/>
        <v>46227</v>
      </c>
      <c r="Q110" s="74" t="str">
        <f t="shared" si="24"/>
        <v>CARIB AMBER</v>
      </c>
      <c r="R110" s="23">
        <f>E49</f>
        <v>0</v>
      </c>
      <c r="S110" s="76">
        <v>1.875</v>
      </c>
      <c r="T110" s="668"/>
    </row>
    <row r="111" spans="1:20">
      <c r="H111" s="65">
        <f t="shared" si="19"/>
        <v>46230</v>
      </c>
      <c r="I111" s="1" t="str">
        <f t="shared" si="20"/>
        <v>CARIB AMBER</v>
      </c>
      <c r="J111" s="23">
        <f t="shared" si="21"/>
        <v>1.2256944444444444</v>
      </c>
      <c r="K111" s="23">
        <f t="shared" si="22"/>
        <v>2</v>
      </c>
      <c r="L111" s="68">
        <f t="shared" si="27"/>
        <v>0.77430555555555558</v>
      </c>
      <c r="M111" s="3">
        <v>1115</v>
      </c>
      <c r="N111" s="69">
        <f>M111-(H50+J50+K50+L50+N50+AA50+AB50+AC50+60)</f>
        <v>1050</v>
      </c>
      <c r="P111" s="65">
        <f t="shared" si="23"/>
        <v>46230</v>
      </c>
      <c r="Q111" s="74" t="str">
        <f t="shared" si="24"/>
        <v>CARIB AMBER</v>
      </c>
      <c r="R111" s="76">
        <v>1.0416666666666667</v>
      </c>
      <c r="S111" s="23">
        <f t="shared" ref="S111:S119" si="28">F50</f>
        <v>2</v>
      </c>
      <c r="T111" s="75">
        <f>S111-R111</f>
        <v>0.95833333333333326</v>
      </c>
    </row>
    <row r="112" spans="1:20">
      <c r="H112" s="65">
        <f t="shared" si="19"/>
        <v>46231</v>
      </c>
      <c r="I112" s="1" t="str">
        <f t="shared" si="20"/>
        <v>CARIB AMBER</v>
      </c>
      <c r="J112" s="23">
        <f t="shared" si="21"/>
        <v>1.0062500000000001</v>
      </c>
      <c r="K112" s="23">
        <f t="shared" si="22"/>
        <v>1.5243055555555556</v>
      </c>
      <c r="L112" s="68">
        <f t="shared" si="27"/>
        <v>0.51805555555555549</v>
      </c>
      <c r="M112" s="3">
        <v>746</v>
      </c>
      <c r="N112" s="69">
        <f>M112-(H51+J51+K51+L51+N51+AA51+AB51+AC51+4)</f>
        <v>732</v>
      </c>
      <c r="P112" s="65">
        <f t="shared" si="23"/>
        <v>46231</v>
      </c>
      <c r="Q112" s="74" t="str">
        <f t="shared" si="24"/>
        <v>CARIB AMBER</v>
      </c>
      <c r="R112" s="23">
        <f t="shared" ref="R112:R121" si="29">E51</f>
        <v>1.0062500000000001</v>
      </c>
      <c r="S112" s="23">
        <f t="shared" si="28"/>
        <v>1.5243055555555556</v>
      </c>
      <c r="T112" s="668">
        <f>S113-R112</f>
        <v>0.99374999999999991</v>
      </c>
    </row>
    <row r="113" spans="8:20">
      <c r="H113" s="65">
        <f t="shared" si="19"/>
        <v>46231</v>
      </c>
      <c r="I113" s="1" t="str">
        <f t="shared" si="20"/>
        <v>CARIB FLINT (EXPORT)</v>
      </c>
      <c r="J113" s="23">
        <f t="shared" si="21"/>
        <v>1.5326388888888889</v>
      </c>
      <c r="K113" s="23">
        <f t="shared" si="22"/>
        <v>2</v>
      </c>
      <c r="L113" s="68">
        <f t="shared" si="27"/>
        <v>0.46736111111111112</v>
      </c>
      <c r="M113" s="3">
        <v>673</v>
      </c>
      <c r="N113" s="69">
        <f>M113-(H52+J52+K52+L52+N52+AA52+AB52+AC52+Z52)</f>
        <v>652</v>
      </c>
      <c r="P113" s="65">
        <f t="shared" si="23"/>
        <v>46231</v>
      </c>
      <c r="Q113" s="74" t="str">
        <f t="shared" si="24"/>
        <v>CARIB FLINT (EXPORT)</v>
      </c>
      <c r="R113" s="23">
        <f t="shared" si="29"/>
        <v>1.5326388888888889</v>
      </c>
      <c r="S113" s="23">
        <f t="shared" si="28"/>
        <v>2</v>
      </c>
      <c r="T113" s="668"/>
    </row>
    <row r="114" spans="8:20">
      <c r="H114" s="65">
        <f t="shared" si="19"/>
        <v>46232</v>
      </c>
      <c r="I114" s="1" t="str">
        <f t="shared" si="20"/>
        <v>CARIB FLINT (EXPORT)</v>
      </c>
      <c r="J114" s="23">
        <f t="shared" si="21"/>
        <v>1.0069444444444444</v>
      </c>
      <c r="K114" s="23">
        <f t="shared" si="22"/>
        <v>1.0833333333333333</v>
      </c>
      <c r="L114" s="68">
        <f t="shared" si="27"/>
        <v>7.638888888888884E-2</v>
      </c>
      <c r="M114" s="3">
        <v>110</v>
      </c>
      <c r="N114" s="69">
        <f>M114-(H53+J53+K53+L53+N53+AA53+AB53+AC53)</f>
        <v>110</v>
      </c>
      <c r="P114" s="65">
        <f t="shared" si="23"/>
        <v>46232</v>
      </c>
      <c r="Q114" s="74" t="str">
        <f t="shared" si="24"/>
        <v>CARIB FLINT (EXPORT)</v>
      </c>
      <c r="R114" s="23">
        <f t="shared" si="29"/>
        <v>1.0069444444444444</v>
      </c>
      <c r="S114" s="23">
        <f t="shared" si="28"/>
        <v>1.0833333333333333</v>
      </c>
      <c r="T114" s="668">
        <f>S116-R114</f>
        <v>0.99305555555555558</v>
      </c>
    </row>
    <row r="115" spans="8:20">
      <c r="H115" s="65">
        <f t="shared" si="19"/>
        <v>46232</v>
      </c>
      <c r="I115" s="1" t="str">
        <f t="shared" si="20"/>
        <v>CARIB FLINT (LOCAL)</v>
      </c>
      <c r="J115" s="23">
        <f t="shared" si="21"/>
        <v>1.0833333333333333</v>
      </c>
      <c r="K115" s="23">
        <f t="shared" si="22"/>
        <v>1.1888888888888889</v>
      </c>
      <c r="L115" s="68">
        <f t="shared" si="27"/>
        <v>0.10555555555555562</v>
      </c>
      <c r="M115" s="3">
        <v>152</v>
      </c>
      <c r="N115" s="69">
        <f>M115-(H54+J54+K54+L54+N54+AA54+AB54+AC54+Z54)</f>
        <v>135</v>
      </c>
      <c r="P115" s="65">
        <f t="shared" si="23"/>
        <v>46232</v>
      </c>
      <c r="Q115" s="74" t="str">
        <f t="shared" si="24"/>
        <v>CARIB FLINT (LOCAL)</v>
      </c>
      <c r="R115" s="23">
        <f t="shared" si="29"/>
        <v>1.0833333333333333</v>
      </c>
      <c r="S115" s="23">
        <f t="shared" si="28"/>
        <v>1.1888888888888889</v>
      </c>
      <c r="T115" s="668"/>
    </row>
    <row r="116" spans="8:20">
      <c r="H116" s="65">
        <f t="shared" si="19"/>
        <v>46232</v>
      </c>
      <c r="I116" s="1" t="str">
        <f t="shared" si="20"/>
        <v>VITA MALT CLASSIC</v>
      </c>
      <c r="J116" s="23">
        <f t="shared" si="21"/>
        <v>1.5874999999999999</v>
      </c>
      <c r="K116" s="23">
        <f t="shared" si="22"/>
        <v>2</v>
      </c>
      <c r="L116" s="68">
        <f t="shared" si="27"/>
        <v>0.41250000000000009</v>
      </c>
      <c r="M116" s="3">
        <v>594</v>
      </c>
      <c r="N116" s="69">
        <f>M116-(H55+J55+K55+L55+N55+AA55+AB55+AC55+162)</f>
        <v>411</v>
      </c>
      <c r="P116" s="65">
        <f t="shared" si="23"/>
        <v>46232</v>
      </c>
      <c r="Q116" s="74" t="str">
        <f t="shared" si="24"/>
        <v>VITA MALT CLASSIC</v>
      </c>
      <c r="R116" s="23">
        <f t="shared" si="29"/>
        <v>1.5874999999999999</v>
      </c>
      <c r="S116" s="23">
        <f t="shared" si="28"/>
        <v>2</v>
      </c>
      <c r="T116" s="668"/>
    </row>
    <row r="117" spans="8:20">
      <c r="H117" s="65">
        <f t="shared" si="19"/>
        <v>46233</v>
      </c>
      <c r="I117" s="1" t="str">
        <f t="shared" si="20"/>
        <v>VITA MALT CLASSIC</v>
      </c>
      <c r="J117" s="23">
        <f t="shared" si="21"/>
        <v>1.0041666666666667</v>
      </c>
      <c r="K117" s="23">
        <f t="shared" si="22"/>
        <v>1.1145833333333333</v>
      </c>
      <c r="L117" s="68">
        <f t="shared" si="27"/>
        <v>0.11041666666666661</v>
      </c>
      <c r="M117" s="3">
        <v>159</v>
      </c>
      <c r="N117" s="69">
        <f>M117-(H56+J56+K56+L56+N56+AA56+AB56+AC56+Z56)</f>
        <v>151</v>
      </c>
      <c r="P117" s="65">
        <f t="shared" si="23"/>
        <v>46233</v>
      </c>
      <c r="Q117" s="74" t="str">
        <f t="shared" si="24"/>
        <v>VITA MALT CLASSIC</v>
      </c>
      <c r="R117" s="23">
        <f t="shared" si="29"/>
        <v>1.0041666666666667</v>
      </c>
      <c r="S117" s="23">
        <f t="shared" si="28"/>
        <v>1.1145833333333333</v>
      </c>
      <c r="T117" s="668">
        <f>S119-R117</f>
        <v>0.99583333333333335</v>
      </c>
    </row>
    <row r="118" spans="8:20">
      <c r="H118" s="65">
        <f t="shared" si="19"/>
        <v>46233</v>
      </c>
      <c r="I118" s="1" t="str">
        <f t="shared" si="20"/>
        <v>STAG</v>
      </c>
      <c r="J118" s="23">
        <f t="shared" si="21"/>
        <v>1.2430555555555556</v>
      </c>
      <c r="K118" s="23">
        <f t="shared" si="22"/>
        <v>1.8958333333333333</v>
      </c>
      <c r="L118" s="68">
        <f t="shared" si="27"/>
        <v>0.65277777777777768</v>
      </c>
      <c r="M118" s="3">
        <v>940</v>
      </c>
      <c r="N118" s="69">
        <f>M118-(H57+J57+K57+L57+N57+AA57+AB57+AC57+Z57)</f>
        <v>795</v>
      </c>
      <c r="P118" s="65">
        <f t="shared" si="23"/>
        <v>46233</v>
      </c>
      <c r="Q118" s="74" t="str">
        <f t="shared" si="24"/>
        <v>STAG</v>
      </c>
      <c r="R118" s="23">
        <f t="shared" si="29"/>
        <v>1.2430555555555556</v>
      </c>
      <c r="S118" s="23">
        <f t="shared" si="28"/>
        <v>1.8958333333333333</v>
      </c>
      <c r="T118" s="668"/>
    </row>
    <row r="119" spans="8:20">
      <c r="H119" s="65">
        <f t="shared" si="19"/>
        <v>46233</v>
      </c>
      <c r="I119" s="1" t="str">
        <f t="shared" si="20"/>
        <v xml:space="preserve">CARIB AMBER </v>
      </c>
      <c r="J119" s="23">
        <f t="shared" si="21"/>
        <v>1.9395833333333334</v>
      </c>
      <c r="K119" s="23">
        <f t="shared" si="22"/>
        <v>2</v>
      </c>
      <c r="L119" s="68">
        <f t="shared" si="27"/>
        <v>6.0416666666666563E-2</v>
      </c>
      <c r="M119" s="3">
        <v>87</v>
      </c>
      <c r="N119" s="69">
        <f>M119-(H58+J58+K58+L58+N58+AA58+AB58+AC58)</f>
        <v>81</v>
      </c>
      <c r="P119" s="65">
        <f t="shared" si="23"/>
        <v>46233</v>
      </c>
      <c r="Q119" s="74" t="str">
        <f t="shared" si="24"/>
        <v xml:space="preserve">CARIB AMBER </v>
      </c>
      <c r="R119" s="23">
        <f t="shared" si="29"/>
        <v>1.9395833333333334</v>
      </c>
      <c r="S119" s="23">
        <f t="shared" si="28"/>
        <v>2</v>
      </c>
      <c r="T119" s="668"/>
    </row>
    <row r="120" spans="8:20">
      <c r="H120" s="65">
        <f t="shared" si="19"/>
        <v>46234</v>
      </c>
      <c r="I120" s="1" t="str">
        <f t="shared" si="20"/>
        <v>CARIB AMBER</v>
      </c>
      <c r="J120" s="23">
        <f t="shared" si="21"/>
        <v>1.0069444444444444</v>
      </c>
      <c r="K120" s="23">
        <f t="shared" si="22"/>
        <v>1.7444444444444445</v>
      </c>
      <c r="L120" s="68">
        <f t="shared" si="27"/>
        <v>0.73750000000000004</v>
      </c>
      <c r="M120" s="3">
        <v>1062</v>
      </c>
      <c r="N120" s="69">
        <f>M120-(H59+J59+K59+L59+N59+AA59+AB59+AC59+36)</f>
        <v>945</v>
      </c>
      <c r="P120" s="65">
        <f t="shared" si="23"/>
        <v>46234</v>
      </c>
      <c r="Q120" s="74" t="str">
        <f t="shared" si="24"/>
        <v>CARIB AMBER</v>
      </c>
      <c r="R120" s="23">
        <f t="shared" si="29"/>
        <v>1.0069444444444444</v>
      </c>
      <c r="S120" s="76">
        <v>1.875</v>
      </c>
      <c r="T120" s="75">
        <f>S120-R120</f>
        <v>0.86805555555555558</v>
      </c>
    </row>
    <row r="121" spans="8:20">
      <c r="H121" s="65">
        <f t="shared" ref="H121" si="30">B61</f>
        <v>0</v>
      </c>
      <c r="I121" s="1">
        <f t="shared" ref="I121" si="31">C61</f>
        <v>0</v>
      </c>
      <c r="J121" s="23">
        <f t="shared" ref="J121" si="32">E61</f>
        <v>0</v>
      </c>
      <c r="K121" s="23">
        <f t="shared" ref="K121" si="33">F61</f>
        <v>0</v>
      </c>
      <c r="L121" s="68">
        <f t="shared" si="27"/>
        <v>0</v>
      </c>
      <c r="N121" s="69"/>
      <c r="P121" s="65">
        <f t="shared" si="23"/>
        <v>0</v>
      </c>
      <c r="Q121" s="74">
        <f t="shared" si="24"/>
        <v>0</v>
      </c>
      <c r="R121" s="23">
        <f t="shared" si="29"/>
        <v>0</v>
      </c>
      <c r="S121" s="23">
        <f>F60</f>
        <v>0</v>
      </c>
    </row>
    <row r="122" spans="8:20">
      <c r="N122" s="69"/>
      <c r="P122" s="65" t="e">
        <f>#REF!</f>
        <v>#REF!</v>
      </c>
      <c r="Q122" s="74" t="e">
        <f>#REF!</f>
        <v>#REF!</v>
      </c>
      <c r="R122" s="23" t="e">
        <f>#REF!</f>
        <v>#REF!</v>
      </c>
      <c r="S122" s="23" t="e">
        <f>#REF!</f>
        <v>#REF!</v>
      </c>
    </row>
    <row r="123" spans="8:20">
      <c r="N123" s="69"/>
      <c r="P123" s="65" t="e">
        <f>#REF!</f>
        <v>#REF!</v>
      </c>
      <c r="Q123" s="74" t="e">
        <f>#REF!</f>
        <v>#REF!</v>
      </c>
      <c r="R123" s="23" t="e">
        <f>#REF!</f>
        <v>#REF!</v>
      </c>
      <c r="S123" s="23" t="e">
        <f>#REF!</f>
        <v>#REF!</v>
      </c>
    </row>
    <row r="124" spans="8:20">
      <c r="N124" s="69"/>
      <c r="P124" s="65">
        <f t="shared" ref="P124:Q124" si="34">B61</f>
        <v>0</v>
      </c>
      <c r="Q124" s="74">
        <f t="shared" si="34"/>
        <v>0</v>
      </c>
      <c r="R124" s="23">
        <f t="shared" ref="R124:S124" si="35">E61</f>
        <v>0</v>
      </c>
      <c r="S124" s="23">
        <f t="shared" si="35"/>
        <v>0</v>
      </c>
    </row>
    <row r="125" spans="8:20">
      <c r="N125" s="69"/>
      <c r="P125" s="65">
        <f t="shared" ref="P125:Q125" si="36">B62</f>
        <v>0</v>
      </c>
      <c r="Q125" s="74">
        <f t="shared" si="36"/>
        <v>0</v>
      </c>
      <c r="R125" s="23">
        <f t="shared" ref="R125:S125" si="37">E62</f>
        <v>0</v>
      </c>
      <c r="S125" s="23">
        <f t="shared" si="37"/>
        <v>0</v>
      </c>
    </row>
    <row r="126" spans="8:20">
      <c r="N126" s="69"/>
      <c r="P126" s="65">
        <f t="shared" ref="P126:Q126" si="38">B63</f>
        <v>0</v>
      </c>
      <c r="Q126" s="74">
        <f t="shared" si="38"/>
        <v>0</v>
      </c>
      <c r="R126" s="23">
        <f t="shared" ref="R126:S126" si="39">E63</f>
        <v>0</v>
      </c>
      <c r="S126" s="23">
        <f t="shared" si="39"/>
        <v>0</v>
      </c>
    </row>
    <row r="127" spans="8:20">
      <c r="N127" s="69"/>
      <c r="P127" s="65">
        <f t="shared" ref="P127" si="40">B64</f>
        <v>0</v>
      </c>
      <c r="Q127" s="74"/>
      <c r="R127" s="23"/>
      <c r="S127" s="23">
        <f t="shared" ref="S127" si="41">F64</f>
        <v>0</v>
      </c>
    </row>
    <row r="128" spans="8:20">
      <c r="N128" s="69"/>
      <c r="P128" s="65">
        <f t="shared" ref="P128" si="42">B65</f>
        <v>0</v>
      </c>
      <c r="Q128" s="74"/>
      <c r="R128" s="23"/>
      <c r="S128" s="23">
        <f t="shared" ref="S128" si="43">F65</f>
        <v>0</v>
      </c>
    </row>
    <row r="129" spans="14:14">
      <c r="N129" s="69"/>
    </row>
    <row r="130" spans="14:14">
      <c r="N130" s="69"/>
    </row>
    <row r="131" spans="14:14">
      <c r="N131" s="69"/>
    </row>
    <row r="132" spans="14:14">
      <c r="N132" s="69"/>
    </row>
    <row r="133" spans="14:14">
      <c r="N133" s="69"/>
    </row>
  </sheetData>
  <mergeCells count="95">
    <mergeCell ref="AE53:AE55"/>
    <mergeCell ref="B2:AE2"/>
    <mergeCell ref="P5:P7"/>
    <mergeCell ref="Q5:Q7"/>
    <mergeCell ref="R5:R7"/>
    <mergeCell ref="S5:S7"/>
    <mergeCell ref="T5:T7"/>
    <mergeCell ref="U5:U7"/>
    <mergeCell ref="V5:V7"/>
    <mergeCell ref="W5:W7"/>
    <mergeCell ref="X5:X7"/>
    <mergeCell ref="Y5:Y7"/>
    <mergeCell ref="AE5:AE7"/>
    <mergeCell ref="Z5:Z7"/>
    <mergeCell ref="F4:F7"/>
    <mergeCell ref="D8:D9"/>
    <mergeCell ref="AE8:AE9"/>
    <mergeCell ref="AB4:AB7"/>
    <mergeCell ref="G4:G7"/>
    <mergeCell ref="H5:H7"/>
    <mergeCell ref="I5:I7"/>
    <mergeCell ref="J5:J7"/>
    <mergeCell ref="AL4:AV4"/>
    <mergeCell ref="O5:O7"/>
    <mergeCell ref="AD5:AD7"/>
    <mergeCell ref="K5:K7"/>
    <mergeCell ref="L5:L7"/>
    <mergeCell ref="AC5:AC7"/>
    <mergeCell ref="AA5:AA7"/>
    <mergeCell ref="M5:M7"/>
    <mergeCell ref="N5:N7"/>
    <mergeCell ref="A4:A7"/>
    <mergeCell ref="B4:B7"/>
    <mergeCell ref="C4:C7"/>
    <mergeCell ref="D4:D7"/>
    <mergeCell ref="E4:E7"/>
    <mergeCell ref="AE23:AE25"/>
    <mergeCell ref="AE28:AE29"/>
    <mergeCell ref="D10:D12"/>
    <mergeCell ref="AE10:AE12"/>
    <mergeCell ref="D18:D22"/>
    <mergeCell ref="AE13:AE14"/>
    <mergeCell ref="AE18:AE22"/>
    <mergeCell ref="AE16:AE17"/>
    <mergeCell ref="D28:D29"/>
    <mergeCell ref="D13:D14"/>
    <mergeCell ref="D16:D17"/>
    <mergeCell ref="D26:D27"/>
    <mergeCell ref="D23:D25"/>
    <mergeCell ref="AE31:AE32"/>
    <mergeCell ref="T84:T86"/>
    <mergeCell ref="T71:T73"/>
    <mergeCell ref="H67:N67"/>
    <mergeCell ref="AE26:AE27"/>
    <mergeCell ref="AE46:AE47"/>
    <mergeCell ref="AE33:AE36"/>
    <mergeCell ref="AE37:AE38"/>
    <mergeCell ref="P67:T67"/>
    <mergeCell ref="T69:T70"/>
    <mergeCell ref="T74:T75"/>
    <mergeCell ref="AE44:AE45"/>
    <mergeCell ref="AE41:AE43"/>
    <mergeCell ref="AE39:AE40"/>
    <mergeCell ref="AE48:AE49"/>
    <mergeCell ref="AE51:AE52"/>
    <mergeCell ref="D31:D32"/>
    <mergeCell ref="T87:T88"/>
    <mergeCell ref="D41:D43"/>
    <mergeCell ref="D46:D47"/>
    <mergeCell ref="M82:M83"/>
    <mergeCell ref="L82:L83"/>
    <mergeCell ref="N82:N83"/>
    <mergeCell ref="D44:D45"/>
    <mergeCell ref="D48:D49"/>
    <mergeCell ref="D51:D52"/>
    <mergeCell ref="D53:D55"/>
    <mergeCell ref="D56:D58"/>
    <mergeCell ref="T77:T78"/>
    <mergeCell ref="T79:T83"/>
    <mergeCell ref="T117:T119"/>
    <mergeCell ref="AE56:AE58"/>
    <mergeCell ref="D37:D38"/>
    <mergeCell ref="D39:D40"/>
    <mergeCell ref="D33:D36"/>
    <mergeCell ref="T114:T116"/>
    <mergeCell ref="T112:T113"/>
    <mergeCell ref="T109:T110"/>
    <mergeCell ref="T107:T108"/>
    <mergeCell ref="T105:T106"/>
    <mergeCell ref="T94:T97"/>
    <mergeCell ref="T98:T99"/>
    <mergeCell ref="T102:T104"/>
    <mergeCell ref="T92:T93"/>
    <mergeCell ref="T100:T101"/>
    <mergeCell ref="T89:T90"/>
  </mergeCells>
  <conditionalFormatting sqref="D59">
    <cfRule type="cellIs" dxfId="22" priority="16" stopIfTrue="1" operator="greaterThan">
      <formula>$E$3</formula>
    </cfRule>
  </conditionalFormatting>
  <conditionalFormatting sqref="E8:E56 F24">
    <cfRule type="cellIs" dxfId="21" priority="14" stopIfTrue="1" operator="greaterThan">
      <formula>$E$3</formula>
    </cfRule>
  </conditionalFormatting>
  <conditionalFormatting sqref="E57">
    <cfRule type="cellIs" dxfId="20" priority="15" stopIfTrue="1" operator="greaterThan">
      <formula>$F$3</formula>
    </cfRule>
  </conditionalFormatting>
  <conditionalFormatting sqref="E58">
    <cfRule type="cellIs" dxfId="19" priority="18" stopIfTrue="1" operator="greaterThan">
      <formula>$E$3</formula>
    </cfRule>
  </conditionalFormatting>
  <conditionalFormatting sqref="E59">
    <cfRule type="cellIs" dxfId="18" priority="19" stopIfTrue="1" operator="greaterThan">
      <formula>$F$3</formula>
    </cfRule>
  </conditionalFormatting>
  <conditionalFormatting sqref="E60">
    <cfRule type="cellIs" dxfId="17" priority="1" stopIfTrue="1" operator="greaterThan">
      <formula>$E$3</formula>
    </cfRule>
  </conditionalFormatting>
  <pageMargins left="0.70866141732283505" right="0.70866141732283505" top="0.74803040244969399" bottom="0.74803040244969399" header="0.31496062992126" footer="0.31496062992126"/>
  <pageSetup scale="26" fitToHeight="2" orientation="portrait" r:id="rId1"/>
  <headerFooter alignWithMargins="0"/>
  <legacyDrawing r:id="rId2"/>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5">
    <tabColor rgb="FF002060"/>
    <pageSetUpPr fitToPage="1"/>
  </sheetPr>
  <dimension ref="A1:AX128"/>
  <sheetViews>
    <sheetView showZeros="0" zoomScale="110" zoomScaleNormal="110" workbookViewId="0">
      <pane xSplit="7" ySplit="7" topLeftCell="S22" activePane="bottomRight" state="frozen"/>
      <selection pane="topRight"/>
      <selection pane="bottomLeft"/>
      <selection pane="bottomRight" activeCell="K71" sqref="K71"/>
    </sheetView>
  </sheetViews>
  <sheetFormatPr defaultColWidth="9" defaultRowHeight="12.75"/>
  <cols>
    <col min="1" max="1" width="5.42578125" style="3" customWidth="1"/>
    <col min="2" max="2" width="10.42578125" style="3" customWidth="1"/>
    <col min="3" max="3" width="32" customWidth="1"/>
    <col min="4" max="4" width="10.140625" style="3" customWidth="1"/>
    <col min="5" max="5" width="9.42578125" customWidth="1"/>
    <col min="6" max="6" width="8.5703125" customWidth="1"/>
    <col min="7" max="7" width="8.42578125" customWidth="1"/>
    <col min="8" max="8" width="11.42578125" customWidth="1"/>
    <col min="9" max="9" width="15.5703125" customWidth="1"/>
    <col min="10" max="10" width="10.42578125" customWidth="1"/>
    <col min="11" max="11" width="11" customWidth="1"/>
    <col min="12" max="12" width="10.5703125" customWidth="1"/>
    <col min="13" max="13" width="10.42578125" customWidth="1"/>
    <col min="14" max="14" width="11.42578125" customWidth="1"/>
    <col min="15" max="15" width="9.5703125" customWidth="1"/>
    <col min="16" max="16" width="8.5703125" customWidth="1"/>
    <col min="17" max="17" width="13.42578125" customWidth="1"/>
    <col min="18" max="18" width="14.140625" customWidth="1"/>
    <col min="19" max="20" width="8.5703125" customWidth="1"/>
    <col min="21" max="21" width="7.42578125" customWidth="1"/>
    <col min="22" max="22" width="12.42578125" customWidth="1"/>
    <col min="23" max="23" width="7.5703125" customWidth="1"/>
    <col min="24" max="24" width="10.85546875" customWidth="1"/>
    <col min="25" max="25" width="9.42578125" customWidth="1"/>
    <col min="26" max="26" width="11.5703125" customWidth="1"/>
    <col min="27" max="27" width="13.5703125" customWidth="1"/>
    <col min="28" max="29" width="11.42578125" customWidth="1"/>
    <col min="30" max="30" width="10.42578125" customWidth="1"/>
    <col min="31" max="31" width="12.5703125" customWidth="1"/>
    <col min="32" max="32" width="14.42578125" customWidth="1"/>
  </cols>
  <sheetData>
    <row r="1" spans="1:50">
      <c r="I1" s="3"/>
    </row>
    <row r="2" spans="1:50" ht="27.75">
      <c r="B2" s="670" t="s">
        <v>488</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23"/>
      <c r="E3" s="5"/>
      <c r="H3" s="6"/>
      <c r="I3" s="3"/>
      <c r="S3" s="3"/>
      <c r="AM3" s="6"/>
    </row>
    <row r="4" spans="1:50"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672"/>
      <c r="AC4" s="672"/>
      <c r="AD4" s="672"/>
      <c r="AE4" s="673"/>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676" t="s">
        <v>6</v>
      </c>
      <c r="I5" s="676" t="s">
        <v>501</v>
      </c>
      <c r="J5" s="676" t="s">
        <v>8</v>
      </c>
      <c r="K5" s="788" t="s">
        <v>9</v>
      </c>
      <c r="L5" s="788" t="s">
        <v>61</v>
      </c>
      <c r="M5" s="788" t="s">
        <v>11</v>
      </c>
      <c r="N5" s="790" t="s">
        <v>12</v>
      </c>
      <c r="O5" s="674" t="s">
        <v>13</v>
      </c>
      <c r="P5" s="674" t="s">
        <v>14</v>
      </c>
      <c r="Q5" s="674" t="s">
        <v>15</v>
      </c>
      <c r="R5" s="674" t="s">
        <v>16</v>
      </c>
      <c r="S5" s="674" t="s">
        <v>419</v>
      </c>
      <c r="T5" s="674" t="s">
        <v>18</v>
      </c>
      <c r="U5" s="674" t="s">
        <v>420</v>
      </c>
      <c r="V5" s="674" t="s">
        <v>20</v>
      </c>
      <c r="W5" s="674" t="s">
        <v>21</v>
      </c>
      <c r="X5" s="791" t="s">
        <v>22</v>
      </c>
      <c r="Y5" s="674" t="s">
        <v>421</v>
      </c>
      <c r="Z5" s="788" t="s">
        <v>24</v>
      </c>
      <c r="AA5" s="676" t="s">
        <v>25</v>
      </c>
      <c r="AB5" s="787" t="s">
        <v>56</v>
      </c>
      <c r="AC5" s="787"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676"/>
      <c r="I6" s="676"/>
      <c r="J6" s="676"/>
      <c r="K6" s="788"/>
      <c r="L6" s="788"/>
      <c r="M6" s="788"/>
      <c r="N6" s="788"/>
      <c r="O6" s="674"/>
      <c r="P6" s="674"/>
      <c r="Q6" s="674"/>
      <c r="R6" s="674"/>
      <c r="S6" s="674"/>
      <c r="T6" s="674"/>
      <c r="U6" s="674"/>
      <c r="V6" s="674"/>
      <c r="W6" s="674"/>
      <c r="X6" s="791"/>
      <c r="Y6" s="674"/>
      <c r="Z6" s="788"/>
      <c r="AA6" s="676"/>
      <c r="AB6" s="787"/>
      <c r="AC6" s="787"/>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4"/>
      <c r="B7" s="687"/>
      <c r="C7" s="687"/>
      <c r="D7" s="690"/>
      <c r="E7" s="690"/>
      <c r="F7" s="690"/>
      <c r="G7" s="694"/>
      <c r="H7" s="677"/>
      <c r="I7" s="677"/>
      <c r="J7" s="677"/>
      <c r="K7" s="789"/>
      <c r="L7" s="789"/>
      <c r="M7" s="789"/>
      <c r="N7" s="789"/>
      <c r="O7" s="675"/>
      <c r="P7" s="675"/>
      <c r="Q7" s="675"/>
      <c r="R7" s="675"/>
      <c r="S7" s="675"/>
      <c r="T7" s="675"/>
      <c r="U7" s="675"/>
      <c r="V7" s="675"/>
      <c r="W7" s="675"/>
      <c r="X7" s="792"/>
      <c r="Y7" s="675"/>
      <c r="Z7" s="789"/>
      <c r="AA7" s="677"/>
      <c r="AB7" s="787"/>
      <c r="AC7" s="787"/>
      <c r="AD7" s="696"/>
      <c r="AE7" s="764"/>
      <c r="AF7" s="42" t="s">
        <v>426</v>
      </c>
      <c r="AH7" s="3"/>
      <c r="AI7" s="3"/>
      <c r="AJ7" s="3"/>
      <c r="AK7" s="3"/>
      <c r="AL7" s="3"/>
      <c r="AM7" s="3"/>
      <c r="AN7" s="3"/>
      <c r="AO7" s="3"/>
      <c r="AP7" s="3"/>
      <c r="AQ7" s="3"/>
      <c r="AR7" s="3"/>
      <c r="AS7" s="3"/>
      <c r="AT7" s="3"/>
      <c r="AU7" s="3"/>
      <c r="AV7" s="3"/>
      <c r="AW7" s="3"/>
      <c r="AX7" s="3"/>
    </row>
    <row r="8" spans="1:50" ht="13.5" thickTop="1">
      <c r="A8" s="7">
        <f>[5]August_2026!$C8</f>
        <v>1</v>
      </c>
      <c r="B8" s="8">
        <f>[5]August_2026!$B8</f>
        <v>46237</v>
      </c>
      <c r="C8" s="78" t="str">
        <f>[5]August_2026!$D8</f>
        <v>GUINNESS</v>
      </c>
      <c r="D8" s="145">
        <v>1.0208333333333333</v>
      </c>
      <c r="E8" s="80">
        <v>1.1215277777777777</v>
      </c>
      <c r="F8" s="80">
        <v>1.9791666666666667</v>
      </c>
      <c r="G8" s="145">
        <v>2.0833333333333335</v>
      </c>
      <c r="H8" s="14"/>
      <c r="I8" s="34"/>
      <c r="J8" s="35"/>
      <c r="K8" s="34"/>
      <c r="L8" s="34"/>
      <c r="M8" s="34"/>
      <c r="N8" s="34"/>
      <c r="O8" s="34">
        <f>'Uncaser Downtime Detail '!AG433</f>
        <v>50</v>
      </c>
      <c r="P8" s="34">
        <f>'Washer Downtime Detail'!BH438</f>
        <v>0</v>
      </c>
      <c r="Q8" s="34">
        <f>'EBI Downtime Detail'!AI435</f>
        <v>103</v>
      </c>
      <c r="R8" s="34">
        <f>'Filler Downtime Detail'!AK433</f>
        <v>2</v>
      </c>
      <c r="S8" s="34">
        <f>'Pasteurizer Downtime Detail'!Z425</f>
        <v>68</v>
      </c>
      <c r="T8" s="34">
        <f>'Labeler Downtime Detail'!AN424</f>
        <v>320</v>
      </c>
      <c r="U8" s="34">
        <f>'Videojet Downtime Detail '!O429</f>
        <v>0</v>
      </c>
      <c r="V8" s="34">
        <f>'Conveyor Downtime (new)'!AV433</f>
        <v>25</v>
      </c>
      <c r="W8" s="34">
        <f>'Packer Downtime Detail  '!AD427</f>
        <v>0</v>
      </c>
      <c r="X8" s="34">
        <f>'Carton Errector-sealer Detail'!P419</f>
        <v>0</v>
      </c>
      <c r="Y8" s="35"/>
      <c r="Z8" s="34">
        <f>15</f>
        <v>15</v>
      </c>
      <c r="AA8" s="90"/>
      <c r="AB8" s="90">
        <f>6+12+10+4</f>
        <v>32</v>
      </c>
      <c r="AC8" s="89"/>
      <c r="AD8" s="44">
        <f>SUM(H8:J8,K8:AC8)</f>
        <v>615</v>
      </c>
      <c r="AE8" s="45">
        <f>G8-D8</f>
        <v>1.0625000000000002</v>
      </c>
      <c r="AH8" s="3"/>
      <c r="AI8" s="23"/>
      <c r="AJ8" s="23"/>
      <c r="AK8" s="54"/>
      <c r="AL8" s="3"/>
      <c r="AM8" s="3"/>
      <c r="AN8" s="3"/>
      <c r="AO8" s="3"/>
      <c r="AP8" s="3"/>
      <c r="AQ8" s="3"/>
      <c r="AR8" s="3"/>
      <c r="AS8" s="3"/>
      <c r="AT8" s="3"/>
      <c r="AU8" s="3"/>
      <c r="AV8" s="3"/>
      <c r="AW8" s="3"/>
      <c r="AX8" s="3"/>
    </row>
    <row r="9" spans="1:50">
      <c r="A9" s="7">
        <f>[5]August_2026!$C9</f>
        <v>2</v>
      </c>
      <c r="B9" s="8">
        <f>[5]August_2026!$B9</f>
        <v>46238</v>
      </c>
      <c r="C9" s="78" t="str">
        <f>[5]August_2026!$D9</f>
        <v>CARIB AMBER</v>
      </c>
      <c r="D9" s="93">
        <v>1</v>
      </c>
      <c r="E9" s="80">
        <v>1.0625</v>
      </c>
      <c r="F9" s="80">
        <v>2</v>
      </c>
      <c r="G9" s="93">
        <v>2.0548611111111112</v>
      </c>
      <c r="H9" s="82"/>
      <c r="I9" s="32">
        <f>25</f>
        <v>25</v>
      </c>
      <c r="J9" s="86">
        <f>2+2+4</f>
        <v>8</v>
      </c>
      <c r="K9" s="71"/>
      <c r="L9" s="71"/>
      <c r="M9" s="71"/>
      <c r="N9" s="71"/>
      <c r="O9" s="32">
        <f>'Uncaser Downtime Detail '!AG434</f>
        <v>24</v>
      </c>
      <c r="P9" s="32">
        <f>'Washer Downtime Detail'!BH439</f>
        <v>38</v>
      </c>
      <c r="Q9" s="32">
        <f>'EBI Downtime Detail'!AI436</f>
        <v>17</v>
      </c>
      <c r="R9" s="32">
        <f>'Filler Downtime Detail'!AK434</f>
        <v>6</v>
      </c>
      <c r="S9" s="32">
        <f>'Pasteurizer Downtime Detail'!Z426</f>
        <v>75</v>
      </c>
      <c r="T9" s="32">
        <f>'Labeler Downtime Detail'!AN425</f>
        <v>11</v>
      </c>
      <c r="U9" s="32">
        <f>'Videojet Downtime Detail '!O430</f>
        <v>0</v>
      </c>
      <c r="V9" s="32">
        <f>'Conveyor Downtime (new)'!AV434</f>
        <v>15</v>
      </c>
      <c r="W9" s="32">
        <f>'Packer Downtime Detail  '!AD428</f>
        <v>24</v>
      </c>
      <c r="X9" s="71">
        <f>'Carton Errector-sealer Detail'!P420</f>
        <v>0</v>
      </c>
      <c r="Y9" s="71"/>
      <c r="Z9" s="43">
        <f>5+5+5+4+4+28+2+2+2</f>
        <v>57</v>
      </c>
      <c r="AA9" s="88"/>
      <c r="AB9" s="88">
        <f>6+7+4+3+6+5+5+2+4+6+4+3+2</f>
        <v>57</v>
      </c>
      <c r="AC9" s="71"/>
      <c r="AD9" s="44">
        <f t="shared" ref="AD9:AD56" si="0">SUM(H9:J9,K9:AC9)</f>
        <v>357</v>
      </c>
      <c r="AE9" s="45">
        <f>G9-D9</f>
        <v>1.0548611111111112</v>
      </c>
      <c r="AH9" s="3"/>
      <c r="AI9" s="23"/>
      <c r="AJ9" s="23"/>
      <c r="AK9" s="54"/>
      <c r="AL9" s="3"/>
      <c r="AM9" s="3"/>
      <c r="AN9" s="3"/>
      <c r="AO9" s="3"/>
      <c r="AP9" s="3"/>
      <c r="AQ9" s="3"/>
      <c r="AR9" s="3"/>
      <c r="AS9" s="3"/>
      <c r="AT9" s="3"/>
      <c r="AU9" s="3"/>
      <c r="AV9" s="3"/>
      <c r="AW9" s="3"/>
      <c r="AX9" s="3"/>
    </row>
    <row r="10" spans="1:50">
      <c r="A10" s="7">
        <f>[5]August_2026!$C10</f>
        <v>3</v>
      </c>
      <c r="B10" s="8">
        <f>[5]August_2026!$B10</f>
        <v>46239</v>
      </c>
      <c r="C10" s="78" t="str">
        <f>[5]August_2026!$D10</f>
        <v>CARIB AMBER</v>
      </c>
      <c r="D10" s="681">
        <v>1</v>
      </c>
      <c r="E10" s="80">
        <v>1.0069444444444444</v>
      </c>
      <c r="F10" s="80">
        <v>1.2465277777777777</v>
      </c>
      <c r="G10" s="93">
        <v>0.29166666666666669</v>
      </c>
      <c r="H10" s="14"/>
      <c r="I10" s="34"/>
      <c r="J10" s="35">
        <f>1+16</f>
        <v>17</v>
      </c>
      <c r="K10" s="34"/>
      <c r="L10" s="34"/>
      <c r="M10" s="34"/>
      <c r="N10" s="34"/>
      <c r="O10" s="34">
        <f>'Uncaser Downtime Detail '!AG435</f>
        <v>4</v>
      </c>
      <c r="P10" s="34">
        <f>'Washer Downtime Detail'!BH440</f>
        <v>17</v>
      </c>
      <c r="Q10" s="34">
        <f>'EBI Downtime Detail'!AI437</f>
        <v>16</v>
      </c>
      <c r="R10" s="34">
        <f>'Filler Downtime Detail'!AK435</f>
        <v>1</v>
      </c>
      <c r="S10" s="34">
        <f>'Pasteurizer Downtime Detail'!Z427</f>
        <v>0</v>
      </c>
      <c r="T10" s="34">
        <f>'Labeler Downtime Detail'!AN426</f>
        <v>0</v>
      </c>
      <c r="U10" s="34">
        <f>'Videojet Downtime Detail '!O431</f>
        <v>0</v>
      </c>
      <c r="V10" s="34">
        <f>'Conveyor Downtime (new)'!AV435</f>
        <v>4</v>
      </c>
      <c r="W10" s="34">
        <f>'Packer Downtime Detail  '!AD429</f>
        <v>0</v>
      </c>
      <c r="X10" s="34">
        <f>'Carton Errector-sealer Detail'!P421</f>
        <v>0</v>
      </c>
      <c r="Y10" s="35"/>
      <c r="Z10" s="34">
        <f>4+10</f>
        <v>14</v>
      </c>
      <c r="AA10" s="90"/>
      <c r="AB10" s="90"/>
      <c r="AC10" s="89"/>
      <c r="AD10" s="44">
        <f t="shared" si="0"/>
        <v>73</v>
      </c>
      <c r="AE10" s="754">
        <f>G12-D10</f>
        <v>1.0527777777777776</v>
      </c>
      <c r="AH10" s="3"/>
      <c r="AI10" s="23"/>
      <c r="AJ10" s="23"/>
      <c r="AK10" s="54"/>
      <c r="AL10" s="3"/>
      <c r="AM10" s="3"/>
      <c r="AN10" s="3"/>
      <c r="AO10" s="3"/>
      <c r="AP10" s="3"/>
      <c r="AQ10" s="3"/>
      <c r="AR10" s="3"/>
      <c r="AS10" s="3"/>
      <c r="AT10" s="3"/>
      <c r="AU10" s="3"/>
      <c r="AV10" s="3"/>
      <c r="AW10" s="3"/>
      <c r="AX10" s="3"/>
    </row>
    <row r="11" spans="1:50">
      <c r="A11" s="7">
        <f>[5]August_2026!$C11</f>
        <v>3</v>
      </c>
      <c r="B11" s="8">
        <f>[5]August_2026!$B11</f>
        <v>46239</v>
      </c>
      <c r="C11" s="78" t="str">
        <f>[5]August_2026!$D11</f>
        <v>STAG</v>
      </c>
      <c r="D11" s="681"/>
      <c r="E11" s="80">
        <v>0.2673611111111111</v>
      </c>
      <c r="F11" s="80">
        <v>0.92291666666666672</v>
      </c>
      <c r="G11" s="93">
        <v>2.0069444444444446</v>
      </c>
      <c r="H11" s="82"/>
      <c r="I11" s="32">
        <f>5+9</f>
        <v>14</v>
      </c>
      <c r="J11" s="86"/>
      <c r="K11" s="71"/>
      <c r="L11" s="71"/>
      <c r="M11" s="71"/>
      <c r="N11" s="167"/>
      <c r="O11" s="32">
        <f>'Uncaser Downtime Detail '!AG436</f>
        <v>10</v>
      </c>
      <c r="P11" s="32">
        <f>'Washer Downtime Detail'!BH441</f>
        <v>0</v>
      </c>
      <c r="Q11" s="32">
        <f>'EBI Downtime Detail'!AI438</f>
        <v>15</v>
      </c>
      <c r="R11" s="32">
        <f>'Filler Downtime Detail'!AK436</f>
        <v>2</v>
      </c>
      <c r="S11" s="32">
        <f>'Pasteurizer Downtime Detail'!Z428</f>
        <v>0</v>
      </c>
      <c r="T11" s="32">
        <f>'Labeler Downtime Detail'!AN427</f>
        <v>6</v>
      </c>
      <c r="U11" s="32">
        <f>'Videojet Downtime Detail '!O432</f>
        <v>41</v>
      </c>
      <c r="V11" s="32">
        <f>'Conveyor Downtime (new)'!AV436</f>
        <v>35</v>
      </c>
      <c r="W11" s="32">
        <f>'Packer Downtime Detail  '!AD430</f>
        <v>0</v>
      </c>
      <c r="X11" s="71">
        <f>'Carton Errector-sealer Detail'!P422</f>
        <v>0</v>
      </c>
      <c r="Y11" s="71"/>
      <c r="Z11" s="43">
        <f>14+33</f>
        <v>47</v>
      </c>
      <c r="AA11" s="88"/>
      <c r="AB11" s="88">
        <f>6+6</f>
        <v>12</v>
      </c>
      <c r="AC11" s="71">
        <f>16+60+60+60+60+15</f>
        <v>271</v>
      </c>
      <c r="AD11" s="44">
        <f t="shared" si="0"/>
        <v>453</v>
      </c>
      <c r="AE11" s="754"/>
      <c r="AH11" s="3"/>
      <c r="AI11" s="23"/>
      <c r="AJ11" s="23"/>
      <c r="AK11" s="54"/>
      <c r="AL11" s="3"/>
      <c r="AM11" s="3"/>
      <c r="AN11" s="3"/>
      <c r="AO11" s="3"/>
      <c r="AP11" s="3"/>
      <c r="AQ11" s="3"/>
      <c r="AR11" s="3"/>
      <c r="AS11" s="3"/>
      <c r="AT11" s="3"/>
      <c r="AU11" s="3"/>
      <c r="AV11" s="3"/>
      <c r="AW11" s="3"/>
      <c r="AX11" s="3"/>
    </row>
    <row r="12" spans="1:50">
      <c r="A12" s="7">
        <f>[5]August_2026!$C12</f>
        <v>3</v>
      </c>
      <c r="B12" s="8">
        <f>[5]August_2026!$B12</f>
        <v>46239</v>
      </c>
      <c r="C12" s="78" t="str">
        <f>[5]August_2026!$D12</f>
        <v xml:space="preserve">CARIB AMBER </v>
      </c>
      <c r="D12" s="681"/>
      <c r="E12" s="80">
        <v>1.9375</v>
      </c>
      <c r="F12" s="80">
        <v>2</v>
      </c>
      <c r="G12" s="93">
        <v>2.0527777777777776</v>
      </c>
      <c r="H12" s="14"/>
      <c r="I12" s="34">
        <f>21</f>
        <v>21</v>
      </c>
      <c r="J12" s="35"/>
      <c r="K12" s="34"/>
      <c r="L12" s="34"/>
      <c r="M12" s="34"/>
      <c r="N12" s="34"/>
      <c r="O12" s="34">
        <f>'Uncaser Downtime Detail '!AG437</f>
        <v>0</v>
      </c>
      <c r="P12" s="34">
        <f>'Washer Downtime Detail'!BH442</f>
        <v>0</v>
      </c>
      <c r="Q12" s="34">
        <f>'EBI Downtime Detail'!AI439</f>
        <v>0</v>
      </c>
      <c r="R12" s="34">
        <f>'Filler Downtime Detail'!AK437</f>
        <v>2</v>
      </c>
      <c r="S12" s="34">
        <f>'Pasteurizer Downtime Detail'!Z429</f>
        <v>0</v>
      </c>
      <c r="T12" s="34">
        <f>'Labeler Downtime Detail'!AN428</f>
        <v>29</v>
      </c>
      <c r="U12" s="34">
        <f>'Videojet Downtime Detail '!O433</f>
        <v>0</v>
      </c>
      <c r="V12" s="34">
        <f>'Conveyor Downtime (new)'!AV437</f>
        <v>0</v>
      </c>
      <c r="W12" s="34">
        <f>'Packer Downtime Detail  '!AD431</f>
        <v>0</v>
      </c>
      <c r="X12" s="34">
        <f>'Carton Errector-sealer Detail'!P423</f>
        <v>0</v>
      </c>
      <c r="Y12" s="35"/>
      <c r="Z12" s="116"/>
      <c r="AA12" s="169"/>
      <c r="AB12" s="169"/>
      <c r="AC12" s="89"/>
      <c r="AD12" s="44">
        <f t="shared" si="0"/>
        <v>52</v>
      </c>
      <c r="AE12" s="754"/>
      <c r="AH12" s="3"/>
      <c r="AI12" s="23"/>
      <c r="AJ12" s="23"/>
      <c r="AK12" s="54"/>
      <c r="AL12" s="3"/>
      <c r="AM12" s="3"/>
      <c r="AN12" s="3"/>
      <c r="AO12" s="3"/>
      <c r="AP12" s="3"/>
      <c r="AQ12" s="3"/>
      <c r="AR12" s="3"/>
      <c r="AS12" s="3"/>
      <c r="AT12" s="3"/>
      <c r="AU12" s="3"/>
      <c r="AV12" s="3"/>
      <c r="AW12" s="3"/>
      <c r="AX12" s="3"/>
    </row>
    <row r="13" spans="1:50">
      <c r="A13" s="7">
        <f>[5]August_2026!$C13</f>
        <v>4</v>
      </c>
      <c r="B13" s="8">
        <f>[5]August_2026!$B13</f>
        <v>46240</v>
      </c>
      <c r="C13" s="78" t="str">
        <f>[5]August_2026!$D13</f>
        <v xml:space="preserve">CARIB AMBER </v>
      </c>
      <c r="D13" s="93">
        <v>1</v>
      </c>
      <c r="E13" s="80">
        <v>1.0069444444444444</v>
      </c>
      <c r="F13" s="80">
        <v>1.9458333333333333</v>
      </c>
      <c r="G13" s="93">
        <v>2.0027777777777778</v>
      </c>
      <c r="H13" s="160"/>
      <c r="I13" s="168">
        <f>2+78</f>
        <v>80</v>
      </c>
      <c r="J13" s="86"/>
      <c r="K13" s="71"/>
      <c r="L13" s="71">
        <f>16+47</f>
        <v>63</v>
      </c>
      <c r="M13" s="71"/>
      <c r="N13" s="71"/>
      <c r="O13" s="32">
        <f>'Uncaser Downtime Detail '!AG438</f>
        <v>2</v>
      </c>
      <c r="P13" s="32">
        <f>'Washer Downtime Detail'!BH443</f>
        <v>27</v>
      </c>
      <c r="Q13" s="32">
        <f>'EBI Downtime Detail'!AI440</f>
        <v>37</v>
      </c>
      <c r="R13" s="32">
        <f>'Filler Downtime Detail'!AK438</f>
        <v>325</v>
      </c>
      <c r="S13" s="32">
        <f>'Pasteurizer Downtime Detail'!Z430</f>
        <v>15</v>
      </c>
      <c r="T13" s="32">
        <f>'Labeler Downtime Detail'!AN429</f>
        <v>11</v>
      </c>
      <c r="U13" s="32">
        <f>'Videojet Downtime Detail '!O434</f>
        <v>0</v>
      </c>
      <c r="V13" s="32">
        <f>'Conveyor Downtime (new)'!AV438</f>
        <v>19</v>
      </c>
      <c r="W13" s="32">
        <f>'Packer Downtime Detail  '!AD432</f>
        <v>8</v>
      </c>
      <c r="X13" s="71">
        <f>'Carton Errector-sealer Detail'!P424</f>
        <v>0</v>
      </c>
      <c r="Y13" s="71"/>
      <c r="Z13" s="170">
        <f>10+2+2+13</f>
        <v>27</v>
      </c>
      <c r="AA13" s="171"/>
      <c r="AB13" s="171"/>
      <c r="AC13" s="71"/>
      <c r="AD13" s="44">
        <f t="shared" si="0"/>
        <v>614</v>
      </c>
      <c r="AE13" s="45">
        <f>G13-D13</f>
        <v>1.0027777777777778</v>
      </c>
      <c r="AH13" s="3"/>
      <c r="AI13" s="23"/>
      <c r="AJ13" s="23"/>
      <c r="AK13" s="54"/>
      <c r="AL13" s="3"/>
      <c r="AM13" s="3"/>
      <c r="AN13" s="3"/>
      <c r="AO13" s="3"/>
      <c r="AP13" s="3"/>
      <c r="AQ13" s="3"/>
      <c r="AR13" s="3"/>
      <c r="AS13" s="3"/>
      <c r="AT13" s="3"/>
      <c r="AU13" s="3"/>
      <c r="AV13" s="3"/>
      <c r="AW13" s="3"/>
      <c r="AX13" s="3"/>
    </row>
    <row r="14" spans="1:50">
      <c r="A14" s="7">
        <f>[5]August_2026!$C14</f>
        <v>5</v>
      </c>
      <c r="B14" s="8">
        <f>[5]August_2026!$B14</f>
        <v>46241</v>
      </c>
      <c r="C14" s="78" t="str">
        <f>[5]August_2026!$D14</f>
        <v xml:space="preserve">STAR MALT </v>
      </c>
      <c r="D14" s="681">
        <v>1</v>
      </c>
      <c r="E14" s="80">
        <v>1.0555555555555556</v>
      </c>
      <c r="F14" s="80">
        <v>1.6666666666666667</v>
      </c>
      <c r="G14" s="93">
        <v>1.7222222222222223</v>
      </c>
      <c r="H14" s="161">
        <f>3+2</f>
        <v>5</v>
      </c>
      <c r="I14" s="116"/>
      <c r="J14" s="35"/>
      <c r="K14" s="34"/>
      <c r="L14" s="34"/>
      <c r="M14" s="34"/>
      <c r="N14" s="34"/>
      <c r="O14" s="34">
        <f>'Uncaser Downtime Detail '!AG439</f>
        <v>17</v>
      </c>
      <c r="P14" s="34">
        <f>'Washer Downtime Detail'!BH444</f>
        <v>55</v>
      </c>
      <c r="Q14" s="34">
        <f>'EBI Downtime Detail'!AI441</f>
        <v>26</v>
      </c>
      <c r="R14" s="34">
        <f>'Filler Downtime Detail'!AK439</f>
        <v>5</v>
      </c>
      <c r="S14" s="34">
        <f>'Pasteurizer Downtime Detail'!Z431</f>
        <v>125</v>
      </c>
      <c r="T14" s="34">
        <f>'Labeler Downtime Detail'!AN430</f>
        <v>11</v>
      </c>
      <c r="U14" s="34">
        <f>'Videojet Downtime Detail '!O435</f>
        <v>0</v>
      </c>
      <c r="V14" s="34">
        <f>'Conveyor Downtime (new)'!AV439</f>
        <v>20</v>
      </c>
      <c r="W14" s="34">
        <f>'Packer Downtime Detail  '!AD433</f>
        <v>0</v>
      </c>
      <c r="X14" s="34">
        <f>'Carton Errector-sealer Detail'!P425</f>
        <v>0</v>
      </c>
      <c r="Y14" s="35"/>
      <c r="Z14" s="34"/>
      <c r="AA14" s="90"/>
      <c r="AB14" s="90">
        <f>6+4+8+5+4+4+2+5+4+5</f>
        <v>47</v>
      </c>
      <c r="AC14" s="89"/>
      <c r="AD14" s="44">
        <f t="shared" si="0"/>
        <v>311</v>
      </c>
      <c r="AE14" s="754">
        <f>G15-D14</f>
        <v>0.85763888888888884</v>
      </c>
      <c r="AH14" s="3"/>
      <c r="AI14" s="23"/>
      <c r="AJ14" s="23"/>
      <c r="AK14" s="54"/>
      <c r="AL14" s="3"/>
      <c r="AM14" s="3"/>
      <c r="AN14" s="3"/>
      <c r="AO14" s="3"/>
      <c r="AP14" s="3"/>
      <c r="AQ14" s="3"/>
      <c r="AR14" s="3"/>
      <c r="AS14" s="3"/>
      <c r="AT14" s="3"/>
      <c r="AU14" s="3"/>
      <c r="AV14" s="3"/>
      <c r="AW14" s="3"/>
      <c r="AX14" s="3"/>
    </row>
    <row r="15" spans="1:50">
      <c r="A15" s="7">
        <f>[5]August_2026!$C15</f>
        <v>5</v>
      </c>
      <c r="B15" s="8">
        <f>[5]August_2026!$B15</f>
        <v>46241</v>
      </c>
      <c r="C15" s="78" t="str">
        <f>[5]August_2026!$D15</f>
        <v>CARIB FLINT LOCAL</v>
      </c>
      <c r="D15" s="681"/>
      <c r="E15" s="80">
        <v>1.7604166666666667</v>
      </c>
      <c r="F15" s="80">
        <v>1.8090277777777777</v>
      </c>
      <c r="G15" s="93">
        <v>1.8576388888888888</v>
      </c>
      <c r="H15" s="160">
        <v>6</v>
      </c>
      <c r="I15" s="168">
        <v>135</v>
      </c>
      <c r="J15" s="86"/>
      <c r="K15" s="71"/>
      <c r="L15" s="71"/>
      <c r="M15" s="71"/>
      <c r="N15" s="71"/>
      <c r="O15" s="32">
        <f>'Uncaser Downtime Detail '!AG440</f>
        <v>0</v>
      </c>
      <c r="P15" s="32">
        <f>'Washer Downtime Detail'!BH445</f>
        <v>0</v>
      </c>
      <c r="Q15" s="32">
        <f>'EBI Downtime Detail'!AI442</f>
        <v>6</v>
      </c>
      <c r="R15" s="32">
        <f>'Filler Downtime Detail'!AK440</f>
        <v>0</v>
      </c>
      <c r="S15" s="32">
        <f>'Pasteurizer Downtime Detail'!Z432</f>
        <v>0</v>
      </c>
      <c r="T15" s="32">
        <f>'Labeler Downtime Detail'!AN431</f>
        <v>0</v>
      </c>
      <c r="U15" s="32">
        <f>'Videojet Downtime Detail '!O436</f>
        <v>0</v>
      </c>
      <c r="V15" s="32">
        <f>'Conveyor Downtime (new)'!AV440</f>
        <v>0</v>
      </c>
      <c r="W15" s="32">
        <f>'Packer Downtime Detail  '!AD434</f>
        <v>0</v>
      </c>
      <c r="X15" s="71">
        <f>'Carton Errector-sealer Detail'!P426</f>
        <v>0</v>
      </c>
      <c r="Y15" s="71"/>
      <c r="Z15" s="43"/>
      <c r="AA15" s="88"/>
      <c r="AB15" s="88"/>
      <c r="AC15" s="71"/>
      <c r="AD15" s="44">
        <f t="shared" si="0"/>
        <v>147</v>
      </c>
      <c r="AE15" s="754"/>
      <c r="AH15" s="3"/>
      <c r="AI15" s="23"/>
      <c r="AJ15" s="23"/>
      <c r="AK15" s="54"/>
      <c r="AL15" s="3"/>
      <c r="AM15" s="3"/>
      <c r="AN15" s="3"/>
      <c r="AO15" s="3"/>
      <c r="AP15" s="3"/>
      <c r="AQ15" s="3"/>
      <c r="AR15" s="3"/>
      <c r="AS15" s="3"/>
      <c r="AT15" s="3"/>
      <c r="AU15" s="3"/>
      <c r="AV15" s="3"/>
      <c r="AW15" s="3"/>
      <c r="AX15" s="3"/>
    </row>
    <row r="16" spans="1:50">
      <c r="A16" s="7">
        <f>[5]August_2026!$C16</f>
        <v>6</v>
      </c>
      <c r="B16" s="8">
        <f>[5]August_2026!$B16</f>
        <v>46246</v>
      </c>
      <c r="C16" s="78" t="str">
        <f>[5]August_2026!$D16</f>
        <v>CARIB FLINT EXPORT</v>
      </c>
      <c r="D16" s="93">
        <v>0.29166666666666669</v>
      </c>
      <c r="E16" s="80">
        <v>0.40277777777777779</v>
      </c>
      <c r="F16" s="80">
        <v>1.0069444444444444</v>
      </c>
      <c r="G16" s="93">
        <v>1.0798611111111112</v>
      </c>
      <c r="H16" s="161"/>
      <c r="I16" s="116"/>
      <c r="J16" s="35"/>
      <c r="K16" s="34"/>
      <c r="L16" s="34"/>
      <c r="M16" s="34"/>
      <c r="N16" s="34"/>
      <c r="O16" s="34">
        <f>'Uncaser Downtime Detail '!AG441</f>
        <v>45</v>
      </c>
      <c r="P16" s="34">
        <f>'Washer Downtime Detail'!BH446</f>
        <v>6</v>
      </c>
      <c r="Q16" s="34">
        <f>'EBI Downtime Detail'!AI443</f>
        <v>17</v>
      </c>
      <c r="R16" s="34">
        <f>'Filler Downtime Detail'!AK441</f>
        <v>14</v>
      </c>
      <c r="S16" s="34">
        <f>'Pasteurizer Downtime Detail'!Z433</f>
        <v>49</v>
      </c>
      <c r="T16" s="34">
        <f>'Labeler Downtime Detail'!AN432</f>
        <v>15</v>
      </c>
      <c r="U16" s="34"/>
      <c r="V16" s="34">
        <f>'Conveyor Downtime (new)'!AV441</f>
        <v>13</v>
      </c>
      <c r="W16" s="34">
        <f>'Packer Downtime Detail  '!AD435</f>
        <v>0</v>
      </c>
      <c r="X16" s="34">
        <f>'Carton Errector-sealer Detail'!P427</f>
        <v>70</v>
      </c>
      <c r="Y16" s="35"/>
      <c r="Z16" s="34">
        <f>60+60+40+46+4+6</f>
        <v>216</v>
      </c>
      <c r="AA16" s="90"/>
      <c r="AB16" s="90">
        <f>10+6+10</f>
        <v>26</v>
      </c>
      <c r="AC16" s="89"/>
      <c r="AD16" s="44">
        <f t="shared" si="0"/>
        <v>471</v>
      </c>
      <c r="AE16" s="45">
        <f>G16-D16</f>
        <v>0.78819444444444442</v>
      </c>
      <c r="AH16" s="3"/>
      <c r="AI16" s="23"/>
      <c r="AJ16" s="23"/>
      <c r="AK16" s="54"/>
      <c r="AL16" s="3"/>
      <c r="AM16" s="3"/>
      <c r="AN16" s="3"/>
      <c r="AO16" s="3"/>
      <c r="AP16" s="3"/>
      <c r="AQ16" s="3"/>
      <c r="AR16" s="3"/>
      <c r="AS16" s="3"/>
      <c r="AT16" s="3"/>
      <c r="AU16" s="3"/>
      <c r="AV16" s="3"/>
      <c r="AW16" s="3"/>
      <c r="AX16" s="3"/>
    </row>
    <row r="17" spans="1:50">
      <c r="A17" s="7">
        <f>[5]August_2026!$C17</f>
        <v>7</v>
      </c>
      <c r="B17" s="8">
        <f>[5]August_2026!$B17</f>
        <v>46247</v>
      </c>
      <c r="C17" s="78" t="str">
        <f>[5]August_2026!$D17</f>
        <v>CARIB FLINT LOCAL</v>
      </c>
      <c r="D17" s="681">
        <v>1</v>
      </c>
      <c r="E17" s="80">
        <v>1.0118055555555556</v>
      </c>
      <c r="F17" s="80">
        <v>1.08125</v>
      </c>
      <c r="G17" s="93">
        <v>1.2222222222222223</v>
      </c>
      <c r="H17" s="82"/>
      <c r="I17" s="32">
        <f>7</f>
        <v>7</v>
      </c>
      <c r="J17" s="86"/>
      <c r="K17" s="71"/>
      <c r="L17" s="71"/>
      <c r="M17" s="71"/>
      <c r="N17" s="71"/>
      <c r="O17" s="32">
        <f>'Uncaser Downtime Detail '!AG442</f>
        <v>0</v>
      </c>
      <c r="P17" s="32">
        <f>'Washer Downtime Detail'!BH447</f>
        <v>4</v>
      </c>
      <c r="Q17" s="32">
        <f>'EBI Downtime Detail'!AI444</f>
        <v>4</v>
      </c>
      <c r="R17" s="32">
        <f>'Filler Downtime Detail'!AK442</f>
        <v>0</v>
      </c>
      <c r="S17" s="32">
        <f>'Pasteurizer Downtime Detail'!Z434</f>
        <v>4</v>
      </c>
      <c r="T17" s="32">
        <f>'Labeler Downtime Detail'!AN433</f>
        <v>5</v>
      </c>
      <c r="U17" s="32">
        <f>'Videojet Downtime Detail '!O438</f>
        <v>0</v>
      </c>
      <c r="V17" s="32">
        <f>'Conveyor Downtime (new)'!AV442</f>
        <v>5</v>
      </c>
      <c r="W17" s="32">
        <f>'Packer Downtime Detail  '!AD436</f>
        <v>2</v>
      </c>
      <c r="X17" s="71">
        <f>'Carton Errector-sealer Detail'!P428</f>
        <v>10</v>
      </c>
      <c r="Y17" s="71"/>
      <c r="Z17" s="43">
        <f>6+4</f>
        <v>10</v>
      </c>
      <c r="AA17" s="88"/>
      <c r="AB17" s="88">
        <v>2</v>
      </c>
      <c r="AC17" s="71"/>
      <c r="AD17" s="44">
        <f t="shared" si="0"/>
        <v>53</v>
      </c>
      <c r="AE17" s="754">
        <f>G19-D17</f>
        <v>1.0694444444444446</v>
      </c>
      <c r="AH17" s="3"/>
      <c r="AI17" s="23"/>
      <c r="AJ17" s="23"/>
      <c r="AK17" s="54"/>
      <c r="AL17" s="3"/>
      <c r="AM17" s="3"/>
      <c r="AN17" s="3"/>
      <c r="AO17" s="3"/>
      <c r="AP17" s="3"/>
      <c r="AQ17" s="3"/>
      <c r="AR17" s="3"/>
      <c r="AS17" s="3"/>
      <c r="AT17" s="3"/>
      <c r="AU17" s="3"/>
      <c r="AV17" s="3"/>
      <c r="AW17" s="3"/>
      <c r="AX17" s="3"/>
    </row>
    <row r="18" spans="1:50">
      <c r="A18" s="7">
        <f>[5]August_2026!$C18</f>
        <v>7</v>
      </c>
      <c r="B18" s="8">
        <f>[5]August_2026!$B18</f>
        <v>46247</v>
      </c>
      <c r="C18" s="78" t="str">
        <f>[5]August_2026!$D18</f>
        <v>CARIB AMBER</v>
      </c>
      <c r="D18" s="681"/>
      <c r="E18" s="80">
        <v>1.1736111111111112</v>
      </c>
      <c r="F18" s="80">
        <v>1.625</v>
      </c>
      <c r="G18" s="93">
        <v>1.6777777777777778</v>
      </c>
      <c r="H18" s="14"/>
      <c r="I18" s="34">
        <f>3+60+6+11</f>
        <v>80</v>
      </c>
      <c r="J18" s="35"/>
      <c r="K18" s="34"/>
      <c r="L18" s="34"/>
      <c r="M18" s="34"/>
      <c r="N18" s="34"/>
      <c r="O18" s="34">
        <f>'Uncaser Downtime Detail '!AG443</f>
        <v>4</v>
      </c>
      <c r="P18" s="34">
        <f>'Washer Downtime Detail'!BH448</f>
        <v>73</v>
      </c>
      <c r="Q18" s="34">
        <f>'EBI Downtime Detail'!AI445</f>
        <v>6</v>
      </c>
      <c r="R18" s="34">
        <f>'Filler Downtime Detail'!AK443</f>
        <v>4</v>
      </c>
      <c r="S18" s="34">
        <f>'Pasteurizer Downtime Detail'!Z435</f>
        <v>0</v>
      </c>
      <c r="T18" s="34">
        <f>'Labeler Downtime Detail'!AN434</f>
        <v>3</v>
      </c>
      <c r="U18" s="34">
        <f>'Videojet Downtime Detail '!O439</f>
        <v>0</v>
      </c>
      <c r="V18" s="34">
        <f>'Conveyor Downtime (new)'!AV443</f>
        <v>13</v>
      </c>
      <c r="W18" s="34">
        <f>'Packer Downtime Detail  '!AD437</f>
        <v>0</v>
      </c>
      <c r="X18" s="34">
        <f>'Carton Errector-sealer Detail'!P429</f>
        <v>0</v>
      </c>
      <c r="Y18" s="35"/>
      <c r="Z18" s="34"/>
      <c r="AA18" s="90"/>
      <c r="AB18" s="90">
        <f>1+2+3+2+2+2</f>
        <v>12</v>
      </c>
      <c r="AC18" s="89"/>
      <c r="AD18" s="44">
        <f t="shared" si="0"/>
        <v>195</v>
      </c>
      <c r="AE18" s="754"/>
      <c r="AH18" s="3"/>
      <c r="AI18" s="23"/>
      <c r="AJ18" s="23"/>
      <c r="AK18" s="54"/>
      <c r="AL18" s="3"/>
      <c r="AM18" s="3"/>
      <c r="AN18" s="3"/>
      <c r="AO18" s="3"/>
      <c r="AP18" s="3"/>
      <c r="AQ18" s="3"/>
      <c r="AR18" s="3"/>
      <c r="AS18" s="3"/>
      <c r="AT18" s="3"/>
      <c r="AU18" s="3"/>
      <c r="AV18" s="3"/>
      <c r="AW18" s="3"/>
      <c r="AX18" s="3"/>
    </row>
    <row r="19" spans="1:50">
      <c r="A19" s="7">
        <f>[5]August_2026!$C19</f>
        <v>7</v>
      </c>
      <c r="B19" s="8">
        <f>[5]August_2026!$B19</f>
        <v>46247</v>
      </c>
      <c r="C19" s="78" t="str">
        <f>[5]August_2026!$D19</f>
        <v>STAG</v>
      </c>
      <c r="D19" s="681"/>
      <c r="E19" s="80">
        <v>1.6583333333333334</v>
      </c>
      <c r="F19" s="80">
        <v>2</v>
      </c>
      <c r="G19" s="93">
        <v>2.0694444444444446</v>
      </c>
      <c r="H19" s="82"/>
      <c r="I19" s="32">
        <f>48</f>
        <v>48</v>
      </c>
      <c r="J19" s="86"/>
      <c r="K19" s="71"/>
      <c r="L19" s="71"/>
      <c r="M19" s="630"/>
      <c r="N19" s="71"/>
      <c r="O19" s="32">
        <f>'Uncaser Downtime Detail '!AG444</f>
        <v>0</v>
      </c>
      <c r="P19" s="32">
        <f>'Washer Downtime Detail'!BH449</f>
        <v>49</v>
      </c>
      <c r="Q19" s="32">
        <f>'EBI Downtime Detail'!AI446</f>
        <v>12</v>
      </c>
      <c r="R19" s="32">
        <f>'Filler Downtime Detail'!AK444</f>
        <v>5</v>
      </c>
      <c r="S19" s="32">
        <f>'Pasteurizer Downtime Detail'!Z436</f>
        <v>0</v>
      </c>
      <c r="T19" s="32">
        <f>'Labeler Downtime Detail'!AN435</f>
        <v>0</v>
      </c>
      <c r="U19" s="32">
        <f>'Videojet Downtime Detail '!O440</f>
        <v>0</v>
      </c>
      <c r="V19" s="32">
        <f>'Conveyor Downtime (new)'!AV444</f>
        <v>19</v>
      </c>
      <c r="W19" s="32">
        <f>'Packer Downtime Detail  '!AD438</f>
        <v>0</v>
      </c>
      <c r="X19" s="71">
        <f>'Carton Errector-sealer Detail'!P430</f>
        <v>0</v>
      </c>
      <c r="Y19" s="71"/>
      <c r="Z19" s="43">
        <f>7+31+5</f>
        <v>43</v>
      </c>
      <c r="AA19" s="88"/>
      <c r="AB19" s="88">
        <f>3+7</f>
        <v>10</v>
      </c>
      <c r="AC19" s="71"/>
      <c r="AD19" s="44">
        <f t="shared" si="0"/>
        <v>186</v>
      </c>
      <c r="AE19" s="754"/>
      <c r="AH19" s="3"/>
      <c r="AI19" s="23"/>
      <c r="AJ19" s="23"/>
      <c r="AK19" s="54"/>
      <c r="AL19" s="3"/>
      <c r="AM19" s="3"/>
      <c r="AN19" s="3"/>
      <c r="AO19" s="3"/>
      <c r="AP19" s="3"/>
      <c r="AQ19" s="3"/>
      <c r="AR19" s="3"/>
      <c r="AS19" s="3"/>
      <c r="AT19" s="3"/>
      <c r="AU19" s="3"/>
      <c r="AV19" s="3"/>
      <c r="AW19" s="3"/>
      <c r="AX19" s="3"/>
    </row>
    <row r="20" spans="1:50" ht="12.75" customHeight="1">
      <c r="A20" s="7">
        <f>[5]August_2026!$C20</f>
        <v>8</v>
      </c>
      <c r="B20" s="8">
        <f>[5]August_2026!$B20</f>
        <v>46248</v>
      </c>
      <c r="C20" s="78" t="str">
        <f>[5]August_2026!$D20</f>
        <v>STAG</v>
      </c>
      <c r="D20" s="681">
        <v>1</v>
      </c>
      <c r="E20" s="80">
        <v>1.0118055555555556</v>
      </c>
      <c r="F20" s="80">
        <v>1.7361111111111112</v>
      </c>
      <c r="G20" s="93">
        <v>1.8104166666666666</v>
      </c>
      <c r="H20" s="14">
        <v>3</v>
      </c>
      <c r="I20" s="34">
        <f>17</f>
        <v>17</v>
      </c>
      <c r="J20" s="35"/>
      <c r="K20" s="34">
        <f>37+30+6</f>
        <v>73</v>
      </c>
      <c r="L20" s="34"/>
      <c r="M20" s="34"/>
      <c r="N20" s="34"/>
      <c r="O20" s="34">
        <f>'Uncaser Downtime Detail '!AG445</f>
        <v>15</v>
      </c>
      <c r="P20" s="34">
        <f>'Washer Downtime Detail'!BH450</f>
        <v>20</v>
      </c>
      <c r="Q20" s="34">
        <f>'EBI Downtime Detail'!AI447</f>
        <v>29</v>
      </c>
      <c r="R20" s="34">
        <f>'Filler Downtime Detail'!AK445</f>
        <v>14</v>
      </c>
      <c r="S20" s="34">
        <f>'Pasteurizer Downtime Detail'!Z437</f>
        <v>31</v>
      </c>
      <c r="T20" s="34">
        <f>'Labeler Downtime Detail'!AN436</f>
        <v>4</v>
      </c>
      <c r="U20" s="34">
        <f>'Videojet Downtime Detail '!O441</f>
        <v>0</v>
      </c>
      <c r="V20" s="34">
        <f>'Conveyor Downtime (new)'!AV445</f>
        <v>24</v>
      </c>
      <c r="W20" s="34">
        <f>'Packer Downtime Detail  '!AD439</f>
        <v>0</v>
      </c>
      <c r="X20" s="34">
        <f>'Carton Errector-sealer Detail'!P431</f>
        <v>0</v>
      </c>
      <c r="Y20" s="35"/>
      <c r="Z20" s="34">
        <f>34+6+30+6+4</f>
        <v>80</v>
      </c>
      <c r="AA20" s="90"/>
      <c r="AB20" s="90"/>
      <c r="AC20" s="89"/>
      <c r="AD20" s="44">
        <f t="shared" si="0"/>
        <v>310</v>
      </c>
      <c r="AE20" s="754">
        <f>G21-D20</f>
        <v>0.875</v>
      </c>
      <c r="AH20" s="3"/>
      <c r="AI20" s="23"/>
      <c r="AJ20" s="23"/>
      <c r="AK20" s="54"/>
      <c r="AL20" s="3"/>
      <c r="AM20" s="3"/>
      <c r="AN20" s="3"/>
      <c r="AO20" s="3"/>
      <c r="AP20" s="3"/>
      <c r="AQ20" s="3"/>
      <c r="AR20" s="3"/>
      <c r="AS20" s="3"/>
      <c r="AT20" s="3"/>
      <c r="AU20" s="3"/>
      <c r="AV20" s="3"/>
      <c r="AW20" s="3"/>
      <c r="AX20" s="3"/>
    </row>
    <row r="21" spans="1:50">
      <c r="A21" s="7">
        <f>[5]August_2026!$C21</f>
        <v>8</v>
      </c>
      <c r="B21" s="8">
        <f>[5]August_2026!$B21</f>
        <v>46248</v>
      </c>
      <c r="C21" s="78" t="str">
        <f>[5]August_2026!$D21</f>
        <v>CARIB AMBER</v>
      </c>
      <c r="D21" s="681"/>
      <c r="E21" s="80">
        <v>1.75</v>
      </c>
      <c r="F21" s="80">
        <v>1.8180555555555555</v>
      </c>
      <c r="G21" s="93">
        <v>1.875</v>
      </c>
      <c r="H21" s="82"/>
      <c r="I21" s="32">
        <f>20</f>
        <v>20</v>
      </c>
      <c r="J21" s="86"/>
      <c r="K21" s="71"/>
      <c r="L21" s="71"/>
      <c r="M21" s="71"/>
      <c r="N21" s="71"/>
      <c r="O21" s="32">
        <f>'Uncaser Downtime Detail '!AG446</f>
        <v>0</v>
      </c>
      <c r="P21" s="32">
        <f>'Washer Downtime Detail'!BH451</f>
        <v>5</v>
      </c>
      <c r="Q21" s="32">
        <f>'EBI Downtime Detail'!AI448</f>
        <v>0</v>
      </c>
      <c r="R21" s="32">
        <f>'Filler Downtime Detail'!AK446</f>
        <v>0</v>
      </c>
      <c r="S21" s="32">
        <f>'Pasteurizer Downtime Detail'!Z438</f>
        <v>0</v>
      </c>
      <c r="T21" s="32">
        <f>'Labeler Downtime Detail'!AN437</f>
        <v>0</v>
      </c>
      <c r="U21" s="32">
        <f>'Videojet Downtime Detail '!O442</f>
        <v>0</v>
      </c>
      <c r="V21" s="32">
        <f>'Conveyor Downtime (new)'!AV446</f>
        <v>0</v>
      </c>
      <c r="W21" s="32">
        <f>'Packer Downtime Detail  '!AD440</f>
        <v>0</v>
      </c>
      <c r="X21" s="71">
        <f>'Carton Errector-sealer Detail'!P432</f>
        <v>0</v>
      </c>
      <c r="Y21" s="71"/>
      <c r="Z21" s="43"/>
      <c r="AA21" s="88"/>
      <c r="AB21" s="88"/>
      <c r="AC21" s="71"/>
      <c r="AD21" s="44">
        <f t="shared" si="0"/>
        <v>25</v>
      </c>
      <c r="AE21" s="754"/>
      <c r="AH21" s="3"/>
      <c r="AI21" s="23"/>
      <c r="AJ21" s="23"/>
      <c r="AK21" s="54"/>
      <c r="AL21" s="3"/>
      <c r="AM21" s="3"/>
      <c r="AN21" s="3"/>
      <c r="AO21" s="3"/>
      <c r="AP21" s="3"/>
      <c r="AQ21" s="3"/>
      <c r="AR21" s="3"/>
      <c r="AS21" s="3"/>
      <c r="AT21" s="3"/>
      <c r="AU21" s="3"/>
      <c r="AV21" s="3"/>
      <c r="AW21" s="3"/>
      <c r="AX21" s="3"/>
    </row>
    <row r="22" spans="1:50">
      <c r="A22" s="7">
        <f>[5]August_2026!$C22</f>
        <v>9</v>
      </c>
      <c r="B22" s="8">
        <f>[5]August_2026!$B22</f>
        <v>46251</v>
      </c>
      <c r="C22" s="78" t="str">
        <f>[5]August_2026!$D22</f>
        <v>CARIB EXPORT</v>
      </c>
      <c r="D22" s="681">
        <v>1.0131944444444445</v>
      </c>
      <c r="E22" s="80">
        <v>1.1041666666666667</v>
      </c>
      <c r="F22" s="80">
        <v>1.9347222222222222</v>
      </c>
      <c r="G22" s="159"/>
      <c r="H22" s="14">
        <v>90</v>
      </c>
      <c r="I22" s="34">
        <f>17+28+30</f>
        <v>75</v>
      </c>
      <c r="J22" s="35">
        <f>2+4+3</f>
        <v>9</v>
      </c>
      <c r="K22" s="34"/>
      <c r="L22" s="34"/>
      <c r="M22" s="34"/>
      <c r="N22" s="34"/>
      <c r="O22" s="34">
        <f>'Uncaser Downtime Detail '!AG447</f>
        <v>8</v>
      </c>
      <c r="P22" s="34">
        <f>'Washer Downtime Detail'!BH452</f>
        <v>3</v>
      </c>
      <c r="Q22" s="34">
        <f>'EBI Downtime Detail'!AI449</f>
        <v>3</v>
      </c>
      <c r="R22" s="34">
        <f>'Filler Downtime Detail'!AK447</f>
        <v>1</v>
      </c>
      <c r="S22" s="34">
        <f>'Pasteurizer Downtime Detail'!Z439</f>
        <v>0</v>
      </c>
      <c r="T22" s="34">
        <f>'Labeler Downtime Detail'!AN438</f>
        <v>114</v>
      </c>
      <c r="U22" s="34">
        <f>'Videojet Downtime Detail '!O443</f>
        <v>0</v>
      </c>
      <c r="V22" s="34">
        <f>'Conveyor Downtime (new)'!AV447</f>
        <v>50</v>
      </c>
      <c r="W22" s="34">
        <f>'Packer Downtime Detail  '!AD441</f>
        <v>0</v>
      </c>
      <c r="X22" s="34">
        <f>'Carton Errector-sealer Detail'!P433</f>
        <v>98</v>
      </c>
      <c r="Y22" s="35"/>
      <c r="Z22" s="34"/>
      <c r="AA22" s="90"/>
      <c r="AB22" s="90">
        <f>15+2+3+2+4+2+3+3+2</f>
        <v>36</v>
      </c>
      <c r="AC22" s="89"/>
      <c r="AD22" s="44">
        <f t="shared" si="0"/>
        <v>487</v>
      </c>
      <c r="AE22" s="754">
        <f>G23-D22</f>
        <v>1.0159722222222223</v>
      </c>
      <c r="AH22" s="3"/>
      <c r="AI22" s="23"/>
      <c r="AJ22" s="23"/>
      <c r="AK22" s="54"/>
      <c r="AL22" s="3"/>
      <c r="AM22" s="3"/>
      <c r="AN22" s="3"/>
      <c r="AO22" s="3"/>
      <c r="AP22" s="3"/>
      <c r="AQ22" s="3"/>
      <c r="AR22" s="3"/>
      <c r="AS22" s="3"/>
      <c r="AT22" s="3"/>
      <c r="AU22" s="3"/>
      <c r="AV22" s="3"/>
      <c r="AW22" s="3"/>
      <c r="AX22" s="3"/>
    </row>
    <row r="23" spans="1:50">
      <c r="A23" s="7">
        <f>[5]August_2026!$C23</f>
        <v>9</v>
      </c>
      <c r="B23" s="8">
        <f>[5]August_2026!$B23</f>
        <v>46251</v>
      </c>
      <c r="C23" s="78" t="str">
        <f>[5]August_2026!$D23</f>
        <v>CARIB FLINT LOCAL</v>
      </c>
      <c r="D23" s="681"/>
      <c r="E23" s="80">
        <v>1.9444444444444444</v>
      </c>
      <c r="F23" s="80">
        <v>2</v>
      </c>
      <c r="G23" s="93">
        <v>2.0291666666666668</v>
      </c>
      <c r="H23" s="82"/>
      <c r="I23" s="32">
        <f>14</f>
        <v>14</v>
      </c>
      <c r="J23" s="86"/>
      <c r="K23" s="71"/>
      <c r="L23" s="71"/>
      <c r="M23" s="71"/>
      <c r="N23" s="71"/>
      <c r="O23" s="32">
        <f>'Uncaser Downtime Detail '!AG448</f>
        <v>0</v>
      </c>
      <c r="P23" s="32">
        <f>'Washer Downtime Detail'!BH453</f>
        <v>0</v>
      </c>
      <c r="Q23" s="32">
        <f>'EBI Downtime Detail'!AI450</f>
        <v>20</v>
      </c>
      <c r="R23" s="32">
        <f>'Filler Downtime Detail'!AK448</f>
        <v>3</v>
      </c>
      <c r="S23" s="32">
        <f>'Pasteurizer Downtime Detail'!Z440</f>
        <v>0</v>
      </c>
      <c r="T23" s="32">
        <f>'Labeler Downtime Detail'!AN439</f>
        <v>0</v>
      </c>
      <c r="U23" s="32">
        <f>'Videojet Downtime Detail '!O444</f>
        <v>0</v>
      </c>
      <c r="V23" s="32">
        <f>'Conveyor Downtime (new)'!AV448</f>
        <v>0</v>
      </c>
      <c r="W23" s="32">
        <f>'Packer Downtime Detail  '!AD442</f>
        <v>59</v>
      </c>
      <c r="X23" s="71">
        <f>'Carton Errector-sealer Detail'!P434</f>
        <v>0</v>
      </c>
      <c r="Y23" s="71"/>
      <c r="Z23" s="43"/>
      <c r="AA23" s="88"/>
      <c r="AB23" s="88"/>
      <c r="AC23" s="71"/>
      <c r="AD23" s="44">
        <f t="shared" si="0"/>
        <v>96</v>
      </c>
      <c r="AE23" s="754"/>
      <c r="AH23" s="3"/>
      <c r="AI23" s="23"/>
      <c r="AJ23" s="23"/>
      <c r="AK23" s="54"/>
      <c r="AL23" s="3"/>
      <c r="AM23" s="3"/>
      <c r="AN23" s="3"/>
      <c r="AO23" s="3"/>
      <c r="AP23" s="3"/>
      <c r="AQ23" s="3"/>
      <c r="AR23" s="3"/>
      <c r="AS23" s="3"/>
      <c r="AT23" s="3"/>
      <c r="AU23" s="3"/>
      <c r="AV23" s="3"/>
      <c r="AW23" s="3"/>
      <c r="AX23" s="3"/>
    </row>
    <row r="24" spans="1:50" s="77" customFormat="1" ht="12.75" customHeight="1">
      <c r="A24" s="7">
        <f>[5]August_2026!$C24</f>
        <v>10</v>
      </c>
      <c r="B24" s="8">
        <f>[5]August_2026!$B24</f>
        <v>46252</v>
      </c>
      <c r="C24" s="78" t="str">
        <f>[5]August_2026!$D24</f>
        <v>CARIB FLINT LOCAL</v>
      </c>
      <c r="D24" s="681">
        <v>1</v>
      </c>
      <c r="E24" s="80">
        <v>1.0520833333333333</v>
      </c>
      <c r="F24" s="80">
        <v>1.1944444444444444</v>
      </c>
      <c r="G24" s="93">
        <v>0.24861111111111112</v>
      </c>
      <c r="H24" s="14"/>
      <c r="I24" s="34">
        <f>24</f>
        <v>24</v>
      </c>
      <c r="J24" s="35"/>
      <c r="K24" s="34"/>
      <c r="L24" s="34">
        <f>10</f>
        <v>10</v>
      </c>
      <c r="M24" s="34"/>
      <c r="N24" s="34"/>
      <c r="O24" s="34">
        <f>'Uncaser Downtime Detail '!AG449</f>
        <v>0</v>
      </c>
      <c r="P24" s="34">
        <f>'Washer Downtime Detail'!BH454</f>
        <v>47</v>
      </c>
      <c r="Q24" s="34">
        <f>'EBI Downtime Detail'!AI451</f>
        <v>77</v>
      </c>
      <c r="R24" s="34">
        <f>'Filler Downtime Detail'!AK449</f>
        <v>3</v>
      </c>
      <c r="S24" s="34">
        <f>'Pasteurizer Downtime Detail'!Z441</f>
        <v>0</v>
      </c>
      <c r="T24" s="34">
        <f>'Labeler Downtime Detail'!AN440</f>
        <v>0</v>
      </c>
      <c r="U24" s="34">
        <f>'Videojet Downtime Detail '!O445</f>
        <v>0</v>
      </c>
      <c r="V24" s="34">
        <f>'Conveyor Downtime (new)'!AV449</f>
        <v>10</v>
      </c>
      <c r="W24" s="34">
        <f>'Packer Downtime Detail  '!AD443</f>
        <v>0</v>
      </c>
      <c r="X24" s="34">
        <f>'Carton Errector-sealer Detail'!P435</f>
        <v>0</v>
      </c>
      <c r="Y24" s="35"/>
      <c r="Z24" s="34"/>
      <c r="AA24" s="90"/>
      <c r="AB24" s="90"/>
      <c r="AC24" s="89"/>
      <c r="AD24" s="44">
        <f t="shared" si="0"/>
        <v>171</v>
      </c>
      <c r="AE24" s="754">
        <f>G25-D24</f>
        <v>1.0548611111111112</v>
      </c>
      <c r="AF24"/>
      <c r="AG24"/>
      <c r="AH24" s="3"/>
      <c r="AI24" s="23"/>
      <c r="AJ24" s="23"/>
      <c r="AK24" s="54"/>
      <c r="AL24" s="3"/>
      <c r="AM24" s="3"/>
      <c r="AN24" s="3"/>
      <c r="AO24" s="3"/>
      <c r="AP24" s="3"/>
      <c r="AQ24" s="3"/>
      <c r="AR24" s="3"/>
      <c r="AS24" s="3"/>
      <c r="AT24" s="3"/>
      <c r="AU24" s="3"/>
      <c r="AV24" s="3"/>
      <c r="AW24" s="92"/>
      <c r="AX24" s="92"/>
    </row>
    <row r="25" spans="1:50">
      <c r="A25" s="7">
        <f>[5]August_2026!$C25</f>
        <v>10</v>
      </c>
      <c r="B25" s="8">
        <f>[5]August_2026!$B25</f>
        <v>46252</v>
      </c>
      <c r="C25" s="78" t="str">
        <f>[5]August_2026!$D25</f>
        <v>CARIB AMBER</v>
      </c>
      <c r="D25" s="681"/>
      <c r="E25" s="80">
        <v>1.1965277777777779</v>
      </c>
      <c r="F25" s="80">
        <v>2</v>
      </c>
      <c r="G25" s="93">
        <v>2.0548611111111112</v>
      </c>
      <c r="H25" s="82">
        <f>3+10</f>
        <v>13</v>
      </c>
      <c r="I25" s="32">
        <f>3+13</f>
        <v>16</v>
      </c>
      <c r="J25" s="86">
        <f>3</f>
        <v>3</v>
      </c>
      <c r="K25" s="71"/>
      <c r="L25" s="71"/>
      <c r="M25" s="71"/>
      <c r="N25" s="71"/>
      <c r="O25" s="32">
        <f>'Uncaser Downtime Detail '!AG450</f>
        <v>33</v>
      </c>
      <c r="P25" s="32">
        <f>'Washer Downtime Detail'!BH455</f>
        <v>29</v>
      </c>
      <c r="Q25" s="32">
        <f>'EBI Downtime Detail'!AI452</f>
        <v>10</v>
      </c>
      <c r="R25" s="32">
        <f>'Filler Downtime Detail'!AK450</f>
        <v>22</v>
      </c>
      <c r="S25" s="32">
        <f>'Pasteurizer Downtime Detail'!Z442</f>
        <v>0</v>
      </c>
      <c r="T25" s="32">
        <f>'Labeler Downtime Detail'!AN441</f>
        <v>2</v>
      </c>
      <c r="U25" s="32">
        <f>'Videojet Downtime Detail '!O446</f>
        <v>0</v>
      </c>
      <c r="V25" s="32">
        <f>'Conveyor Downtime (new)'!AV450</f>
        <v>24</v>
      </c>
      <c r="W25" s="32">
        <f>'Packer Downtime Detail  '!AD444</f>
        <v>7</v>
      </c>
      <c r="X25" s="71">
        <f>'Carton Errector-sealer Detail'!P436</f>
        <v>0</v>
      </c>
      <c r="Y25" s="71"/>
      <c r="Z25" s="43">
        <f>2+6</f>
        <v>8</v>
      </c>
      <c r="AA25" s="88"/>
      <c r="AB25" s="88">
        <v>3</v>
      </c>
      <c r="AC25" s="71"/>
      <c r="AD25" s="44">
        <f t="shared" si="0"/>
        <v>170</v>
      </c>
      <c r="AE25" s="754"/>
      <c r="AH25" s="3"/>
      <c r="AI25" s="23"/>
      <c r="AJ25" s="23"/>
      <c r="AK25" s="54"/>
      <c r="AL25" s="3"/>
      <c r="AM25" s="3"/>
      <c r="AN25" s="3"/>
      <c r="AO25" s="3"/>
      <c r="AP25" s="3"/>
      <c r="AQ25" s="3"/>
      <c r="AR25" s="3"/>
      <c r="AS25" s="3"/>
      <c r="AT25" s="3"/>
      <c r="AU25" s="3"/>
      <c r="AV25" s="3"/>
      <c r="AW25" s="3"/>
      <c r="AX25" s="3"/>
    </row>
    <row r="26" spans="1:50">
      <c r="A26" s="7">
        <f>[5]August_2026!$C26</f>
        <v>11</v>
      </c>
      <c r="B26" s="8">
        <f>[5]August_2026!$B26</f>
        <v>46253</v>
      </c>
      <c r="C26" s="78" t="str">
        <f>[5]August_2026!$D26</f>
        <v>CARIB AMBER</v>
      </c>
      <c r="D26" s="681">
        <v>1</v>
      </c>
      <c r="E26" s="80">
        <v>1.0527777777777778</v>
      </c>
      <c r="F26" s="80">
        <v>1.6305555555555555</v>
      </c>
      <c r="G26" s="93"/>
      <c r="H26" s="14">
        <v>2</v>
      </c>
      <c r="I26" s="34">
        <f>4</f>
        <v>4</v>
      </c>
      <c r="J26" s="35"/>
      <c r="K26" s="34"/>
      <c r="L26" s="34"/>
      <c r="M26" s="34"/>
      <c r="N26" s="34"/>
      <c r="O26" s="34">
        <f>'Uncaser Downtime Detail '!AG451</f>
        <v>13</v>
      </c>
      <c r="P26" s="34">
        <f>'Washer Downtime Detail'!BH456</f>
        <v>3</v>
      </c>
      <c r="Q26" s="34">
        <f>'EBI Downtime Detail'!AI453</f>
        <v>0</v>
      </c>
      <c r="R26" s="34">
        <f>'Filler Downtime Detail'!AK451</f>
        <v>16</v>
      </c>
      <c r="S26" s="34">
        <f>'Pasteurizer Downtime Detail'!Z443</f>
        <v>12</v>
      </c>
      <c r="T26" s="34">
        <f>'Labeler Downtime Detail'!AN442</f>
        <v>16</v>
      </c>
      <c r="U26" s="34">
        <f>'Videojet Downtime Detail '!O447</f>
        <v>0</v>
      </c>
      <c r="V26" s="34">
        <f>'Conveyor Downtime (new)'!AV451</f>
        <v>10</v>
      </c>
      <c r="W26" s="34">
        <f>'Packer Downtime Detail  '!AD445</f>
        <v>16</v>
      </c>
      <c r="X26" s="34">
        <f>'Carton Errector-sealer Detail'!P437</f>
        <v>0</v>
      </c>
      <c r="Y26" s="35"/>
      <c r="Z26" s="34">
        <f>30+5</f>
        <v>35</v>
      </c>
      <c r="AA26" s="90"/>
      <c r="AB26" s="90">
        <f>3+3+10+2+3+3+2+3+3+3+3+4+5+2+2</f>
        <v>51</v>
      </c>
      <c r="AC26" s="89"/>
      <c r="AD26" s="44">
        <f t="shared" si="0"/>
        <v>178</v>
      </c>
      <c r="AE26" s="754">
        <f>G27-D26</f>
        <v>1.0527777777777776</v>
      </c>
      <c r="AH26" s="3"/>
      <c r="AI26" s="23"/>
      <c r="AJ26" s="23"/>
      <c r="AK26" s="54"/>
      <c r="AL26" s="3"/>
      <c r="AM26" s="3"/>
      <c r="AN26" s="3"/>
      <c r="AO26" s="3"/>
      <c r="AP26" s="3"/>
      <c r="AQ26" s="3"/>
      <c r="AR26" s="3"/>
      <c r="AS26" s="3"/>
      <c r="AT26" s="3"/>
      <c r="AU26" s="3"/>
      <c r="AV26" s="3"/>
      <c r="AW26" s="3"/>
      <c r="AX26" s="3"/>
    </row>
    <row r="27" spans="1:50">
      <c r="A27" s="7">
        <f>[5]August_2026!$C27</f>
        <v>11</v>
      </c>
      <c r="B27" s="8">
        <f>[5]August_2026!$B27</f>
        <v>46253</v>
      </c>
      <c r="C27" s="78" t="str">
        <f>[5]August_2026!$D27</f>
        <v>TING ORIGINAL</v>
      </c>
      <c r="D27" s="681"/>
      <c r="E27" s="80">
        <v>1.8020833333333333</v>
      </c>
      <c r="F27" s="80">
        <v>2</v>
      </c>
      <c r="G27" s="93">
        <v>2.0527777777777776</v>
      </c>
      <c r="H27" s="82"/>
      <c r="I27" s="32">
        <f>52</f>
        <v>52</v>
      </c>
      <c r="J27" s="86"/>
      <c r="K27" s="71"/>
      <c r="L27" s="71"/>
      <c r="M27" s="71"/>
      <c r="N27" s="71"/>
      <c r="O27" s="32">
        <f>'Uncaser Downtime Detail '!AG452</f>
        <v>0</v>
      </c>
      <c r="P27" s="32">
        <f>'Washer Downtime Detail'!BH457</f>
        <v>10</v>
      </c>
      <c r="Q27" s="32">
        <f>'EBI Downtime Detail'!AI454</f>
        <v>4</v>
      </c>
      <c r="R27" s="32">
        <f>'Filler Downtime Detail'!AK452</f>
        <v>7</v>
      </c>
      <c r="S27" s="32">
        <f>'Pasteurizer Downtime Detail'!Z444</f>
        <v>123</v>
      </c>
      <c r="T27" s="32">
        <f>'Labeler Downtime Detail'!AN443</f>
        <v>4</v>
      </c>
      <c r="U27" s="32">
        <f>'Videojet Downtime Detail '!O448</f>
        <v>0</v>
      </c>
      <c r="V27" s="32">
        <f>'Conveyor Downtime (new)'!AV452</f>
        <v>11</v>
      </c>
      <c r="W27" s="32">
        <f>'Packer Downtime Detail  '!AD446</f>
        <v>0</v>
      </c>
      <c r="X27" s="71">
        <f>'Carton Errector-sealer Detail'!P438</f>
        <v>0</v>
      </c>
      <c r="Y27" s="71"/>
      <c r="Z27" s="43">
        <f>30+32+15</f>
        <v>77</v>
      </c>
      <c r="AA27" s="88"/>
      <c r="AB27" s="88"/>
      <c r="AC27" s="71"/>
      <c r="AD27" s="44">
        <f t="shared" si="0"/>
        <v>288</v>
      </c>
      <c r="AE27" s="754"/>
      <c r="AH27" s="3"/>
      <c r="AI27" s="23"/>
      <c r="AJ27" s="23"/>
      <c r="AK27" s="54"/>
      <c r="AL27" s="3"/>
      <c r="AM27" s="3"/>
      <c r="AN27" s="3"/>
      <c r="AO27" s="3"/>
      <c r="AP27" s="3"/>
      <c r="AQ27" s="3"/>
      <c r="AR27" s="3"/>
      <c r="AS27" s="3"/>
      <c r="AT27" s="3"/>
      <c r="AU27" s="3"/>
      <c r="AV27" s="3"/>
      <c r="AW27" s="3"/>
      <c r="AX27" s="3"/>
    </row>
    <row r="28" spans="1:50">
      <c r="A28" s="7">
        <f>[5]August_2026!$C28</f>
        <v>12</v>
      </c>
      <c r="B28" s="8">
        <f>[5]August_2026!$B28</f>
        <v>46254</v>
      </c>
      <c r="C28" s="78" t="str">
        <f>[5]August_2026!$D28</f>
        <v>TING ORIGINAL</v>
      </c>
      <c r="D28" s="681">
        <v>1</v>
      </c>
      <c r="E28" s="80">
        <v>1.0034722222222223</v>
      </c>
      <c r="F28" s="80">
        <v>1.1506944444444445</v>
      </c>
      <c r="G28" s="93">
        <v>1.2243055555555555</v>
      </c>
      <c r="H28" s="14">
        <v>2</v>
      </c>
      <c r="I28" s="34">
        <f>5</f>
        <v>5</v>
      </c>
      <c r="J28" s="35"/>
      <c r="K28" s="34"/>
      <c r="L28" s="34"/>
      <c r="M28" s="34"/>
      <c r="N28" s="34"/>
      <c r="O28" s="34">
        <f>'Uncaser Downtime Detail '!AG453</f>
        <v>0</v>
      </c>
      <c r="P28" s="34">
        <f>'Washer Downtime Detail'!BH458</f>
        <v>20</v>
      </c>
      <c r="Q28" s="34">
        <f>'EBI Downtime Detail'!AI455</f>
        <v>6</v>
      </c>
      <c r="R28" s="34">
        <f>'Filler Downtime Detail'!AK453</f>
        <v>5</v>
      </c>
      <c r="S28" s="34">
        <f>'Pasteurizer Downtime Detail'!Z445</f>
        <v>7</v>
      </c>
      <c r="T28" s="34">
        <f>'Labeler Downtime Detail'!AN444</f>
        <v>0</v>
      </c>
      <c r="U28" s="34">
        <f>'Videojet Downtime Detail '!O449</f>
        <v>0</v>
      </c>
      <c r="V28" s="34">
        <f>'Conveyor Downtime (new)'!AV453</f>
        <v>3</v>
      </c>
      <c r="W28" s="34">
        <f>'Packer Downtime Detail  '!AD447</f>
        <v>0</v>
      </c>
      <c r="X28" s="34">
        <f>'Carton Errector-sealer Detail'!P439</f>
        <v>0</v>
      </c>
      <c r="Y28" s="35"/>
      <c r="Z28" s="34"/>
      <c r="AA28" s="90"/>
      <c r="AB28" s="90"/>
      <c r="AC28" s="89"/>
      <c r="AD28" s="44">
        <f>SUM(H28:J28,K28:AC28)</f>
        <v>48</v>
      </c>
      <c r="AE28" s="754">
        <f>G29-D28</f>
        <v>0.92986111111111103</v>
      </c>
      <c r="AH28" s="3"/>
      <c r="AI28" s="23"/>
      <c r="AJ28" s="23"/>
      <c r="AK28" s="54"/>
      <c r="AL28" s="3"/>
      <c r="AM28" s="3"/>
      <c r="AN28" s="3"/>
      <c r="AO28" s="3"/>
      <c r="AP28" s="3"/>
      <c r="AQ28" s="3"/>
      <c r="AR28" s="3"/>
      <c r="AS28" s="3"/>
      <c r="AT28" s="3"/>
      <c r="AU28" s="3"/>
      <c r="AV28" s="3"/>
      <c r="AW28" s="3"/>
      <c r="AX28" s="3"/>
    </row>
    <row r="29" spans="1:50">
      <c r="A29" s="7">
        <f>[5]August_2026!$C29</f>
        <v>12</v>
      </c>
      <c r="B29" s="8">
        <f>[5]August_2026!$B29</f>
        <v>46254</v>
      </c>
      <c r="C29" s="78" t="str">
        <f>[5]August_2026!$D29</f>
        <v>STAG</v>
      </c>
      <c r="D29" s="681"/>
      <c r="E29" s="80">
        <v>1.2645833333333334</v>
      </c>
      <c r="F29" s="80">
        <v>1.8611111111111112</v>
      </c>
      <c r="G29" s="93">
        <v>1.929861111111111</v>
      </c>
      <c r="H29" s="82"/>
      <c r="I29" s="32">
        <f>23+45+15+60+21</f>
        <v>164</v>
      </c>
      <c r="J29" s="86"/>
      <c r="K29" s="71"/>
      <c r="L29" s="71"/>
      <c r="M29" s="71"/>
      <c r="N29" s="71"/>
      <c r="O29" s="32">
        <f>'Uncaser Downtime Detail '!AG454</f>
        <v>2</v>
      </c>
      <c r="P29" s="32">
        <f>'Washer Downtime Detail'!BH459</f>
        <v>15</v>
      </c>
      <c r="Q29" s="32">
        <f>'EBI Downtime Detail'!AI456</f>
        <v>4</v>
      </c>
      <c r="R29" s="32">
        <f>'Filler Downtime Detail'!AK454</f>
        <v>5</v>
      </c>
      <c r="S29" s="32">
        <f>'Pasteurizer Downtime Detail'!Z446</f>
        <v>0</v>
      </c>
      <c r="T29" s="32">
        <f>'Labeler Downtime Detail'!AN445</f>
        <v>20</v>
      </c>
      <c r="U29" s="32">
        <f>'Videojet Downtime Detail '!O450</f>
        <v>0</v>
      </c>
      <c r="V29" s="32">
        <f>'Conveyor Downtime (new)'!AV454</f>
        <v>31</v>
      </c>
      <c r="W29" s="32">
        <f>'Packer Downtime Detail  '!AD448</f>
        <v>15</v>
      </c>
      <c r="X29" s="71">
        <f>'Carton Errector-sealer Detail'!P440</f>
        <v>0</v>
      </c>
      <c r="Y29" s="71"/>
      <c r="Z29" s="43">
        <f>6+2</f>
        <v>8</v>
      </c>
      <c r="AA29" s="88"/>
      <c r="AB29" s="88">
        <f>2+2+2+2+2+3+3+4+4+3+4</f>
        <v>31</v>
      </c>
      <c r="AC29" s="71"/>
      <c r="AD29" s="44">
        <f t="shared" si="0"/>
        <v>295</v>
      </c>
      <c r="AE29" s="754"/>
      <c r="AH29" s="3"/>
      <c r="AI29" s="23"/>
      <c r="AJ29" s="23"/>
      <c r="AK29" s="54"/>
      <c r="AL29" s="3"/>
      <c r="AM29" s="3"/>
      <c r="AN29" s="3"/>
      <c r="AO29" s="3"/>
      <c r="AP29" s="3"/>
      <c r="AQ29" s="3"/>
      <c r="AR29" s="3"/>
      <c r="AS29" s="3"/>
      <c r="AT29" s="3"/>
      <c r="AU29" s="3"/>
      <c r="AV29" s="3"/>
      <c r="AW29" s="3"/>
      <c r="AX29" s="3"/>
    </row>
    <row r="30" spans="1:50" s="77" customFormat="1" ht="12.75" customHeight="1">
      <c r="A30" s="631">
        <f>[5]August_2026!$C30</f>
        <v>0</v>
      </c>
      <c r="B30" s="8">
        <f>[5]August_2026!$B30</f>
        <v>46255</v>
      </c>
      <c r="C30" s="612" t="str">
        <f>[5]August_2026!$D30</f>
        <v>NO BOTTLING</v>
      </c>
      <c r="D30" s="632"/>
      <c r="E30" s="83"/>
      <c r="F30" s="83"/>
      <c r="G30" s="159"/>
      <c r="H30" s="633"/>
      <c r="I30" s="87"/>
      <c r="J30" s="634"/>
      <c r="K30" s="87"/>
      <c r="L30" s="87"/>
      <c r="M30" s="87"/>
      <c r="N30" s="87"/>
      <c r="O30" s="87"/>
      <c r="P30" s="87"/>
      <c r="Q30" s="87"/>
      <c r="R30" s="87"/>
      <c r="S30" s="87"/>
      <c r="T30" s="87"/>
      <c r="U30" s="87"/>
      <c r="V30" s="87"/>
      <c r="W30" s="87"/>
      <c r="X30" s="87">
        <f>'Carton Errector-sealer Detail'!P441</f>
        <v>0</v>
      </c>
      <c r="Y30" s="634"/>
      <c r="Z30" s="87"/>
      <c r="AA30" s="616"/>
      <c r="AB30" s="616"/>
      <c r="AC30" s="615"/>
      <c r="AD30" s="617">
        <f t="shared" si="0"/>
        <v>0</v>
      </c>
      <c r="AE30" s="635"/>
      <c r="AH30" s="92"/>
      <c r="AI30" s="76"/>
      <c r="AJ30" s="76"/>
      <c r="AK30" s="618"/>
      <c r="AL30" s="92"/>
      <c r="AM30" s="92"/>
      <c r="AN30" s="92"/>
      <c r="AO30" s="92"/>
      <c r="AP30" s="92"/>
      <c r="AQ30" s="92"/>
      <c r="AR30" s="92"/>
      <c r="AS30" s="92"/>
      <c r="AT30" s="92"/>
      <c r="AU30" s="92"/>
      <c r="AV30" s="92"/>
      <c r="AW30" s="92"/>
      <c r="AX30" s="92"/>
    </row>
    <row r="31" spans="1:50">
      <c r="A31" s="7">
        <f>[5]August_2026!$C31</f>
        <v>13</v>
      </c>
      <c r="B31" s="8">
        <f>[5]August_2026!$B31</f>
        <v>46258</v>
      </c>
      <c r="C31" s="78" t="str">
        <f>[5]August_2026!$D31</f>
        <v xml:space="preserve">CARIB AMBER </v>
      </c>
      <c r="D31" s="681">
        <v>1</v>
      </c>
      <c r="E31" s="80">
        <v>1.1423611111111112</v>
      </c>
      <c r="F31" s="80">
        <v>1.8347222222222221</v>
      </c>
      <c r="G31" s="93">
        <v>0.88749999999999996</v>
      </c>
      <c r="H31" s="82">
        <v>2</v>
      </c>
      <c r="I31" s="32"/>
      <c r="J31" s="86">
        <f>8+6+3</f>
        <v>17</v>
      </c>
      <c r="K31" s="71"/>
      <c r="L31" s="71"/>
      <c r="M31" s="71"/>
      <c r="N31" s="71"/>
      <c r="O31" s="32">
        <f>'Uncaser Downtime Detail '!AG455</f>
        <v>73</v>
      </c>
      <c r="P31" s="32">
        <f>'Washer Downtime Detail'!BH460</f>
        <v>83</v>
      </c>
      <c r="Q31" s="32">
        <f>'EBI Downtime Detail'!AI457</f>
        <v>2</v>
      </c>
      <c r="R31" s="32">
        <f>'Filler Downtime Detail'!AK455</f>
        <v>154</v>
      </c>
      <c r="S31" s="32">
        <f>'Pasteurizer Downtime Detail'!Z447</f>
        <v>0</v>
      </c>
      <c r="T31" s="32">
        <f>'Labeler Downtime Detail'!AN446</f>
        <v>0</v>
      </c>
      <c r="U31" s="32">
        <f>'Videojet Downtime Detail '!O451</f>
        <v>7</v>
      </c>
      <c r="V31" s="32">
        <f>'Conveyor Downtime (new)'!AV455</f>
        <v>35</v>
      </c>
      <c r="W31" s="32">
        <f>'Packer Downtime Detail  '!AD449</f>
        <v>0</v>
      </c>
      <c r="X31" s="71">
        <f>'Carton Errector-sealer Detail'!P441</f>
        <v>0</v>
      </c>
      <c r="Y31" s="71"/>
      <c r="Z31" s="43">
        <f>15+30+25+7+32</f>
        <v>109</v>
      </c>
      <c r="AA31" s="88"/>
      <c r="AB31" s="88"/>
      <c r="AC31" s="71"/>
      <c r="AD31" s="44">
        <f t="shared" si="0"/>
        <v>482</v>
      </c>
      <c r="AE31" s="754">
        <f>G32-D31</f>
        <v>1.067361111111111</v>
      </c>
      <c r="AH31" s="3"/>
      <c r="AI31" s="23"/>
      <c r="AJ31" s="23"/>
      <c r="AK31" s="54"/>
      <c r="AL31" s="3"/>
      <c r="AM31" s="3"/>
      <c r="AN31" s="3"/>
      <c r="AO31" s="3"/>
      <c r="AP31" s="3"/>
      <c r="AQ31" s="3"/>
      <c r="AR31" s="3"/>
      <c r="AS31" s="3"/>
      <c r="AT31" s="3"/>
      <c r="AU31" s="3"/>
      <c r="AV31" s="3"/>
      <c r="AW31" s="3"/>
      <c r="AX31" s="3"/>
    </row>
    <row r="32" spans="1:50">
      <c r="A32" s="7">
        <f>[5]August_2026!$C32</f>
        <v>13</v>
      </c>
      <c r="B32" s="8">
        <f>[5]August_2026!$B32</f>
        <v>46258</v>
      </c>
      <c r="C32" s="78" t="str">
        <f>[5]August_2026!$D32</f>
        <v xml:space="preserve">STAR MALT </v>
      </c>
      <c r="D32" s="681"/>
      <c r="E32" s="80">
        <v>1.9236111111111112</v>
      </c>
      <c r="F32" s="80">
        <v>2</v>
      </c>
      <c r="G32" s="93">
        <v>2.067361111111111</v>
      </c>
      <c r="H32" s="14"/>
      <c r="I32" s="34">
        <f>43+12+5+14+40+8</f>
        <v>122</v>
      </c>
      <c r="J32" s="35"/>
      <c r="K32" s="34"/>
      <c r="L32" s="34"/>
      <c r="M32" s="34"/>
      <c r="N32" s="71"/>
      <c r="O32" s="32">
        <f>'Uncaser Downtime Detail '!AG456</f>
        <v>0</v>
      </c>
      <c r="P32" s="32">
        <f>'Washer Downtime Detail'!BH461</f>
        <v>0</v>
      </c>
      <c r="Q32" s="32">
        <f>'EBI Downtime Detail'!AI458</f>
        <v>0</v>
      </c>
      <c r="R32" s="32">
        <f>'Filler Downtime Detail'!AK456</f>
        <v>0</v>
      </c>
      <c r="S32" s="32">
        <f>'Pasteurizer Downtime Detail'!Z448</f>
        <v>8</v>
      </c>
      <c r="T32" s="32">
        <f>'Labeler Downtime Detail'!AN447</f>
        <v>0</v>
      </c>
      <c r="U32" s="32">
        <f>'Videojet Downtime Detail '!O452</f>
        <v>24</v>
      </c>
      <c r="V32" s="32">
        <f>'Conveyor Downtime (new)'!AV456</f>
        <v>37</v>
      </c>
      <c r="W32" s="32">
        <f>'Packer Downtime Detail  '!AD450</f>
        <v>0</v>
      </c>
      <c r="X32" s="71">
        <f>'Carton Errector-sealer Detail'!P442</f>
        <v>0</v>
      </c>
      <c r="Y32" s="35"/>
      <c r="Z32" s="34"/>
      <c r="AA32" s="90"/>
      <c r="AB32" s="90"/>
      <c r="AC32" s="89"/>
      <c r="AD32" s="44">
        <f t="shared" si="0"/>
        <v>191</v>
      </c>
      <c r="AE32" s="754"/>
      <c r="AH32" s="3"/>
      <c r="AI32" s="23"/>
      <c r="AJ32" s="23"/>
      <c r="AK32" s="54"/>
      <c r="AL32" s="3"/>
      <c r="AM32" s="3"/>
      <c r="AN32" s="3"/>
      <c r="AO32" s="3"/>
      <c r="AP32" s="3"/>
      <c r="AQ32" s="3"/>
      <c r="AR32" s="3"/>
      <c r="AS32" s="3"/>
      <c r="AT32" s="3"/>
      <c r="AU32" s="3"/>
      <c r="AV32" s="3"/>
      <c r="AW32" s="3"/>
      <c r="AX32" s="3"/>
    </row>
    <row r="33" spans="1:50" ht="11.25" customHeight="1">
      <c r="A33" s="7">
        <f>[5]August_2026!$C33</f>
        <v>14</v>
      </c>
      <c r="B33" s="8">
        <f>[5]August_2026!$B33</f>
        <v>46259</v>
      </c>
      <c r="C33" s="78" t="str">
        <f>[5]August_2026!$D33</f>
        <v xml:space="preserve">STAR MALT </v>
      </c>
      <c r="D33" s="681">
        <v>1</v>
      </c>
      <c r="E33" s="80">
        <v>1.0173611111111112</v>
      </c>
      <c r="F33" s="80">
        <v>1.7916666666666667</v>
      </c>
      <c r="G33" s="93">
        <v>1.8569444444444445</v>
      </c>
      <c r="H33" s="82"/>
      <c r="I33" s="32"/>
      <c r="J33" s="86">
        <v>4</v>
      </c>
      <c r="K33" s="71"/>
      <c r="L33" s="71"/>
      <c r="M33" s="71"/>
      <c r="N33" s="71"/>
      <c r="O33" s="32">
        <f>'Uncaser Downtime Detail '!AG457</f>
        <v>7</v>
      </c>
      <c r="P33" s="32">
        <f>'Washer Downtime Detail'!BH462</f>
        <v>12</v>
      </c>
      <c r="Q33" s="32">
        <f>'EBI Downtime Detail'!AI459</f>
        <v>12</v>
      </c>
      <c r="R33" s="32">
        <f>'Filler Downtime Detail'!AK457</f>
        <v>20</v>
      </c>
      <c r="S33" s="32">
        <f>'Pasteurizer Downtime Detail'!Z449</f>
        <v>175</v>
      </c>
      <c r="T33" s="32">
        <f>'Labeler Downtime Detail'!AN448</f>
        <v>9</v>
      </c>
      <c r="U33" s="32">
        <f>'Videojet Downtime Detail '!O453</f>
        <v>0</v>
      </c>
      <c r="V33" s="32">
        <f>'Conveyor Downtime (new)'!AV457</f>
        <v>36</v>
      </c>
      <c r="W33" s="32">
        <f>'Packer Downtime Detail  '!AD451</f>
        <v>3</v>
      </c>
      <c r="X33" s="71">
        <f>'Carton Errector-sealer Detail'!P443</f>
        <v>0</v>
      </c>
      <c r="Y33" s="71"/>
      <c r="Z33" s="43">
        <f>7+11+4</f>
        <v>22</v>
      </c>
      <c r="AA33" s="88"/>
      <c r="AB33" s="88">
        <f>4+6+7+3+16</f>
        <v>36</v>
      </c>
      <c r="AC33" s="71"/>
      <c r="AD33" s="44">
        <f t="shared" si="0"/>
        <v>336</v>
      </c>
      <c r="AE33" s="754">
        <f>G34-D33</f>
        <v>1.0645833333333332</v>
      </c>
      <c r="AH33" s="3"/>
      <c r="AI33" s="23"/>
      <c r="AJ33" s="23"/>
      <c r="AK33" s="54"/>
      <c r="AL33" s="3"/>
      <c r="AM33" s="3"/>
      <c r="AN33" s="3"/>
      <c r="AO33" s="3"/>
      <c r="AP33" s="3"/>
      <c r="AQ33" s="3"/>
      <c r="AR33" s="3"/>
      <c r="AS33" s="3"/>
      <c r="AT33" s="3"/>
      <c r="AU33" s="3"/>
      <c r="AV33" s="3"/>
      <c r="AW33" s="3"/>
      <c r="AX33" s="3"/>
    </row>
    <row r="34" spans="1:50" ht="12.75" customHeight="1">
      <c r="A34" s="7">
        <f>[5]August_2026!$C34</f>
        <v>14</v>
      </c>
      <c r="B34" s="8">
        <f>[5]August_2026!$B34</f>
        <v>46259</v>
      </c>
      <c r="C34" s="78" t="str">
        <f>[5]August_2026!$D34</f>
        <v>GUINNESS</v>
      </c>
      <c r="D34" s="681"/>
      <c r="E34" s="80">
        <v>1.9583333333333333</v>
      </c>
      <c r="F34" s="80">
        <v>2</v>
      </c>
      <c r="G34" s="93">
        <v>2.0645833333333332</v>
      </c>
      <c r="H34" s="14"/>
      <c r="I34" s="34">
        <v>21</v>
      </c>
      <c r="J34" s="35">
        <f>38+60+60+48</f>
        <v>206</v>
      </c>
      <c r="K34" s="34"/>
      <c r="L34" s="34"/>
      <c r="M34" s="34"/>
      <c r="N34" s="71"/>
      <c r="O34" s="32">
        <f>'Uncaser Downtime Detail '!AG458</f>
        <v>0</v>
      </c>
      <c r="P34" s="32">
        <f>'Washer Downtime Detail'!BH463</f>
        <v>0</v>
      </c>
      <c r="Q34" s="32">
        <f>'EBI Downtime Detail'!AI460</f>
        <v>4</v>
      </c>
      <c r="R34" s="32">
        <f>'Filler Downtime Detail'!AK458</f>
        <v>0</v>
      </c>
      <c r="S34" s="32">
        <f>'Pasteurizer Downtime Detail'!Z450</f>
        <v>0</v>
      </c>
      <c r="T34" s="32">
        <f>'Labeler Downtime Detail'!AN449</f>
        <v>0</v>
      </c>
      <c r="U34" s="32">
        <f>'Videojet Downtime Detail '!O454</f>
        <v>0</v>
      </c>
      <c r="V34" s="32">
        <f>'Conveyor Downtime (new)'!AV458</f>
        <v>0</v>
      </c>
      <c r="W34" s="32">
        <f>'Packer Downtime Detail  '!AD452</f>
        <v>0</v>
      </c>
      <c r="X34" s="71">
        <f>'Carton Errector-sealer Detail'!P444</f>
        <v>0</v>
      </c>
      <c r="Y34" s="35"/>
      <c r="Z34" s="34">
        <v>12</v>
      </c>
      <c r="AA34" s="90"/>
      <c r="AB34" s="90"/>
      <c r="AC34" s="89"/>
      <c r="AD34" s="44">
        <f t="shared" si="0"/>
        <v>243</v>
      </c>
      <c r="AE34" s="754"/>
      <c r="AH34" s="3"/>
      <c r="AI34" s="23"/>
      <c r="AJ34" s="23"/>
      <c r="AK34" s="54"/>
      <c r="AL34" s="3"/>
      <c r="AM34" s="3"/>
      <c r="AN34" s="3"/>
      <c r="AO34" s="3"/>
      <c r="AP34" s="3"/>
      <c r="AQ34" s="3"/>
      <c r="AR34" s="3"/>
      <c r="AS34" s="3"/>
      <c r="AT34" s="3"/>
      <c r="AU34" s="3"/>
      <c r="AV34" s="3"/>
      <c r="AW34" s="3"/>
      <c r="AX34" s="3"/>
    </row>
    <row r="35" spans="1:50">
      <c r="A35" s="7">
        <f>[5]August_2026!$C35</f>
        <v>15</v>
      </c>
      <c r="B35" s="8">
        <f>[5]August_2026!$B35</f>
        <v>46260</v>
      </c>
      <c r="C35" s="78" t="str">
        <f>[5]August_2026!$D35</f>
        <v>GUINNESS</v>
      </c>
      <c r="D35" s="681">
        <v>1</v>
      </c>
      <c r="E35" s="80">
        <v>1.0069444444444444</v>
      </c>
      <c r="F35" s="80">
        <v>1.8020833333333333</v>
      </c>
      <c r="G35" s="93">
        <v>1.8625</v>
      </c>
      <c r="H35" s="82"/>
      <c r="I35" s="32"/>
      <c r="J35" s="86">
        <f>16+60+15</f>
        <v>91</v>
      </c>
      <c r="K35" s="71"/>
      <c r="L35" s="71"/>
      <c r="M35" s="71"/>
      <c r="N35" s="71"/>
      <c r="O35" s="32">
        <f>'Uncaser Downtime Detail '!AG459</f>
        <v>10</v>
      </c>
      <c r="P35" s="32">
        <f>'Washer Downtime Detail'!BH464</f>
        <v>85</v>
      </c>
      <c r="Q35" s="32">
        <f>'EBI Downtime Detail'!AI461</f>
        <v>113</v>
      </c>
      <c r="R35" s="32">
        <f>'Filler Downtime Detail'!AK459</f>
        <v>8</v>
      </c>
      <c r="S35" s="32">
        <f>'Pasteurizer Downtime Detail'!Z451</f>
        <v>24</v>
      </c>
      <c r="T35" s="32">
        <f>'Labeler Downtime Detail'!AN450</f>
        <v>5</v>
      </c>
      <c r="U35" s="32">
        <f>'Videojet Downtime Detail '!O455</f>
        <v>0</v>
      </c>
      <c r="V35" s="32">
        <f>'Conveyor Downtime (new)'!AV459</f>
        <v>18</v>
      </c>
      <c r="W35" s="32">
        <f>'Packer Downtime Detail  '!AD453</f>
        <v>0</v>
      </c>
      <c r="X35" s="71">
        <f>'Carton Errector-sealer Detail'!P445</f>
        <v>0</v>
      </c>
      <c r="Y35" s="71"/>
      <c r="Z35" s="43">
        <f>10+10</f>
        <v>20</v>
      </c>
      <c r="AA35" s="88"/>
      <c r="AB35" s="88">
        <f>6+6+6+5+7+6+5+3+5+6+4+1+1+3+6+4+4</f>
        <v>78</v>
      </c>
      <c r="AC35" s="71"/>
      <c r="AD35" s="44">
        <f t="shared" si="0"/>
        <v>452</v>
      </c>
      <c r="AE35" s="754">
        <f>G36-D35</f>
        <v>1.057638888888889</v>
      </c>
      <c r="AH35" s="3"/>
      <c r="AI35" s="23"/>
      <c r="AJ35" s="23"/>
      <c r="AK35" s="54"/>
      <c r="AL35" s="3"/>
      <c r="AM35" s="3"/>
      <c r="AN35" s="3"/>
      <c r="AO35" s="3"/>
      <c r="AP35" s="3"/>
      <c r="AQ35" s="3"/>
      <c r="AR35" s="3"/>
      <c r="AS35" s="3"/>
      <c r="AT35" s="3"/>
      <c r="AU35" s="3"/>
      <c r="AV35" s="3"/>
      <c r="AW35" s="3"/>
      <c r="AX35" s="3"/>
    </row>
    <row r="36" spans="1:50">
      <c r="A36" s="7">
        <f>[5]August_2026!$C36</f>
        <v>15</v>
      </c>
      <c r="B36" s="8">
        <f>[5]August_2026!$B36</f>
        <v>46260</v>
      </c>
      <c r="C36" s="78" t="str">
        <f>[5]August_2026!$D36</f>
        <v>CARIB AMBER</v>
      </c>
      <c r="D36" s="681"/>
      <c r="E36" s="80">
        <v>1.8680555555555556</v>
      </c>
      <c r="F36" s="80">
        <v>2</v>
      </c>
      <c r="G36" s="93">
        <v>2.057638888888889</v>
      </c>
      <c r="H36" s="14"/>
      <c r="I36" s="34">
        <f>45+8+9</f>
        <v>62</v>
      </c>
      <c r="J36" s="35"/>
      <c r="K36" s="34"/>
      <c r="L36" s="34"/>
      <c r="M36" s="34"/>
      <c r="N36" s="71"/>
      <c r="O36" s="32">
        <f>'Uncaser Downtime Detail '!AG460</f>
        <v>0</v>
      </c>
      <c r="P36" s="32">
        <f>'Washer Downtime Detail'!BH465</f>
        <v>3</v>
      </c>
      <c r="Q36" s="32">
        <f>'EBI Downtime Detail'!AI462</f>
        <v>4</v>
      </c>
      <c r="R36" s="32">
        <f>'Filler Downtime Detail'!AK460</f>
        <v>1</v>
      </c>
      <c r="S36" s="32">
        <f>'Pasteurizer Downtime Detail'!Z452</f>
        <v>0</v>
      </c>
      <c r="T36" s="32">
        <f>'Labeler Downtime Detail'!AN451</f>
        <v>0</v>
      </c>
      <c r="U36" s="32">
        <f>'Videojet Downtime Detail '!O456</f>
        <v>0</v>
      </c>
      <c r="V36" s="32">
        <f>'Conveyor Downtime (new)'!AV460</f>
        <v>0</v>
      </c>
      <c r="W36" s="32">
        <f>'Packer Downtime Detail  '!AD454</f>
        <v>0</v>
      </c>
      <c r="X36" s="71">
        <f>'Carton Errector-sealer Detail'!P446</f>
        <v>0</v>
      </c>
      <c r="Y36" s="35"/>
      <c r="Z36" s="34">
        <f>21+10+9</f>
        <v>40</v>
      </c>
      <c r="AA36" s="90"/>
      <c r="AB36" s="90">
        <v>2</v>
      </c>
      <c r="AC36" s="89"/>
      <c r="AD36" s="44">
        <f t="shared" si="0"/>
        <v>112</v>
      </c>
      <c r="AE36" s="754"/>
      <c r="AH36" s="3"/>
      <c r="AI36" s="23"/>
      <c r="AJ36" s="23"/>
      <c r="AK36" s="54"/>
      <c r="AL36" s="3"/>
      <c r="AM36" s="3"/>
      <c r="AN36" s="3"/>
      <c r="AO36" s="3"/>
      <c r="AP36" s="3"/>
      <c r="AQ36" s="3"/>
      <c r="AR36" s="3"/>
      <c r="AS36" s="3"/>
      <c r="AT36" s="3"/>
      <c r="AU36" s="3"/>
      <c r="AV36" s="3"/>
      <c r="AW36" s="3"/>
      <c r="AX36" s="3"/>
    </row>
    <row r="37" spans="1:50" s="497" customFormat="1" ht="13.5" customHeight="1">
      <c r="A37" s="7">
        <f>[5]August_2026!$C37</f>
        <v>16</v>
      </c>
      <c r="B37" s="8">
        <f>[5]August_2026!$B37</f>
        <v>46261</v>
      </c>
      <c r="C37" s="78" t="str">
        <f>[5]August_2026!$D37</f>
        <v>CARIB AMBER</v>
      </c>
      <c r="D37" s="681">
        <v>1</v>
      </c>
      <c r="E37" s="80">
        <v>1.0069444444444444</v>
      </c>
      <c r="F37" s="80">
        <v>1.5173611111111112</v>
      </c>
      <c r="G37" s="93">
        <v>0.61458333333333337</v>
      </c>
      <c r="H37" s="506"/>
      <c r="I37" s="491">
        <f>12</f>
        <v>12</v>
      </c>
      <c r="J37" s="507">
        <f>2+4</f>
        <v>6</v>
      </c>
      <c r="K37" s="494">
        <f>2</f>
        <v>2</v>
      </c>
      <c r="L37" s="494"/>
      <c r="M37" s="494"/>
      <c r="N37" s="71"/>
      <c r="O37" s="32">
        <f>'Uncaser Downtime Detail '!AG461</f>
        <v>41</v>
      </c>
      <c r="P37" s="32">
        <f>'Washer Downtime Detail'!BH466</f>
        <v>17</v>
      </c>
      <c r="Q37" s="32">
        <f>'EBI Downtime Detail'!AI463</f>
        <v>6</v>
      </c>
      <c r="R37" s="32">
        <f>'Filler Downtime Detail'!AK461</f>
        <v>5</v>
      </c>
      <c r="S37" s="32">
        <f>'Pasteurizer Downtime Detail'!Z453</f>
        <v>2</v>
      </c>
      <c r="T37" s="32">
        <f>'Labeler Downtime Detail'!AN452</f>
        <v>3</v>
      </c>
      <c r="U37" s="32">
        <f>'Videojet Downtime Detail '!O457</f>
        <v>0</v>
      </c>
      <c r="V37" s="32">
        <f>'Conveyor Downtime (new)'!AV461</f>
        <v>50</v>
      </c>
      <c r="W37" s="32">
        <f>'Packer Downtime Detail  '!AD455</f>
        <v>0</v>
      </c>
      <c r="X37" s="71">
        <f>'Carton Errector-sealer Detail'!P447</f>
        <v>0</v>
      </c>
      <c r="Y37" s="494"/>
      <c r="Z37" s="508">
        <f>10+3</f>
        <v>13</v>
      </c>
      <c r="AA37" s="493"/>
      <c r="AB37" s="493">
        <f>3+5+2+7+5+15+23+3</f>
        <v>63</v>
      </c>
      <c r="AC37" s="494"/>
      <c r="AD37" s="495">
        <f t="shared" si="0"/>
        <v>220</v>
      </c>
      <c r="AE37" s="754">
        <f>G39-D37</f>
        <v>0.98958333333333326</v>
      </c>
      <c r="AH37" s="498"/>
      <c r="AI37" s="504"/>
      <c r="AJ37" s="504"/>
      <c r="AK37" s="505"/>
      <c r="AL37" s="498"/>
      <c r="AM37" s="498"/>
      <c r="AN37" s="498"/>
      <c r="AO37" s="498"/>
      <c r="AP37" s="498"/>
      <c r="AQ37" s="498"/>
      <c r="AR37" s="498"/>
      <c r="AS37" s="498"/>
      <c r="AT37" s="498"/>
      <c r="AU37" s="498"/>
      <c r="AV37" s="498"/>
      <c r="AW37" s="498"/>
      <c r="AX37" s="498"/>
    </row>
    <row r="38" spans="1:50" s="497" customFormat="1">
      <c r="A38" s="7">
        <f>[5]August_2026!$C38</f>
        <v>16</v>
      </c>
      <c r="B38" s="8">
        <f>[5]August_2026!$B38</f>
        <v>46261</v>
      </c>
      <c r="C38" s="78" t="str">
        <f>[5]August_2026!$D38</f>
        <v xml:space="preserve">J. COOL SODA WATER </v>
      </c>
      <c r="D38" s="681"/>
      <c r="E38" s="80">
        <v>1.6909722222222223</v>
      </c>
      <c r="F38" s="80">
        <v>1.7604166666666667</v>
      </c>
      <c r="G38" s="93"/>
      <c r="H38" s="490"/>
      <c r="I38" s="491">
        <f>35+60</f>
        <v>95</v>
      </c>
      <c r="J38" s="492"/>
      <c r="K38" s="491"/>
      <c r="L38" s="491"/>
      <c r="M38" s="491">
        <f>14+35</f>
        <v>49</v>
      </c>
      <c r="N38" s="71"/>
      <c r="O38" s="32">
        <f>'Uncaser Downtime Detail '!AG462</f>
        <v>0</v>
      </c>
      <c r="P38" s="32">
        <f>'Washer Downtime Detail'!BH467</f>
        <v>4</v>
      </c>
      <c r="Q38" s="32">
        <f>'EBI Downtime Detail'!AI464</f>
        <v>2</v>
      </c>
      <c r="R38" s="32">
        <f>'Filler Downtime Detail'!AK462</f>
        <v>0</v>
      </c>
      <c r="S38" s="32">
        <f>'Pasteurizer Downtime Detail'!Z454</f>
        <v>0</v>
      </c>
      <c r="T38" s="32">
        <f>'Labeler Downtime Detail'!AN453</f>
        <v>0</v>
      </c>
      <c r="U38" s="32">
        <f>'Videojet Downtime Detail '!O458</f>
        <v>0</v>
      </c>
      <c r="V38" s="32">
        <f>'Conveyor Downtime (new)'!AV462</f>
        <v>0</v>
      </c>
      <c r="W38" s="32">
        <f>'Packer Downtime Detail  '!AD456</f>
        <v>13</v>
      </c>
      <c r="X38" s="71">
        <f>'Carton Errector-sealer Detail'!P448</f>
        <v>0</v>
      </c>
      <c r="Y38" s="492"/>
      <c r="Z38" s="491">
        <f>20+26+19</f>
        <v>65</v>
      </c>
      <c r="AA38" s="493"/>
      <c r="AB38" s="493"/>
      <c r="AC38" s="494"/>
      <c r="AD38" s="495">
        <f t="shared" si="0"/>
        <v>228</v>
      </c>
      <c r="AE38" s="754"/>
      <c r="AH38" s="498"/>
      <c r="AI38" s="504"/>
      <c r="AJ38" s="504"/>
      <c r="AK38" s="505"/>
      <c r="AL38" s="498"/>
      <c r="AM38" s="498"/>
      <c r="AN38" s="498"/>
      <c r="AO38" s="498"/>
      <c r="AP38" s="498"/>
      <c r="AQ38" s="498"/>
      <c r="AR38" s="498"/>
      <c r="AS38" s="498"/>
      <c r="AT38" s="498"/>
      <c r="AU38" s="498"/>
      <c r="AV38" s="498"/>
      <c r="AW38" s="498"/>
      <c r="AX38" s="498"/>
    </row>
    <row r="39" spans="1:50" ht="12.75" customHeight="1">
      <c r="A39" s="7">
        <f>[5]August_2026!$C39</f>
        <v>16</v>
      </c>
      <c r="B39" s="8">
        <f>[5]August_2026!$B39</f>
        <v>46261</v>
      </c>
      <c r="C39" s="78" t="str">
        <f>[5]August_2026!$D39</f>
        <v>J.COOL. KOLA CHMAP</v>
      </c>
      <c r="D39" s="681"/>
      <c r="E39" s="80">
        <v>1.78125</v>
      </c>
      <c r="F39" s="80">
        <v>1.9583333333333333</v>
      </c>
      <c r="G39" s="159">
        <v>1.9895833333333333</v>
      </c>
      <c r="H39" s="82"/>
      <c r="I39" s="32">
        <f>10</f>
        <v>10</v>
      </c>
      <c r="J39" s="86">
        <f>20</f>
        <v>20</v>
      </c>
      <c r="K39" s="71"/>
      <c r="L39" s="71"/>
      <c r="M39" s="71"/>
      <c r="N39" s="71"/>
      <c r="O39" s="32">
        <f>'Uncaser Downtime Detail '!AG463</f>
        <v>0</v>
      </c>
      <c r="P39" s="32">
        <f>'Washer Downtime Detail'!BH468</f>
        <v>0</v>
      </c>
      <c r="Q39" s="32">
        <f>'EBI Downtime Detail'!AI465</f>
        <v>11</v>
      </c>
      <c r="R39" s="32">
        <f>'Filler Downtime Detail'!AK463</f>
        <v>0</v>
      </c>
      <c r="S39" s="32">
        <f>'Pasteurizer Downtime Detail'!Z455</f>
        <v>0</v>
      </c>
      <c r="T39" s="32">
        <f>'Labeler Downtime Detail'!AN454</f>
        <v>0</v>
      </c>
      <c r="U39" s="32">
        <f>'Videojet Downtime Detail '!O459</f>
        <v>0</v>
      </c>
      <c r="V39" s="32">
        <f>'Conveyor Downtime (new)'!AV463</f>
        <v>0</v>
      </c>
      <c r="W39" s="32">
        <f>'Packer Downtime Detail  '!AD457</f>
        <v>0</v>
      </c>
      <c r="X39" s="71">
        <f>'Carton Errector-sealer Detail'!P449</f>
        <v>0</v>
      </c>
      <c r="Y39" s="71"/>
      <c r="Z39" s="43">
        <f>8+7+4+8</f>
        <v>27</v>
      </c>
      <c r="AA39" s="88"/>
      <c r="AB39" s="88"/>
      <c r="AC39" s="71"/>
      <c r="AD39" s="44">
        <f t="shared" si="0"/>
        <v>68</v>
      </c>
      <c r="AE39" s="754"/>
      <c r="AH39" s="3"/>
      <c r="AI39" s="23"/>
      <c r="AJ39" s="23"/>
      <c r="AK39" s="54"/>
      <c r="AL39" s="3"/>
      <c r="AM39" s="3"/>
      <c r="AN39" s="3"/>
      <c r="AO39" s="3"/>
      <c r="AP39" s="3"/>
      <c r="AQ39" s="3"/>
      <c r="AR39" s="3"/>
      <c r="AS39" s="3"/>
      <c r="AT39" s="3"/>
      <c r="AU39" s="3"/>
      <c r="AV39" s="3"/>
      <c r="AW39" s="3"/>
      <c r="AX39" s="3"/>
    </row>
    <row r="40" spans="1:50" ht="12.75" customHeight="1">
      <c r="A40" s="7">
        <f>[5]August_2026!$C40</f>
        <v>17</v>
      </c>
      <c r="B40" s="8">
        <f>[5]August_2026!$B40</f>
        <v>46262</v>
      </c>
      <c r="C40" s="78" t="str">
        <f>[5]August_2026!$D40</f>
        <v xml:space="preserve">J.COOL. CREAM SODA </v>
      </c>
      <c r="D40" s="681">
        <v>1</v>
      </c>
      <c r="E40" s="80">
        <v>1</v>
      </c>
      <c r="F40" s="80">
        <v>1.2222222222222223</v>
      </c>
      <c r="G40" s="93">
        <v>1.2638888888888888</v>
      </c>
      <c r="H40" s="14"/>
      <c r="I40" s="34">
        <v>43</v>
      </c>
      <c r="J40" s="35"/>
      <c r="K40" s="34">
        <f>34+5</f>
        <v>39</v>
      </c>
      <c r="L40" s="34"/>
      <c r="M40" s="34">
        <f>3</f>
        <v>3</v>
      </c>
      <c r="N40" s="71"/>
      <c r="O40" s="32">
        <f>'Uncaser Downtime Detail '!AG464</f>
        <v>3</v>
      </c>
      <c r="P40" s="32">
        <f>'Washer Downtime Detail'!BH469</f>
        <v>0</v>
      </c>
      <c r="Q40" s="32">
        <f>'EBI Downtime Detail'!AI466</f>
        <v>2</v>
      </c>
      <c r="R40" s="32">
        <f>'Filler Downtime Detail'!AK464</f>
        <v>0</v>
      </c>
      <c r="S40" s="32">
        <f>'Pasteurizer Downtime Detail'!Z456</f>
        <v>0</v>
      </c>
      <c r="T40" s="32">
        <f>'Labeler Downtime Detail'!AN455</f>
        <v>0</v>
      </c>
      <c r="U40" s="32">
        <f>'Videojet Downtime Detail '!O460</f>
        <v>0</v>
      </c>
      <c r="V40" s="32">
        <f>'Conveyor Downtime (new)'!AV464</f>
        <v>61</v>
      </c>
      <c r="W40" s="32">
        <f>'Packer Downtime Detail  '!AD458</f>
        <v>0</v>
      </c>
      <c r="X40" s="71">
        <f>'Carton Errector-sealer Detail'!P450</f>
        <v>0</v>
      </c>
      <c r="Y40" s="35"/>
      <c r="Z40" s="34">
        <f>36+5</f>
        <v>41</v>
      </c>
      <c r="AA40" s="90"/>
      <c r="AB40" s="90"/>
      <c r="AC40" s="89"/>
      <c r="AD40" s="44">
        <f t="shared" si="0"/>
        <v>192</v>
      </c>
      <c r="AE40" s="754">
        <f>G43-D40</f>
        <v>0.84791666666666665</v>
      </c>
      <c r="AH40" s="3"/>
      <c r="AI40" s="23"/>
      <c r="AJ40" s="23"/>
      <c r="AK40" s="54"/>
      <c r="AL40" s="3"/>
      <c r="AM40" s="3"/>
      <c r="AN40" s="3"/>
      <c r="AO40" s="3"/>
      <c r="AP40" s="3"/>
      <c r="AQ40" s="3"/>
      <c r="AR40" s="3"/>
      <c r="AS40" s="3"/>
      <c r="AT40" s="3"/>
      <c r="AU40" s="3"/>
      <c r="AV40" s="3"/>
      <c r="AW40" s="3"/>
      <c r="AX40" s="3"/>
    </row>
    <row r="41" spans="1:50" ht="12.75" customHeight="1">
      <c r="A41" s="7">
        <f>[5]August_2026!$C41</f>
        <v>17</v>
      </c>
      <c r="B41" s="8">
        <f>[5]August_2026!$B41</f>
        <v>46262</v>
      </c>
      <c r="C41" s="78" t="str">
        <f>[5]August_2026!$D41</f>
        <v>J COOL  BANANA</v>
      </c>
      <c r="D41" s="681"/>
      <c r="E41" s="80">
        <v>1.2395833333333333</v>
      </c>
      <c r="F41" s="80">
        <v>1.3055555555555556</v>
      </c>
      <c r="G41" s="93">
        <v>0.39791666666666664</v>
      </c>
      <c r="H41" s="82"/>
      <c r="I41" s="32">
        <f>25</f>
        <v>25</v>
      </c>
      <c r="J41" s="86"/>
      <c r="K41" s="71"/>
      <c r="L41" s="71"/>
      <c r="M41" s="71"/>
      <c r="N41" s="71"/>
      <c r="O41" s="32">
        <f>'Uncaser Downtime Detail '!AG465</f>
        <v>0</v>
      </c>
      <c r="P41" s="32">
        <f>'Washer Downtime Detail'!BH470</f>
        <v>0</v>
      </c>
      <c r="Q41" s="32">
        <f>'EBI Downtime Detail'!AI467</f>
        <v>0</v>
      </c>
      <c r="R41" s="32">
        <f>'Filler Downtime Detail'!AK465</f>
        <v>6</v>
      </c>
      <c r="S41" s="32">
        <f>'Pasteurizer Downtime Detail'!Z457</f>
        <v>0</v>
      </c>
      <c r="T41" s="32">
        <f>'Labeler Downtime Detail'!AN456</f>
        <v>0</v>
      </c>
      <c r="U41" s="32">
        <f>'Videojet Downtime Detail '!O461</f>
        <v>11</v>
      </c>
      <c r="V41" s="32">
        <f>'Conveyor Downtime (new)'!AV465</f>
        <v>0</v>
      </c>
      <c r="W41" s="32">
        <f>'Packer Downtime Detail  '!AD459</f>
        <v>0</v>
      </c>
      <c r="X41" s="71">
        <f>'Carton Errector-sealer Detail'!P451</f>
        <v>0</v>
      </c>
      <c r="Y41" s="71"/>
      <c r="Z41" s="43"/>
      <c r="AA41" s="88"/>
      <c r="AB41" s="88"/>
      <c r="AC41" s="71"/>
      <c r="AD41" s="44">
        <f t="shared" si="0"/>
        <v>42</v>
      </c>
      <c r="AE41" s="754"/>
      <c r="AH41" s="3"/>
      <c r="AI41" s="23"/>
      <c r="AJ41" s="23"/>
      <c r="AK41" s="54"/>
      <c r="AL41" s="3"/>
      <c r="AM41" s="3"/>
      <c r="AN41" s="3"/>
      <c r="AO41" s="3"/>
      <c r="AP41" s="3"/>
      <c r="AQ41" s="3"/>
      <c r="AR41" s="3"/>
      <c r="AS41" s="3"/>
      <c r="AT41" s="3"/>
      <c r="AU41" s="3"/>
      <c r="AV41" s="3"/>
      <c r="AW41" s="3"/>
      <c r="AX41" s="3"/>
    </row>
    <row r="42" spans="1:50">
      <c r="A42" s="7">
        <f>[5]August_2026!$C42</f>
        <v>17</v>
      </c>
      <c r="B42" s="8">
        <f>[5]August_2026!$B42</f>
        <v>46262</v>
      </c>
      <c r="C42" s="78" t="str">
        <f>[5]August_2026!$D42</f>
        <v>J.COO GRAPE</v>
      </c>
      <c r="D42" s="681"/>
      <c r="E42" s="80">
        <v>1.3666666666666667</v>
      </c>
      <c r="F42" s="80">
        <v>1.4270833333333333</v>
      </c>
      <c r="G42" s="93">
        <v>0.49583333333333335</v>
      </c>
      <c r="H42" s="14"/>
      <c r="I42" s="34">
        <f>35</f>
        <v>35</v>
      </c>
      <c r="J42" s="35"/>
      <c r="K42" s="34"/>
      <c r="L42" s="34"/>
      <c r="M42" s="34"/>
      <c r="N42" s="71"/>
      <c r="O42" s="32">
        <f>'Uncaser Downtime Detail '!AG466</f>
        <v>0</v>
      </c>
      <c r="P42" s="32">
        <f>'Washer Downtime Detail'!BH471</f>
        <v>0</v>
      </c>
      <c r="Q42" s="32">
        <f>'EBI Downtime Detail'!AI468</f>
        <v>0</v>
      </c>
      <c r="R42" s="32">
        <f>'Filler Downtime Detail'!AK466</f>
        <v>15</v>
      </c>
      <c r="S42" s="32">
        <f>'Pasteurizer Downtime Detail'!Z458</f>
        <v>0</v>
      </c>
      <c r="T42" s="32">
        <f>'Labeler Downtime Detail'!AN457</f>
        <v>3</v>
      </c>
      <c r="U42" s="32">
        <f>'Videojet Downtime Detail '!O462</f>
        <v>0</v>
      </c>
      <c r="V42" s="32">
        <f>'Conveyor Downtime (new)'!AV466</f>
        <v>6</v>
      </c>
      <c r="W42" s="32">
        <f>'Packer Downtime Detail  '!AD460</f>
        <v>0</v>
      </c>
      <c r="X42" s="71">
        <f>'Carton Errector-sealer Detail'!P452</f>
        <v>0</v>
      </c>
      <c r="Y42" s="35"/>
      <c r="Z42" s="34"/>
      <c r="AA42" s="90">
        <v>3</v>
      </c>
      <c r="AB42" s="90"/>
      <c r="AC42" s="89"/>
      <c r="AD42" s="44">
        <f t="shared" si="0"/>
        <v>62</v>
      </c>
      <c r="AE42" s="754"/>
      <c r="AH42" s="3"/>
      <c r="AI42" s="23"/>
      <c r="AJ42" s="23"/>
      <c r="AK42" s="54"/>
      <c r="AL42" s="3"/>
      <c r="AM42" s="3"/>
      <c r="AN42" s="3"/>
      <c r="AO42" s="3"/>
      <c r="AP42" s="3"/>
      <c r="AQ42" s="3"/>
      <c r="AR42" s="3"/>
      <c r="AS42" s="3"/>
      <c r="AT42" s="3"/>
      <c r="AU42" s="3"/>
      <c r="AV42" s="3"/>
      <c r="AW42" s="3"/>
      <c r="AX42" s="3"/>
    </row>
    <row r="43" spans="1:50">
      <c r="A43" s="7">
        <f>[5]August_2026!$C43</f>
        <v>17</v>
      </c>
      <c r="B43" s="8">
        <f>[5]August_2026!$B43</f>
        <v>46262</v>
      </c>
      <c r="C43" s="78" t="str">
        <f>[5]August_2026!$D43</f>
        <v>VITA MALT</v>
      </c>
      <c r="D43" s="681"/>
      <c r="E43" s="80">
        <v>1.6777777777777778</v>
      </c>
      <c r="F43" s="80">
        <v>1.8166666666666667</v>
      </c>
      <c r="G43" s="159">
        <v>1.8479166666666667</v>
      </c>
      <c r="H43" s="43"/>
      <c r="I43" s="32">
        <f>45+60</f>
        <v>105</v>
      </c>
      <c r="J43" s="86"/>
      <c r="K43" s="71"/>
      <c r="L43" s="71"/>
      <c r="M43" s="71"/>
      <c r="N43" s="71"/>
      <c r="O43" s="32">
        <f>'Uncaser Downtime Detail '!AG467</f>
        <v>0</v>
      </c>
      <c r="P43" s="32">
        <f>'Washer Downtime Detail'!BH472</f>
        <v>0</v>
      </c>
      <c r="Q43" s="32">
        <f>'EBI Downtime Detail'!AI469</f>
        <v>8</v>
      </c>
      <c r="R43" s="32">
        <f>'Filler Downtime Detail'!AK467</f>
        <v>43</v>
      </c>
      <c r="S43" s="32">
        <f>'Pasteurizer Downtime Detail'!Z459</f>
        <v>75</v>
      </c>
      <c r="T43" s="32">
        <f>'Labeler Downtime Detail'!AN458</f>
        <v>4</v>
      </c>
      <c r="U43" s="32">
        <f>'Videojet Downtime Detail '!O463</f>
        <v>0</v>
      </c>
      <c r="V43" s="32">
        <f>'Conveyor Downtime (new)'!AV467</f>
        <v>186</v>
      </c>
      <c r="W43" s="32">
        <f>'Packer Downtime Detail  '!AD461</f>
        <v>0</v>
      </c>
      <c r="X43" s="71">
        <f>'Carton Errector-sealer Detail'!P453</f>
        <v>0</v>
      </c>
      <c r="Y43" s="71"/>
      <c r="Z43" s="43"/>
      <c r="AA43" s="88"/>
      <c r="AB43" s="88"/>
      <c r="AC43" s="71"/>
      <c r="AD43" s="44">
        <f t="shared" si="0"/>
        <v>421</v>
      </c>
      <c r="AE43" s="754"/>
      <c r="AH43" s="3"/>
      <c r="AI43" s="23"/>
      <c r="AJ43" s="23"/>
      <c r="AK43" s="54"/>
      <c r="AL43" s="3"/>
      <c r="AM43" s="3"/>
      <c r="AN43" s="3"/>
      <c r="AO43" s="3"/>
      <c r="AP43" s="3"/>
      <c r="AQ43" s="3"/>
      <c r="AR43" s="3"/>
      <c r="AS43" s="3"/>
      <c r="AT43" s="3"/>
      <c r="AU43" s="3"/>
      <c r="AV43" s="3"/>
      <c r="AW43" s="3"/>
      <c r="AX43" s="3"/>
    </row>
    <row r="44" spans="1:50">
      <c r="A44" s="7">
        <f>[5]August_2026!$C44</f>
        <v>18</v>
      </c>
      <c r="B44" s="8">
        <f>[5]August_2026!$B44</f>
        <v>46265</v>
      </c>
      <c r="C44" s="78" t="str">
        <f>[5]August_2026!$D44</f>
        <v xml:space="preserve">VITA MALT </v>
      </c>
      <c r="D44" s="93">
        <v>1</v>
      </c>
      <c r="E44" s="80">
        <v>1.4340277777777777</v>
      </c>
      <c r="F44" s="80">
        <v>1.9263888888888889</v>
      </c>
      <c r="G44" s="93">
        <v>1.9861111111111112</v>
      </c>
      <c r="H44" s="14"/>
      <c r="I44" s="34"/>
      <c r="J44" s="35"/>
      <c r="K44" s="34"/>
      <c r="L44" s="34"/>
      <c r="M44" s="34"/>
      <c r="N44" s="71"/>
      <c r="O44" s="32">
        <f>'Uncaser Downtime Detail '!AG468</f>
        <v>3</v>
      </c>
      <c r="P44" s="32">
        <f>'Washer Downtime Detail'!BH473</f>
        <v>19</v>
      </c>
      <c r="Q44" s="32">
        <f>'EBI Downtime Detail'!AI470</f>
        <v>6</v>
      </c>
      <c r="R44" s="32">
        <f>'Filler Downtime Detail'!AK468</f>
        <v>12</v>
      </c>
      <c r="S44" s="32">
        <f>'Pasteurizer Downtime Detail'!Z460</f>
        <v>0</v>
      </c>
      <c r="T44" s="32">
        <f>'Labeler Downtime Detail'!AN459</f>
        <v>556</v>
      </c>
      <c r="U44" s="32">
        <f>'Videojet Downtime Detail '!O464</f>
        <v>0</v>
      </c>
      <c r="V44" s="32">
        <f>'Conveyor Downtime (new)'!AV468</f>
        <v>15</v>
      </c>
      <c r="W44" s="32">
        <f>'Packer Downtime Detail  '!AD462</f>
        <v>0</v>
      </c>
      <c r="X44" s="71">
        <f>'Carton Errector-sealer Detail'!P454</f>
        <v>0</v>
      </c>
      <c r="Y44" s="35"/>
      <c r="Z44" s="34">
        <f>10+38+3+30</f>
        <v>81</v>
      </c>
      <c r="AA44" s="90"/>
      <c r="AB44" s="90">
        <f>3+3+3+2+2+2+3+3+2+2+2+2</f>
        <v>29</v>
      </c>
      <c r="AC44" s="89"/>
      <c r="AD44" s="44">
        <f t="shared" si="0"/>
        <v>721</v>
      </c>
      <c r="AE44" s="45">
        <f>G44-D44</f>
        <v>0.98611111111111116</v>
      </c>
      <c r="AH44" s="3"/>
      <c r="AI44" s="23"/>
      <c r="AJ44" s="23"/>
      <c r="AK44" s="54"/>
      <c r="AL44" s="3"/>
      <c r="AM44" s="3"/>
      <c r="AN44" s="3"/>
      <c r="AO44" s="3"/>
      <c r="AP44" s="3"/>
      <c r="AQ44" s="3"/>
      <c r="AR44" s="3"/>
      <c r="AS44" s="3"/>
      <c r="AT44" s="3"/>
      <c r="AU44" s="3"/>
      <c r="AV44" s="3"/>
      <c r="AW44" s="3"/>
      <c r="AX44" s="3"/>
    </row>
    <row r="45" spans="1:50">
      <c r="A45" s="7">
        <f>[5]August_2026!$C45</f>
        <v>0</v>
      </c>
      <c r="B45" s="8">
        <f>[5]August_2026!$B45</f>
        <v>0</v>
      </c>
      <c r="C45" s="78">
        <f>[5]August_2026!$D45</f>
        <v>0</v>
      </c>
      <c r="D45" s="93"/>
      <c r="E45" s="10"/>
      <c r="F45" s="80"/>
      <c r="G45" s="93"/>
      <c r="H45" s="82"/>
      <c r="I45" s="32"/>
      <c r="J45" s="86"/>
      <c r="K45" s="71"/>
      <c r="L45" s="71"/>
      <c r="M45" s="71"/>
      <c r="N45" s="71"/>
      <c r="O45" s="32">
        <f>'Uncaser Downtime Detail '!AG469</f>
        <v>0</v>
      </c>
      <c r="P45" s="32">
        <f>'Washer Downtime Detail'!BH474</f>
        <v>0</v>
      </c>
      <c r="Q45" s="32">
        <f>'EBI Downtime Detail'!AI471</f>
        <v>0</v>
      </c>
      <c r="R45" s="32">
        <f>'Filler Downtime Detail'!AK469</f>
        <v>0</v>
      </c>
      <c r="S45" s="32">
        <f>'Pasteurizer Downtime Detail'!Z461</f>
        <v>0</v>
      </c>
      <c r="T45" s="32">
        <f>'Labeler Downtime Detail'!AN460</f>
        <v>0</v>
      </c>
      <c r="U45" s="32">
        <f>'Videojet Downtime Detail '!O465</f>
        <v>0</v>
      </c>
      <c r="V45" s="32">
        <f>'Conveyor Downtime (new)'!AV469</f>
        <v>0</v>
      </c>
      <c r="W45" s="32">
        <f>'Packer Downtime Detail  '!AD463</f>
        <v>0</v>
      </c>
      <c r="X45" s="71">
        <f>'Carton Errector-sealer Detail'!P455</f>
        <v>0</v>
      </c>
      <c r="Y45" s="71"/>
      <c r="Z45" s="43"/>
      <c r="AA45" s="88"/>
      <c r="AB45" s="88"/>
      <c r="AC45" s="71"/>
      <c r="AD45" s="44">
        <f t="shared" si="0"/>
        <v>0</v>
      </c>
      <c r="AE45" s="91"/>
      <c r="AH45" s="3"/>
      <c r="AI45" s="23"/>
      <c r="AJ45" s="23"/>
      <c r="AK45" s="54"/>
      <c r="AL45" s="3"/>
      <c r="AM45" s="3"/>
      <c r="AN45" s="3"/>
      <c r="AO45" s="3"/>
      <c r="AP45" s="3"/>
      <c r="AQ45" s="3"/>
      <c r="AR45" s="3"/>
      <c r="AS45" s="3"/>
      <c r="AT45" s="3"/>
      <c r="AU45" s="3"/>
      <c r="AV45" s="3"/>
      <c r="AW45" s="3"/>
      <c r="AX45" s="3"/>
    </row>
    <row r="46" spans="1:50">
      <c r="A46" s="7">
        <f>[5]August_2026!$C46</f>
        <v>0</v>
      </c>
      <c r="B46" s="8"/>
      <c r="C46" s="78"/>
      <c r="D46" s="93"/>
      <c r="E46" s="10"/>
      <c r="F46" s="80"/>
      <c r="G46" s="93"/>
      <c r="H46" s="14"/>
      <c r="I46" s="34"/>
      <c r="J46" s="35"/>
      <c r="K46" s="34"/>
      <c r="L46" s="34"/>
      <c r="M46" s="34"/>
      <c r="N46" s="71"/>
      <c r="O46" s="32">
        <f>'Uncaser Downtime Detail '!AG470</f>
        <v>0</v>
      </c>
      <c r="P46" s="32">
        <f>'Washer Downtime Detail'!BH475</f>
        <v>0</v>
      </c>
      <c r="Q46" s="32">
        <f>'EBI Downtime Detail'!AI472</f>
        <v>0</v>
      </c>
      <c r="R46" s="32">
        <f>'Filler Downtime Detail'!AK470</f>
        <v>0</v>
      </c>
      <c r="S46" s="32">
        <f>'Pasteurizer Downtime Detail'!Z462</f>
        <v>0</v>
      </c>
      <c r="T46" s="32">
        <f>'Labeler Downtime Detail'!AN461</f>
        <v>0</v>
      </c>
      <c r="U46" s="32">
        <f>'Videojet Downtime Detail '!O466</f>
        <v>0</v>
      </c>
      <c r="V46" s="32">
        <f>'Conveyor Downtime (new)'!AV470</f>
        <v>0</v>
      </c>
      <c r="W46" s="32">
        <f>'Packer Downtime Detail  '!AD464</f>
        <v>0</v>
      </c>
      <c r="X46" s="71">
        <f>'Carton Errector-sealer Detail'!P456</f>
        <v>0</v>
      </c>
      <c r="Y46" s="35"/>
      <c r="Z46" s="34"/>
      <c r="AA46" s="90"/>
      <c r="AB46" s="90"/>
      <c r="AC46" s="89"/>
      <c r="AD46" s="44">
        <f t="shared" si="0"/>
        <v>0</v>
      </c>
      <c r="AE46" s="91"/>
      <c r="AH46" s="3"/>
      <c r="AI46" s="23"/>
      <c r="AJ46" s="23"/>
      <c r="AK46" s="54"/>
      <c r="AL46" s="3"/>
      <c r="AM46" s="3"/>
      <c r="AN46" s="3"/>
      <c r="AO46" s="3"/>
      <c r="AP46" s="3"/>
      <c r="AQ46" s="3"/>
      <c r="AR46" s="3"/>
      <c r="AS46" s="3"/>
      <c r="AT46" s="3"/>
      <c r="AU46" s="3"/>
      <c r="AV46" s="3"/>
      <c r="AW46" s="3"/>
      <c r="AX46" s="3"/>
    </row>
    <row r="47" spans="1:50">
      <c r="A47" s="7">
        <f>[5]August_2026!$C47</f>
        <v>0</v>
      </c>
      <c r="B47" s="8"/>
      <c r="C47" s="78"/>
      <c r="D47" s="80"/>
      <c r="E47" s="10"/>
      <c r="F47" s="80"/>
      <c r="G47" s="93"/>
      <c r="H47" s="82"/>
      <c r="I47" s="32"/>
      <c r="J47" s="86"/>
      <c r="K47" s="71"/>
      <c r="L47" s="71"/>
      <c r="M47" s="71"/>
      <c r="N47" s="71"/>
      <c r="O47" s="32">
        <f>'Uncaser Downtime Detail '!AG471</f>
        <v>0</v>
      </c>
      <c r="P47" s="32">
        <f>'Washer Downtime Detail'!BH476</f>
        <v>0</v>
      </c>
      <c r="Q47" s="32">
        <f>'EBI Downtime Detail'!AI473</f>
        <v>0</v>
      </c>
      <c r="R47" s="32">
        <f>'Filler Downtime Detail'!AK471</f>
        <v>0</v>
      </c>
      <c r="S47" s="32">
        <f>'Pasteurizer Downtime Detail'!Z463</f>
        <v>0</v>
      </c>
      <c r="T47" s="32">
        <f>'Labeler Downtime Detail'!AN462</f>
        <v>0</v>
      </c>
      <c r="U47" s="32">
        <f>'Videojet Downtime Detail '!O467</f>
        <v>0</v>
      </c>
      <c r="V47" s="32">
        <f>'Conveyor Downtime (new)'!AV471</f>
        <v>0</v>
      </c>
      <c r="W47" s="32">
        <f>'Packer Downtime Detail  '!AD465</f>
        <v>0</v>
      </c>
      <c r="X47" s="71">
        <f>'Carton Errector-sealer Detail'!P457</f>
        <v>0</v>
      </c>
      <c r="Y47" s="71"/>
      <c r="Z47" s="43"/>
      <c r="AA47" s="88"/>
      <c r="AB47" s="88"/>
      <c r="AC47" s="71"/>
      <c r="AD47" s="44">
        <f t="shared" si="0"/>
        <v>0</v>
      </c>
      <c r="AE47" s="91">
        <f>D47</f>
        <v>0</v>
      </c>
      <c r="AH47" s="3"/>
      <c r="AI47" s="23"/>
      <c r="AJ47" s="23"/>
      <c r="AK47" s="54"/>
      <c r="AL47" s="3"/>
      <c r="AM47" s="3"/>
      <c r="AN47" s="3"/>
      <c r="AO47" s="3"/>
      <c r="AP47" s="3"/>
      <c r="AQ47" s="3"/>
      <c r="AR47" s="3"/>
      <c r="AS47" s="3"/>
      <c r="AT47" s="3"/>
      <c r="AU47" s="3"/>
      <c r="AV47" s="3"/>
      <c r="AW47" s="3"/>
      <c r="AX47" s="3"/>
    </row>
    <row r="48" spans="1:50">
      <c r="A48" s="7">
        <f>[5]August_2026!$C48</f>
        <v>0</v>
      </c>
      <c r="B48" s="8"/>
      <c r="C48" s="78"/>
      <c r="D48" s="93"/>
      <c r="E48" s="10"/>
      <c r="F48" s="80"/>
      <c r="G48" s="13"/>
      <c r="H48" s="14"/>
      <c r="I48" s="34"/>
      <c r="J48" s="35"/>
      <c r="K48" s="34"/>
      <c r="L48" s="34"/>
      <c r="M48" s="34"/>
      <c r="N48" s="71"/>
      <c r="O48" s="32">
        <f>'Uncaser Downtime Detail '!AG472</f>
        <v>0</v>
      </c>
      <c r="P48" s="32">
        <f>'Washer Downtime Detail'!BH477</f>
        <v>0</v>
      </c>
      <c r="Q48" s="32">
        <f>'EBI Downtime Detail'!AI474</f>
        <v>0</v>
      </c>
      <c r="R48" s="32">
        <f>'Filler Downtime Detail'!AK472</f>
        <v>0</v>
      </c>
      <c r="S48" s="32">
        <f>'Pasteurizer Downtime Detail'!Z464</f>
        <v>0</v>
      </c>
      <c r="T48" s="32">
        <f>'Labeler Downtime Detail'!AN463</f>
        <v>0</v>
      </c>
      <c r="U48" s="32">
        <f>'Videojet Downtime Detail '!O468</f>
        <v>0</v>
      </c>
      <c r="V48" s="32">
        <f>'Conveyor Downtime (new)'!AV472</f>
        <v>0</v>
      </c>
      <c r="W48" s="32">
        <f>'Packer Downtime Detail  '!AD466</f>
        <v>0</v>
      </c>
      <c r="X48" s="71">
        <f>'Carton Errector-sealer Detail'!P458</f>
        <v>0</v>
      </c>
      <c r="Y48" s="35"/>
      <c r="Z48" s="34"/>
      <c r="AA48" s="90"/>
      <c r="AB48" s="90"/>
      <c r="AC48" s="89"/>
      <c r="AD48" s="44">
        <f t="shared" si="0"/>
        <v>0</v>
      </c>
      <c r="AE48" s="91"/>
      <c r="AH48" s="3"/>
      <c r="AI48" s="23"/>
      <c r="AJ48" s="23"/>
      <c r="AK48" s="54"/>
      <c r="AL48" s="3"/>
      <c r="AM48" s="3"/>
      <c r="AN48" s="3"/>
      <c r="AO48" s="3"/>
      <c r="AP48" s="3"/>
      <c r="AQ48" s="3"/>
      <c r="AR48" s="3"/>
      <c r="AS48" s="3"/>
      <c r="AT48" s="3"/>
      <c r="AU48" s="3"/>
      <c r="AV48" s="3"/>
      <c r="AW48" s="3"/>
      <c r="AX48" s="3"/>
    </row>
    <row r="49" spans="1:50">
      <c r="A49" s="7">
        <f>[5]August_2026!$C49</f>
        <v>0</v>
      </c>
      <c r="B49" s="8"/>
      <c r="C49" s="78"/>
      <c r="D49" s="93"/>
      <c r="E49" s="10"/>
      <c r="F49" s="80"/>
      <c r="G49" s="93"/>
      <c r="H49" s="82"/>
      <c r="I49" s="32"/>
      <c r="J49" s="86"/>
      <c r="K49" s="71"/>
      <c r="L49" s="71"/>
      <c r="M49" s="71"/>
      <c r="N49" s="71"/>
      <c r="O49" s="32">
        <f>'Uncaser Downtime Detail '!AG473</f>
        <v>0</v>
      </c>
      <c r="P49" s="32">
        <f>'Washer Downtime Detail'!BH478</f>
        <v>0</v>
      </c>
      <c r="Q49" s="32">
        <f>'EBI Downtime Detail'!AI475</f>
        <v>0</v>
      </c>
      <c r="R49" s="32">
        <f>'Filler Downtime Detail'!AK473</f>
        <v>0</v>
      </c>
      <c r="S49" s="32">
        <f>'Pasteurizer Downtime Detail'!Z465</f>
        <v>0</v>
      </c>
      <c r="T49" s="32">
        <f>'Labeler Downtime Detail'!AN464</f>
        <v>0</v>
      </c>
      <c r="U49" s="32">
        <f>'Videojet Downtime Detail '!O469</f>
        <v>0</v>
      </c>
      <c r="V49" s="32">
        <f>'Conveyor Downtime (new)'!AV473</f>
        <v>0</v>
      </c>
      <c r="W49" s="32">
        <f>'Packer Downtime Detail  '!AD467</f>
        <v>0</v>
      </c>
      <c r="X49" s="71">
        <f>'Carton Errector-sealer Detail'!P459</f>
        <v>0</v>
      </c>
      <c r="Y49" s="71"/>
      <c r="Z49" s="43"/>
      <c r="AA49" s="88"/>
      <c r="AB49" s="88"/>
      <c r="AC49" s="71"/>
      <c r="AD49" s="44">
        <f t="shared" si="0"/>
        <v>0</v>
      </c>
      <c r="AE49" s="91"/>
      <c r="AH49" s="3"/>
      <c r="AI49" s="23"/>
      <c r="AJ49" s="23"/>
      <c r="AK49" s="54"/>
      <c r="AL49" s="3"/>
      <c r="AM49" s="3"/>
      <c r="AN49" s="3"/>
      <c r="AO49" s="3"/>
      <c r="AP49" s="3"/>
      <c r="AQ49" s="3"/>
      <c r="AR49" s="3"/>
      <c r="AS49" s="3"/>
      <c r="AT49" s="3"/>
      <c r="AU49" s="3"/>
      <c r="AV49" s="3"/>
      <c r="AW49" s="3"/>
      <c r="AX49" s="3"/>
    </row>
    <row r="50" spans="1:50">
      <c r="A50" s="7">
        <f>[5]August_2026!$C50</f>
        <v>0</v>
      </c>
      <c r="B50" s="8"/>
      <c r="C50" s="78"/>
      <c r="D50" s="80"/>
      <c r="E50" s="11"/>
      <c r="F50" s="80"/>
      <c r="G50" s="93"/>
      <c r="H50" s="14"/>
      <c r="I50" s="34"/>
      <c r="J50" s="35"/>
      <c r="K50" s="34"/>
      <c r="L50" s="34"/>
      <c r="M50" s="34"/>
      <c r="N50" s="71"/>
      <c r="O50" s="32">
        <f>'Uncaser Downtime Detail '!AG474</f>
        <v>0</v>
      </c>
      <c r="P50" s="32">
        <f>'Washer Downtime Detail'!BH479</f>
        <v>0</v>
      </c>
      <c r="Q50" s="32">
        <f>'EBI Downtime Detail'!AI476</f>
        <v>0</v>
      </c>
      <c r="R50" s="32">
        <f>'Filler Downtime Detail'!AK474</f>
        <v>0</v>
      </c>
      <c r="S50" s="32">
        <f>'Pasteurizer Downtime Detail'!Z466</f>
        <v>0</v>
      </c>
      <c r="T50" s="32">
        <f>'Labeler Downtime Detail'!AN465</f>
        <v>0</v>
      </c>
      <c r="U50" s="32">
        <f>'Videojet Downtime Detail '!O470</f>
        <v>0</v>
      </c>
      <c r="V50" s="32">
        <f>'Conveyor Downtime (new)'!AV474</f>
        <v>0</v>
      </c>
      <c r="W50" s="32">
        <f>'Packer Downtime Detail  '!AD468</f>
        <v>0</v>
      </c>
      <c r="X50" s="71">
        <f>'Carton Errector-sealer Detail'!P460</f>
        <v>0</v>
      </c>
      <c r="Y50" s="35"/>
      <c r="Z50" s="34"/>
      <c r="AA50" s="90"/>
      <c r="AB50" s="90"/>
      <c r="AC50" s="89"/>
      <c r="AD50" s="44">
        <f t="shared" si="0"/>
        <v>0</v>
      </c>
      <c r="AE50" s="91">
        <f>G51-D50</f>
        <v>0</v>
      </c>
      <c r="AH50" s="3"/>
      <c r="AI50" s="23"/>
      <c r="AJ50" s="23"/>
      <c r="AK50" s="54"/>
      <c r="AL50" s="3"/>
      <c r="AM50" s="3"/>
      <c r="AN50" s="3"/>
      <c r="AO50" s="3"/>
      <c r="AP50" s="3"/>
      <c r="AQ50" s="3"/>
      <c r="AR50" s="3"/>
      <c r="AS50" s="3"/>
      <c r="AT50" s="3"/>
      <c r="AU50" s="3"/>
      <c r="AV50" s="3"/>
      <c r="AW50" s="3"/>
      <c r="AX50" s="3"/>
    </row>
    <row r="51" spans="1:50">
      <c r="A51" s="7">
        <f>[5]August_2026!$C51</f>
        <v>0</v>
      </c>
      <c r="B51" s="8"/>
      <c r="C51" s="78"/>
      <c r="D51" s="93"/>
      <c r="E51" s="11"/>
      <c r="F51" s="80"/>
      <c r="G51" s="93"/>
      <c r="H51" s="82"/>
      <c r="I51" s="32"/>
      <c r="J51" s="86"/>
      <c r="K51" s="71"/>
      <c r="L51" s="71"/>
      <c r="M51" s="71"/>
      <c r="N51" s="71"/>
      <c r="O51" s="32">
        <f>'Uncaser Downtime Detail '!AG475</f>
        <v>0</v>
      </c>
      <c r="P51" s="32">
        <f>'Washer Downtime Detail'!BH480</f>
        <v>0</v>
      </c>
      <c r="Q51" s="32">
        <f>'EBI Downtime Detail'!AI477</f>
        <v>0</v>
      </c>
      <c r="R51" s="32">
        <f>'Filler Downtime Detail'!AK475</f>
        <v>0</v>
      </c>
      <c r="S51" s="32">
        <f>'Pasteurizer Downtime Detail'!Z467</f>
        <v>0</v>
      </c>
      <c r="T51" s="32">
        <f>'Labeler Downtime Detail'!AN466</f>
        <v>0</v>
      </c>
      <c r="U51" s="32">
        <f>'Videojet Downtime Detail '!O471</f>
        <v>0</v>
      </c>
      <c r="V51" s="32">
        <f>'Conveyor Downtime (new)'!AV475</f>
        <v>0</v>
      </c>
      <c r="W51" s="32">
        <f>'Packer Downtime Detail  '!AD469</f>
        <v>0</v>
      </c>
      <c r="X51" s="71">
        <f>'Carton Errector-sealer Detail'!P461</f>
        <v>0</v>
      </c>
      <c r="Y51" s="71"/>
      <c r="Z51" s="43"/>
      <c r="AA51" s="88"/>
      <c r="AB51" s="88"/>
      <c r="AC51" s="71"/>
      <c r="AD51" s="44">
        <f t="shared" si="0"/>
        <v>0</v>
      </c>
      <c r="AE51" s="91"/>
      <c r="AH51" s="3"/>
      <c r="AI51" s="23"/>
      <c r="AJ51" s="23"/>
      <c r="AK51" s="54"/>
      <c r="AL51" s="3"/>
      <c r="AM51" s="3"/>
      <c r="AN51" s="3"/>
      <c r="AO51" s="3"/>
      <c r="AP51" s="3"/>
      <c r="AQ51" s="3"/>
      <c r="AR51" s="3"/>
      <c r="AS51" s="3"/>
      <c r="AT51" s="3"/>
      <c r="AU51" s="3"/>
      <c r="AV51" s="3"/>
      <c r="AW51" s="3"/>
      <c r="AX51" s="3"/>
    </row>
    <row r="52" spans="1:50">
      <c r="A52" s="7">
        <f>[5]August_2026!$C52</f>
        <v>0</v>
      </c>
      <c r="B52" s="8"/>
      <c r="C52" s="78"/>
      <c r="D52" s="80"/>
      <c r="E52" s="11"/>
      <c r="F52" s="80"/>
      <c r="G52" s="93"/>
      <c r="H52" s="14"/>
      <c r="I52" s="34"/>
      <c r="J52" s="35"/>
      <c r="K52" s="34"/>
      <c r="L52" s="34"/>
      <c r="M52" s="34"/>
      <c r="N52" s="71"/>
      <c r="O52" s="32">
        <f>'Uncaser Downtime Detail '!AG476</f>
        <v>0</v>
      </c>
      <c r="P52" s="32">
        <f>'Washer Downtime Detail'!BH481</f>
        <v>0</v>
      </c>
      <c r="Q52" s="32">
        <f>'EBI Downtime Detail'!AI478</f>
        <v>0</v>
      </c>
      <c r="R52" s="32">
        <f>'Filler Downtime Detail'!AK476</f>
        <v>0</v>
      </c>
      <c r="S52" s="32">
        <f>'Pasteurizer Downtime Detail'!Z468</f>
        <v>0</v>
      </c>
      <c r="T52" s="32">
        <f>'Labeler Downtime Detail'!AN467</f>
        <v>0</v>
      </c>
      <c r="U52" s="32">
        <f>'Videojet Downtime Detail '!O472</f>
        <v>0</v>
      </c>
      <c r="V52" s="32">
        <f>'Conveyor Downtime (new)'!AV476</f>
        <v>0</v>
      </c>
      <c r="W52" s="32">
        <f>'Packer Downtime Detail  '!AD470</f>
        <v>0</v>
      </c>
      <c r="X52" s="71">
        <f>'Carton Errector-sealer Detail'!P462</f>
        <v>0</v>
      </c>
      <c r="Y52" s="35"/>
      <c r="Z52" s="34"/>
      <c r="AA52" s="90"/>
      <c r="AB52" s="90"/>
      <c r="AC52" s="89"/>
      <c r="AD52" s="44">
        <f t="shared" si="0"/>
        <v>0</v>
      </c>
      <c r="AE52" s="91">
        <f>G53-D52</f>
        <v>0</v>
      </c>
      <c r="AH52" s="3"/>
      <c r="AI52" s="23"/>
      <c r="AJ52" s="23"/>
      <c r="AK52" s="54"/>
      <c r="AL52" s="3"/>
      <c r="AM52" s="3"/>
      <c r="AN52" s="3"/>
      <c r="AO52" s="3"/>
      <c r="AP52" s="3"/>
      <c r="AQ52" s="3"/>
      <c r="AR52" s="3"/>
      <c r="AS52" s="3"/>
      <c r="AT52" s="3"/>
      <c r="AU52" s="3"/>
      <c r="AV52" s="3"/>
      <c r="AW52" s="3"/>
      <c r="AX52" s="3"/>
    </row>
    <row r="53" spans="1:50">
      <c r="A53" s="7">
        <f>[5]August_2026!$C53</f>
        <v>0</v>
      </c>
      <c r="B53" s="8"/>
      <c r="C53" s="78"/>
      <c r="D53" s="93"/>
      <c r="E53" s="11"/>
      <c r="F53" s="80"/>
      <c r="G53" s="93"/>
      <c r="H53" s="82"/>
      <c r="I53" s="32"/>
      <c r="J53" s="86"/>
      <c r="K53" s="71"/>
      <c r="L53" s="71"/>
      <c r="M53" s="71"/>
      <c r="N53" s="71"/>
      <c r="O53" s="32">
        <f>'Uncaser Downtime Detail '!AG477</f>
        <v>0</v>
      </c>
      <c r="P53" s="32">
        <f>'Washer Downtime Detail'!BH482</f>
        <v>0</v>
      </c>
      <c r="Q53" s="32">
        <f>'EBI Downtime Detail'!AI479</f>
        <v>0</v>
      </c>
      <c r="R53" s="32">
        <f>'Filler Downtime Detail'!AK477</f>
        <v>0</v>
      </c>
      <c r="S53" s="32">
        <f>'Pasteurizer Downtime Detail'!Z469</f>
        <v>0</v>
      </c>
      <c r="T53" s="32">
        <f>'Labeler Downtime Detail'!AN468</f>
        <v>0</v>
      </c>
      <c r="U53" s="32">
        <f>'Videojet Downtime Detail '!O473</f>
        <v>0</v>
      </c>
      <c r="V53" s="32">
        <f>'Conveyor Downtime (new)'!AV477</f>
        <v>0</v>
      </c>
      <c r="W53" s="32">
        <f>'Packer Downtime Detail  '!AD471</f>
        <v>0</v>
      </c>
      <c r="X53" s="71">
        <f>'Carton Errector-sealer Detail'!P463</f>
        <v>0</v>
      </c>
      <c r="Y53" s="71"/>
      <c r="Z53" s="43"/>
      <c r="AA53" s="88"/>
      <c r="AB53" s="88"/>
      <c r="AC53" s="71"/>
      <c r="AD53" s="44">
        <f t="shared" si="0"/>
        <v>0</v>
      </c>
      <c r="AE53" s="91"/>
      <c r="AH53" s="3"/>
      <c r="AI53" s="23"/>
      <c r="AJ53" s="23"/>
      <c r="AK53" s="54"/>
      <c r="AL53" s="3"/>
      <c r="AM53" s="3"/>
      <c r="AN53" s="3"/>
      <c r="AO53" s="3"/>
      <c r="AP53" s="3"/>
      <c r="AQ53" s="3"/>
      <c r="AR53" s="3"/>
      <c r="AS53" s="3"/>
      <c r="AT53" s="3"/>
      <c r="AU53" s="3"/>
      <c r="AV53" s="3"/>
      <c r="AW53" s="3"/>
      <c r="AX53" s="3"/>
    </row>
    <row r="54" spans="1:50">
      <c r="A54" s="7">
        <f>[5]August_2026!$C54</f>
        <v>0</v>
      </c>
      <c r="B54" s="8"/>
      <c r="C54" s="78"/>
      <c r="D54" s="93"/>
      <c r="E54" s="11"/>
      <c r="F54" s="80"/>
      <c r="G54" s="93"/>
      <c r="H54" s="14"/>
      <c r="I54" s="34"/>
      <c r="J54" s="35"/>
      <c r="K54" s="34"/>
      <c r="L54" s="34"/>
      <c r="M54" s="34"/>
      <c r="N54" s="71"/>
      <c r="O54" s="32">
        <f>'Uncaser Downtime Detail '!AG478</f>
        <v>0</v>
      </c>
      <c r="P54" s="32">
        <f>'Washer Downtime Detail'!BH483</f>
        <v>0</v>
      </c>
      <c r="Q54" s="32">
        <f>'EBI Downtime Detail'!AI480</f>
        <v>0</v>
      </c>
      <c r="R54" s="32">
        <f>'Filler Downtime Detail'!AK478</f>
        <v>0</v>
      </c>
      <c r="S54" s="32">
        <f>'Pasteurizer Downtime Detail'!Z470</f>
        <v>0</v>
      </c>
      <c r="T54" s="32">
        <f>'Labeler Downtime Detail'!AN469</f>
        <v>0</v>
      </c>
      <c r="U54" s="32">
        <f>'Videojet Downtime Detail '!O474</f>
        <v>0</v>
      </c>
      <c r="V54" s="32">
        <f>'Conveyor Downtime (new)'!AV478</f>
        <v>0</v>
      </c>
      <c r="W54" s="32">
        <f>'Packer Downtime Detail  '!AD472</f>
        <v>0</v>
      </c>
      <c r="X54" s="71">
        <f>'Carton Errector-sealer Detail'!P464</f>
        <v>0</v>
      </c>
      <c r="Y54" s="35"/>
      <c r="Z54" s="34"/>
      <c r="AA54" s="90"/>
      <c r="AB54" s="90"/>
      <c r="AC54" s="89"/>
      <c r="AD54" s="44">
        <f t="shared" si="0"/>
        <v>0</v>
      </c>
      <c r="AE54" s="45">
        <f>G54-D54</f>
        <v>0</v>
      </c>
      <c r="AH54" s="3"/>
      <c r="AI54" s="23"/>
      <c r="AJ54" s="23"/>
      <c r="AK54" s="54"/>
      <c r="AL54" s="3"/>
      <c r="AM54" s="3"/>
      <c r="AN54" s="3"/>
      <c r="AO54" s="3"/>
      <c r="AP54" s="3"/>
      <c r="AQ54" s="3"/>
      <c r="AR54" s="3"/>
      <c r="AS54" s="3"/>
      <c r="AT54" s="3"/>
      <c r="AU54" s="3"/>
      <c r="AV54" s="3"/>
      <c r="AW54" s="3"/>
      <c r="AX54" s="3"/>
    </row>
    <row r="55" spans="1:50">
      <c r="A55" s="7">
        <f>[5]August_2026!$C55</f>
        <v>0</v>
      </c>
      <c r="B55" s="144"/>
      <c r="C55" s="78"/>
      <c r="D55" s="93"/>
      <c r="E55" s="11"/>
      <c r="F55" s="80"/>
      <c r="G55" s="93"/>
      <c r="H55" s="82"/>
      <c r="I55" s="32"/>
      <c r="J55" s="86"/>
      <c r="K55" s="71"/>
      <c r="L55" s="71"/>
      <c r="M55" s="71"/>
      <c r="N55" s="71"/>
      <c r="O55" s="32">
        <f>'Uncaser Downtime Detail '!AG479</f>
        <v>0</v>
      </c>
      <c r="P55" s="32">
        <f>'Washer Downtime Detail'!BH484</f>
        <v>0</v>
      </c>
      <c r="Q55" s="32">
        <f>'EBI Downtime Detail'!AI481</f>
        <v>0</v>
      </c>
      <c r="R55" s="32">
        <f>'Filler Downtime Detail'!AK479</f>
        <v>0</v>
      </c>
      <c r="S55" s="32">
        <f>'Pasteurizer Downtime Detail'!Z471</f>
        <v>0</v>
      </c>
      <c r="T55" s="32">
        <f>'Labeler Downtime Detail'!AN470</f>
        <v>0</v>
      </c>
      <c r="U55" s="32">
        <f>'Videojet Downtime Detail '!O475</f>
        <v>0</v>
      </c>
      <c r="V55" s="32">
        <f>'Conveyor Downtime (new)'!AV479</f>
        <v>0</v>
      </c>
      <c r="W55" s="32">
        <f>'Packer Downtime Detail  '!AD473</f>
        <v>0</v>
      </c>
      <c r="X55" s="71">
        <f>'Carton Errector-sealer Detail'!P465</f>
        <v>0</v>
      </c>
      <c r="Y55" s="71"/>
      <c r="Z55" s="43"/>
      <c r="AA55" s="88"/>
      <c r="AB55" s="88"/>
      <c r="AC55" s="71"/>
      <c r="AD55" s="44">
        <f t="shared" si="0"/>
        <v>0</v>
      </c>
      <c r="AE55" s="91"/>
      <c r="AH55" s="3"/>
      <c r="AI55" s="23"/>
      <c r="AJ55" s="23"/>
      <c r="AK55" s="54"/>
      <c r="AL55" s="3"/>
      <c r="AM55" s="3"/>
      <c r="AN55" s="3"/>
      <c r="AO55" s="3"/>
      <c r="AP55" s="3"/>
      <c r="AQ55" s="3"/>
      <c r="AR55" s="3"/>
      <c r="AS55" s="3"/>
      <c r="AT55" s="3"/>
      <c r="AU55" s="3"/>
      <c r="AV55" s="3"/>
      <c r="AW55" s="3"/>
      <c r="AX55" s="3"/>
    </row>
    <row r="56" spans="1:50">
      <c r="A56" s="7">
        <f>[5]August_2026!$C56</f>
        <v>0</v>
      </c>
      <c r="B56" s="144"/>
      <c r="C56" s="78"/>
      <c r="D56" s="93"/>
      <c r="E56" s="11"/>
      <c r="F56" s="80"/>
      <c r="G56" s="93"/>
      <c r="H56" s="14"/>
      <c r="I56" s="34"/>
      <c r="J56" s="35"/>
      <c r="K56" s="34"/>
      <c r="L56" s="34"/>
      <c r="M56" s="34"/>
      <c r="N56" s="34"/>
      <c r="O56" s="34"/>
      <c r="P56" s="34"/>
      <c r="Q56" s="34"/>
      <c r="R56" s="34"/>
      <c r="S56" s="34"/>
      <c r="T56" s="34"/>
      <c r="U56" s="34"/>
      <c r="V56" s="34"/>
      <c r="W56" s="34"/>
      <c r="X56" s="34">
        <f>'Carton Errector-sealer Detail'!P467</f>
        <v>0</v>
      </c>
      <c r="Y56" s="35"/>
      <c r="Z56" s="116"/>
      <c r="AA56" s="169"/>
      <c r="AB56" s="169"/>
      <c r="AC56" s="89"/>
      <c r="AD56" s="44">
        <f t="shared" si="0"/>
        <v>0</v>
      </c>
      <c r="AE56" s="91"/>
      <c r="AH56" s="3"/>
      <c r="AI56" s="23"/>
      <c r="AJ56" s="23"/>
      <c r="AK56" s="54"/>
      <c r="AL56" s="3"/>
      <c r="AM56" s="3"/>
      <c r="AN56" s="3"/>
      <c r="AO56" s="3"/>
      <c r="AP56" s="3"/>
      <c r="AQ56" s="3"/>
      <c r="AR56" s="3"/>
      <c r="AS56" s="3"/>
      <c r="AT56" s="3"/>
      <c r="AU56" s="3"/>
      <c r="AV56" s="3"/>
      <c r="AW56" s="3"/>
      <c r="AX56" s="3"/>
    </row>
    <row r="57" spans="1:50" ht="12.75" customHeight="1">
      <c r="A57" s="7">
        <f>[5]August_2026!$C57</f>
        <v>0</v>
      </c>
      <c r="B57" s="144"/>
      <c r="C57" s="78"/>
      <c r="D57" s="85"/>
      <c r="E57" s="80"/>
      <c r="F57" s="80"/>
      <c r="G57" s="93"/>
      <c r="H57" s="160"/>
      <c r="I57" s="168"/>
      <c r="J57" s="86"/>
      <c r="K57" s="71"/>
      <c r="L57" s="71"/>
      <c r="M57" s="71"/>
      <c r="N57" s="71"/>
      <c r="O57" s="32"/>
      <c r="P57" s="32"/>
      <c r="Q57" s="32"/>
      <c r="R57" s="32"/>
      <c r="S57" s="32"/>
      <c r="T57" s="32"/>
      <c r="U57" s="32"/>
      <c r="V57" s="32"/>
      <c r="W57" s="32"/>
      <c r="X57" s="34">
        <f>'Carton Errector-sealer Detail'!P468</f>
        <v>0</v>
      </c>
      <c r="Y57" s="71"/>
      <c r="Z57" s="170"/>
      <c r="AA57" s="171"/>
      <c r="AB57" s="171"/>
      <c r="AC57" s="71"/>
      <c r="AD57" s="44">
        <f>SUM(H57:J57,K57:AB57)</f>
        <v>0</v>
      </c>
      <c r="AE57" s="91"/>
      <c r="AH57" s="3"/>
      <c r="AI57" s="23"/>
      <c r="AJ57" s="23"/>
      <c r="AK57" s="54"/>
      <c r="AL57" s="3"/>
      <c r="AM57" s="3"/>
      <c r="AN57" s="3"/>
      <c r="AO57" s="3"/>
      <c r="AP57" s="3"/>
      <c r="AQ57" s="3"/>
      <c r="AR57" s="3"/>
      <c r="AS57" s="3"/>
      <c r="AT57" s="3"/>
      <c r="AU57" s="3"/>
      <c r="AV57" s="3"/>
      <c r="AW57" s="3"/>
      <c r="AX57" s="3"/>
    </row>
    <row r="58" spans="1:50" ht="13.5" thickBot="1">
      <c r="A58" s="7">
        <f>[5]August_2026!$C58</f>
        <v>0</v>
      </c>
      <c r="B58" s="144"/>
      <c r="C58" s="78"/>
      <c r="D58" s="85"/>
      <c r="E58" s="80"/>
      <c r="F58" s="80"/>
      <c r="G58" s="147"/>
      <c r="H58" s="161"/>
      <c r="I58" s="116"/>
      <c r="J58" s="35"/>
      <c r="K58" s="34"/>
      <c r="L58" s="34"/>
      <c r="M58" s="34"/>
      <c r="N58" s="34"/>
      <c r="O58" s="34"/>
      <c r="P58" s="34"/>
      <c r="Q58" s="34"/>
      <c r="R58" s="34"/>
      <c r="S58" s="34"/>
      <c r="T58" s="34"/>
      <c r="U58" s="34"/>
      <c r="V58" s="34"/>
      <c r="W58" s="34"/>
      <c r="X58" s="34">
        <f>'Carton Errector-sealer Detail'!P469</f>
        <v>0</v>
      </c>
      <c r="Y58" s="35"/>
      <c r="Z58" s="34"/>
      <c r="AA58" s="90"/>
      <c r="AB58" s="90"/>
      <c r="AC58" s="89"/>
      <c r="AD58" s="44">
        <f>SUM(H58:J58,K58:AB58)</f>
        <v>0</v>
      </c>
      <c r="AE58" s="91">
        <f>G59-D58</f>
        <v>0</v>
      </c>
      <c r="AH58" s="3"/>
      <c r="AI58" s="23"/>
      <c r="AJ58" s="23"/>
      <c r="AK58" s="54"/>
      <c r="AL58" s="3"/>
      <c r="AM58" s="3"/>
      <c r="AN58" s="3"/>
      <c r="AO58" s="3"/>
      <c r="AP58" s="3"/>
      <c r="AQ58" s="3"/>
      <c r="AR58" s="3"/>
      <c r="AS58" s="3"/>
      <c r="AT58" s="3"/>
      <c r="AU58" s="3"/>
      <c r="AV58" s="3"/>
      <c r="AW58" s="3"/>
      <c r="AX58" s="3"/>
    </row>
    <row r="59" spans="1:50" ht="12.75" customHeight="1">
      <c r="A59" s="7">
        <f>[5]August_2026!$C59</f>
        <v>0</v>
      </c>
      <c r="B59" s="144"/>
      <c r="C59" s="78"/>
      <c r="D59" s="85"/>
      <c r="E59" s="80"/>
      <c r="F59" s="80"/>
      <c r="G59" s="11"/>
      <c r="H59" s="14"/>
      <c r="I59" s="34"/>
      <c r="J59" s="35"/>
      <c r="K59" s="34"/>
      <c r="L59" s="34"/>
      <c r="M59" s="34"/>
      <c r="N59" s="34"/>
      <c r="O59" s="34">
        <f>'Uncaser Downtime Detail '!AG471</f>
        <v>0</v>
      </c>
      <c r="P59" s="34">
        <f>'Washer Downtime Detail'!BH476</f>
        <v>0</v>
      </c>
      <c r="Q59" s="34">
        <f>'EBI Downtime Detail'!AI473</f>
        <v>0</v>
      </c>
      <c r="R59" s="34">
        <f>'Filler Downtime Detail'!AK471</f>
        <v>0</v>
      </c>
      <c r="S59" s="34">
        <f>'Pasteurizer Downtime Detail'!Z463</f>
        <v>0</v>
      </c>
      <c r="T59" s="34">
        <f>'Labeler Downtime Detail'!AN462</f>
        <v>0</v>
      </c>
      <c r="U59" s="34">
        <f>'Videojet Downtime Detail '!O467</f>
        <v>0</v>
      </c>
      <c r="V59" s="34">
        <f>'Conveyor Downtime (new)'!AV471</f>
        <v>0</v>
      </c>
      <c r="W59" s="34">
        <f>'Packer Downtime Detail  '!AD465</f>
        <v>0</v>
      </c>
      <c r="X59" s="34">
        <f>'Carton Errector-sealer Detail'!P470</f>
        <v>0</v>
      </c>
      <c r="Y59" s="34"/>
      <c r="Z59" s="34"/>
      <c r="AA59" s="90"/>
      <c r="AB59" s="89"/>
      <c r="AC59" s="89"/>
      <c r="AD59" s="44">
        <f>SUM(H59:J59,K59:AB59)</f>
        <v>0</v>
      </c>
      <c r="AE59" s="91"/>
      <c r="AH59" s="3"/>
      <c r="AI59" s="23"/>
      <c r="AJ59" s="23"/>
      <c r="AK59" s="54"/>
      <c r="AL59" s="3"/>
      <c r="AM59" s="3"/>
      <c r="AN59" s="3"/>
      <c r="AO59" s="3"/>
      <c r="AP59" s="3"/>
      <c r="AQ59" s="3"/>
      <c r="AR59" s="3"/>
      <c r="AS59" s="3"/>
      <c r="AT59" s="3"/>
      <c r="AU59" s="3"/>
      <c r="AV59" s="3"/>
      <c r="AW59" s="3"/>
      <c r="AX59" s="3"/>
    </row>
    <row r="60" spans="1:50">
      <c r="A60" s="7">
        <f>[5]August_2026!$C60</f>
        <v>0</v>
      </c>
      <c r="B60" s="144"/>
      <c r="C60" s="78"/>
      <c r="D60" s="85"/>
      <c r="E60" s="80"/>
      <c r="F60" s="80"/>
      <c r="G60" s="11"/>
      <c r="H60" s="82"/>
      <c r="I60" s="32"/>
      <c r="J60" s="86"/>
      <c r="K60" s="71"/>
      <c r="L60" s="71"/>
      <c r="M60" s="71"/>
      <c r="N60" s="71"/>
      <c r="O60" s="71">
        <f>'Uncaser Downtime Detail '!AG472</f>
        <v>0</v>
      </c>
      <c r="P60" s="71">
        <f>'Washer Downtime Detail'!BH477</f>
        <v>0</v>
      </c>
      <c r="Q60" s="71">
        <f>'EBI Downtime Detail'!AI474</f>
        <v>0</v>
      </c>
      <c r="R60" s="71">
        <f>'Filler Downtime Detail'!AK472</f>
        <v>0</v>
      </c>
      <c r="S60" s="71">
        <f>'Pasteurizer Downtime Detail'!Z464</f>
        <v>0</v>
      </c>
      <c r="T60" s="71">
        <f>'Labeler Downtime Detail'!AN463</f>
        <v>0</v>
      </c>
      <c r="U60" s="71">
        <f>'Videojet Downtime Detail '!O468</f>
        <v>0</v>
      </c>
      <c r="V60" s="71">
        <f>'Conveyor Downtime (new)'!AV472</f>
        <v>0</v>
      </c>
      <c r="W60" s="71">
        <f>'Packer Downtime Detail  '!AD466</f>
        <v>0</v>
      </c>
      <c r="X60" s="34">
        <f>'Carton Errector-sealer Detail'!P471</f>
        <v>0</v>
      </c>
      <c r="Y60" s="71"/>
      <c r="Z60" s="149"/>
      <c r="AA60" s="88"/>
      <c r="AB60" s="71"/>
      <c r="AC60" s="71"/>
      <c r="AD60" s="44">
        <f>SUM(H60:J60,K60:AB60)</f>
        <v>0</v>
      </c>
      <c r="AE60" s="754">
        <f>G61-D60</f>
        <v>0</v>
      </c>
      <c r="AH60" s="3"/>
      <c r="AI60" s="23"/>
      <c r="AJ60" s="23"/>
      <c r="AK60" s="54"/>
      <c r="AL60" s="3"/>
      <c r="AM60" s="3"/>
      <c r="AN60" s="3"/>
      <c r="AO60" s="3"/>
      <c r="AP60" s="3"/>
      <c r="AQ60" s="3"/>
      <c r="AR60" s="3"/>
      <c r="AS60" s="3"/>
      <c r="AT60" s="3"/>
      <c r="AU60" s="3"/>
      <c r="AV60" s="3"/>
      <c r="AW60" s="3"/>
      <c r="AX60" s="3"/>
    </row>
    <row r="61" spans="1:50">
      <c r="A61" s="7">
        <f>[5]August_2026!$C61</f>
        <v>0</v>
      </c>
      <c r="B61" s="144"/>
      <c r="C61" s="78"/>
      <c r="D61" s="85"/>
      <c r="E61" s="80"/>
      <c r="F61" s="80"/>
      <c r="G61" s="11"/>
      <c r="H61" s="14"/>
      <c r="I61" s="34"/>
      <c r="J61" s="35"/>
      <c r="K61" s="34"/>
      <c r="L61" s="34"/>
      <c r="M61" s="34"/>
      <c r="N61" s="34"/>
      <c r="O61" s="34">
        <f>'Uncaser Downtime Detail '!AG473</f>
        <v>0</v>
      </c>
      <c r="P61" s="34">
        <f>'Washer Downtime Detail'!BH478</f>
        <v>0</v>
      </c>
      <c r="Q61" s="34">
        <f>'EBI Downtime Detail'!AI475</f>
        <v>0</v>
      </c>
      <c r="R61" s="34">
        <f>'Filler Downtime Detail'!AK473</f>
        <v>0</v>
      </c>
      <c r="S61" s="34">
        <f>'Pasteurizer Downtime Detail'!Z465</f>
        <v>0</v>
      </c>
      <c r="T61" s="34">
        <f>'Labeler Downtime Detail'!AN464</f>
        <v>0</v>
      </c>
      <c r="U61" s="34">
        <f>'Videojet Downtime Detail '!O469</f>
        <v>0</v>
      </c>
      <c r="V61" s="34">
        <f>'Conveyor Downtime (new)'!AV473</f>
        <v>0</v>
      </c>
      <c r="W61" s="34">
        <f>'Packer Downtime Detail  '!AD467</f>
        <v>0</v>
      </c>
      <c r="X61" s="34">
        <f>'Carton Errector-sealer Detail'!P472</f>
        <v>0</v>
      </c>
      <c r="Y61" s="34"/>
      <c r="Z61" s="34"/>
      <c r="AA61" s="90"/>
      <c r="AB61" s="89"/>
      <c r="AC61" s="89"/>
      <c r="AD61" s="44">
        <f>SUM(H61:J61,K61:AB61)</f>
        <v>0</v>
      </c>
      <c r="AE61" s="754"/>
      <c r="AH61" s="3"/>
      <c r="AI61" s="23"/>
      <c r="AJ61" s="23"/>
      <c r="AK61" s="54"/>
      <c r="AL61" s="3"/>
      <c r="AM61" s="3"/>
      <c r="AN61" s="3"/>
      <c r="AO61" s="3"/>
      <c r="AP61" s="3"/>
      <c r="AQ61" s="3"/>
      <c r="AR61" s="3"/>
      <c r="AS61" s="3"/>
      <c r="AT61" s="3"/>
      <c r="AU61" s="3"/>
      <c r="AV61" s="3"/>
      <c r="AW61" s="3"/>
      <c r="AX61" s="3"/>
    </row>
    <row r="62" spans="1:50">
      <c r="A62" s="7">
        <f>[5]August_2026!$C62</f>
        <v>0</v>
      </c>
      <c r="B62" s="144"/>
      <c r="C62" s="78"/>
      <c r="D62" s="148"/>
      <c r="E62" s="81"/>
      <c r="F62" s="81"/>
      <c r="G62" s="11"/>
      <c r="H62" s="140"/>
      <c r="I62" s="32"/>
      <c r="J62" s="41"/>
      <c r="K62" s="3"/>
      <c r="L62" s="3"/>
      <c r="M62" s="3"/>
      <c r="N62" s="3"/>
      <c r="O62" s="71">
        <f>'Uncaser Downtime Detail '!AG474</f>
        <v>0</v>
      </c>
      <c r="P62" s="71">
        <f>'Washer Downtime Detail'!BH479</f>
        <v>0</v>
      </c>
      <c r="Q62" s="71">
        <f>'EBI Downtime Detail'!AI476</f>
        <v>0</v>
      </c>
      <c r="R62" s="71">
        <f>'Filler Downtime Detail'!AK474</f>
        <v>0</v>
      </c>
      <c r="S62" s="71">
        <f>'Pasteurizer Downtime Detail'!Z466</f>
        <v>0</v>
      </c>
      <c r="T62" s="71">
        <f>'Labeler Downtime Detail'!AN465</f>
        <v>0</v>
      </c>
      <c r="U62" s="71">
        <f>'Videojet Downtime Detail '!O470</f>
        <v>0</v>
      </c>
      <c r="V62" s="71">
        <f>'Conveyor Downtime (new)'!AV474</f>
        <v>0</v>
      </c>
      <c r="W62" s="71">
        <f>'Packer Downtime Detail  '!AD468</f>
        <v>0</v>
      </c>
      <c r="X62" s="34">
        <f>'Carton Errector-sealer Detail'!P473</f>
        <v>0</v>
      </c>
      <c r="Y62" s="71"/>
      <c r="Z62" s="43"/>
      <c r="AA62" s="88"/>
      <c r="AB62" s="71"/>
      <c r="AC62" s="71"/>
      <c r="AD62" s="44">
        <f t="shared" ref="AD62:AD67" si="1">SUM(K62:AA62)+I62+J62+H62</f>
        <v>0</v>
      </c>
      <c r="AE62" s="754">
        <f>G63-D62</f>
        <v>0</v>
      </c>
      <c r="AH62" s="3"/>
      <c r="AI62" s="3"/>
      <c r="AJ62" s="3"/>
      <c r="AK62" s="3"/>
      <c r="AL62" s="3"/>
      <c r="AM62" s="3"/>
      <c r="AN62" s="3"/>
      <c r="AO62" s="3"/>
      <c r="AP62" s="3"/>
      <c r="AQ62" s="3"/>
      <c r="AR62" s="3"/>
      <c r="AS62" s="3"/>
      <c r="AT62" s="3"/>
      <c r="AU62" s="3"/>
      <c r="AV62" s="3"/>
      <c r="AW62" s="3"/>
      <c r="AX62" s="3"/>
    </row>
    <row r="63" spans="1:50">
      <c r="A63" s="7">
        <f>[5]August_2026!$C63</f>
        <v>0</v>
      </c>
      <c r="B63" s="144"/>
      <c r="C63" s="78"/>
      <c r="D63" s="148"/>
      <c r="E63" s="81"/>
      <c r="F63" s="81"/>
      <c r="G63" s="11"/>
      <c r="H63" s="14"/>
      <c r="I63" s="34"/>
      <c r="J63" s="35"/>
      <c r="K63" s="34"/>
      <c r="L63" s="34"/>
      <c r="M63" s="34"/>
      <c r="N63" s="34"/>
      <c r="O63" s="34">
        <f>'Uncaser Downtime Detail '!AG475</f>
        <v>0</v>
      </c>
      <c r="P63" s="34">
        <f>'Washer Downtime Detail'!BH480</f>
        <v>0</v>
      </c>
      <c r="Q63" s="34">
        <f>'EBI Downtime Detail'!AI477</f>
        <v>0</v>
      </c>
      <c r="R63" s="34">
        <f>'Filler Downtime Detail'!AK475</f>
        <v>0</v>
      </c>
      <c r="S63" s="34">
        <f>'Pasteurizer Downtime Detail'!Z467</f>
        <v>0</v>
      </c>
      <c r="T63" s="34">
        <f>'Labeler Downtime Detail'!AN466</f>
        <v>0</v>
      </c>
      <c r="U63" s="34">
        <f>'Videojet Downtime Detail '!O471</f>
        <v>0</v>
      </c>
      <c r="V63" s="34">
        <f>'Conveyor Downtime (new)'!AV475</f>
        <v>0</v>
      </c>
      <c r="W63" s="34">
        <f>'Packer Downtime Detail  '!AD469</f>
        <v>0</v>
      </c>
      <c r="X63" s="34"/>
      <c r="Y63" s="34"/>
      <c r="Z63" s="34"/>
      <c r="AA63" s="90"/>
      <c r="AB63" s="89"/>
      <c r="AC63" s="89"/>
      <c r="AD63" s="44">
        <f t="shared" si="1"/>
        <v>0</v>
      </c>
      <c r="AE63" s="754"/>
      <c r="AH63" s="3"/>
      <c r="AI63" s="3"/>
      <c r="AJ63" s="3"/>
      <c r="AK63" s="3"/>
      <c r="AL63" s="3"/>
      <c r="AM63" s="3"/>
      <c r="AN63" s="3"/>
      <c r="AO63" s="3"/>
      <c r="AP63" s="3"/>
      <c r="AQ63" s="3"/>
      <c r="AR63" s="3"/>
      <c r="AS63" s="3"/>
      <c r="AT63" s="3"/>
      <c r="AU63" s="3"/>
      <c r="AV63" s="3"/>
      <c r="AW63" s="3"/>
      <c r="AX63" s="3"/>
    </row>
    <row r="64" spans="1:50">
      <c r="A64" s="7">
        <f>[5]August_2026!$C64</f>
        <v>0</v>
      </c>
      <c r="B64" s="144"/>
      <c r="C64" s="78"/>
      <c r="D64" s="85"/>
      <c r="E64" s="81"/>
      <c r="F64" s="81"/>
      <c r="G64" s="11"/>
      <c r="H64" s="140"/>
      <c r="I64" s="1"/>
      <c r="J64" s="41"/>
      <c r="K64" s="71"/>
      <c r="L64" s="71"/>
      <c r="M64" s="71"/>
      <c r="N64" s="71"/>
      <c r="O64" s="71">
        <f>'Uncaser Downtime Detail '!AG476</f>
        <v>0</v>
      </c>
      <c r="P64" s="71">
        <f>'Washer Downtime Detail'!BH481</f>
        <v>0</v>
      </c>
      <c r="Q64" s="71">
        <f>'EBI Downtime Detail'!AI478</f>
        <v>0</v>
      </c>
      <c r="R64" s="71">
        <f>'Filler Downtime Detail'!AK476</f>
        <v>0</v>
      </c>
      <c r="S64" s="71">
        <f>'Pasteurizer Downtime Detail'!Z468</f>
        <v>0</v>
      </c>
      <c r="T64" s="71">
        <f>'Labeler Downtime Detail'!AN467</f>
        <v>0</v>
      </c>
      <c r="U64" s="71">
        <f>'Videojet Downtime Detail '!O472</f>
        <v>0</v>
      </c>
      <c r="V64" s="71">
        <f>'Conveyor Downtime (new)'!AV476</f>
        <v>0</v>
      </c>
      <c r="W64" s="71">
        <f>'Packer Downtime Detail  '!AD470</f>
        <v>0</v>
      </c>
      <c r="X64" s="34">
        <f>'Carton Errector-sealer Detail'!P475</f>
        <v>0</v>
      </c>
      <c r="Y64" s="71"/>
      <c r="Z64" s="43"/>
      <c r="AA64" s="88"/>
      <c r="AB64" s="71"/>
      <c r="AC64" s="71"/>
      <c r="AD64" s="44">
        <f t="shared" si="1"/>
        <v>0</v>
      </c>
      <c r="AE64" s="754">
        <f>G66-D64</f>
        <v>0</v>
      </c>
      <c r="AH64" s="3"/>
      <c r="AI64" s="3"/>
      <c r="AJ64" s="3"/>
      <c r="AK64" s="3"/>
      <c r="AL64" s="3"/>
      <c r="AM64" s="3"/>
      <c r="AN64" s="3"/>
      <c r="AO64" s="3"/>
      <c r="AP64" s="3"/>
      <c r="AQ64" s="3"/>
      <c r="AR64" s="3"/>
      <c r="AS64" s="3"/>
      <c r="AT64" s="3"/>
      <c r="AU64" s="3"/>
      <c r="AV64" s="3"/>
      <c r="AW64" s="3"/>
      <c r="AX64" s="3"/>
    </row>
    <row r="65" spans="1:50">
      <c r="A65" s="7">
        <f>[5]August_2026!$C65</f>
        <v>0</v>
      </c>
      <c r="B65" s="144"/>
      <c r="C65" s="78"/>
      <c r="D65" s="85"/>
      <c r="E65" s="81"/>
      <c r="F65" s="81"/>
      <c r="G65" s="11"/>
      <c r="H65" s="14"/>
      <c r="I65" s="34"/>
      <c r="J65" s="35"/>
      <c r="K65" s="34"/>
      <c r="L65" s="34"/>
      <c r="M65" s="34"/>
      <c r="N65" s="34"/>
      <c r="O65" s="34">
        <f>'Uncaser Downtime Detail '!AG477</f>
        <v>0</v>
      </c>
      <c r="P65" s="34">
        <f>'Washer Downtime Detail'!BH482</f>
        <v>0</v>
      </c>
      <c r="Q65" s="34">
        <f>'EBI Downtime Detail'!AI479</f>
        <v>0</v>
      </c>
      <c r="R65" s="34">
        <f>'Filler Downtime Detail'!AK477</f>
        <v>0</v>
      </c>
      <c r="S65" s="34">
        <f>'Pasteurizer Downtime Detail'!Z469</f>
        <v>0</v>
      </c>
      <c r="T65" s="34">
        <f>'Labeler Downtime Detail'!AN468</f>
        <v>0</v>
      </c>
      <c r="U65" s="34">
        <f>'Videojet Downtime Detail '!O473</f>
        <v>0</v>
      </c>
      <c r="V65" s="34">
        <f>'Conveyor Downtime (new)'!AV477</f>
        <v>0</v>
      </c>
      <c r="W65" s="34">
        <f>'Packer Downtime Detail  '!AD471</f>
        <v>0</v>
      </c>
      <c r="X65" s="71">
        <f>'Carton Errector-sealer Detail'!P476</f>
        <v>0</v>
      </c>
      <c r="Y65" s="34"/>
      <c r="Z65" s="34"/>
      <c r="AA65" s="90"/>
      <c r="AB65" s="89"/>
      <c r="AC65" s="89"/>
      <c r="AD65" s="44">
        <f t="shared" si="1"/>
        <v>0</v>
      </c>
      <c r="AE65" s="754"/>
      <c r="AH65" s="3"/>
      <c r="AI65" s="3"/>
      <c r="AJ65" s="3"/>
      <c r="AK65" s="3"/>
      <c r="AL65" s="3"/>
      <c r="AM65" s="3"/>
      <c r="AN65" s="3"/>
      <c r="AO65" s="3"/>
      <c r="AP65" s="3"/>
      <c r="AQ65" s="3"/>
      <c r="AR65" s="3"/>
      <c r="AS65" s="3"/>
      <c r="AT65" s="3"/>
      <c r="AU65" s="3"/>
      <c r="AV65" s="3"/>
      <c r="AW65" s="3"/>
      <c r="AX65" s="3"/>
    </row>
    <row r="66" spans="1:50">
      <c r="A66" s="7">
        <f>[5]August_2026!$C66</f>
        <v>0</v>
      </c>
      <c r="B66" s="144"/>
      <c r="C66" s="78"/>
      <c r="D66" s="85"/>
      <c r="E66" s="81"/>
      <c r="F66" s="81"/>
      <c r="G66" s="11"/>
      <c r="H66" s="82"/>
      <c r="I66" s="32"/>
      <c r="J66" s="86"/>
      <c r="K66" s="3"/>
      <c r="L66" s="71"/>
      <c r="M66" s="71"/>
      <c r="N66" s="71"/>
      <c r="O66" s="71">
        <f>'Uncaser Downtime Detail '!AG478</f>
        <v>0</v>
      </c>
      <c r="P66" s="71">
        <f>'Washer Downtime Detail'!BH483</f>
        <v>0</v>
      </c>
      <c r="Q66" s="71">
        <f>'EBI Downtime Detail'!AI480</f>
        <v>0</v>
      </c>
      <c r="R66" s="71">
        <f>'Filler Downtime Detail'!AK478</f>
        <v>0</v>
      </c>
      <c r="S66" s="71">
        <f>'Pasteurizer Downtime Detail'!Z470</f>
        <v>0</v>
      </c>
      <c r="T66" s="71">
        <f>'Labeler Downtime Detail'!AN469</f>
        <v>0</v>
      </c>
      <c r="U66" s="71">
        <f>'Videojet Downtime Detail '!O474</f>
        <v>0</v>
      </c>
      <c r="V66" s="71">
        <f>'Conveyor Downtime (new)'!AV478</f>
        <v>0</v>
      </c>
      <c r="W66" s="71">
        <f>'Packer Downtime Detail  '!AD472</f>
        <v>0</v>
      </c>
      <c r="X66" s="71">
        <f>'Carton Errector-sealer Detail'!P477</f>
        <v>0</v>
      </c>
      <c r="Y66" s="71"/>
      <c r="Z66" s="43"/>
      <c r="AA66" s="88"/>
      <c r="AB66" s="71"/>
      <c r="AC66" s="71"/>
      <c r="AD66" s="44">
        <f t="shared" si="1"/>
        <v>0</v>
      </c>
      <c r="AE66" s="754"/>
      <c r="AH66" s="3"/>
      <c r="AI66" s="3"/>
      <c r="AJ66" s="3"/>
      <c r="AK66" s="3"/>
      <c r="AL66" s="3"/>
      <c r="AM66" s="3"/>
      <c r="AN66" s="3"/>
      <c r="AO66" s="3"/>
      <c r="AP66" s="3"/>
      <c r="AQ66" s="3"/>
      <c r="AR66" s="3"/>
      <c r="AS66" s="3"/>
      <c r="AT66" s="3"/>
      <c r="AU66" s="3"/>
      <c r="AV66" s="3"/>
      <c r="AW66" s="3"/>
      <c r="AX66" s="3"/>
    </row>
    <row r="67" spans="1:50" ht="12" customHeight="1">
      <c r="A67" s="7"/>
      <c r="B67" s="8"/>
      <c r="C67" s="78"/>
      <c r="D67" s="81"/>
      <c r="E67" s="81"/>
      <c r="F67" s="81"/>
      <c r="G67" s="81"/>
      <c r="H67" s="14"/>
      <c r="I67" s="34"/>
      <c r="J67" s="35"/>
      <c r="K67" s="34"/>
      <c r="L67" s="34"/>
      <c r="M67" s="34"/>
      <c r="N67" s="34"/>
      <c r="O67" s="34"/>
      <c r="P67" s="34"/>
      <c r="Q67" s="34"/>
      <c r="R67" s="34"/>
      <c r="S67" s="34"/>
      <c r="T67" s="34"/>
      <c r="U67" s="34"/>
      <c r="V67" s="34"/>
      <c r="W67" s="34"/>
      <c r="X67" s="71">
        <f>'Carton Errector-sealer Detail'!P478</f>
        <v>0</v>
      </c>
      <c r="Y67" s="34"/>
      <c r="Z67" s="34"/>
      <c r="AA67" s="90"/>
      <c r="AB67" s="89"/>
      <c r="AC67" s="89"/>
      <c r="AD67" s="44">
        <f t="shared" si="1"/>
        <v>0</v>
      </c>
      <c r="AE67" s="68"/>
      <c r="AH67" s="3"/>
      <c r="AI67" s="3"/>
      <c r="AJ67" s="3"/>
      <c r="AK67" s="3"/>
      <c r="AL67" s="3"/>
      <c r="AM67" s="3"/>
      <c r="AN67" s="3"/>
      <c r="AO67" s="3"/>
      <c r="AP67" s="3"/>
      <c r="AQ67" s="3"/>
      <c r="AR67" s="3"/>
      <c r="AS67" s="3"/>
      <c r="AT67" s="3"/>
      <c r="AU67" s="3"/>
      <c r="AV67" s="3"/>
      <c r="AW67" s="3"/>
      <c r="AX67" s="3"/>
    </row>
    <row r="68" spans="1:50" ht="15.75" thickBot="1">
      <c r="A68" s="15" t="s">
        <v>427</v>
      </c>
      <c r="B68" s="16"/>
      <c r="C68" s="17"/>
      <c r="D68" s="18"/>
      <c r="E68" s="18"/>
      <c r="F68" s="18"/>
      <c r="G68" s="19">
        <f>SUM(G64:G67)</f>
        <v>0</v>
      </c>
      <c r="H68" s="16">
        <f t="shared" ref="H68:AC68" si="2">SUM(H8:H67)</f>
        <v>123</v>
      </c>
      <c r="I68" s="98">
        <f t="shared" si="2"/>
        <v>1331</v>
      </c>
      <c r="J68" s="98">
        <f t="shared" si="2"/>
        <v>381</v>
      </c>
      <c r="K68" s="98">
        <f t="shared" si="2"/>
        <v>114</v>
      </c>
      <c r="L68" s="98">
        <f t="shared" si="2"/>
        <v>73</v>
      </c>
      <c r="M68" s="98">
        <f t="shared" si="2"/>
        <v>52</v>
      </c>
      <c r="N68" s="98">
        <f t="shared" si="2"/>
        <v>0</v>
      </c>
      <c r="O68" s="98">
        <f t="shared" si="2"/>
        <v>364</v>
      </c>
      <c r="P68" s="98">
        <f t="shared" si="2"/>
        <v>644</v>
      </c>
      <c r="Q68" s="98">
        <f t="shared" si="2"/>
        <v>582</v>
      </c>
      <c r="R68" s="98">
        <f t="shared" si="2"/>
        <v>706</v>
      </c>
      <c r="S68" s="98">
        <f t="shared" si="2"/>
        <v>793</v>
      </c>
      <c r="T68" s="98">
        <f t="shared" si="2"/>
        <v>1151</v>
      </c>
      <c r="U68" s="98">
        <f t="shared" si="2"/>
        <v>83</v>
      </c>
      <c r="V68" s="98">
        <f t="shared" si="2"/>
        <v>775</v>
      </c>
      <c r="W68" s="98">
        <f t="shared" si="2"/>
        <v>147</v>
      </c>
      <c r="X68" s="98">
        <f t="shared" si="2"/>
        <v>178</v>
      </c>
      <c r="Y68" s="98">
        <f t="shared" si="2"/>
        <v>0</v>
      </c>
      <c r="Z68" s="98">
        <f t="shared" si="2"/>
        <v>1067</v>
      </c>
      <c r="AA68" s="98">
        <f t="shared" si="2"/>
        <v>3</v>
      </c>
      <c r="AB68" s="98">
        <f t="shared" si="2"/>
        <v>527</v>
      </c>
      <c r="AC68" s="98">
        <f t="shared" si="2"/>
        <v>271</v>
      </c>
      <c r="AD68" s="47">
        <f>SUM(AD8:AD67)</f>
        <v>9365</v>
      </c>
      <c r="AE68" s="103">
        <f>SUM(AE8:AE67)</f>
        <v>17.829861111111111</v>
      </c>
      <c r="AH68" s="3"/>
      <c r="AI68" s="3"/>
      <c r="AJ68" s="3"/>
      <c r="AK68" s="3"/>
      <c r="AL68" s="3"/>
      <c r="AM68" s="3"/>
      <c r="AN68" s="3"/>
      <c r="AO68" s="3"/>
      <c r="AP68" s="3"/>
      <c r="AQ68" s="3"/>
      <c r="AR68" s="3"/>
      <c r="AS68" s="3"/>
      <c r="AT68" s="3"/>
      <c r="AU68" s="3"/>
      <c r="AV68" s="3"/>
      <c r="AW68" s="3"/>
      <c r="AX68" s="3"/>
    </row>
    <row r="69" spans="1:50" ht="13.5" thickTop="1">
      <c r="A69" s="20" t="s">
        <v>45</v>
      </c>
      <c r="B69" s="1"/>
      <c r="C69" s="3"/>
      <c r="E69" s="3"/>
      <c r="F69" s="3"/>
      <c r="G69" s="3"/>
      <c r="H69" s="21">
        <f>H68/$AD$68</f>
        <v>1.3134009610250935E-2</v>
      </c>
      <c r="I69" s="21">
        <f t="shared" ref="I69:AC69" si="3">I68/$AD$68</f>
        <v>0.14212493326214629</v>
      </c>
      <c r="J69" s="21">
        <f t="shared" si="3"/>
        <v>4.0683395621996798E-2</v>
      </c>
      <c r="K69" s="21">
        <f t="shared" si="3"/>
        <v>1.2172984516817939E-2</v>
      </c>
      <c r="L69" s="21">
        <f t="shared" si="3"/>
        <v>7.7949813134009609E-3</v>
      </c>
      <c r="M69" s="21">
        <f t="shared" si="3"/>
        <v>5.5525894287239723E-3</v>
      </c>
      <c r="N69" s="21">
        <f t="shared" si="3"/>
        <v>0</v>
      </c>
      <c r="O69" s="21">
        <f t="shared" si="3"/>
        <v>3.8868126001067808E-2</v>
      </c>
      <c r="P69" s="21">
        <f t="shared" si="3"/>
        <v>6.8766684463427652E-2</v>
      </c>
      <c r="Q69" s="21">
        <f t="shared" si="3"/>
        <v>6.2146289375333688E-2</v>
      </c>
      <c r="R69" s="21">
        <f t="shared" si="3"/>
        <v>7.538707955152163E-2</v>
      </c>
      <c r="S69" s="21">
        <f t="shared" si="3"/>
        <v>8.4676988788040572E-2</v>
      </c>
      <c r="T69" s="21">
        <f t="shared" si="3"/>
        <v>0.12290443139348639</v>
      </c>
      <c r="U69" s="21">
        <f t="shared" si="3"/>
        <v>8.862786972770955E-3</v>
      </c>
      <c r="V69" s="21">
        <f t="shared" si="3"/>
        <v>8.2754938601174582E-2</v>
      </c>
      <c r="W69" s="21">
        <f t="shared" si="3"/>
        <v>1.5696743192738921E-2</v>
      </c>
      <c r="X69" s="21">
        <f t="shared" si="3"/>
        <v>1.9006940736785907E-2</v>
      </c>
      <c r="Y69" s="21">
        <f t="shared" si="3"/>
        <v>0</v>
      </c>
      <c r="Z69" s="21">
        <f t="shared" si="3"/>
        <v>0.11393486385477843</v>
      </c>
      <c r="AA69" s="21">
        <f t="shared" si="3"/>
        <v>3.2034169781099841E-4</v>
      </c>
      <c r="AB69" s="21">
        <f t="shared" si="3"/>
        <v>5.627335824879872E-2</v>
      </c>
      <c r="AC69" s="21">
        <f t="shared" si="3"/>
        <v>2.8937533368926856E-2</v>
      </c>
      <c r="AD69" s="3"/>
      <c r="AE69" s="49"/>
      <c r="AH69" s="3"/>
      <c r="AI69" s="3"/>
      <c r="AJ69" s="3"/>
      <c r="AK69" s="3"/>
      <c r="AL69" s="3"/>
      <c r="AM69" s="3"/>
      <c r="AN69" s="3"/>
      <c r="AO69" s="3"/>
      <c r="AP69" s="3"/>
      <c r="AQ69" s="3"/>
      <c r="AR69" s="3"/>
      <c r="AS69" s="3"/>
      <c r="AT69" s="3"/>
      <c r="AU69" s="3"/>
      <c r="AV69" s="3"/>
      <c r="AW69" s="3"/>
      <c r="AX69" s="3"/>
    </row>
    <row r="70" spans="1:50" ht="15">
      <c r="A70" s="20"/>
      <c r="B70" s="1"/>
      <c r="C70" s="3"/>
      <c r="E70" s="3"/>
      <c r="F70" s="3"/>
      <c r="G70" s="3"/>
      <c r="H70" s="3"/>
      <c r="I70" s="36" t="s">
        <v>428</v>
      </c>
      <c r="J70" s="3"/>
      <c r="K70" s="37"/>
      <c r="L70" s="37"/>
      <c r="M70" s="3"/>
      <c r="N70" s="3"/>
      <c r="O70" s="3"/>
      <c r="P70" s="100"/>
      <c r="Q70" s="3"/>
      <c r="R70" s="100"/>
      <c r="S70" s="3"/>
      <c r="T70" s="100"/>
      <c r="U70" s="3"/>
      <c r="V70" s="100"/>
      <c r="W70" s="100"/>
      <c r="X70" s="3"/>
      <c r="Y70" s="3"/>
      <c r="Z70" s="3"/>
      <c r="AA70" s="3"/>
      <c r="AB70" s="3"/>
      <c r="AC70" s="3"/>
      <c r="AD70" s="3"/>
      <c r="AH70" s="3"/>
      <c r="AI70" s="3"/>
      <c r="AJ70" s="3"/>
      <c r="AK70" s="3"/>
      <c r="AL70" s="3"/>
      <c r="AM70" s="3"/>
      <c r="AN70" s="3"/>
      <c r="AO70" s="3"/>
      <c r="AP70" s="3"/>
      <c r="AQ70" s="3"/>
      <c r="AR70" s="3"/>
      <c r="AS70" s="3"/>
      <c r="AT70" s="3"/>
      <c r="AU70" s="3"/>
      <c r="AV70" s="3"/>
      <c r="AW70" s="3"/>
      <c r="AX70" s="3"/>
    </row>
    <row r="71" spans="1:50" ht="15">
      <c r="A71" s="1"/>
      <c r="B71" s="22"/>
      <c r="C71" t="s">
        <v>429</v>
      </c>
      <c r="D71" s="3" t="s">
        <v>430</v>
      </c>
      <c r="E71" t="s">
        <v>431</v>
      </c>
      <c r="F71" s="23"/>
      <c r="G71" s="23"/>
      <c r="H71" s="3"/>
      <c r="I71" s="38">
        <f>COUNT(I8:I67)</f>
        <v>28</v>
      </c>
      <c r="J71" s="3"/>
      <c r="K71" s="24"/>
      <c r="L71" s="24"/>
      <c r="M71" s="24"/>
      <c r="N71" s="24" t="s">
        <v>209</v>
      </c>
      <c r="O71" s="24"/>
      <c r="P71" s="24"/>
      <c r="Q71" s="24"/>
      <c r="R71" s="24"/>
      <c r="S71" s="24"/>
      <c r="T71" s="24"/>
      <c r="U71" s="24"/>
      <c r="V71" s="24"/>
      <c r="W71" s="24"/>
      <c r="X71" s="24"/>
      <c r="Y71" s="24"/>
      <c r="Z71" s="24"/>
      <c r="AA71" s="3"/>
      <c r="AB71" s="3"/>
      <c r="AC71" s="3"/>
      <c r="AH71" s="3"/>
      <c r="AI71" s="3"/>
      <c r="AJ71" s="3"/>
      <c r="AK71" s="3"/>
      <c r="AL71" s="3"/>
      <c r="AM71" s="3"/>
      <c r="AN71" s="3"/>
      <c r="AO71" s="3"/>
      <c r="AP71" s="3"/>
      <c r="AQ71" s="3"/>
      <c r="AR71" s="3"/>
      <c r="AS71" s="3"/>
      <c r="AT71" s="3"/>
      <c r="AU71" s="3"/>
      <c r="AV71" s="3"/>
      <c r="AW71" s="3"/>
      <c r="AX71" s="3"/>
    </row>
    <row r="72" spans="1:50">
      <c r="A72" s="1"/>
      <c r="B72" s="22"/>
      <c r="C72" s="24">
        <f>COUNTA(I8:I67)</f>
        <v>28</v>
      </c>
      <c r="D72" s="24">
        <f>COUNTA(C8:C67)</f>
        <v>38</v>
      </c>
      <c r="E72" s="24">
        <f>COUNTA(A8:A67)</f>
        <v>59</v>
      </c>
      <c r="F72" s="23"/>
      <c r="G72" s="23"/>
      <c r="H72" s="3"/>
      <c r="I72" s="1"/>
      <c r="J72" s="3"/>
      <c r="K72" s="24"/>
      <c r="L72" s="24"/>
      <c r="M72" s="24"/>
      <c r="N72" s="24"/>
      <c r="O72" s="24"/>
      <c r="P72" s="24"/>
      <c r="Q72" s="24"/>
      <c r="R72" s="24"/>
      <c r="S72" s="24"/>
      <c r="T72" s="24"/>
      <c r="U72" s="24"/>
      <c r="V72" s="24"/>
      <c r="W72" s="24"/>
      <c r="X72" s="24"/>
      <c r="Y72" s="24"/>
      <c r="Z72" s="24"/>
      <c r="AA72" s="3"/>
      <c r="AB72" s="3"/>
      <c r="AC72" s="3"/>
      <c r="AH72" s="3"/>
      <c r="AI72" s="3"/>
      <c r="AJ72" s="3"/>
      <c r="AK72" s="3"/>
      <c r="AL72" s="3"/>
      <c r="AM72" s="3"/>
      <c r="AN72" s="3"/>
      <c r="AO72" s="3"/>
      <c r="AP72" s="3"/>
      <c r="AQ72" s="3"/>
      <c r="AR72" s="3"/>
      <c r="AS72" s="3"/>
      <c r="AT72" s="3"/>
      <c r="AU72" s="3"/>
      <c r="AV72" s="3"/>
      <c r="AW72" s="3"/>
      <c r="AX72" s="3"/>
    </row>
    <row r="73" spans="1:50">
      <c r="A73" s="1"/>
      <c r="B73" s="22"/>
      <c r="C73" s="24"/>
      <c r="D73" s="25"/>
      <c r="E73" s="25"/>
      <c r="F73" s="23"/>
      <c r="G73" s="23"/>
      <c r="H73" s="679" t="s">
        <v>433</v>
      </c>
      <c r="I73" s="679"/>
      <c r="J73" s="679"/>
      <c r="K73" s="679"/>
      <c r="L73" s="679"/>
      <c r="M73" s="679"/>
      <c r="N73" s="679"/>
      <c r="O73" s="24"/>
      <c r="P73" s="680" t="s">
        <v>434</v>
      </c>
      <c r="Q73" s="680"/>
      <c r="R73" s="680"/>
      <c r="S73" s="680"/>
      <c r="T73" s="680"/>
      <c r="U73" s="24"/>
      <c r="V73" s="24"/>
      <c r="W73" s="24"/>
      <c r="X73" s="24"/>
      <c r="Y73" s="24"/>
      <c r="Z73" s="24"/>
      <c r="AA73" s="3"/>
      <c r="AB73" s="3"/>
      <c r="AC73" s="3"/>
      <c r="AD73" s="3"/>
      <c r="AH73" s="3"/>
      <c r="AI73" s="3"/>
      <c r="AJ73" s="3"/>
      <c r="AK73" s="3"/>
      <c r="AL73" s="3"/>
      <c r="AM73" s="3"/>
      <c r="AN73" s="3"/>
      <c r="AO73" s="3"/>
      <c r="AP73" s="3"/>
      <c r="AQ73" s="3"/>
      <c r="AR73" s="3"/>
      <c r="AS73" s="3"/>
      <c r="AT73" s="3"/>
      <c r="AU73" s="3"/>
      <c r="AV73" s="3"/>
      <c r="AW73" s="3"/>
    </row>
    <row r="74" spans="1:50" ht="25.5">
      <c r="A74" s="26"/>
      <c r="B74" s="26"/>
      <c r="C74" s="27" t="s">
        <v>432</v>
      </c>
      <c r="D74" s="28">
        <f>($D$72/$E$72)</f>
        <v>0.64406779661016944</v>
      </c>
      <c r="E74" s="28">
        <f>($D$72/$E$72)*$I$69</f>
        <v>9.1538092609517938E-2</v>
      </c>
      <c r="F74" s="29"/>
      <c r="G74" s="29"/>
      <c r="H74" s="30" t="s">
        <v>81</v>
      </c>
      <c r="I74" s="30" t="s">
        <v>435</v>
      </c>
      <c r="J74" s="30" t="s">
        <v>436</v>
      </c>
      <c r="K74" s="30" t="s">
        <v>437</v>
      </c>
      <c r="L74" s="66" t="s">
        <v>438</v>
      </c>
      <c r="M74" s="66" t="s">
        <v>439</v>
      </c>
      <c r="N74" s="66" t="s">
        <v>440</v>
      </c>
      <c r="O74" s="26"/>
      <c r="P74" s="67" t="s">
        <v>81</v>
      </c>
      <c r="Q74" s="67" t="s">
        <v>435</v>
      </c>
      <c r="R74" s="39" t="s">
        <v>436</v>
      </c>
      <c r="S74" s="39" t="s">
        <v>437</v>
      </c>
      <c r="T74" s="73" t="s">
        <v>441</v>
      </c>
      <c r="U74" s="1"/>
      <c r="V74" s="1"/>
      <c r="W74" s="1"/>
      <c r="X74" s="1"/>
      <c r="Y74" s="1"/>
      <c r="Z74" s="32"/>
      <c r="AA74" s="3"/>
      <c r="AB74" s="3"/>
      <c r="AC74" s="3"/>
    </row>
    <row r="75" spans="1:50">
      <c r="A75" s="1"/>
      <c r="B75" s="1"/>
      <c r="C75" s="3"/>
      <c r="E75" s="3"/>
      <c r="F75" s="3"/>
      <c r="G75" s="3"/>
      <c r="H75" s="65">
        <f t="shared" ref="H75:H106" si="4">B8</f>
        <v>46237</v>
      </c>
      <c r="I75" s="1" t="str">
        <f t="shared" ref="I75:I106" si="5">C8</f>
        <v>GUINNESS</v>
      </c>
      <c r="J75" s="23">
        <f t="shared" ref="J75:J98" si="6">E8</f>
        <v>1.1215277777777777</v>
      </c>
      <c r="K75" s="23">
        <f t="shared" ref="K75:K98" si="7">F8</f>
        <v>1.9791666666666667</v>
      </c>
      <c r="L75" s="68">
        <f>K75-J75</f>
        <v>0.85763888888888906</v>
      </c>
      <c r="M75" s="3">
        <v>1235</v>
      </c>
      <c r="N75" s="485">
        <f t="shared" ref="N75:N93" si="8">M75-(H8+J8+K8+L8+M8+N8+AA8+AB8+Z8+AC8)</f>
        <v>1188</v>
      </c>
      <c r="O75" s="3"/>
      <c r="P75" s="65">
        <f t="shared" ref="P75:P106" si="9">B8</f>
        <v>46237</v>
      </c>
      <c r="Q75" s="74" t="str">
        <f t="shared" ref="Q75:Q106" si="10">C8</f>
        <v>GUINNESS</v>
      </c>
      <c r="R75" s="76">
        <v>1.0416666666666667</v>
      </c>
      <c r="S75" s="23">
        <f>F8</f>
        <v>1.9791666666666667</v>
      </c>
      <c r="T75" s="75">
        <f>S75-R75</f>
        <v>0.9375</v>
      </c>
      <c r="U75" s="3"/>
      <c r="V75" s="3"/>
      <c r="W75" s="3"/>
      <c r="X75" s="3"/>
      <c r="Y75" s="3"/>
      <c r="Z75" s="3"/>
      <c r="AA75" s="3"/>
      <c r="AB75" s="3"/>
      <c r="AC75" s="3"/>
    </row>
    <row r="76" spans="1:50">
      <c r="A76" s="1"/>
      <c r="B76" s="1"/>
      <c r="C76" s="3"/>
      <c r="E76" s="3"/>
      <c r="F76" s="3"/>
      <c r="G76" s="3"/>
      <c r="H76" s="65">
        <f t="shared" si="4"/>
        <v>46238</v>
      </c>
      <c r="I76" s="1" t="str">
        <f t="shared" si="5"/>
        <v>CARIB AMBER</v>
      </c>
      <c r="J76" s="23">
        <f t="shared" si="6"/>
        <v>1.0625</v>
      </c>
      <c r="K76" s="23">
        <f t="shared" si="7"/>
        <v>2</v>
      </c>
      <c r="L76" s="68">
        <f>K76-J76</f>
        <v>0.9375</v>
      </c>
      <c r="M76" s="3">
        <v>1350</v>
      </c>
      <c r="N76" s="485">
        <f t="shared" si="8"/>
        <v>1228</v>
      </c>
      <c r="O76" s="3"/>
      <c r="P76" s="65">
        <f t="shared" si="9"/>
        <v>46238</v>
      </c>
      <c r="Q76" s="74" t="str">
        <f t="shared" si="10"/>
        <v>CARIB AMBER</v>
      </c>
      <c r="R76" s="76">
        <v>1</v>
      </c>
      <c r="S76" s="23">
        <f>F9</f>
        <v>2</v>
      </c>
      <c r="T76" s="75">
        <f>S76-R76</f>
        <v>1</v>
      </c>
      <c r="U76" s="3"/>
      <c r="V76" s="3"/>
      <c r="W76" s="3"/>
      <c r="X76" s="3"/>
      <c r="Y76" s="3"/>
      <c r="Z76" s="3"/>
      <c r="AA76" s="3"/>
      <c r="AB76" s="3"/>
      <c r="AC76" s="3"/>
    </row>
    <row r="77" spans="1:50">
      <c r="H77" s="65">
        <f t="shared" si="4"/>
        <v>46239</v>
      </c>
      <c r="I77" s="1" t="str">
        <f t="shared" si="5"/>
        <v>CARIB AMBER</v>
      </c>
      <c r="J77" s="23">
        <f t="shared" si="6"/>
        <v>1.0069444444444444</v>
      </c>
      <c r="K77" s="23">
        <f t="shared" si="7"/>
        <v>1.2465277777777777</v>
      </c>
      <c r="L77" s="68">
        <f t="shared" ref="L77:L122" si="11">K77-J77</f>
        <v>0.23958333333333326</v>
      </c>
      <c r="M77" s="3">
        <v>345</v>
      </c>
      <c r="N77" s="485">
        <f t="shared" si="8"/>
        <v>314</v>
      </c>
      <c r="P77" s="65">
        <f t="shared" si="9"/>
        <v>46239</v>
      </c>
      <c r="Q77" s="74" t="str">
        <f t="shared" si="10"/>
        <v>CARIB AMBER</v>
      </c>
      <c r="R77" s="76">
        <v>1</v>
      </c>
      <c r="S77" s="23">
        <f>F10</f>
        <v>1.2465277777777777</v>
      </c>
      <c r="T77" s="75"/>
    </row>
    <row r="78" spans="1:50">
      <c r="H78" s="65">
        <f t="shared" si="4"/>
        <v>46239</v>
      </c>
      <c r="I78" s="1" t="str">
        <f t="shared" si="5"/>
        <v>STAG</v>
      </c>
      <c r="J78" s="23">
        <f t="shared" si="6"/>
        <v>0.2673611111111111</v>
      </c>
      <c r="K78" s="23">
        <f t="shared" si="7"/>
        <v>0.92291666666666672</v>
      </c>
      <c r="L78" s="68">
        <f t="shared" si="11"/>
        <v>0.65555555555555567</v>
      </c>
      <c r="M78" s="3">
        <v>944</v>
      </c>
      <c r="N78" s="485">
        <f t="shared" si="8"/>
        <v>614</v>
      </c>
      <c r="P78" s="65">
        <f t="shared" si="9"/>
        <v>46239</v>
      </c>
      <c r="Q78" s="74" t="str">
        <f t="shared" si="10"/>
        <v>STAG</v>
      </c>
      <c r="R78" s="23">
        <f>E11</f>
        <v>0.2673611111111111</v>
      </c>
      <c r="S78" s="23">
        <f>F11</f>
        <v>0.92291666666666672</v>
      </c>
      <c r="T78" s="668">
        <f>S79-R77</f>
        <v>1</v>
      </c>
    </row>
    <row r="79" spans="1:50">
      <c r="H79" s="65">
        <f t="shared" si="4"/>
        <v>46239</v>
      </c>
      <c r="I79" s="1" t="str">
        <f t="shared" si="5"/>
        <v xml:space="preserve">CARIB AMBER </v>
      </c>
      <c r="J79" s="23">
        <f t="shared" si="6"/>
        <v>1.9375</v>
      </c>
      <c r="K79" s="23">
        <f t="shared" si="7"/>
        <v>2</v>
      </c>
      <c r="L79" s="68">
        <f t="shared" si="11"/>
        <v>6.25E-2</v>
      </c>
      <c r="M79" s="3">
        <v>90</v>
      </c>
      <c r="N79" s="485">
        <f t="shared" si="8"/>
        <v>90</v>
      </c>
      <c r="P79" s="65">
        <f t="shared" si="9"/>
        <v>46239</v>
      </c>
      <c r="Q79" s="74" t="str">
        <f t="shared" si="10"/>
        <v xml:space="preserve">CARIB AMBER </v>
      </c>
      <c r="R79" s="23">
        <f>E12</f>
        <v>1.9375</v>
      </c>
      <c r="S79" s="23">
        <f>F12</f>
        <v>2</v>
      </c>
      <c r="T79" s="668"/>
    </row>
    <row r="80" spans="1:50">
      <c r="H80" s="65">
        <f t="shared" si="4"/>
        <v>46240</v>
      </c>
      <c r="I80" s="1" t="str">
        <f t="shared" si="5"/>
        <v xml:space="preserve">CARIB AMBER </v>
      </c>
      <c r="J80" s="23">
        <f t="shared" si="6"/>
        <v>1.0069444444444444</v>
      </c>
      <c r="K80" s="23">
        <f t="shared" si="7"/>
        <v>1.9458333333333333</v>
      </c>
      <c r="L80" s="68">
        <f t="shared" si="11"/>
        <v>0.93888888888888888</v>
      </c>
      <c r="M80" s="3">
        <v>1352</v>
      </c>
      <c r="N80" s="485">
        <f t="shared" si="8"/>
        <v>1262</v>
      </c>
      <c r="P80" s="65">
        <f t="shared" si="9"/>
        <v>46240</v>
      </c>
      <c r="Q80" s="74" t="str">
        <f t="shared" si="10"/>
        <v xml:space="preserve">CARIB AMBER </v>
      </c>
      <c r="R80" s="76">
        <v>1</v>
      </c>
      <c r="S80" s="76">
        <v>2</v>
      </c>
      <c r="T80" s="75">
        <f>S80-R80</f>
        <v>1</v>
      </c>
      <c r="W80" s="152"/>
    </row>
    <row r="81" spans="2:20">
      <c r="H81" s="65">
        <f t="shared" si="4"/>
        <v>46241</v>
      </c>
      <c r="I81" s="1" t="str">
        <f t="shared" si="5"/>
        <v xml:space="preserve">STAR MALT </v>
      </c>
      <c r="J81" s="23">
        <f t="shared" si="6"/>
        <v>1.0555555555555556</v>
      </c>
      <c r="K81" s="23">
        <f t="shared" si="7"/>
        <v>1.6666666666666667</v>
      </c>
      <c r="L81" s="68">
        <f t="shared" si="11"/>
        <v>0.61111111111111116</v>
      </c>
      <c r="M81" s="3">
        <v>880</v>
      </c>
      <c r="N81" s="485">
        <f t="shared" si="8"/>
        <v>828</v>
      </c>
      <c r="P81" s="65">
        <f t="shared" si="9"/>
        <v>46241</v>
      </c>
      <c r="Q81" s="74" t="str">
        <f t="shared" si="10"/>
        <v xml:space="preserve">STAR MALT </v>
      </c>
      <c r="R81" s="76">
        <v>1</v>
      </c>
      <c r="S81" s="23">
        <f>F14</f>
        <v>1.6666666666666667</v>
      </c>
      <c r="T81" s="668">
        <f>S82-R81</f>
        <v>0.875</v>
      </c>
    </row>
    <row r="82" spans="2:20">
      <c r="H82" s="65">
        <f t="shared" si="4"/>
        <v>46241</v>
      </c>
      <c r="I82" s="1" t="str">
        <f t="shared" si="5"/>
        <v>CARIB FLINT LOCAL</v>
      </c>
      <c r="J82" s="23">
        <f t="shared" si="6"/>
        <v>1.7604166666666667</v>
      </c>
      <c r="K82" s="23">
        <f t="shared" si="7"/>
        <v>1.8090277777777777</v>
      </c>
      <c r="L82" s="68">
        <f t="shared" si="11"/>
        <v>4.8611111111110938E-2</v>
      </c>
      <c r="M82" s="3">
        <v>70</v>
      </c>
      <c r="N82" s="485">
        <f t="shared" si="8"/>
        <v>64</v>
      </c>
      <c r="P82" s="65">
        <f t="shared" si="9"/>
        <v>46241</v>
      </c>
      <c r="Q82" s="74" t="str">
        <f t="shared" si="10"/>
        <v>CARIB FLINT LOCAL</v>
      </c>
      <c r="R82" s="23">
        <f>E15</f>
        <v>1.7604166666666667</v>
      </c>
      <c r="S82" s="76">
        <v>1.875</v>
      </c>
      <c r="T82" s="668"/>
    </row>
    <row r="83" spans="2:20">
      <c r="H83" s="65">
        <f t="shared" si="4"/>
        <v>46246</v>
      </c>
      <c r="I83" s="1" t="str">
        <f t="shared" si="5"/>
        <v>CARIB FLINT EXPORT</v>
      </c>
      <c r="J83" s="23">
        <f t="shared" si="6"/>
        <v>0.40277777777777779</v>
      </c>
      <c r="K83" s="23">
        <f t="shared" si="7"/>
        <v>1.0069444444444444</v>
      </c>
      <c r="L83" s="68">
        <f t="shared" si="11"/>
        <v>0.60416666666666663</v>
      </c>
      <c r="M83" s="3">
        <v>870</v>
      </c>
      <c r="N83" s="485">
        <f t="shared" si="8"/>
        <v>628</v>
      </c>
      <c r="P83" s="65">
        <f t="shared" si="9"/>
        <v>46246</v>
      </c>
      <c r="Q83" s="74" t="str">
        <f t="shared" si="10"/>
        <v>CARIB FLINT EXPORT</v>
      </c>
      <c r="R83" s="76">
        <v>0.29166666666666669</v>
      </c>
      <c r="S83" s="23">
        <f>F16</f>
        <v>1.0069444444444444</v>
      </c>
      <c r="T83" s="75">
        <f>S83-R83</f>
        <v>0.71527777777777768</v>
      </c>
    </row>
    <row r="84" spans="2:20">
      <c r="H84" s="65">
        <f t="shared" si="4"/>
        <v>46247</v>
      </c>
      <c r="I84" s="1" t="str">
        <f t="shared" si="5"/>
        <v>CARIB FLINT LOCAL</v>
      </c>
      <c r="J84" s="23">
        <f t="shared" si="6"/>
        <v>1.0118055555555556</v>
      </c>
      <c r="K84" s="23">
        <f t="shared" si="7"/>
        <v>1.08125</v>
      </c>
      <c r="L84" s="68">
        <f t="shared" si="11"/>
        <v>6.944444444444442E-2</v>
      </c>
      <c r="M84" s="3">
        <v>100</v>
      </c>
      <c r="N84" s="485">
        <f t="shared" si="8"/>
        <v>88</v>
      </c>
      <c r="P84" s="65">
        <f t="shared" si="9"/>
        <v>46247</v>
      </c>
      <c r="Q84" s="74" t="str">
        <f t="shared" si="10"/>
        <v>CARIB FLINT LOCAL</v>
      </c>
      <c r="R84" s="76">
        <v>1.0069444444444444</v>
      </c>
      <c r="S84" s="23">
        <f>F17</f>
        <v>1.08125</v>
      </c>
      <c r="T84" s="668">
        <f>S86-R84</f>
        <v>0.99305555555555558</v>
      </c>
    </row>
    <row r="85" spans="2:20">
      <c r="B85" s="150"/>
      <c r="C85" s="5"/>
      <c r="D85" s="150"/>
      <c r="E85" s="5"/>
      <c r="F85" s="5"/>
      <c r="H85" s="65">
        <f t="shared" si="4"/>
        <v>46247</v>
      </c>
      <c r="I85" s="1" t="str">
        <f t="shared" si="5"/>
        <v>CARIB AMBER</v>
      </c>
      <c r="J85" s="23">
        <f t="shared" si="6"/>
        <v>1.1736111111111112</v>
      </c>
      <c r="K85" s="23">
        <f t="shared" si="7"/>
        <v>1.625</v>
      </c>
      <c r="L85" s="68">
        <f t="shared" si="11"/>
        <v>0.45138888888888884</v>
      </c>
      <c r="M85" s="3">
        <v>714</v>
      </c>
      <c r="N85" s="485">
        <f t="shared" si="8"/>
        <v>702</v>
      </c>
      <c r="P85" s="65">
        <f t="shared" si="9"/>
        <v>46247</v>
      </c>
      <c r="Q85" s="74" t="str">
        <f t="shared" si="10"/>
        <v>CARIB AMBER</v>
      </c>
      <c r="R85" s="23">
        <f>E18</f>
        <v>1.1736111111111112</v>
      </c>
      <c r="S85" s="23">
        <f>F18</f>
        <v>1.625</v>
      </c>
      <c r="T85" s="668"/>
    </row>
    <row r="86" spans="2:20">
      <c r="H86" s="65">
        <f t="shared" si="4"/>
        <v>46247</v>
      </c>
      <c r="I86" s="1" t="str">
        <f t="shared" si="5"/>
        <v>STAG</v>
      </c>
      <c r="J86" s="23">
        <f t="shared" si="6"/>
        <v>1.6583333333333334</v>
      </c>
      <c r="K86" s="23">
        <f t="shared" si="7"/>
        <v>2</v>
      </c>
      <c r="L86" s="68">
        <f t="shared" si="11"/>
        <v>0.34166666666666656</v>
      </c>
      <c r="M86" s="3">
        <v>492</v>
      </c>
      <c r="N86" s="485">
        <f t="shared" si="8"/>
        <v>439</v>
      </c>
      <c r="P86" s="65">
        <f t="shared" si="9"/>
        <v>46247</v>
      </c>
      <c r="Q86" s="74" t="str">
        <f t="shared" si="10"/>
        <v>STAG</v>
      </c>
      <c r="R86" s="23">
        <f>E19</f>
        <v>1.6583333333333334</v>
      </c>
      <c r="S86" s="23">
        <f>F19</f>
        <v>2</v>
      </c>
      <c r="T86" s="668"/>
    </row>
    <row r="87" spans="2:20">
      <c r="H87" s="65">
        <f t="shared" si="4"/>
        <v>46248</v>
      </c>
      <c r="I87" s="1" t="str">
        <f t="shared" si="5"/>
        <v>STAG</v>
      </c>
      <c r="J87" s="23">
        <f t="shared" si="6"/>
        <v>1.0118055555555556</v>
      </c>
      <c r="K87" s="23">
        <f t="shared" si="7"/>
        <v>1.7361111111111112</v>
      </c>
      <c r="L87" s="68">
        <f t="shared" si="11"/>
        <v>0.72430555555555554</v>
      </c>
      <c r="M87" s="29">
        <v>1043</v>
      </c>
      <c r="N87" s="485">
        <f>M87-(H20+J20+K20+L20+M20+N20+AA20+AB20+Z20+AC20)</f>
        <v>887</v>
      </c>
      <c r="P87" s="65">
        <f t="shared" si="9"/>
        <v>46248</v>
      </c>
      <c r="Q87" s="74" t="str">
        <f t="shared" si="10"/>
        <v>STAG</v>
      </c>
      <c r="R87" s="76">
        <v>1</v>
      </c>
      <c r="S87" s="23">
        <f>F20</f>
        <v>1.7361111111111112</v>
      </c>
      <c r="T87" s="668">
        <f>S88-R87</f>
        <v>0.875</v>
      </c>
    </row>
    <row r="88" spans="2:20">
      <c r="H88" s="65">
        <f t="shared" si="4"/>
        <v>46248</v>
      </c>
      <c r="I88" s="1" t="str">
        <f t="shared" si="5"/>
        <v>CARIB AMBER</v>
      </c>
      <c r="J88" s="23">
        <f t="shared" si="6"/>
        <v>1.75</v>
      </c>
      <c r="K88" s="23">
        <f t="shared" si="7"/>
        <v>1.8180555555555555</v>
      </c>
      <c r="L88" s="68">
        <f t="shared" si="11"/>
        <v>6.8055555555555536E-2</v>
      </c>
      <c r="M88" s="3">
        <v>98</v>
      </c>
      <c r="N88" s="485">
        <f t="shared" si="8"/>
        <v>98</v>
      </c>
      <c r="P88" s="65">
        <f t="shared" si="9"/>
        <v>46248</v>
      </c>
      <c r="Q88" s="74" t="str">
        <f t="shared" si="10"/>
        <v>CARIB AMBER</v>
      </c>
      <c r="R88" s="23">
        <f t="shared" ref="R88:R117" si="12">E21</f>
        <v>1.75</v>
      </c>
      <c r="S88" s="76">
        <v>1.875</v>
      </c>
      <c r="T88" s="668"/>
    </row>
    <row r="89" spans="2:20">
      <c r="H89" s="65">
        <f t="shared" si="4"/>
        <v>46251</v>
      </c>
      <c r="I89" s="1" t="str">
        <f t="shared" si="5"/>
        <v>CARIB EXPORT</v>
      </c>
      <c r="J89" s="23">
        <f t="shared" si="6"/>
        <v>1.1041666666666667</v>
      </c>
      <c r="K89" s="23">
        <f t="shared" si="7"/>
        <v>1.9347222222222222</v>
      </c>
      <c r="L89" s="68">
        <f t="shared" si="11"/>
        <v>0.83055555555555549</v>
      </c>
      <c r="M89" s="3">
        <v>1196</v>
      </c>
      <c r="N89" s="485">
        <f>M89-(J22+K22+L22+M22+N22+AA22+AB22+Z22+AC22+I22-17)</f>
        <v>1093</v>
      </c>
      <c r="P89" s="65">
        <f t="shared" si="9"/>
        <v>46251</v>
      </c>
      <c r="Q89" s="74" t="str">
        <f t="shared" si="10"/>
        <v>CARIB EXPORT</v>
      </c>
      <c r="R89" s="76">
        <v>1.0416666666666667</v>
      </c>
      <c r="S89" s="23">
        <f t="shared" ref="S89:S117" si="13">F22</f>
        <v>1.9347222222222222</v>
      </c>
      <c r="T89" s="668">
        <f>S90-R89</f>
        <v>0.95833333333333326</v>
      </c>
    </row>
    <row r="90" spans="2:20">
      <c r="H90" s="65">
        <f t="shared" si="4"/>
        <v>46251</v>
      </c>
      <c r="I90" s="1" t="str">
        <f t="shared" si="5"/>
        <v>CARIB FLINT LOCAL</v>
      </c>
      <c r="J90" s="23">
        <f t="shared" si="6"/>
        <v>1.9444444444444444</v>
      </c>
      <c r="K90" s="23">
        <f t="shared" si="7"/>
        <v>2</v>
      </c>
      <c r="L90" s="68">
        <f t="shared" si="11"/>
        <v>5.555555555555558E-2</v>
      </c>
      <c r="M90" s="3">
        <v>80</v>
      </c>
      <c r="N90" s="485">
        <f>M90-(H23+J23+K23+L23+M23+N23+AA23+AB23+Z23+AC23)</f>
        <v>80</v>
      </c>
      <c r="P90" s="65">
        <f t="shared" si="9"/>
        <v>46251</v>
      </c>
      <c r="Q90" s="74" t="str">
        <f t="shared" si="10"/>
        <v>CARIB FLINT LOCAL</v>
      </c>
      <c r="R90" s="23">
        <f t="shared" si="12"/>
        <v>1.9444444444444444</v>
      </c>
      <c r="S90" s="23">
        <f t="shared" si="13"/>
        <v>2</v>
      </c>
      <c r="T90" s="668"/>
    </row>
    <row r="91" spans="2:20">
      <c r="H91" s="65">
        <f t="shared" si="4"/>
        <v>46252</v>
      </c>
      <c r="I91" s="1" t="str">
        <f t="shared" si="5"/>
        <v>CARIB FLINT LOCAL</v>
      </c>
      <c r="J91" s="23">
        <f t="shared" si="6"/>
        <v>1.0520833333333333</v>
      </c>
      <c r="K91" s="23">
        <f t="shared" si="7"/>
        <v>1.1944444444444444</v>
      </c>
      <c r="L91" s="68">
        <f t="shared" si="11"/>
        <v>0.14236111111111116</v>
      </c>
      <c r="M91" s="3">
        <v>205</v>
      </c>
      <c r="N91" s="485">
        <f t="shared" si="8"/>
        <v>195</v>
      </c>
      <c r="P91" s="65">
        <f t="shared" si="9"/>
        <v>46252</v>
      </c>
      <c r="Q91" s="74" t="str">
        <f t="shared" si="10"/>
        <v>CARIB FLINT LOCAL</v>
      </c>
      <c r="R91" s="76">
        <v>1</v>
      </c>
      <c r="S91" s="23">
        <f t="shared" si="13"/>
        <v>1.1944444444444444</v>
      </c>
      <c r="T91" s="668">
        <f>S92-R91</f>
        <v>1</v>
      </c>
    </row>
    <row r="92" spans="2:20">
      <c r="H92" s="65">
        <f t="shared" si="4"/>
        <v>46252</v>
      </c>
      <c r="I92" s="1" t="str">
        <f t="shared" si="5"/>
        <v>CARIB AMBER</v>
      </c>
      <c r="J92" s="23">
        <f t="shared" si="6"/>
        <v>1.1965277777777779</v>
      </c>
      <c r="K92" s="23">
        <f t="shared" si="7"/>
        <v>2</v>
      </c>
      <c r="L92" s="68">
        <f t="shared" si="11"/>
        <v>0.80347222222222214</v>
      </c>
      <c r="M92" s="3">
        <v>1157</v>
      </c>
      <c r="N92" s="485">
        <f t="shared" si="8"/>
        <v>1130</v>
      </c>
      <c r="P92" s="65">
        <f t="shared" si="9"/>
        <v>46252</v>
      </c>
      <c r="Q92" s="74" t="str">
        <f t="shared" si="10"/>
        <v>CARIB AMBER</v>
      </c>
      <c r="R92" s="23">
        <f t="shared" si="12"/>
        <v>1.1965277777777779</v>
      </c>
      <c r="S92" s="23">
        <f t="shared" si="13"/>
        <v>2</v>
      </c>
      <c r="T92" s="668"/>
    </row>
    <row r="93" spans="2:20">
      <c r="H93" s="65">
        <f t="shared" si="4"/>
        <v>46253</v>
      </c>
      <c r="I93" s="1" t="str">
        <f t="shared" si="5"/>
        <v>CARIB AMBER</v>
      </c>
      <c r="J93" s="23">
        <f t="shared" si="6"/>
        <v>1.0527777777777778</v>
      </c>
      <c r="K93" s="23">
        <f t="shared" si="7"/>
        <v>1.6305555555555555</v>
      </c>
      <c r="L93" s="68">
        <f t="shared" si="11"/>
        <v>0.57777777777777772</v>
      </c>
      <c r="M93" s="3">
        <v>832</v>
      </c>
      <c r="N93" s="485">
        <f t="shared" si="8"/>
        <v>744</v>
      </c>
      <c r="P93" s="65">
        <f t="shared" si="9"/>
        <v>46253</v>
      </c>
      <c r="Q93" s="74" t="str">
        <f t="shared" si="10"/>
        <v>CARIB AMBER</v>
      </c>
      <c r="R93" s="76">
        <v>1</v>
      </c>
      <c r="S93" s="23">
        <f t="shared" si="13"/>
        <v>1.6305555555555555</v>
      </c>
      <c r="T93" s="668">
        <f>S94-R93</f>
        <v>1</v>
      </c>
    </row>
    <row r="94" spans="2:20">
      <c r="H94" s="65">
        <f t="shared" si="4"/>
        <v>46253</v>
      </c>
      <c r="I94" s="1" t="str">
        <f t="shared" si="5"/>
        <v>TING ORIGINAL</v>
      </c>
      <c r="J94" s="23">
        <f t="shared" si="6"/>
        <v>1.8020833333333333</v>
      </c>
      <c r="K94" s="23">
        <f t="shared" si="7"/>
        <v>2</v>
      </c>
      <c r="L94" s="68">
        <f t="shared" si="11"/>
        <v>0.19791666666666674</v>
      </c>
      <c r="M94" s="3">
        <v>285</v>
      </c>
      <c r="N94" s="485">
        <f>M94-(H27+J27+K27+L27+M27+N27+AA27+AB27+30+AC27)</f>
        <v>255</v>
      </c>
      <c r="P94" s="65">
        <f t="shared" si="9"/>
        <v>46253</v>
      </c>
      <c r="Q94" s="74" t="str">
        <f t="shared" si="10"/>
        <v>TING ORIGINAL</v>
      </c>
      <c r="R94" s="23">
        <f t="shared" si="12"/>
        <v>1.8020833333333333</v>
      </c>
      <c r="S94" s="23">
        <f t="shared" si="13"/>
        <v>2</v>
      </c>
      <c r="T94" s="668"/>
    </row>
    <row r="95" spans="2:20">
      <c r="H95" s="65">
        <f t="shared" si="4"/>
        <v>46254</v>
      </c>
      <c r="I95" s="1" t="str">
        <f t="shared" si="5"/>
        <v>TING ORIGINAL</v>
      </c>
      <c r="J95" s="23">
        <f t="shared" si="6"/>
        <v>1.0034722222222223</v>
      </c>
      <c r="K95" s="23">
        <f t="shared" si="7"/>
        <v>1.1506944444444445</v>
      </c>
      <c r="L95" s="68">
        <f t="shared" si="11"/>
        <v>0.14722222222222214</v>
      </c>
      <c r="M95" s="3">
        <v>212</v>
      </c>
      <c r="N95" s="485">
        <f>M95-(H28+K28+L28+M28+N28+AA28+AB28+Z28+AC28)</f>
        <v>210</v>
      </c>
      <c r="P95" s="65">
        <f t="shared" si="9"/>
        <v>46254</v>
      </c>
      <c r="Q95" s="74" t="str">
        <f t="shared" si="10"/>
        <v>TING ORIGINAL</v>
      </c>
      <c r="R95" s="76">
        <v>1</v>
      </c>
      <c r="S95" s="23">
        <f t="shared" si="13"/>
        <v>1.1506944444444445</v>
      </c>
      <c r="T95" s="668">
        <f>S96-R95</f>
        <v>0.86111111111111116</v>
      </c>
    </row>
    <row r="96" spans="2:20">
      <c r="H96" s="65">
        <f t="shared" si="4"/>
        <v>46254</v>
      </c>
      <c r="I96" s="1" t="str">
        <f t="shared" si="5"/>
        <v>STAG</v>
      </c>
      <c r="J96" s="23">
        <f t="shared" si="6"/>
        <v>1.2645833333333334</v>
      </c>
      <c r="K96" s="23">
        <f t="shared" si="7"/>
        <v>1.8611111111111112</v>
      </c>
      <c r="L96" s="68">
        <f t="shared" si="11"/>
        <v>0.59652777777777777</v>
      </c>
      <c r="M96" s="3">
        <v>859</v>
      </c>
      <c r="N96" s="485">
        <f>M96-(H29+J29+K29+L29+M29+N29+AA29+AB29+Z29+AC29)</f>
        <v>820</v>
      </c>
      <c r="P96" s="65">
        <f t="shared" si="9"/>
        <v>46254</v>
      </c>
      <c r="Q96" s="74" t="str">
        <f t="shared" si="10"/>
        <v>STAG</v>
      </c>
      <c r="R96" s="23">
        <f t="shared" si="12"/>
        <v>1.2645833333333334</v>
      </c>
      <c r="S96" s="23">
        <f t="shared" si="13"/>
        <v>1.8611111111111112</v>
      </c>
      <c r="T96" s="668"/>
    </row>
    <row r="97" spans="8:20">
      <c r="H97" s="65">
        <f t="shared" si="4"/>
        <v>46255</v>
      </c>
      <c r="I97" s="1" t="str">
        <f t="shared" si="5"/>
        <v>NO BOTTLING</v>
      </c>
      <c r="J97" s="23">
        <f t="shared" si="6"/>
        <v>0</v>
      </c>
      <c r="K97" s="23">
        <f t="shared" si="7"/>
        <v>0</v>
      </c>
      <c r="L97" s="68">
        <f t="shared" si="11"/>
        <v>0</v>
      </c>
      <c r="M97" s="3"/>
      <c r="N97" s="485">
        <f>M97-(H30+J30+K30+L30+M30+N30+AA30+AB30+Z30+AC30)</f>
        <v>0</v>
      </c>
      <c r="P97" s="65">
        <f t="shared" si="9"/>
        <v>46255</v>
      </c>
      <c r="Q97" s="74" t="str">
        <f t="shared" si="10"/>
        <v>NO BOTTLING</v>
      </c>
      <c r="R97" s="23">
        <f t="shared" si="12"/>
        <v>0</v>
      </c>
      <c r="S97" s="23">
        <f t="shared" si="13"/>
        <v>0</v>
      </c>
      <c r="T97" s="135"/>
    </row>
    <row r="98" spans="8:20">
      <c r="H98" s="65">
        <f t="shared" si="4"/>
        <v>46258</v>
      </c>
      <c r="I98" s="1" t="str">
        <f t="shared" si="5"/>
        <v xml:space="preserve">CARIB AMBER </v>
      </c>
      <c r="J98" s="23">
        <f t="shared" si="6"/>
        <v>1.1423611111111112</v>
      </c>
      <c r="K98" s="23">
        <f t="shared" si="7"/>
        <v>1.8347222222222221</v>
      </c>
      <c r="L98" s="68">
        <f t="shared" si="11"/>
        <v>0.69236111111111098</v>
      </c>
      <c r="M98" s="3">
        <v>997</v>
      </c>
      <c r="N98" s="485">
        <f>M98-(H31+J31+K31+L31+M31+N31+AA31+AB31+Z31+AC31)</f>
        <v>869</v>
      </c>
      <c r="P98" s="65">
        <f t="shared" si="9"/>
        <v>46258</v>
      </c>
      <c r="Q98" s="74" t="str">
        <f t="shared" si="10"/>
        <v xml:space="preserve">CARIB AMBER </v>
      </c>
      <c r="R98" s="76">
        <v>1.0416666666666667</v>
      </c>
      <c r="S98" s="23">
        <f t="shared" si="13"/>
        <v>1.8347222222222221</v>
      </c>
      <c r="T98" s="668">
        <f>S99-R98</f>
        <v>0.95833333333333326</v>
      </c>
    </row>
    <row r="99" spans="8:20">
      <c r="H99" s="65">
        <f t="shared" si="4"/>
        <v>46258</v>
      </c>
      <c r="I99" s="1" t="str">
        <f t="shared" si="5"/>
        <v xml:space="preserve">STAR MALT </v>
      </c>
      <c r="J99" s="23">
        <f t="shared" ref="J99" si="14">E32</f>
        <v>1.9236111111111112</v>
      </c>
      <c r="K99" s="23">
        <f t="shared" ref="K99" si="15">F32</f>
        <v>2</v>
      </c>
      <c r="L99" s="68">
        <f t="shared" si="11"/>
        <v>7.638888888888884E-2</v>
      </c>
      <c r="M99" s="3">
        <v>110</v>
      </c>
      <c r="N99" s="485">
        <f>M99-(H32+J32+K32+L32+M32+N32+AA32+AB32+Z32+AC32)</f>
        <v>110</v>
      </c>
      <c r="P99" s="65">
        <f t="shared" si="9"/>
        <v>46258</v>
      </c>
      <c r="Q99" s="74" t="str">
        <f t="shared" si="10"/>
        <v xml:space="preserve">STAR MALT </v>
      </c>
      <c r="R99" s="23">
        <f t="shared" si="12"/>
        <v>1.9236111111111112</v>
      </c>
      <c r="S99" s="23">
        <f t="shared" si="13"/>
        <v>2</v>
      </c>
      <c r="T99" s="668"/>
    </row>
    <row r="100" spans="8:20">
      <c r="H100" s="65">
        <f t="shared" si="4"/>
        <v>46259</v>
      </c>
      <c r="I100" s="1" t="str">
        <f t="shared" si="5"/>
        <v xml:space="preserve">STAR MALT </v>
      </c>
      <c r="J100" s="23">
        <f t="shared" ref="J100:J109" si="16">E33</f>
        <v>1.0173611111111112</v>
      </c>
      <c r="K100" s="23">
        <f t="shared" ref="K100:K109" si="17">F33</f>
        <v>1.7916666666666667</v>
      </c>
      <c r="L100" s="68">
        <f t="shared" si="11"/>
        <v>0.77430555555555558</v>
      </c>
      <c r="M100" s="3">
        <v>1115</v>
      </c>
      <c r="N100" s="485">
        <f>M100-(H33+J33+K33+L33+M33+N33+AA33+AB33+AC33)</f>
        <v>1075</v>
      </c>
      <c r="P100" s="65">
        <f t="shared" si="9"/>
        <v>46259</v>
      </c>
      <c r="Q100" s="74" t="str">
        <f t="shared" si="10"/>
        <v xml:space="preserve">STAR MALT </v>
      </c>
      <c r="R100" s="76">
        <v>1</v>
      </c>
      <c r="S100" s="23">
        <f t="shared" si="13"/>
        <v>1.7916666666666667</v>
      </c>
      <c r="T100" s="668">
        <f>S101-R100</f>
        <v>1</v>
      </c>
    </row>
    <row r="101" spans="8:20">
      <c r="H101" s="65">
        <f t="shared" si="4"/>
        <v>46259</v>
      </c>
      <c r="I101" s="1" t="str">
        <f t="shared" si="5"/>
        <v>GUINNESS</v>
      </c>
      <c r="J101" s="23">
        <f t="shared" si="16"/>
        <v>1.9583333333333333</v>
      </c>
      <c r="K101" s="23">
        <f t="shared" si="17"/>
        <v>2</v>
      </c>
      <c r="L101" s="68">
        <f>K101-J101</f>
        <v>4.1666666666666741E-2</v>
      </c>
      <c r="M101" s="3">
        <v>60</v>
      </c>
      <c r="N101" s="485">
        <f>M101-(H34+K34+L34+M34+N34+AA34+AB34+Z34+AC34)</f>
        <v>48</v>
      </c>
      <c r="P101" s="65">
        <f t="shared" si="9"/>
        <v>46259</v>
      </c>
      <c r="Q101" s="74" t="str">
        <f t="shared" si="10"/>
        <v>GUINNESS</v>
      </c>
      <c r="R101" s="23">
        <f t="shared" si="12"/>
        <v>1.9583333333333333</v>
      </c>
      <c r="S101" s="23">
        <f t="shared" si="13"/>
        <v>2</v>
      </c>
      <c r="T101" s="668"/>
    </row>
    <row r="102" spans="8:20">
      <c r="H102" s="65">
        <f t="shared" si="4"/>
        <v>46260</v>
      </c>
      <c r="I102" s="1" t="str">
        <f t="shared" si="5"/>
        <v>GUINNESS</v>
      </c>
      <c r="J102" s="23">
        <f t="shared" si="16"/>
        <v>1.0069444444444444</v>
      </c>
      <c r="K102" s="23">
        <f t="shared" si="17"/>
        <v>1.8020833333333333</v>
      </c>
      <c r="L102" s="68">
        <f t="shared" si="11"/>
        <v>0.79513888888888884</v>
      </c>
      <c r="M102" s="3">
        <v>1145</v>
      </c>
      <c r="N102" s="485">
        <f>M102-(H35+J35+K35+L35+M35+N35+AA35+AB35+25+AC35)</f>
        <v>951</v>
      </c>
      <c r="P102" s="65">
        <f t="shared" si="9"/>
        <v>46260</v>
      </c>
      <c r="Q102" s="74" t="str">
        <f t="shared" si="10"/>
        <v>GUINNESS</v>
      </c>
      <c r="R102" s="76">
        <v>1</v>
      </c>
      <c r="S102" s="23">
        <f t="shared" si="13"/>
        <v>1.8020833333333333</v>
      </c>
      <c r="T102" s="668">
        <f>S103-R102</f>
        <v>1</v>
      </c>
    </row>
    <row r="103" spans="8:20">
      <c r="H103" s="65">
        <f t="shared" si="4"/>
        <v>46260</v>
      </c>
      <c r="I103" s="1" t="str">
        <f t="shared" si="5"/>
        <v>CARIB AMBER</v>
      </c>
      <c r="J103" s="23">
        <f t="shared" si="16"/>
        <v>1.8680555555555556</v>
      </c>
      <c r="K103" s="23">
        <f t="shared" si="17"/>
        <v>2</v>
      </c>
      <c r="L103" s="68">
        <f t="shared" si="11"/>
        <v>0.13194444444444442</v>
      </c>
      <c r="M103" s="3">
        <v>190</v>
      </c>
      <c r="N103" s="485">
        <f t="shared" ref="N103:N123" si="18">M103-(H36+J36+K36+L36+M36+N36+AA36+AB36+Z36+AC36)</f>
        <v>148</v>
      </c>
      <c r="P103" s="65">
        <f t="shared" si="9"/>
        <v>46260</v>
      </c>
      <c r="Q103" s="74" t="str">
        <f t="shared" si="10"/>
        <v>CARIB AMBER</v>
      </c>
      <c r="R103" s="23">
        <f t="shared" si="12"/>
        <v>1.8680555555555556</v>
      </c>
      <c r="S103" s="23">
        <f t="shared" si="13"/>
        <v>2</v>
      </c>
      <c r="T103" s="668"/>
    </row>
    <row r="104" spans="8:20">
      <c r="H104" s="65">
        <f t="shared" si="4"/>
        <v>46261</v>
      </c>
      <c r="I104" s="1" t="str">
        <f t="shared" si="5"/>
        <v>CARIB AMBER</v>
      </c>
      <c r="J104" s="23">
        <f t="shared" si="16"/>
        <v>1.0069444444444444</v>
      </c>
      <c r="K104" s="23">
        <f t="shared" si="17"/>
        <v>1.5173611111111112</v>
      </c>
      <c r="L104" s="68">
        <f t="shared" si="11"/>
        <v>0.51041666666666674</v>
      </c>
      <c r="M104" s="3">
        <v>735</v>
      </c>
      <c r="N104" s="485">
        <f t="shared" si="18"/>
        <v>651</v>
      </c>
      <c r="P104" s="65">
        <f t="shared" si="9"/>
        <v>46261</v>
      </c>
      <c r="Q104" s="74" t="str">
        <f t="shared" si="10"/>
        <v>CARIB AMBER</v>
      </c>
      <c r="R104" s="76">
        <v>1</v>
      </c>
      <c r="S104" s="23">
        <f t="shared" si="13"/>
        <v>1.5173611111111112</v>
      </c>
      <c r="T104" s="668">
        <f>S106-R104</f>
        <v>1</v>
      </c>
    </row>
    <row r="105" spans="8:20">
      <c r="H105" s="65">
        <f t="shared" si="4"/>
        <v>46261</v>
      </c>
      <c r="I105" s="1" t="str">
        <f t="shared" si="5"/>
        <v xml:space="preserve">J. COOL SODA WATER </v>
      </c>
      <c r="J105" s="23">
        <f t="shared" si="16"/>
        <v>1.6909722222222223</v>
      </c>
      <c r="K105" s="23">
        <f t="shared" si="17"/>
        <v>1.7604166666666667</v>
      </c>
      <c r="L105" s="68">
        <f t="shared" si="11"/>
        <v>6.944444444444442E-2</v>
      </c>
      <c r="M105" s="3">
        <v>100</v>
      </c>
      <c r="N105" s="485">
        <f>M105-(H38+J38+K38+L38+N38+AA38+AB38+AC38)</f>
        <v>100</v>
      </c>
      <c r="P105" s="65">
        <f t="shared" si="9"/>
        <v>46261</v>
      </c>
      <c r="Q105" s="74" t="str">
        <f t="shared" si="10"/>
        <v xml:space="preserve">J. COOL SODA WATER </v>
      </c>
      <c r="R105" s="23">
        <f t="shared" si="12"/>
        <v>1.6909722222222223</v>
      </c>
      <c r="S105" s="23">
        <f t="shared" si="13"/>
        <v>1.7604166666666667</v>
      </c>
      <c r="T105" s="668"/>
    </row>
    <row r="106" spans="8:20">
      <c r="H106" s="65">
        <f t="shared" si="4"/>
        <v>46261</v>
      </c>
      <c r="I106" s="1" t="str">
        <f t="shared" si="5"/>
        <v>J.COOL. KOLA CHMAP</v>
      </c>
      <c r="J106" s="23">
        <f t="shared" si="16"/>
        <v>1.78125</v>
      </c>
      <c r="K106" s="23">
        <f t="shared" si="17"/>
        <v>1.9583333333333333</v>
      </c>
      <c r="L106" s="68">
        <f t="shared" si="11"/>
        <v>0.17708333333333326</v>
      </c>
      <c r="M106" s="3">
        <v>255</v>
      </c>
      <c r="N106" s="485">
        <f t="shared" si="18"/>
        <v>208</v>
      </c>
      <c r="P106" s="65">
        <f t="shared" si="9"/>
        <v>46261</v>
      </c>
      <c r="Q106" s="74" t="str">
        <f t="shared" si="10"/>
        <v>J.COOL. KOLA CHMAP</v>
      </c>
      <c r="R106" s="23">
        <f t="shared" si="12"/>
        <v>1.78125</v>
      </c>
      <c r="S106" s="76">
        <v>2</v>
      </c>
      <c r="T106" s="668"/>
    </row>
    <row r="107" spans="8:20">
      <c r="H107" s="65">
        <f t="shared" ref="H107:H127" si="19">B40</f>
        <v>46262</v>
      </c>
      <c r="I107" s="1" t="str">
        <f t="shared" ref="I107:I127" si="20">C40</f>
        <v xml:space="preserve">J.COOL. CREAM SODA </v>
      </c>
      <c r="J107" s="23">
        <f t="shared" si="16"/>
        <v>1</v>
      </c>
      <c r="K107" s="23">
        <f t="shared" si="17"/>
        <v>1.2222222222222223</v>
      </c>
      <c r="L107" s="68">
        <f t="shared" si="11"/>
        <v>0.22222222222222232</v>
      </c>
      <c r="M107" s="3">
        <v>320</v>
      </c>
      <c r="N107" s="485">
        <f t="shared" si="18"/>
        <v>237</v>
      </c>
      <c r="P107" s="65">
        <f t="shared" ref="P107:P123" si="21">B40</f>
        <v>46262</v>
      </c>
      <c r="Q107" s="74" t="str">
        <f t="shared" ref="Q107:Q123" si="22">C40</f>
        <v xml:space="preserve">J.COOL. CREAM SODA </v>
      </c>
      <c r="R107" s="23">
        <f t="shared" si="12"/>
        <v>1</v>
      </c>
      <c r="S107" s="23">
        <f t="shared" si="13"/>
        <v>1.2222222222222223</v>
      </c>
      <c r="T107" s="668">
        <f>S110-R107</f>
        <v>0.875</v>
      </c>
    </row>
    <row r="108" spans="8:20">
      <c r="H108" s="65">
        <f t="shared" si="19"/>
        <v>46262</v>
      </c>
      <c r="I108" s="1" t="str">
        <f t="shared" si="20"/>
        <v>J COOL  BANANA</v>
      </c>
      <c r="J108" s="23">
        <f t="shared" si="16"/>
        <v>1.2395833333333333</v>
      </c>
      <c r="K108" s="23">
        <f t="shared" si="17"/>
        <v>1.3055555555555556</v>
      </c>
      <c r="L108" s="68">
        <f t="shared" si="11"/>
        <v>6.5972222222222321E-2</v>
      </c>
      <c r="M108" s="3">
        <v>95</v>
      </c>
      <c r="N108" s="485">
        <f t="shared" si="18"/>
        <v>95</v>
      </c>
      <c r="P108" s="65">
        <f t="shared" si="21"/>
        <v>46262</v>
      </c>
      <c r="Q108" s="74" t="str">
        <f t="shared" si="22"/>
        <v>J COOL  BANANA</v>
      </c>
      <c r="R108" s="23">
        <f t="shared" si="12"/>
        <v>1.2395833333333333</v>
      </c>
      <c r="S108" s="23">
        <f t="shared" si="13"/>
        <v>1.3055555555555556</v>
      </c>
      <c r="T108" s="668"/>
    </row>
    <row r="109" spans="8:20">
      <c r="H109" s="65">
        <f t="shared" si="19"/>
        <v>46262</v>
      </c>
      <c r="I109" s="1" t="str">
        <f t="shared" si="20"/>
        <v>J.COO GRAPE</v>
      </c>
      <c r="J109" s="23">
        <f t="shared" si="16"/>
        <v>1.3666666666666667</v>
      </c>
      <c r="K109" s="23">
        <f t="shared" si="17"/>
        <v>1.4270833333333333</v>
      </c>
      <c r="L109" s="68">
        <f t="shared" si="11"/>
        <v>6.0416666666666563E-2</v>
      </c>
      <c r="M109" s="3">
        <v>87</v>
      </c>
      <c r="N109" s="485">
        <f t="shared" si="18"/>
        <v>84</v>
      </c>
      <c r="P109" s="65">
        <f t="shared" si="21"/>
        <v>46262</v>
      </c>
      <c r="Q109" s="74" t="str">
        <f t="shared" si="22"/>
        <v>J.COO GRAPE</v>
      </c>
      <c r="R109" s="23">
        <f t="shared" si="12"/>
        <v>1.3666666666666667</v>
      </c>
      <c r="S109" s="23">
        <f t="shared" si="13"/>
        <v>1.4270833333333333</v>
      </c>
      <c r="T109" s="668"/>
    </row>
    <row r="110" spans="8:20">
      <c r="H110" s="65">
        <f t="shared" si="19"/>
        <v>46262</v>
      </c>
      <c r="I110" s="1" t="str">
        <f t="shared" si="20"/>
        <v>VITA MALT</v>
      </c>
      <c r="J110" s="23">
        <f t="shared" ref="J110:J123" si="23">E43</f>
        <v>1.6777777777777778</v>
      </c>
      <c r="K110" s="23">
        <f t="shared" ref="K110:K123" si="24">F43</f>
        <v>1.8166666666666667</v>
      </c>
      <c r="L110" s="68">
        <f t="shared" si="11"/>
        <v>0.13888888888888884</v>
      </c>
      <c r="M110" s="3">
        <v>200</v>
      </c>
      <c r="N110" s="485">
        <f t="shared" si="18"/>
        <v>200</v>
      </c>
      <c r="P110" s="65">
        <f t="shared" si="21"/>
        <v>46262</v>
      </c>
      <c r="Q110" s="74" t="str">
        <f t="shared" si="22"/>
        <v>VITA MALT</v>
      </c>
      <c r="R110" s="23">
        <f t="shared" si="12"/>
        <v>1.6777777777777778</v>
      </c>
      <c r="S110" s="76">
        <v>1.875</v>
      </c>
      <c r="T110" s="668"/>
    </row>
    <row r="111" spans="8:20">
      <c r="H111" s="65">
        <f t="shared" si="19"/>
        <v>46265</v>
      </c>
      <c r="I111" s="1" t="str">
        <f t="shared" si="20"/>
        <v xml:space="preserve">VITA MALT </v>
      </c>
      <c r="J111" s="23">
        <f t="shared" si="23"/>
        <v>1.4340277777777777</v>
      </c>
      <c r="K111" s="23">
        <f t="shared" si="24"/>
        <v>1.9263888888888889</v>
      </c>
      <c r="L111" s="68">
        <f t="shared" si="11"/>
        <v>0.49236111111111125</v>
      </c>
      <c r="M111" s="3">
        <v>709</v>
      </c>
      <c r="N111" s="485">
        <f>M111-(H44+J44+K44+L44+M44+N44+AA44+AB44+Z44+AC44)</f>
        <v>599</v>
      </c>
      <c r="P111" s="65">
        <f t="shared" si="21"/>
        <v>46265</v>
      </c>
      <c r="Q111" s="74" t="str">
        <f t="shared" si="22"/>
        <v xml:space="preserve">VITA MALT </v>
      </c>
      <c r="R111" s="76">
        <v>1.0416666666666667</v>
      </c>
      <c r="S111" s="76">
        <v>2</v>
      </c>
      <c r="T111" s="75">
        <f>S111-R111</f>
        <v>0.95833333333333326</v>
      </c>
    </row>
    <row r="112" spans="8:20">
      <c r="H112" s="65">
        <f t="shared" si="19"/>
        <v>0</v>
      </c>
      <c r="I112" s="1">
        <f t="shared" si="20"/>
        <v>0</v>
      </c>
      <c r="J112" s="23">
        <f t="shared" si="23"/>
        <v>0</v>
      </c>
      <c r="K112" s="23">
        <f t="shared" si="24"/>
        <v>0</v>
      </c>
      <c r="L112" s="68">
        <f t="shared" si="11"/>
        <v>0</v>
      </c>
      <c r="M112" s="3"/>
      <c r="N112" s="485">
        <f t="shared" si="18"/>
        <v>0</v>
      </c>
      <c r="P112" s="65">
        <f t="shared" si="21"/>
        <v>0</v>
      </c>
      <c r="Q112" s="74">
        <f t="shared" si="22"/>
        <v>0</v>
      </c>
      <c r="R112" s="23">
        <f t="shared" si="12"/>
        <v>0</v>
      </c>
      <c r="S112" s="23">
        <f t="shared" si="13"/>
        <v>0</v>
      </c>
      <c r="T112" s="75">
        <f t="shared" ref="T112:T123" si="25">S112-R112</f>
        <v>0</v>
      </c>
    </row>
    <row r="113" spans="8:20">
      <c r="H113" s="65">
        <f t="shared" si="19"/>
        <v>0</v>
      </c>
      <c r="I113" s="1">
        <f t="shared" si="20"/>
        <v>0</v>
      </c>
      <c r="J113" s="23">
        <f t="shared" si="23"/>
        <v>0</v>
      </c>
      <c r="K113" s="23">
        <f t="shared" si="24"/>
        <v>0</v>
      </c>
      <c r="L113" s="68">
        <f t="shared" si="11"/>
        <v>0</v>
      </c>
      <c r="M113" s="3"/>
      <c r="N113" s="485">
        <f t="shared" si="18"/>
        <v>0</v>
      </c>
      <c r="P113" s="65">
        <f t="shared" si="21"/>
        <v>0</v>
      </c>
      <c r="Q113" s="74">
        <f t="shared" si="22"/>
        <v>0</v>
      </c>
      <c r="R113" s="23">
        <f t="shared" si="12"/>
        <v>0</v>
      </c>
      <c r="S113" s="23">
        <f t="shared" si="13"/>
        <v>0</v>
      </c>
      <c r="T113" s="75">
        <f t="shared" si="25"/>
        <v>0</v>
      </c>
    </row>
    <row r="114" spans="8:20">
      <c r="H114" s="65">
        <f t="shared" si="19"/>
        <v>0</v>
      </c>
      <c r="I114" s="1">
        <f t="shared" si="20"/>
        <v>0</v>
      </c>
      <c r="J114" s="23">
        <f t="shared" si="23"/>
        <v>0</v>
      </c>
      <c r="K114" s="23">
        <f t="shared" si="24"/>
        <v>0</v>
      </c>
      <c r="L114" s="68">
        <f t="shared" si="11"/>
        <v>0</v>
      </c>
      <c r="M114" s="3"/>
      <c r="N114" s="151">
        <f t="shared" si="18"/>
        <v>0</v>
      </c>
      <c r="P114" s="65">
        <f t="shared" si="21"/>
        <v>0</v>
      </c>
      <c r="Q114" s="74">
        <f t="shared" si="22"/>
        <v>0</v>
      </c>
      <c r="R114" s="23">
        <f t="shared" si="12"/>
        <v>0</v>
      </c>
      <c r="S114" s="23">
        <f t="shared" si="13"/>
        <v>0</v>
      </c>
      <c r="T114" s="75">
        <f t="shared" si="25"/>
        <v>0</v>
      </c>
    </row>
    <row r="115" spans="8:20">
      <c r="H115" s="65">
        <f t="shared" si="19"/>
        <v>0</v>
      </c>
      <c r="I115" s="1">
        <f t="shared" si="20"/>
        <v>0</v>
      </c>
      <c r="J115" s="23">
        <f t="shared" si="23"/>
        <v>0</v>
      </c>
      <c r="K115" s="23">
        <f t="shared" si="24"/>
        <v>0</v>
      </c>
      <c r="L115" s="68">
        <f t="shared" si="11"/>
        <v>0</v>
      </c>
      <c r="M115" s="3"/>
      <c r="N115" s="151">
        <f t="shared" si="18"/>
        <v>0</v>
      </c>
      <c r="P115" s="65">
        <f t="shared" si="21"/>
        <v>0</v>
      </c>
      <c r="Q115" s="74">
        <f t="shared" si="22"/>
        <v>0</v>
      </c>
      <c r="R115" s="23">
        <f t="shared" si="12"/>
        <v>0</v>
      </c>
      <c r="S115" s="23">
        <f t="shared" si="13"/>
        <v>0</v>
      </c>
      <c r="T115" s="75">
        <f t="shared" si="25"/>
        <v>0</v>
      </c>
    </row>
    <row r="116" spans="8:20">
      <c r="H116" s="65">
        <f t="shared" si="19"/>
        <v>0</v>
      </c>
      <c r="I116" s="1">
        <f t="shared" si="20"/>
        <v>0</v>
      </c>
      <c r="J116" s="23">
        <f t="shared" si="23"/>
        <v>0</v>
      </c>
      <c r="K116" s="23">
        <f t="shared" si="24"/>
        <v>0</v>
      </c>
      <c r="L116" s="68">
        <f t="shared" si="11"/>
        <v>0</v>
      </c>
      <c r="M116" s="3"/>
      <c r="N116" s="151">
        <f t="shared" si="18"/>
        <v>0</v>
      </c>
      <c r="P116" s="65">
        <f t="shared" si="21"/>
        <v>0</v>
      </c>
      <c r="Q116" s="74">
        <f t="shared" si="22"/>
        <v>0</v>
      </c>
      <c r="R116" s="23">
        <f t="shared" si="12"/>
        <v>0</v>
      </c>
      <c r="S116" s="23">
        <f t="shared" si="13"/>
        <v>0</v>
      </c>
      <c r="T116" s="75">
        <f t="shared" si="25"/>
        <v>0</v>
      </c>
    </row>
    <row r="117" spans="8:20">
      <c r="H117" s="65">
        <f t="shared" si="19"/>
        <v>0</v>
      </c>
      <c r="I117" s="1">
        <f t="shared" si="20"/>
        <v>0</v>
      </c>
      <c r="J117" s="23">
        <f t="shared" si="23"/>
        <v>0</v>
      </c>
      <c r="K117" s="23">
        <f t="shared" si="24"/>
        <v>0</v>
      </c>
      <c r="L117" s="68">
        <f t="shared" si="11"/>
        <v>0</v>
      </c>
      <c r="M117" s="3"/>
      <c r="N117" s="151">
        <f t="shared" si="18"/>
        <v>0</v>
      </c>
      <c r="P117" s="65">
        <f t="shared" si="21"/>
        <v>0</v>
      </c>
      <c r="Q117" s="74">
        <f t="shared" si="22"/>
        <v>0</v>
      </c>
      <c r="R117" s="23">
        <f t="shared" si="12"/>
        <v>0</v>
      </c>
      <c r="S117" s="23">
        <f t="shared" si="13"/>
        <v>0</v>
      </c>
      <c r="T117" s="75">
        <f t="shared" si="25"/>
        <v>0</v>
      </c>
    </row>
    <row r="118" spans="8:20">
      <c r="H118" s="65">
        <f t="shared" si="19"/>
        <v>0</v>
      </c>
      <c r="I118" s="1">
        <f t="shared" si="20"/>
        <v>0</v>
      </c>
      <c r="J118" s="23">
        <f t="shared" si="23"/>
        <v>0</v>
      </c>
      <c r="K118" s="23">
        <f t="shared" si="24"/>
        <v>0</v>
      </c>
      <c r="L118" s="68">
        <f t="shared" si="11"/>
        <v>0</v>
      </c>
      <c r="M118" s="3"/>
      <c r="N118" s="151">
        <f t="shared" si="18"/>
        <v>0</v>
      </c>
      <c r="P118" s="65">
        <f t="shared" si="21"/>
        <v>0</v>
      </c>
      <c r="Q118" s="74">
        <f t="shared" si="22"/>
        <v>0</v>
      </c>
      <c r="R118" s="23">
        <f t="shared" ref="R118:S123" si="26">E51</f>
        <v>0</v>
      </c>
      <c r="S118" s="23">
        <f t="shared" si="26"/>
        <v>0</v>
      </c>
      <c r="T118" s="75">
        <f t="shared" si="25"/>
        <v>0</v>
      </c>
    </row>
    <row r="119" spans="8:20">
      <c r="H119" s="65">
        <f t="shared" si="19"/>
        <v>0</v>
      </c>
      <c r="I119" s="1">
        <f t="shared" si="20"/>
        <v>0</v>
      </c>
      <c r="J119" s="23">
        <f t="shared" si="23"/>
        <v>0</v>
      </c>
      <c r="K119" s="23">
        <f t="shared" si="24"/>
        <v>0</v>
      </c>
      <c r="L119" s="68">
        <f t="shared" si="11"/>
        <v>0</v>
      </c>
      <c r="M119" s="3"/>
      <c r="N119" s="151">
        <f t="shared" si="18"/>
        <v>0</v>
      </c>
      <c r="P119" s="65">
        <f t="shared" si="21"/>
        <v>0</v>
      </c>
      <c r="Q119" s="74">
        <f t="shared" si="22"/>
        <v>0</v>
      </c>
      <c r="R119" s="23">
        <f t="shared" si="26"/>
        <v>0</v>
      </c>
      <c r="S119" s="23">
        <f t="shared" si="26"/>
        <v>0</v>
      </c>
      <c r="T119" s="75">
        <f t="shared" si="25"/>
        <v>0</v>
      </c>
    </row>
    <row r="120" spans="8:20">
      <c r="H120" s="65">
        <f t="shared" si="19"/>
        <v>0</v>
      </c>
      <c r="I120" s="1">
        <f t="shared" si="20"/>
        <v>0</v>
      </c>
      <c r="J120" s="23">
        <f t="shared" si="23"/>
        <v>0</v>
      </c>
      <c r="K120" s="23">
        <f t="shared" si="24"/>
        <v>0</v>
      </c>
      <c r="L120" s="68">
        <f t="shared" si="11"/>
        <v>0</v>
      </c>
      <c r="M120" s="3"/>
      <c r="N120" s="151">
        <f t="shared" si="18"/>
        <v>0</v>
      </c>
      <c r="P120" s="65">
        <f t="shared" si="21"/>
        <v>0</v>
      </c>
      <c r="Q120" s="74">
        <f t="shared" si="22"/>
        <v>0</v>
      </c>
      <c r="R120" s="23">
        <f t="shared" si="26"/>
        <v>0</v>
      </c>
      <c r="S120" s="23">
        <f t="shared" si="26"/>
        <v>0</v>
      </c>
      <c r="T120" s="75">
        <f t="shared" si="25"/>
        <v>0</v>
      </c>
    </row>
    <row r="121" spans="8:20">
      <c r="H121" s="65">
        <f t="shared" si="19"/>
        <v>0</v>
      </c>
      <c r="I121" s="1">
        <f t="shared" si="20"/>
        <v>0</v>
      </c>
      <c r="J121" s="23">
        <f t="shared" si="23"/>
        <v>0</v>
      </c>
      <c r="K121" s="23">
        <f t="shared" si="24"/>
        <v>0</v>
      </c>
      <c r="L121" s="68">
        <f t="shared" si="11"/>
        <v>0</v>
      </c>
      <c r="M121" s="3"/>
      <c r="N121" s="151">
        <f t="shared" si="18"/>
        <v>0</v>
      </c>
      <c r="P121" s="65">
        <f t="shared" si="21"/>
        <v>0</v>
      </c>
      <c r="Q121" s="74">
        <f t="shared" si="22"/>
        <v>0</v>
      </c>
      <c r="R121" s="23">
        <f t="shared" si="26"/>
        <v>0</v>
      </c>
      <c r="S121" s="23">
        <f t="shared" si="26"/>
        <v>0</v>
      </c>
      <c r="T121" s="75">
        <f t="shared" si="25"/>
        <v>0</v>
      </c>
    </row>
    <row r="122" spans="8:20">
      <c r="H122" s="65">
        <f t="shared" si="19"/>
        <v>0</v>
      </c>
      <c r="I122" s="1">
        <f t="shared" si="20"/>
        <v>0</v>
      </c>
      <c r="J122" s="23">
        <f t="shared" si="23"/>
        <v>0</v>
      </c>
      <c r="K122" s="23">
        <f t="shared" si="24"/>
        <v>0</v>
      </c>
      <c r="L122" s="68">
        <f t="shared" si="11"/>
        <v>0</v>
      </c>
      <c r="N122" s="151">
        <f t="shared" si="18"/>
        <v>0</v>
      </c>
      <c r="P122" s="65">
        <f t="shared" si="21"/>
        <v>0</v>
      </c>
      <c r="Q122" s="74">
        <f t="shared" si="22"/>
        <v>0</v>
      </c>
      <c r="R122" s="23">
        <f t="shared" si="26"/>
        <v>0</v>
      </c>
      <c r="S122" s="23">
        <f t="shared" si="26"/>
        <v>0</v>
      </c>
      <c r="T122" s="75">
        <f t="shared" si="25"/>
        <v>0</v>
      </c>
    </row>
    <row r="123" spans="8:20">
      <c r="H123" s="65">
        <f t="shared" si="19"/>
        <v>0</v>
      </c>
      <c r="I123" s="1">
        <f t="shared" si="20"/>
        <v>0</v>
      </c>
      <c r="J123" s="23">
        <f t="shared" si="23"/>
        <v>0</v>
      </c>
      <c r="K123" s="23">
        <f t="shared" si="24"/>
        <v>0</v>
      </c>
      <c r="N123" s="151">
        <f t="shared" si="18"/>
        <v>0</v>
      </c>
      <c r="P123" s="65">
        <f t="shared" si="21"/>
        <v>0</v>
      </c>
      <c r="Q123" s="74">
        <f t="shared" si="22"/>
        <v>0</v>
      </c>
      <c r="R123" s="23">
        <f t="shared" si="26"/>
        <v>0</v>
      </c>
      <c r="S123" s="23">
        <f t="shared" si="26"/>
        <v>0</v>
      </c>
      <c r="T123" s="75">
        <f t="shared" si="25"/>
        <v>0</v>
      </c>
    </row>
    <row r="124" spans="8:20">
      <c r="H124" s="65">
        <f t="shared" si="19"/>
        <v>0</v>
      </c>
      <c r="I124" s="1">
        <f t="shared" si="20"/>
        <v>0</v>
      </c>
      <c r="P124" s="65"/>
      <c r="Q124" s="74"/>
      <c r="R124" s="23"/>
      <c r="S124" s="23"/>
    </row>
    <row r="125" spans="8:20">
      <c r="H125" s="65">
        <f t="shared" si="19"/>
        <v>0</v>
      </c>
      <c r="I125" s="1">
        <f t="shared" si="20"/>
        <v>0</v>
      </c>
      <c r="P125" s="65"/>
      <c r="Q125" s="74"/>
      <c r="R125" s="23"/>
      <c r="S125" s="23"/>
    </row>
    <row r="126" spans="8:20">
      <c r="H126" s="65">
        <f t="shared" si="19"/>
        <v>0</v>
      </c>
      <c r="I126" s="1">
        <f t="shared" si="20"/>
        <v>0</v>
      </c>
      <c r="P126" s="65"/>
      <c r="Q126" s="74"/>
      <c r="R126" s="23"/>
      <c r="S126" s="23"/>
    </row>
    <row r="127" spans="8:20">
      <c r="H127" s="65">
        <f t="shared" si="19"/>
        <v>0</v>
      </c>
      <c r="I127" s="1">
        <f t="shared" si="20"/>
        <v>0</v>
      </c>
      <c r="P127" s="65"/>
      <c r="Q127" s="74"/>
      <c r="R127" s="23"/>
      <c r="S127" s="23"/>
    </row>
    <row r="128" spans="8:20">
      <c r="P128" s="65"/>
      <c r="Q128" s="74"/>
    </row>
  </sheetData>
  <mergeCells count="78">
    <mergeCell ref="A4:A7"/>
    <mergeCell ref="V5:V7"/>
    <mergeCell ref="W5:W7"/>
    <mergeCell ref="X5:X7"/>
    <mergeCell ref="D31:D32"/>
    <mergeCell ref="D28:D29"/>
    <mergeCell ref="D10:D12"/>
    <mergeCell ref="D14:D15"/>
    <mergeCell ref="D17:D19"/>
    <mergeCell ref="D20:D21"/>
    <mergeCell ref="D22:D23"/>
    <mergeCell ref="D24:D25"/>
    <mergeCell ref="D26:D27"/>
    <mergeCell ref="C4:C7"/>
    <mergeCell ref="G4:G7"/>
    <mergeCell ref="D4:D7"/>
    <mergeCell ref="B2:AE2"/>
    <mergeCell ref="H4:AE4"/>
    <mergeCell ref="J5:J7"/>
    <mergeCell ref="K5:K7"/>
    <mergeCell ref="L5:L7"/>
    <mergeCell ref="M5:M7"/>
    <mergeCell ref="N5:N7"/>
    <mergeCell ref="O5:O7"/>
    <mergeCell ref="P5:P7"/>
    <mergeCell ref="Q5:Q7"/>
    <mergeCell ref="R5:R7"/>
    <mergeCell ref="S5:S7"/>
    <mergeCell ref="B4:B7"/>
    <mergeCell ref="H5:H7"/>
    <mergeCell ref="I5:I7"/>
    <mergeCell ref="F4:F7"/>
    <mergeCell ref="AE60:AE61"/>
    <mergeCell ref="T5:T7"/>
    <mergeCell ref="E4:E7"/>
    <mergeCell ref="D35:D36"/>
    <mergeCell ref="D33:D34"/>
    <mergeCell ref="P73:T73"/>
    <mergeCell ref="T84:T86"/>
    <mergeCell ref="AE10:AE12"/>
    <mergeCell ref="AE33:AE34"/>
    <mergeCell ref="AE62:AE63"/>
    <mergeCell ref="AE14:AE15"/>
    <mergeCell ref="AE17:AE19"/>
    <mergeCell ref="AE20:AE21"/>
    <mergeCell ref="AE22:AE23"/>
    <mergeCell ref="AE24:AE25"/>
    <mergeCell ref="AE26:AE27"/>
    <mergeCell ref="AE28:AE29"/>
    <mergeCell ref="AE31:AE32"/>
    <mergeCell ref="AE37:AE39"/>
    <mergeCell ref="AE35:AE36"/>
    <mergeCell ref="AE64:AE66"/>
    <mergeCell ref="AL4:AV4"/>
    <mergeCell ref="U5:U7"/>
    <mergeCell ref="AB5:AB7"/>
    <mergeCell ref="AC5:AC7"/>
    <mergeCell ref="AE5:AE7"/>
    <mergeCell ref="AA5:AA7"/>
    <mergeCell ref="AD5:AD7"/>
    <mergeCell ref="Z5:Z7"/>
    <mergeCell ref="Y5:Y7"/>
    <mergeCell ref="T107:T110"/>
    <mergeCell ref="AE40:AE43"/>
    <mergeCell ref="D37:D39"/>
    <mergeCell ref="T95:T96"/>
    <mergeCell ref="T102:T103"/>
    <mergeCell ref="H73:N73"/>
    <mergeCell ref="T100:T101"/>
    <mergeCell ref="T78:T79"/>
    <mergeCell ref="T81:T82"/>
    <mergeCell ref="T87:T88"/>
    <mergeCell ref="T89:T90"/>
    <mergeCell ref="T91:T92"/>
    <mergeCell ref="T93:T94"/>
    <mergeCell ref="T98:T99"/>
    <mergeCell ref="T104:T106"/>
    <mergeCell ref="D40:D43"/>
  </mergeCells>
  <conditionalFormatting sqref="D62 D64 E66">
    <cfRule type="cellIs" dxfId="16" priority="25" stopIfTrue="1" operator="greaterThan">
      <formula>$E$3</formula>
    </cfRule>
  </conditionalFormatting>
  <conditionalFormatting sqref="D67">
    <cfRule type="cellIs" dxfId="15" priority="24" stopIfTrue="1" operator="greaterThan">
      <formula>$E$3</formula>
    </cfRule>
  </conditionalFormatting>
  <conditionalFormatting sqref="E8:E44">
    <cfRule type="cellIs" dxfId="14" priority="1" stopIfTrue="1" operator="greaterThan">
      <formula>$E$3</formula>
    </cfRule>
  </conditionalFormatting>
  <conditionalFormatting sqref="E57:E61">
    <cfRule type="cellIs" dxfId="13" priority="3" stopIfTrue="1" operator="greaterThan">
      <formula>$E$3</formula>
    </cfRule>
  </conditionalFormatting>
  <conditionalFormatting sqref="E62:E65">
    <cfRule type="cellIs" dxfId="12" priority="23" stopIfTrue="1" operator="greaterThan">
      <formula>$F$3</formula>
    </cfRule>
  </conditionalFormatting>
  <conditionalFormatting sqref="E67">
    <cfRule type="cellIs" dxfId="11" priority="26" stopIfTrue="1" operator="greaterThan">
      <formula>$F$3</formula>
    </cfRule>
  </conditionalFormatting>
  <conditionalFormatting sqref="F9">
    <cfRule type="cellIs" dxfId="10" priority="15" stopIfTrue="1" operator="greaterThan">
      <formula>$E$3</formula>
    </cfRule>
  </conditionalFormatting>
  <conditionalFormatting sqref="F45:F48 F50 F52:F56">
    <cfRule type="cellIs" dxfId="9" priority="2" stopIfTrue="1" operator="greaterThan">
      <formula>$E$3</formula>
    </cfRule>
  </conditionalFormatting>
  <pageMargins left="0.75" right="0.75" top="1" bottom="1" header="0.5" footer="0.5"/>
  <pageSetup scale="37" fitToHeight="2" orientation="landscape" r:id="rId1"/>
  <headerFooter alignWithMargins="0"/>
  <legacyDrawing r:id="rId2"/>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8">
    <tabColor rgb="FFFFFF00"/>
    <pageSetUpPr fitToPage="1"/>
  </sheetPr>
  <dimension ref="A1:AX136"/>
  <sheetViews>
    <sheetView showZeros="0" zoomScaleNormal="100" workbookViewId="0">
      <pane xSplit="7" ySplit="7" topLeftCell="H8" activePane="bottomRight" state="frozen"/>
      <selection pane="topRight"/>
      <selection pane="bottomLeft"/>
      <selection pane="bottomRight" activeCell="B8" sqref="B8"/>
    </sheetView>
  </sheetViews>
  <sheetFormatPr defaultColWidth="9" defaultRowHeight="12.75"/>
  <cols>
    <col min="1" max="1" width="8.42578125" style="3" customWidth="1"/>
    <col min="2" max="2" width="9.42578125" style="3" customWidth="1"/>
    <col min="3" max="3" width="27.85546875" customWidth="1"/>
    <col min="4" max="4" width="11.42578125" customWidth="1"/>
    <col min="5" max="5" width="9" customWidth="1"/>
    <col min="6" max="6" width="8.5703125" customWidth="1"/>
    <col min="7" max="7" width="9.5703125" customWidth="1"/>
    <col min="8" max="8" width="10" customWidth="1"/>
    <col min="9" max="9" width="11" customWidth="1"/>
    <col min="10" max="10" width="9.42578125" customWidth="1"/>
    <col min="11" max="13" width="10.42578125" customWidth="1"/>
    <col min="14" max="14" width="11.42578125" customWidth="1"/>
    <col min="15" max="15" width="10.42578125" customWidth="1"/>
    <col min="16" max="16" width="9.42578125" customWidth="1"/>
    <col min="17" max="17" width="16.85546875" customWidth="1"/>
    <col min="18" max="18" width="9.42578125" customWidth="1"/>
    <col min="19" max="19" width="9.5703125" customWidth="1"/>
    <col min="20" max="20" width="8.5703125" customWidth="1"/>
    <col min="21" max="21" width="9.5703125" customWidth="1"/>
    <col min="22" max="22" width="12" customWidth="1"/>
    <col min="23" max="23" width="7.5703125" customWidth="1"/>
    <col min="24" max="24" width="12" customWidth="1"/>
    <col min="25" max="25" width="8.5703125" customWidth="1"/>
    <col min="26" max="26" width="11" customWidth="1"/>
    <col min="27" max="27" width="13.42578125" customWidth="1"/>
    <col min="28" max="29" width="11.42578125" customWidth="1"/>
    <col min="30" max="30" width="14.5703125" customWidth="1"/>
    <col min="31" max="31" width="11.42578125" customWidth="1"/>
    <col min="32" max="32" width="14.42578125" customWidth="1"/>
  </cols>
  <sheetData>
    <row r="1" spans="1:50">
      <c r="I1" s="3"/>
    </row>
    <row r="2" spans="1:50" ht="27.75">
      <c r="B2" s="670" t="s">
        <v>490</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5"/>
      <c r="E3" s="5"/>
      <c r="H3" s="6"/>
      <c r="I3" s="3"/>
      <c r="S3" s="3"/>
      <c r="AM3" s="6"/>
    </row>
    <row r="4" spans="1:50" ht="12.75" customHeigh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672"/>
      <c r="AC4" s="672"/>
      <c r="AD4" s="672"/>
      <c r="AE4" s="673"/>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819" t="s">
        <v>6</v>
      </c>
      <c r="I5" s="808" t="s">
        <v>7</v>
      </c>
      <c r="J5" s="808" t="s">
        <v>8</v>
      </c>
      <c r="K5" s="808" t="s">
        <v>9</v>
      </c>
      <c r="L5" s="808" t="s">
        <v>60</v>
      </c>
      <c r="M5" s="808" t="s">
        <v>11</v>
      </c>
      <c r="N5" s="823" t="s">
        <v>12</v>
      </c>
      <c r="O5" s="689" t="s">
        <v>13</v>
      </c>
      <c r="P5" s="689" t="s">
        <v>14</v>
      </c>
      <c r="Q5" s="689" t="s">
        <v>15</v>
      </c>
      <c r="R5" s="689" t="s">
        <v>16</v>
      </c>
      <c r="S5" s="689" t="s">
        <v>419</v>
      </c>
      <c r="T5" s="689" t="s">
        <v>18</v>
      </c>
      <c r="U5" s="689" t="s">
        <v>420</v>
      </c>
      <c r="V5" s="689" t="s">
        <v>20</v>
      </c>
      <c r="W5" s="689" t="s">
        <v>21</v>
      </c>
      <c r="X5" s="748" t="s">
        <v>22</v>
      </c>
      <c r="Y5" s="689" t="s">
        <v>421</v>
      </c>
      <c r="Z5" s="808" t="s">
        <v>24</v>
      </c>
      <c r="AA5" s="819" t="s">
        <v>25</v>
      </c>
      <c r="AB5" s="819" t="s">
        <v>460</v>
      </c>
      <c r="AC5" s="752" t="s">
        <v>27</v>
      </c>
      <c r="AD5" s="695" t="s">
        <v>422</v>
      </c>
      <c r="AE5" s="697" t="s">
        <v>423</v>
      </c>
      <c r="AF5" s="41" t="s">
        <v>424</v>
      </c>
      <c r="AH5" s="3"/>
      <c r="AI5" s="3"/>
      <c r="AJ5" s="3"/>
      <c r="AK5" s="3"/>
      <c r="AL5" s="3"/>
      <c r="AM5" s="52"/>
      <c r="AN5" s="3"/>
      <c r="AO5" s="3"/>
      <c r="AP5" s="3"/>
      <c r="AQ5" s="3"/>
      <c r="AR5" s="3"/>
      <c r="AS5" s="3"/>
      <c r="AT5" s="3"/>
      <c r="AU5" s="3"/>
      <c r="AV5" s="3"/>
      <c r="AW5" s="3"/>
      <c r="AX5" s="3"/>
    </row>
    <row r="6" spans="1:50" ht="12.75" customHeight="1">
      <c r="A6" s="683"/>
      <c r="B6" s="686"/>
      <c r="C6" s="686"/>
      <c r="D6" s="689"/>
      <c r="E6" s="689"/>
      <c r="F6" s="689"/>
      <c r="G6" s="693"/>
      <c r="H6" s="819"/>
      <c r="I6" s="808"/>
      <c r="J6" s="808"/>
      <c r="K6" s="808"/>
      <c r="L6" s="808"/>
      <c r="M6" s="808"/>
      <c r="N6" s="808"/>
      <c r="O6" s="689"/>
      <c r="P6" s="689"/>
      <c r="Q6" s="689"/>
      <c r="R6" s="689"/>
      <c r="S6" s="689"/>
      <c r="T6" s="689"/>
      <c r="U6" s="689"/>
      <c r="V6" s="689"/>
      <c r="W6" s="689"/>
      <c r="X6" s="748"/>
      <c r="Y6" s="689"/>
      <c r="Z6" s="808"/>
      <c r="AA6" s="819"/>
      <c r="AB6" s="819"/>
      <c r="AC6" s="752"/>
      <c r="AD6" s="695"/>
      <c r="AE6" s="698"/>
      <c r="AF6" s="41" t="s">
        <v>425</v>
      </c>
      <c r="AH6" s="3"/>
      <c r="AI6" s="3"/>
      <c r="AJ6" s="3"/>
      <c r="AK6" s="3"/>
      <c r="AL6" s="3"/>
      <c r="AM6" s="3"/>
      <c r="AN6" s="51"/>
      <c r="AO6" s="51"/>
      <c r="AP6" s="51"/>
      <c r="AQ6" s="51"/>
      <c r="AR6" s="51"/>
      <c r="AS6" s="51"/>
      <c r="AT6" s="51"/>
      <c r="AU6" s="3"/>
      <c r="AV6" s="51"/>
      <c r="AW6" s="3"/>
      <c r="AX6" s="3"/>
    </row>
    <row r="7" spans="1:50" ht="13.5" customHeight="1" thickBot="1">
      <c r="A7" s="684"/>
      <c r="B7" s="687"/>
      <c r="C7" s="687"/>
      <c r="D7" s="690"/>
      <c r="E7" s="690"/>
      <c r="F7" s="690"/>
      <c r="G7" s="693"/>
      <c r="H7" s="821"/>
      <c r="I7" s="822"/>
      <c r="J7" s="822"/>
      <c r="K7" s="818"/>
      <c r="L7" s="818"/>
      <c r="M7" s="818"/>
      <c r="N7" s="818"/>
      <c r="O7" s="690"/>
      <c r="P7" s="690"/>
      <c r="Q7" s="690"/>
      <c r="R7" s="690"/>
      <c r="S7" s="690"/>
      <c r="T7" s="690"/>
      <c r="U7" s="690"/>
      <c r="V7" s="690"/>
      <c r="W7" s="690"/>
      <c r="X7" s="749"/>
      <c r="Y7" s="690"/>
      <c r="Z7" s="818"/>
      <c r="AA7" s="820"/>
      <c r="AB7" s="820"/>
      <c r="AC7" s="753"/>
      <c r="AD7" s="696"/>
      <c r="AE7" s="764"/>
      <c r="AF7" s="42" t="s">
        <v>426</v>
      </c>
      <c r="AH7" s="3"/>
      <c r="AI7" s="3"/>
      <c r="AJ7" s="3"/>
      <c r="AK7" s="3"/>
      <c r="AL7" s="3"/>
      <c r="AM7" s="3"/>
      <c r="AN7" s="3"/>
      <c r="AO7" s="3"/>
      <c r="AP7" s="3"/>
      <c r="AQ7" s="3"/>
      <c r="AR7" s="3"/>
      <c r="AS7" s="3"/>
      <c r="AT7" s="3"/>
      <c r="AU7" s="3"/>
      <c r="AV7" s="3"/>
      <c r="AW7" s="3"/>
      <c r="AX7" s="3"/>
    </row>
    <row r="8" spans="1:50" ht="13.5" customHeight="1" thickTop="1">
      <c r="A8" s="7">
        <f>[5]November_2026!$C8</f>
        <v>0</v>
      </c>
      <c r="B8" s="8">
        <f>[5]November_2026!$B8</f>
        <v>0</v>
      </c>
      <c r="C8" s="78">
        <f>[5]November_2026!$D8</f>
        <v>0</v>
      </c>
      <c r="D8" s="602"/>
      <c r="E8" s="80"/>
      <c r="F8" s="80"/>
      <c r="G8" s="81"/>
      <c r="H8" s="82"/>
      <c r="I8" s="32"/>
      <c r="J8" s="86"/>
      <c r="K8" s="71"/>
      <c r="L8" s="71"/>
      <c r="M8" s="71"/>
      <c r="N8" s="71"/>
      <c r="O8" s="71">
        <f>'Uncaser Downtime Detail '!AG611</f>
        <v>0</v>
      </c>
      <c r="P8" s="71">
        <f>'Washer Downtime Detail'!BH621</f>
        <v>0</v>
      </c>
      <c r="Q8" s="71">
        <f>'EBI Downtime Detail'!AI618</f>
        <v>0</v>
      </c>
      <c r="R8" s="71">
        <f>'Filler Downtime Detail'!AK611</f>
        <v>0</v>
      </c>
      <c r="S8" s="71">
        <f>'Pasteurizer Downtime Detail'!Z590</f>
        <v>0</v>
      </c>
      <c r="T8" s="71">
        <f>'Labeler Downtime Detail'!AN589</f>
        <v>0</v>
      </c>
      <c r="U8" s="71">
        <f>'Videojet Downtime Detail '!O607</f>
        <v>0</v>
      </c>
      <c r="V8" s="71">
        <f>'Conveyor Downtime (new)'!AV617</f>
        <v>0</v>
      </c>
      <c r="W8" s="71">
        <f>'Packer Downtime Detail  '!AD601</f>
        <v>0</v>
      </c>
      <c r="X8" s="71">
        <f>'Carton Errector-sealer Detail'!P601</f>
        <v>0</v>
      </c>
      <c r="Y8" s="71"/>
      <c r="Z8" s="117"/>
      <c r="AA8" s="117"/>
      <c r="AB8" s="117"/>
      <c r="AC8" s="71"/>
      <c r="AD8" s="44">
        <f>SUM(H8:J8,K8:AC8)</f>
        <v>0</v>
      </c>
      <c r="AE8" s="607">
        <f>G10-D8</f>
        <v>0</v>
      </c>
      <c r="AH8" s="3"/>
      <c r="AI8" s="23"/>
      <c r="AJ8" s="23"/>
      <c r="AK8" s="54"/>
      <c r="AL8" s="3"/>
      <c r="AM8" s="3"/>
      <c r="AN8" s="3"/>
      <c r="AO8" s="3"/>
      <c r="AP8" s="3"/>
      <c r="AQ8" s="3"/>
      <c r="AR8" s="3"/>
      <c r="AS8" s="3"/>
      <c r="AT8" s="3"/>
      <c r="AU8" s="3"/>
      <c r="AV8" s="3"/>
      <c r="AW8" s="3"/>
      <c r="AX8" s="3"/>
    </row>
    <row r="9" spans="1:50" ht="12.75" customHeight="1">
      <c r="A9" s="7">
        <f>[5]November_2026!$C9</f>
        <v>0</v>
      </c>
      <c r="B9" s="8">
        <f>[5]November_2026!$B9</f>
        <v>0</v>
      </c>
      <c r="C9" s="78">
        <f>[5]November_2026!$D9</f>
        <v>0</v>
      </c>
      <c r="D9" s="500"/>
      <c r="E9" s="80"/>
      <c r="F9" s="80"/>
      <c r="G9" s="81"/>
      <c r="H9" s="14"/>
      <c r="I9" s="34"/>
      <c r="J9" s="35"/>
      <c r="K9" s="34"/>
      <c r="L9" s="34"/>
      <c r="M9" s="34"/>
      <c r="N9" s="34"/>
      <c r="O9" s="34">
        <f>'Uncaser Downtime Detail '!AG612</f>
        <v>0</v>
      </c>
      <c r="P9" s="34">
        <f>'Washer Downtime Detail'!BH622</f>
        <v>0</v>
      </c>
      <c r="Q9" s="34">
        <f>'EBI Downtime Detail'!AI619</f>
        <v>0</v>
      </c>
      <c r="R9" s="34">
        <f>'Filler Downtime Detail'!AK612</f>
        <v>0</v>
      </c>
      <c r="S9" s="34">
        <f>'Pasteurizer Downtime Detail'!Z591</f>
        <v>0</v>
      </c>
      <c r="T9" s="34">
        <f>'Labeler Downtime Detail'!AN590</f>
        <v>0</v>
      </c>
      <c r="U9" s="34">
        <f>'Videojet Downtime Detail '!O608</f>
        <v>0</v>
      </c>
      <c r="V9" s="34">
        <f>'Conveyor Downtime (new)'!AV618</f>
        <v>0</v>
      </c>
      <c r="W9" s="34">
        <f>'Packer Downtime Detail  '!AD602</f>
        <v>0</v>
      </c>
      <c r="X9" s="34">
        <f>'Carton Errector-sealer Detail'!P602</f>
        <v>0</v>
      </c>
      <c r="Y9" s="35"/>
      <c r="Z9" s="120"/>
      <c r="AA9" s="120"/>
      <c r="AB9" s="120"/>
      <c r="AC9" s="34"/>
      <c r="AD9" s="44">
        <f t="shared" ref="AD9:AD54" si="0">SUM(H9:J9,K9:AC9)</f>
        <v>0</v>
      </c>
      <c r="AE9" s="606"/>
      <c r="AH9" s="3"/>
      <c r="AI9" s="23"/>
      <c r="AJ9" s="23"/>
      <c r="AK9" s="54"/>
      <c r="AL9" s="3"/>
      <c r="AM9" s="3"/>
      <c r="AN9" s="3"/>
      <c r="AO9" s="3"/>
      <c r="AP9" s="3"/>
      <c r="AQ9" s="3"/>
      <c r="AR9" s="3"/>
      <c r="AS9" s="3"/>
      <c r="AT9" s="3"/>
      <c r="AU9" s="3"/>
      <c r="AV9" s="3"/>
      <c r="AW9" s="3"/>
      <c r="AX9" s="3"/>
    </row>
    <row r="10" spans="1:50" ht="15" customHeight="1">
      <c r="A10" s="7">
        <f>[5]November_2026!$C10</f>
        <v>0</v>
      </c>
      <c r="B10" s="8">
        <f>[5]November_2026!$B10</f>
        <v>0</v>
      </c>
      <c r="C10" s="78">
        <f>[5]November_2026!$D10</f>
        <v>0</v>
      </c>
      <c r="D10" s="500"/>
      <c r="E10" s="80"/>
      <c r="F10" s="80"/>
      <c r="G10" s="81"/>
      <c r="H10" s="82"/>
      <c r="I10" s="32"/>
      <c r="J10" s="86"/>
      <c r="K10" s="71"/>
      <c r="L10" s="71"/>
      <c r="M10" s="71"/>
      <c r="N10" s="71"/>
      <c r="O10" s="71">
        <f>'Uncaser Downtime Detail '!AG613</f>
        <v>0</v>
      </c>
      <c r="P10" s="71">
        <f>'Washer Downtime Detail'!BH623</f>
        <v>0</v>
      </c>
      <c r="Q10" s="71">
        <f>'EBI Downtime Detail'!AI620</f>
        <v>0</v>
      </c>
      <c r="R10" s="71">
        <f>'Filler Downtime Detail'!AK613</f>
        <v>0</v>
      </c>
      <c r="S10" s="71">
        <f>'Pasteurizer Downtime Detail'!Z592</f>
        <v>0</v>
      </c>
      <c r="T10" s="71">
        <f>'Labeler Downtime Detail'!AN591</f>
        <v>0</v>
      </c>
      <c r="U10" s="71">
        <f>'Videojet Downtime Detail '!O609</f>
        <v>0</v>
      </c>
      <c r="V10" s="71">
        <f>'Conveyor Downtime (new)'!AV619</f>
        <v>0</v>
      </c>
      <c r="W10" s="71">
        <f>'Packer Downtime Detail  '!AD603</f>
        <v>0</v>
      </c>
      <c r="X10" s="71">
        <f>'Carton Errector-sealer Detail'!P603</f>
        <v>0</v>
      </c>
      <c r="Y10" s="71"/>
      <c r="Z10" s="122"/>
      <c r="AA10" s="122"/>
      <c r="AB10" s="122"/>
      <c r="AC10" s="71"/>
      <c r="AD10" s="44">
        <f t="shared" si="0"/>
        <v>0</v>
      </c>
      <c r="AE10" s="605"/>
      <c r="AH10" s="3"/>
      <c r="AI10" s="23"/>
      <c r="AJ10" s="23"/>
      <c r="AK10" s="54"/>
      <c r="AL10" s="3"/>
      <c r="AM10" s="3"/>
      <c r="AN10" s="3"/>
      <c r="AO10" s="3"/>
      <c r="AP10" s="3"/>
      <c r="AQ10" s="3"/>
      <c r="AR10" s="3"/>
      <c r="AS10" s="3"/>
      <c r="AT10" s="3"/>
      <c r="AU10" s="3"/>
      <c r="AV10" s="3"/>
      <c r="AW10" s="3"/>
      <c r="AX10" s="3"/>
    </row>
    <row r="11" spans="1:50" ht="14.1" customHeight="1">
      <c r="A11" s="7">
        <f>[5]November_2026!$C11</f>
        <v>0</v>
      </c>
      <c r="B11" s="8">
        <f>[5]November_2026!$B11</f>
        <v>0</v>
      </c>
      <c r="C11" s="78">
        <f>[5]November_2026!$D11</f>
        <v>0</v>
      </c>
      <c r="D11" s="500"/>
      <c r="E11" s="80"/>
      <c r="F11" s="80"/>
      <c r="G11" s="81"/>
      <c r="H11" s="14"/>
      <c r="I11" s="34"/>
      <c r="J11" s="35"/>
      <c r="K11" s="34"/>
      <c r="L11" s="34"/>
      <c r="M11" s="34"/>
      <c r="N11" s="34"/>
      <c r="O11" s="34">
        <f>'Uncaser Downtime Detail '!AG614</f>
        <v>0</v>
      </c>
      <c r="P11" s="34">
        <f>'Washer Downtime Detail'!BH624</f>
        <v>0</v>
      </c>
      <c r="Q11" s="34">
        <f>'EBI Downtime Detail'!AI621</f>
        <v>0</v>
      </c>
      <c r="R11" s="34">
        <f>'Filler Downtime Detail'!AK614</f>
        <v>0</v>
      </c>
      <c r="S11" s="34">
        <f>'Pasteurizer Downtime Detail'!Z593</f>
        <v>0</v>
      </c>
      <c r="T11" s="34">
        <f>'Labeler Downtime Detail'!AN592</f>
        <v>0</v>
      </c>
      <c r="U11" s="34">
        <f>'Videojet Downtime Detail '!O610</f>
        <v>0</v>
      </c>
      <c r="V11" s="34">
        <f>'Conveyor Downtime (new)'!AV620</f>
        <v>0</v>
      </c>
      <c r="W11" s="34">
        <f>'Packer Downtime Detail  '!AD604</f>
        <v>0</v>
      </c>
      <c r="X11" s="34">
        <f>'Carton Errector-sealer Detail'!P604</f>
        <v>0</v>
      </c>
      <c r="Y11" s="35"/>
      <c r="Z11" s="120"/>
      <c r="AA11" s="120"/>
      <c r="AB11" s="120"/>
      <c r="AC11" s="34"/>
      <c r="AD11" s="44">
        <f t="shared" si="0"/>
        <v>0</v>
      </c>
      <c r="AE11" s="604">
        <f>G12-D11</f>
        <v>0</v>
      </c>
      <c r="AH11" s="3"/>
      <c r="AI11" s="23"/>
      <c r="AJ11" s="23"/>
      <c r="AK11" s="54"/>
      <c r="AL11" s="3"/>
      <c r="AM11" s="3"/>
      <c r="AN11" s="3"/>
      <c r="AO11" s="3"/>
      <c r="AP11" s="3"/>
      <c r="AQ11" s="3"/>
      <c r="AR11" s="3"/>
      <c r="AS11" s="3"/>
      <c r="AT11" s="3"/>
      <c r="AU11" s="3"/>
      <c r="AV11" s="3"/>
      <c r="AW11" s="3"/>
      <c r="AX11" s="3"/>
    </row>
    <row r="12" spans="1:50" ht="13.35" customHeight="1">
      <c r="A12" s="7"/>
      <c r="B12" s="8"/>
      <c r="C12" s="78"/>
      <c r="D12" s="500"/>
      <c r="E12" s="80"/>
      <c r="F12" s="80"/>
      <c r="G12" s="81"/>
      <c r="H12" s="82"/>
      <c r="I12" s="32"/>
      <c r="J12" s="86"/>
      <c r="K12" s="71"/>
      <c r="L12" s="71"/>
      <c r="M12" s="71"/>
      <c r="N12" s="71"/>
      <c r="O12" s="71">
        <f>'Uncaser Downtime Detail '!AG615</f>
        <v>0</v>
      </c>
      <c r="P12" s="71">
        <f>'Washer Downtime Detail'!BH625</f>
        <v>0</v>
      </c>
      <c r="Q12" s="71">
        <f>'EBI Downtime Detail'!AI622</f>
        <v>0</v>
      </c>
      <c r="R12" s="71">
        <f>'Filler Downtime Detail'!AK615</f>
        <v>0</v>
      </c>
      <c r="S12" s="71">
        <f>'Pasteurizer Downtime Detail'!Z594</f>
        <v>0</v>
      </c>
      <c r="T12" s="71">
        <f>'Labeler Downtime Detail'!AN593</f>
        <v>0</v>
      </c>
      <c r="U12" s="71">
        <f>'Videojet Downtime Detail '!O611</f>
        <v>0</v>
      </c>
      <c r="V12" s="71">
        <f>'Conveyor Downtime (new)'!AV621</f>
        <v>0</v>
      </c>
      <c r="W12" s="71">
        <f>'Packer Downtime Detail  '!AD605</f>
        <v>0</v>
      </c>
      <c r="X12" s="71">
        <f>'Carton Errector-sealer Detail'!P605</f>
        <v>0</v>
      </c>
      <c r="Y12" s="71"/>
      <c r="Z12" s="122"/>
      <c r="AA12" s="122"/>
      <c r="AB12" s="122"/>
      <c r="AC12" s="71"/>
      <c r="AD12" s="44">
        <f t="shared" si="0"/>
        <v>0</v>
      </c>
      <c r="AE12" s="605"/>
      <c r="AH12" s="3"/>
      <c r="AI12" s="23"/>
      <c r="AJ12" s="23"/>
      <c r="AK12" s="54"/>
      <c r="AL12" s="3"/>
      <c r="AM12" s="3"/>
      <c r="AN12" s="3"/>
      <c r="AO12" s="3"/>
      <c r="AP12" s="3"/>
      <c r="AQ12" s="3"/>
      <c r="AR12" s="3"/>
      <c r="AS12" s="3"/>
      <c r="AT12" s="3"/>
      <c r="AU12" s="3"/>
      <c r="AV12" s="3"/>
      <c r="AW12" s="3"/>
      <c r="AX12" s="3"/>
    </row>
    <row r="13" spans="1:50" ht="12.75" customHeight="1">
      <c r="A13" s="7"/>
      <c r="B13" s="8"/>
      <c r="C13" s="78"/>
      <c r="D13" s="500"/>
      <c r="E13" s="80"/>
      <c r="F13" s="80"/>
      <c r="G13" s="81"/>
      <c r="H13" s="14"/>
      <c r="I13" s="34"/>
      <c r="J13" s="35"/>
      <c r="K13" s="34"/>
      <c r="L13" s="34"/>
      <c r="M13" s="34"/>
      <c r="N13" s="34"/>
      <c r="O13" s="34">
        <f>'Uncaser Downtime Detail '!AG616</f>
        <v>0</v>
      </c>
      <c r="P13" s="34">
        <f>'Washer Downtime Detail'!BH626</f>
        <v>0</v>
      </c>
      <c r="Q13" s="34">
        <f>'EBI Downtime Detail'!AI623</f>
        <v>0</v>
      </c>
      <c r="R13" s="34">
        <f>'Filler Downtime Detail'!AK616</f>
        <v>0</v>
      </c>
      <c r="S13" s="34">
        <f>'Pasteurizer Downtime Detail'!Z595</f>
        <v>0</v>
      </c>
      <c r="T13" s="34">
        <f>'Labeler Downtime Detail'!AN594</f>
        <v>0</v>
      </c>
      <c r="U13" s="34">
        <f>'Videojet Downtime Detail '!O612</f>
        <v>0</v>
      </c>
      <c r="V13" s="34">
        <f>'Conveyor Downtime (new)'!AV622</f>
        <v>0</v>
      </c>
      <c r="W13" s="34">
        <f>'Packer Downtime Detail  '!AD606</f>
        <v>0</v>
      </c>
      <c r="X13" s="34">
        <f>'Carton Errector-sealer Detail'!P606</f>
        <v>0</v>
      </c>
      <c r="Y13" s="35"/>
      <c r="Z13" s="120"/>
      <c r="AA13" s="120"/>
      <c r="AB13" s="120"/>
      <c r="AC13" s="34"/>
      <c r="AD13" s="44">
        <f t="shared" si="0"/>
        <v>0</v>
      </c>
      <c r="AE13" s="606">
        <f>G15-D13</f>
        <v>0</v>
      </c>
      <c r="AH13" s="3"/>
      <c r="AI13" s="23"/>
      <c r="AJ13" s="23"/>
      <c r="AK13" s="54"/>
      <c r="AL13" s="3"/>
      <c r="AM13" s="3"/>
      <c r="AN13" s="3"/>
      <c r="AO13" s="3"/>
      <c r="AP13" s="3"/>
      <c r="AQ13" s="3"/>
      <c r="AR13" s="3"/>
      <c r="AS13" s="3"/>
      <c r="AT13" s="3"/>
      <c r="AU13" s="3"/>
      <c r="AV13" s="3"/>
      <c r="AW13" s="3"/>
      <c r="AX13" s="3"/>
    </row>
    <row r="14" spans="1:50" ht="13.35" customHeight="1">
      <c r="A14" s="7"/>
      <c r="B14" s="8"/>
      <c r="C14" s="78"/>
      <c r="D14" s="500"/>
      <c r="E14" s="80"/>
      <c r="F14" s="80"/>
      <c r="G14" s="81"/>
      <c r="H14" s="82"/>
      <c r="I14" s="32"/>
      <c r="J14" s="86"/>
      <c r="K14" s="71"/>
      <c r="L14" s="71"/>
      <c r="M14" s="71"/>
      <c r="N14" s="71"/>
      <c r="O14" s="71">
        <f>'Uncaser Downtime Detail '!AG617</f>
        <v>0</v>
      </c>
      <c r="P14" s="71">
        <f>'Washer Downtime Detail'!BH627</f>
        <v>0</v>
      </c>
      <c r="Q14" s="71">
        <f>'EBI Downtime Detail'!AI624</f>
        <v>0</v>
      </c>
      <c r="R14" s="71">
        <f>'Filler Downtime Detail'!AK617</f>
        <v>0</v>
      </c>
      <c r="S14" s="71">
        <f>'Pasteurizer Downtime Detail'!Z596</f>
        <v>0</v>
      </c>
      <c r="T14" s="71">
        <f>'Labeler Downtime Detail'!AN595</f>
        <v>0</v>
      </c>
      <c r="U14" s="71">
        <f>'Videojet Downtime Detail '!O613</f>
        <v>0</v>
      </c>
      <c r="V14" s="71">
        <f>'Conveyor Downtime (new)'!AV623</f>
        <v>0</v>
      </c>
      <c r="W14" s="71">
        <f>'Packer Downtime Detail  '!AD607</f>
        <v>0</v>
      </c>
      <c r="X14" s="71">
        <f>'Carton Errector-sealer Detail'!P607</f>
        <v>0</v>
      </c>
      <c r="Y14" s="71"/>
      <c r="Z14" s="122"/>
      <c r="AA14" s="122"/>
      <c r="AB14" s="122"/>
      <c r="AC14" s="71"/>
      <c r="AD14" s="44">
        <f t="shared" si="0"/>
        <v>0</v>
      </c>
      <c r="AE14" s="606"/>
      <c r="AH14" s="3"/>
      <c r="AI14" s="23"/>
      <c r="AJ14" s="23"/>
      <c r="AK14" s="54"/>
      <c r="AL14" s="3"/>
      <c r="AM14" s="3"/>
      <c r="AN14" s="3"/>
      <c r="AO14" s="3"/>
      <c r="AP14" s="3"/>
      <c r="AQ14" s="3"/>
      <c r="AR14" s="3"/>
      <c r="AS14" s="3"/>
      <c r="AT14" s="3"/>
      <c r="AU14" s="3"/>
      <c r="AV14" s="3"/>
      <c r="AW14" s="3"/>
      <c r="AX14" s="3"/>
    </row>
    <row r="15" spans="1:50" ht="12" customHeight="1">
      <c r="A15" s="7"/>
      <c r="B15" s="8"/>
      <c r="C15" s="78"/>
      <c r="D15" s="500"/>
      <c r="E15" s="80"/>
      <c r="F15" s="80"/>
      <c r="G15" s="81"/>
      <c r="H15" s="14"/>
      <c r="I15" s="34"/>
      <c r="J15" s="35"/>
      <c r="K15" s="34"/>
      <c r="L15" s="34"/>
      <c r="M15" s="34"/>
      <c r="N15" s="34"/>
      <c r="O15" s="34">
        <f>'Uncaser Downtime Detail '!AG618</f>
        <v>0</v>
      </c>
      <c r="P15" s="34">
        <f>'Washer Downtime Detail'!BH628</f>
        <v>0</v>
      </c>
      <c r="Q15" s="34">
        <f>'EBI Downtime Detail'!AI625</f>
        <v>0</v>
      </c>
      <c r="R15" s="34">
        <f>'Filler Downtime Detail'!AK618</f>
        <v>0</v>
      </c>
      <c r="S15" s="34">
        <f>'Pasteurizer Downtime Detail'!Z597</f>
        <v>0</v>
      </c>
      <c r="T15" s="34">
        <f>'Labeler Downtime Detail'!AN596</f>
        <v>0</v>
      </c>
      <c r="U15" s="34">
        <f>'Videojet Downtime Detail '!O614</f>
        <v>0</v>
      </c>
      <c r="V15" s="34">
        <f>'Conveyor Downtime (new)'!AV624</f>
        <v>0</v>
      </c>
      <c r="W15" s="34">
        <f>'Packer Downtime Detail  '!AD608</f>
        <v>0</v>
      </c>
      <c r="X15" s="34">
        <f>'Carton Errector-sealer Detail'!P608</f>
        <v>0</v>
      </c>
      <c r="Y15" s="35"/>
      <c r="Z15" s="120"/>
      <c r="AA15" s="120"/>
      <c r="AB15" s="120"/>
      <c r="AC15" s="34"/>
      <c r="AD15" s="44">
        <f t="shared" si="0"/>
        <v>0</v>
      </c>
      <c r="AE15" s="605"/>
      <c r="AH15" s="3"/>
      <c r="AI15" s="23"/>
      <c r="AJ15" s="23"/>
      <c r="AK15" s="54"/>
      <c r="AL15" s="3"/>
      <c r="AM15" s="3"/>
      <c r="AN15" s="3"/>
      <c r="AO15" s="3"/>
      <c r="AP15" s="3"/>
      <c r="AQ15" s="3"/>
      <c r="AR15" s="3"/>
      <c r="AS15" s="3"/>
      <c r="AT15" s="3"/>
      <c r="AU15" s="3"/>
      <c r="AV15" s="3"/>
      <c r="AW15" s="3"/>
      <c r="AX15" s="3"/>
    </row>
    <row r="16" spans="1:50" ht="13.35" customHeight="1">
      <c r="A16" s="7"/>
      <c r="B16" s="8"/>
      <c r="C16" s="78"/>
      <c r="D16" s="500"/>
      <c r="E16" s="80"/>
      <c r="F16" s="80"/>
      <c r="G16" s="81"/>
      <c r="H16" s="82"/>
      <c r="I16" s="32"/>
      <c r="J16" s="86"/>
      <c r="K16" s="71"/>
      <c r="L16" s="71"/>
      <c r="M16" s="71"/>
      <c r="N16" s="71"/>
      <c r="O16" s="71">
        <f>'Uncaser Downtime Detail '!AG619</f>
        <v>0</v>
      </c>
      <c r="P16" s="71">
        <f>'Washer Downtime Detail'!BH629</f>
        <v>0</v>
      </c>
      <c r="Q16" s="71">
        <f>'EBI Downtime Detail'!AI626</f>
        <v>0</v>
      </c>
      <c r="R16" s="71">
        <f>'Filler Downtime Detail'!AK619</f>
        <v>0</v>
      </c>
      <c r="S16" s="71">
        <f>'Pasteurizer Downtime Detail'!Z598</f>
        <v>0</v>
      </c>
      <c r="T16" s="71">
        <f>'Labeler Downtime Detail'!AN597</f>
        <v>0</v>
      </c>
      <c r="U16" s="71">
        <f>'Videojet Downtime Detail '!O615</f>
        <v>0</v>
      </c>
      <c r="V16" s="71">
        <f>'Conveyor Downtime (new)'!AV625</f>
        <v>0</v>
      </c>
      <c r="W16" s="71">
        <f>'Packer Downtime Detail  '!AD609</f>
        <v>0</v>
      </c>
      <c r="X16" s="71">
        <f>'Carton Errector-sealer Detail'!P609</f>
        <v>0</v>
      </c>
      <c r="Y16" s="71"/>
      <c r="Z16" s="122"/>
      <c r="AA16" s="122"/>
      <c r="AB16" s="122"/>
      <c r="AC16" s="71"/>
      <c r="AD16" s="44">
        <f t="shared" si="0"/>
        <v>0</v>
      </c>
      <c r="AE16" s="604">
        <f>G17-D16</f>
        <v>0</v>
      </c>
      <c r="AH16" s="3"/>
      <c r="AI16" s="23"/>
      <c r="AJ16" s="23"/>
      <c r="AK16" s="54"/>
      <c r="AL16" s="3"/>
      <c r="AM16" s="3"/>
      <c r="AN16" s="3"/>
      <c r="AO16" s="3"/>
      <c r="AP16" s="3"/>
      <c r="AQ16" s="3"/>
      <c r="AR16" s="3"/>
      <c r="AS16" s="3"/>
      <c r="AT16" s="3"/>
      <c r="AU16" s="3"/>
      <c r="AV16" s="3"/>
      <c r="AW16" s="3"/>
      <c r="AX16" s="3"/>
    </row>
    <row r="17" spans="1:50">
      <c r="A17" s="7"/>
      <c r="B17" s="8"/>
      <c r="C17" s="78"/>
      <c r="D17" s="500"/>
      <c r="E17" s="80"/>
      <c r="F17" s="80"/>
      <c r="G17" s="81"/>
      <c r="H17" s="14"/>
      <c r="I17" s="34"/>
      <c r="J17" s="35"/>
      <c r="K17" s="34"/>
      <c r="L17" s="34"/>
      <c r="M17" s="34"/>
      <c r="N17" s="34"/>
      <c r="O17" s="34">
        <f>'Uncaser Downtime Detail '!AG620</f>
        <v>0</v>
      </c>
      <c r="P17" s="34">
        <f>'Washer Downtime Detail'!BH630</f>
        <v>0</v>
      </c>
      <c r="Q17" s="34">
        <f>'EBI Downtime Detail'!AI627</f>
        <v>0</v>
      </c>
      <c r="R17" s="34">
        <f>'Filler Downtime Detail'!AK620</f>
        <v>0</v>
      </c>
      <c r="S17" s="34">
        <f>'Pasteurizer Downtime Detail'!Z599</f>
        <v>0</v>
      </c>
      <c r="T17" s="34">
        <f>'Labeler Downtime Detail'!AN598</f>
        <v>0</v>
      </c>
      <c r="U17" s="34">
        <f>'Videojet Downtime Detail '!O616</f>
        <v>0</v>
      </c>
      <c r="V17" s="34">
        <f>'Conveyor Downtime (new)'!AV626</f>
        <v>0</v>
      </c>
      <c r="W17" s="34">
        <f>'Packer Downtime Detail  '!AD610</f>
        <v>0</v>
      </c>
      <c r="X17" s="34">
        <f>'Carton Errector-sealer Detail'!P610</f>
        <v>0</v>
      </c>
      <c r="Y17" s="35"/>
      <c r="Z17" s="120"/>
      <c r="AA17" s="120"/>
      <c r="AB17" s="120"/>
      <c r="AC17" s="34"/>
      <c r="AD17" s="44">
        <f t="shared" si="0"/>
        <v>0</v>
      </c>
      <c r="AE17" s="605"/>
      <c r="AH17" s="3"/>
      <c r="AI17" s="23"/>
      <c r="AJ17" s="23"/>
      <c r="AK17" s="54"/>
      <c r="AL17" s="3"/>
      <c r="AM17" s="3"/>
      <c r="AN17" s="3"/>
      <c r="AO17" s="3"/>
      <c r="AP17" s="3"/>
      <c r="AQ17" s="3"/>
      <c r="AR17" s="3"/>
      <c r="AS17" s="3"/>
      <c r="AT17" s="3"/>
      <c r="AU17" s="3"/>
      <c r="AV17" s="3"/>
      <c r="AW17" s="3"/>
      <c r="AX17" s="3"/>
    </row>
    <row r="18" spans="1:50" ht="12.75" customHeight="1">
      <c r="A18" s="7"/>
      <c r="B18" s="8"/>
      <c r="C18" s="78"/>
      <c r="D18" s="500"/>
      <c r="E18" s="80"/>
      <c r="F18" s="80"/>
      <c r="G18" s="81"/>
      <c r="H18" s="82"/>
      <c r="I18" s="32"/>
      <c r="J18" s="86"/>
      <c r="K18" s="71"/>
      <c r="L18" s="71"/>
      <c r="M18" s="71"/>
      <c r="N18" s="71"/>
      <c r="O18" s="71">
        <f>'Uncaser Downtime Detail '!AG621</f>
        <v>0</v>
      </c>
      <c r="P18" s="71">
        <f>'Washer Downtime Detail'!BH631</f>
        <v>0</v>
      </c>
      <c r="Q18" s="71">
        <f>'EBI Downtime Detail'!AI628</f>
        <v>0</v>
      </c>
      <c r="R18" s="71">
        <f>'Filler Downtime Detail'!AK621</f>
        <v>0</v>
      </c>
      <c r="S18" s="71">
        <f>'Pasteurizer Downtime Detail'!Z600</f>
        <v>0</v>
      </c>
      <c r="T18" s="71">
        <f>'Labeler Downtime Detail'!AN599</f>
        <v>0</v>
      </c>
      <c r="U18" s="71">
        <f>'Videojet Downtime Detail '!O617</f>
        <v>0</v>
      </c>
      <c r="V18" s="71">
        <f>'Conveyor Downtime (new)'!AV627</f>
        <v>0</v>
      </c>
      <c r="W18" s="71">
        <f>'Packer Downtime Detail  '!AD611</f>
        <v>0</v>
      </c>
      <c r="X18" s="71">
        <f>'Carton Errector-sealer Detail'!P611</f>
        <v>0</v>
      </c>
      <c r="Y18" s="71"/>
      <c r="Z18" s="122"/>
      <c r="AA18" s="122"/>
      <c r="AB18" s="122"/>
      <c r="AC18" s="71"/>
      <c r="AD18" s="44">
        <f t="shared" si="0"/>
        <v>0</v>
      </c>
      <c r="AE18" s="606">
        <f>G20-D18</f>
        <v>0</v>
      </c>
      <c r="AH18" s="3"/>
      <c r="AI18" s="23"/>
      <c r="AJ18" s="23"/>
      <c r="AK18" s="54"/>
      <c r="AL18" s="3"/>
      <c r="AM18" s="3"/>
      <c r="AN18" s="3"/>
      <c r="AO18" s="3"/>
      <c r="AP18" s="3"/>
      <c r="AQ18" s="3"/>
      <c r="AR18" s="3"/>
      <c r="AS18" s="3"/>
      <c r="AT18" s="3"/>
      <c r="AU18" s="3"/>
      <c r="AV18" s="3"/>
      <c r="AW18" s="3"/>
      <c r="AX18" s="3"/>
    </row>
    <row r="19" spans="1:50" ht="12.75" customHeight="1">
      <c r="A19" s="7"/>
      <c r="B19" s="8"/>
      <c r="C19" s="78"/>
      <c r="D19" s="500"/>
      <c r="E19" s="80"/>
      <c r="F19" s="80"/>
      <c r="G19" s="81"/>
      <c r="H19" s="14"/>
      <c r="I19" s="34"/>
      <c r="J19" s="35"/>
      <c r="K19" s="34"/>
      <c r="L19" s="34"/>
      <c r="M19" s="34"/>
      <c r="N19" s="34"/>
      <c r="O19" s="34">
        <f>'Uncaser Downtime Detail '!AG622</f>
        <v>0</v>
      </c>
      <c r="P19" s="34">
        <f>'Washer Downtime Detail'!BH632</f>
        <v>0</v>
      </c>
      <c r="Q19" s="34">
        <f>'EBI Downtime Detail'!AI629</f>
        <v>0</v>
      </c>
      <c r="R19" s="34">
        <f>'Filler Downtime Detail'!AK622</f>
        <v>0</v>
      </c>
      <c r="S19" s="34">
        <f>'Pasteurizer Downtime Detail'!Z601</f>
        <v>0</v>
      </c>
      <c r="T19" s="34">
        <f>'Labeler Downtime Detail'!AN600</f>
        <v>0</v>
      </c>
      <c r="U19" s="34">
        <f>'Videojet Downtime Detail '!O618</f>
        <v>0</v>
      </c>
      <c r="V19" s="34">
        <f>'Conveyor Downtime (new)'!AV628</f>
        <v>0</v>
      </c>
      <c r="W19" s="34">
        <f>'Packer Downtime Detail  '!AD612</f>
        <v>0</v>
      </c>
      <c r="X19" s="34">
        <f>'Carton Errector-sealer Detail'!P612</f>
        <v>0</v>
      </c>
      <c r="Y19" s="35"/>
      <c r="Z19" s="120"/>
      <c r="AA19" s="120"/>
      <c r="AB19" s="120"/>
      <c r="AC19" s="34"/>
      <c r="AD19" s="44">
        <f t="shared" si="0"/>
        <v>0</v>
      </c>
      <c r="AE19" s="606"/>
      <c r="AH19" s="3"/>
      <c r="AI19" s="23"/>
      <c r="AJ19" s="23"/>
      <c r="AK19" s="54"/>
      <c r="AL19" s="3"/>
      <c r="AM19" s="3"/>
      <c r="AN19" s="3"/>
      <c r="AO19" s="3"/>
      <c r="AP19" s="3"/>
      <c r="AQ19" s="3"/>
      <c r="AR19" s="3"/>
      <c r="AS19" s="3"/>
      <c r="AT19" s="3"/>
      <c r="AU19" s="3"/>
      <c r="AV19" s="3"/>
      <c r="AW19" s="3"/>
      <c r="AX19" s="3"/>
    </row>
    <row r="20" spans="1:50" ht="12.75" customHeight="1">
      <c r="A20" s="7"/>
      <c r="B20" s="8"/>
      <c r="C20" s="78"/>
      <c r="D20" s="500"/>
      <c r="E20" s="80"/>
      <c r="F20" s="80"/>
      <c r="G20" s="81"/>
      <c r="H20" s="82"/>
      <c r="I20" s="32"/>
      <c r="J20" s="86"/>
      <c r="K20" s="71"/>
      <c r="L20" s="71"/>
      <c r="M20" s="71"/>
      <c r="N20" s="71"/>
      <c r="O20" s="71">
        <f>'Uncaser Downtime Detail '!AG623</f>
        <v>0</v>
      </c>
      <c r="P20" s="71">
        <f>'Washer Downtime Detail'!BH633</f>
        <v>0</v>
      </c>
      <c r="Q20" s="71">
        <f>'EBI Downtime Detail'!AI630</f>
        <v>0</v>
      </c>
      <c r="R20" s="71">
        <f>'Filler Downtime Detail'!AK623</f>
        <v>0</v>
      </c>
      <c r="S20" s="71">
        <f>'Pasteurizer Downtime Detail'!Z602</f>
        <v>0</v>
      </c>
      <c r="T20" s="71">
        <f>'Labeler Downtime Detail'!AN601</f>
        <v>0</v>
      </c>
      <c r="U20" s="71">
        <f>'Videojet Downtime Detail '!O619</f>
        <v>0</v>
      </c>
      <c r="V20" s="71">
        <f>'Conveyor Downtime (new)'!AV629</f>
        <v>0</v>
      </c>
      <c r="W20" s="71">
        <f>'Packer Downtime Detail  '!AD613</f>
        <v>0</v>
      </c>
      <c r="X20" s="71">
        <f>'Carton Errector-sealer Detail'!P613</f>
        <v>0</v>
      </c>
      <c r="Y20" s="71"/>
      <c r="Z20" s="122"/>
      <c r="AA20" s="122"/>
      <c r="AB20" s="122"/>
      <c r="AC20" s="71"/>
      <c r="AD20" s="44">
        <f t="shared" si="0"/>
        <v>0</v>
      </c>
      <c r="AE20" s="605"/>
      <c r="AH20" s="3"/>
      <c r="AI20" s="23"/>
      <c r="AJ20" s="23"/>
      <c r="AK20" s="54"/>
      <c r="AL20" s="3"/>
      <c r="AM20" s="3"/>
      <c r="AN20" s="3"/>
      <c r="AO20" s="3"/>
      <c r="AP20" s="3"/>
      <c r="AQ20" s="3"/>
      <c r="AR20" s="3"/>
      <c r="AS20" s="3"/>
      <c r="AT20" s="3"/>
      <c r="AU20" s="3"/>
      <c r="AV20" s="3"/>
      <c r="AW20" s="3"/>
      <c r="AX20" s="3"/>
    </row>
    <row r="21" spans="1:50">
      <c r="A21" s="7"/>
      <c r="B21" s="8"/>
      <c r="C21" s="78"/>
      <c r="D21" s="13"/>
      <c r="E21" s="80"/>
      <c r="F21" s="80"/>
      <c r="G21" s="81"/>
      <c r="H21" s="14"/>
      <c r="I21" s="34"/>
      <c r="J21" s="35"/>
      <c r="K21" s="34"/>
      <c r="L21" s="34"/>
      <c r="M21" s="34"/>
      <c r="N21" s="34"/>
      <c r="O21" s="34">
        <f>'Uncaser Downtime Detail '!AG624</f>
        <v>0</v>
      </c>
      <c r="P21" s="34">
        <f>'Washer Downtime Detail'!BH634</f>
        <v>0</v>
      </c>
      <c r="Q21" s="34">
        <f>'EBI Downtime Detail'!AI631</f>
        <v>0</v>
      </c>
      <c r="R21" s="34">
        <f>'Filler Downtime Detail'!AK624</f>
        <v>0</v>
      </c>
      <c r="S21" s="34">
        <f>'Pasteurizer Downtime Detail'!Z603</f>
        <v>0</v>
      </c>
      <c r="T21" s="34">
        <f>'Labeler Downtime Detail'!AN602</f>
        <v>0</v>
      </c>
      <c r="U21" s="34">
        <f>'Videojet Downtime Detail '!O620</f>
        <v>0</v>
      </c>
      <c r="V21" s="34">
        <f>'Conveyor Downtime (new)'!AV630</f>
        <v>0</v>
      </c>
      <c r="W21" s="34">
        <f>'Packer Downtime Detail  '!AD614</f>
        <v>0</v>
      </c>
      <c r="X21" s="34">
        <f>'Carton Errector-sealer Detail'!P614</f>
        <v>0</v>
      </c>
      <c r="Y21" s="35"/>
      <c r="Z21" s="120"/>
      <c r="AA21" s="120"/>
      <c r="AB21" s="120"/>
      <c r="AC21" s="34"/>
      <c r="AD21" s="44">
        <f>SUM(H21:J21,K21:AC21)</f>
        <v>0</v>
      </c>
      <c r="AE21" s="516">
        <f>G21-D21</f>
        <v>0</v>
      </c>
      <c r="AH21" s="3"/>
      <c r="AI21" s="23"/>
      <c r="AJ21" s="23"/>
      <c r="AK21" s="54"/>
      <c r="AL21" s="3"/>
      <c r="AM21" s="3"/>
      <c r="AN21" s="3"/>
      <c r="AO21" s="3"/>
      <c r="AP21" s="3"/>
      <c r="AQ21" s="3"/>
      <c r="AR21" s="3"/>
      <c r="AS21" s="3"/>
      <c r="AT21" s="3"/>
      <c r="AU21" s="3"/>
      <c r="AV21" s="3"/>
      <c r="AW21" s="3"/>
      <c r="AX21" s="3"/>
    </row>
    <row r="22" spans="1:50" s="77" customFormat="1">
      <c r="A22" s="7"/>
      <c r="B22" s="8"/>
      <c r="C22" s="78"/>
      <c r="D22" s="500"/>
      <c r="E22" s="80"/>
      <c r="F22" s="80"/>
      <c r="G22" s="81"/>
      <c r="H22" s="82"/>
      <c r="I22" s="32"/>
      <c r="J22" s="86"/>
      <c r="K22" s="71"/>
      <c r="L22" s="71"/>
      <c r="M22" s="71"/>
      <c r="N22" s="71"/>
      <c r="O22" s="71">
        <f>'Uncaser Downtime Detail '!AG625</f>
        <v>0</v>
      </c>
      <c r="P22" s="71">
        <f>'Washer Downtime Detail'!BH635</f>
        <v>0</v>
      </c>
      <c r="Q22" s="71">
        <f>'EBI Downtime Detail'!AI632</f>
        <v>0</v>
      </c>
      <c r="R22" s="71">
        <f>'Filler Downtime Detail'!AK625</f>
        <v>0</v>
      </c>
      <c r="S22" s="71">
        <f>'Pasteurizer Downtime Detail'!Z604</f>
        <v>0</v>
      </c>
      <c r="T22" s="71">
        <f>'Labeler Downtime Detail'!AN603</f>
        <v>0</v>
      </c>
      <c r="U22" s="71">
        <f>'Videojet Downtime Detail '!O621</f>
        <v>0</v>
      </c>
      <c r="V22" s="71">
        <f>'Conveyor Downtime (new)'!AV631</f>
        <v>0</v>
      </c>
      <c r="W22" s="71">
        <f>'Packer Downtime Detail  '!AD615</f>
        <v>0</v>
      </c>
      <c r="X22" s="71">
        <f>'Carton Errector-sealer Detail'!P615</f>
        <v>0</v>
      </c>
      <c r="Y22" s="71"/>
      <c r="Z22" s="122"/>
      <c r="AA22" s="122"/>
      <c r="AB22" s="122"/>
      <c r="AC22" s="71"/>
      <c r="AD22" s="44">
        <f t="shared" si="0"/>
        <v>0</v>
      </c>
      <c r="AE22" s="604">
        <f>G23-D22</f>
        <v>0</v>
      </c>
      <c r="AF22"/>
      <c r="AG22"/>
      <c r="AH22" s="3"/>
      <c r="AI22" s="23"/>
      <c r="AJ22" s="23"/>
      <c r="AK22" s="54"/>
      <c r="AL22" s="3"/>
      <c r="AM22" s="3"/>
      <c r="AN22" s="3"/>
      <c r="AO22" s="3"/>
      <c r="AP22" s="3"/>
      <c r="AQ22" s="3"/>
      <c r="AR22" s="3"/>
      <c r="AS22" s="3"/>
      <c r="AT22" s="92"/>
      <c r="AU22" s="92"/>
      <c r="AV22" s="92"/>
      <c r="AW22" s="92"/>
      <c r="AX22" s="92"/>
    </row>
    <row r="23" spans="1:50">
      <c r="A23" s="7"/>
      <c r="B23" s="8"/>
      <c r="C23" s="78"/>
      <c r="D23" s="500"/>
      <c r="E23" s="80"/>
      <c r="F23" s="80"/>
      <c r="G23" s="81"/>
      <c r="H23" s="14"/>
      <c r="I23" s="34"/>
      <c r="J23" s="35"/>
      <c r="K23" s="34"/>
      <c r="L23" s="34"/>
      <c r="M23" s="34"/>
      <c r="N23" s="34"/>
      <c r="O23" s="34">
        <f>'Uncaser Downtime Detail '!AG626</f>
        <v>0</v>
      </c>
      <c r="P23" s="34">
        <f>'Washer Downtime Detail'!BH636</f>
        <v>0</v>
      </c>
      <c r="Q23" s="34">
        <f>'EBI Downtime Detail'!AI633</f>
        <v>0</v>
      </c>
      <c r="R23" s="34">
        <f>'Filler Downtime Detail'!AK626</f>
        <v>0</v>
      </c>
      <c r="S23" s="34">
        <f>'Pasteurizer Downtime Detail'!Z605</f>
        <v>0</v>
      </c>
      <c r="T23" s="34">
        <f>'Labeler Downtime Detail'!AN604</f>
        <v>0</v>
      </c>
      <c r="U23" s="34">
        <f>'Videojet Downtime Detail '!O622</f>
        <v>0</v>
      </c>
      <c r="V23" s="34">
        <f>'Conveyor Downtime (new)'!AV632</f>
        <v>0</v>
      </c>
      <c r="W23" s="34">
        <f>'Packer Downtime Detail  '!AD616</f>
        <v>0</v>
      </c>
      <c r="X23" s="34">
        <f>'Carton Errector-sealer Detail'!P616</f>
        <v>0</v>
      </c>
      <c r="Y23" s="35"/>
      <c r="Z23" s="120"/>
      <c r="AA23" s="120"/>
      <c r="AB23" s="120"/>
      <c r="AC23" s="34"/>
      <c r="AD23" s="44">
        <f t="shared" si="0"/>
        <v>0</v>
      </c>
      <c r="AE23" s="605"/>
      <c r="AH23" s="3"/>
      <c r="AI23" s="23"/>
      <c r="AJ23" s="23"/>
      <c r="AK23" s="54"/>
      <c r="AL23" s="3"/>
      <c r="AM23" s="3"/>
      <c r="AN23" s="3"/>
      <c r="AO23" s="3"/>
      <c r="AP23" s="3"/>
      <c r="AQ23" s="3"/>
      <c r="AR23" s="3"/>
      <c r="AS23" s="3"/>
      <c r="AT23" s="3"/>
      <c r="AU23" s="3"/>
      <c r="AV23" s="3"/>
      <c r="AW23" s="3"/>
      <c r="AX23" s="3"/>
    </row>
    <row r="24" spans="1:50">
      <c r="A24" s="7"/>
      <c r="B24" s="8"/>
      <c r="C24" s="78"/>
      <c r="D24" s="500"/>
      <c r="E24" s="80"/>
      <c r="F24" s="80"/>
      <c r="G24" s="81"/>
      <c r="H24" s="82"/>
      <c r="I24" s="32"/>
      <c r="J24" s="86"/>
      <c r="K24" s="71"/>
      <c r="L24" s="71"/>
      <c r="M24" s="71"/>
      <c r="N24" s="71"/>
      <c r="O24" s="71">
        <f>'Uncaser Downtime Detail '!AG627</f>
        <v>0</v>
      </c>
      <c r="P24" s="71">
        <f>'Washer Downtime Detail'!BH637</f>
        <v>0</v>
      </c>
      <c r="Q24" s="71">
        <f>'EBI Downtime Detail'!AI634</f>
        <v>0</v>
      </c>
      <c r="R24" s="71">
        <f>'Filler Downtime Detail'!AK627</f>
        <v>0</v>
      </c>
      <c r="S24" s="71">
        <f>'Pasteurizer Downtime Detail'!Z606</f>
        <v>0</v>
      </c>
      <c r="T24" s="71">
        <f>'Labeler Downtime Detail'!AN605</f>
        <v>0</v>
      </c>
      <c r="U24" s="71">
        <f>'Videojet Downtime Detail '!O623</f>
        <v>0</v>
      </c>
      <c r="V24" s="71">
        <f>'Conveyor Downtime (new)'!AV633</f>
        <v>0</v>
      </c>
      <c r="W24" s="71">
        <f>'Packer Downtime Detail  '!AD617</f>
        <v>0</v>
      </c>
      <c r="X24" s="71">
        <f>'Carton Errector-sealer Detail'!P617</f>
        <v>0</v>
      </c>
      <c r="Y24" s="71"/>
      <c r="Z24" s="122"/>
      <c r="AA24" s="122"/>
      <c r="AB24" s="122"/>
      <c r="AC24" s="71"/>
      <c r="AD24" s="44">
        <f t="shared" si="0"/>
        <v>0</v>
      </c>
      <c r="AE24" s="604">
        <f>G25-D24</f>
        <v>0</v>
      </c>
      <c r="AH24" s="3"/>
      <c r="AI24" s="23"/>
      <c r="AJ24" s="23"/>
      <c r="AK24" s="54"/>
      <c r="AL24" s="3"/>
      <c r="AM24" s="3"/>
      <c r="AN24" s="3"/>
      <c r="AO24" s="3"/>
      <c r="AP24" s="3"/>
      <c r="AQ24" s="3"/>
      <c r="AR24" s="3"/>
      <c r="AS24" s="3"/>
      <c r="AT24" s="3"/>
      <c r="AU24" s="3"/>
      <c r="AV24" s="3"/>
      <c r="AW24" s="3"/>
      <c r="AX24" s="3"/>
    </row>
    <row r="25" spans="1:50">
      <c r="A25" s="7"/>
      <c r="B25" s="8"/>
      <c r="C25" s="78"/>
      <c r="D25" s="500"/>
      <c r="E25" s="80"/>
      <c r="F25" s="80"/>
      <c r="G25" s="81"/>
      <c r="H25" s="14"/>
      <c r="I25" s="34"/>
      <c r="J25" s="35"/>
      <c r="K25" s="34"/>
      <c r="L25" s="34"/>
      <c r="M25" s="34"/>
      <c r="N25" s="34"/>
      <c r="O25" s="34">
        <f>'Uncaser Downtime Detail '!AG628</f>
        <v>0</v>
      </c>
      <c r="P25" s="34">
        <f>'Washer Downtime Detail'!BH638</f>
        <v>0</v>
      </c>
      <c r="Q25" s="34">
        <f>'EBI Downtime Detail'!AI635</f>
        <v>0</v>
      </c>
      <c r="R25" s="34">
        <f>'Filler Downtime Detail'!AK628</f>
        <v>0</v>
      </c>
      <c r="S25" s="34">
        <f>'Pasteurizer Downtime Detail'!Z607</f>
        <v>0</v>
      </c>
      <c r="T25" s="34">
        <f>'Labeler Downtime Detail'!AN606</f>
        <v>0</v>
      </c>
      <c r="U25" s="34">
        <f>'Videojet Downtime Detail '!O624</f>
        <v>0</v>
      </c>
      <c r="V25" s="34">
        <f>'Conveyor Downtime (new)'!AV634</f>
        <v>0</v>
      </c>
      <c r="W25" s="34">
        <f>'Packer Downtime Detail  '!AD618</f>
        <v>0</v>
      </c>
      <c r="X25" s="34">
        <f>'Carton Errector-sealer Detail'!P618</f>
        <v>0</v>
      </c>
      <c r="Y25" s="35"/>
      <c r="Z25" s="120"/>
      <c r="AA25" s="120"/>
      <c r="AB25" s="120"/>
      <c r="AC25" s="34"/>
      <c r="AD25" s="44">
        <f t="shared" si="0"/>
        <v>0</v>
      </c>
      <c r="AE25" s="605"/>
      <c r="AH25" s="3"/>
      <c r="AI25" s="23"/>
      <c r="AJ25" s="23"/>
      <c r="AK25" s="54"/>
      <c r="AL25" s="3"/>
      <c r="AM25" s="3"/>
      <c r="AN25" s="3"/>
      <c r="AO25" s="3"/>
      <c r="AP25" s="3"/>
      <c r="AQ25" s="3"/>
      <c r="AR25" s="3"/>
      <c r="AS25" s="3"/>
      <c r="AT25" s="3"/>
      <c r="AU25" s="3"/>
      <c r="AV25" s="3"/>
      <c r="AW25" s="3"/>
      <c r="AX25" s="3"/>
    </row>
    <row r="26" spans="1:50">
      <c r="A26" s="7"/>
      <c r="B26" s="8"/>
      <c r="C26" s="78"/>
      <c r="D26" s="500"/>
      <c r="E26" s="80"/>
      <c r="F26" s="80"/>
      <c r="G26" s="81"/>
      <c r="H26" s="82"/>
      <c r="I26" s="32"/>
      <c r="J26" s="86"/>
      <c r="K26" s="71"/>
      <c r="L26" s="71"/>
      <c r="M26" s="71"/>
      <c r="N26" s="71"/>
      <c r="O26" s="71">
        <f>'Uncaser Downtime Detail '!AG629</f>
        <v>0</v>
      </c>
      <c r="P26" s="71">
        <f>'Washer Downtime Detail'!BH639</f>
        <v>0</v>
      </c>
      <c r="Q26" s="71">
        <f>'EBI Downtime Detail'!AI636</f>
        <v>0</v>
      </c>
      <c r="R26" s="71">
        <f>'Filler Downtime Detail'!AK629</f>
        <v>0</v>
      </c>
      <c r="S26" s="71">
        <f>'Pasteurizer Downtime Detail'!Z608</f>
        <v>0</v>
      </c>
      <c r="T26" s="71">
        <f>'Labeler Downtime Detail'!AN607</f>
        <v>0</v>
      </c>
      <c r="U26" s="71">
        <f>'Videojet Downtime Detail '!O625</f>
        <v>0</v>
      </c>
      <c r="V26" s="71">
        <f>'Conveyor Downtime (new)'!AV635</f>
        <v>0</v>
      </c>
      <c r="W26" s="71">
        <f>'Packer Downtime Detail  '!AD619</f>
        <v>0</v>
      </c>
      <c r="X26" s="71">
        <f>'Carton Errector-sealer Detail'!P619</f>
        <v>0</v>
      </c>
      <c r="Y26" s="71"/>
      <c r="Z26" s="122"/>
      <c r="AA26" s="122"/>
      <c r="AB26" s="122"/>
      <c r="AC26" s="71"/>
      <c r="AD26" s="44">
        <f t="shared" si="0"/>
        <v>0</v>
      </c>
      <c r="AE26" s="604">
        <f>G27-D26</f>
        <v>0</v>
      </c>
      <c r="AH26" s="3"/>
      <c r="AI26" s="23"/>
      <c r="AJ26" s="23"/>
      <c r="AK26" s="54"/>
      <c r="AL26" s="3"/>
      <c r="AM26" s="3"/>
      <c r="AN26" s="3"/>
      <c r="AO26" s="3"/>
      <c r="AP26" s="3"/>
      <c r="AQ26" s="3"/>
      <c r="AR26" s="3"/>
      <c r="AS26" s="3"/>
      <c r="AT26" s="3"/>
      <c r="AU26" s="3"/>
      <c r="AV26" s="3"/>
      <c r="AW26" s="3"/>
      <c r="AX26" s="3"/>
    </row>
    <row r="27" spans="1:50">
      <c r="A27" s="7"/>
      <c r="B27" s="8"/>
      <c r="C27" s="78"/>
      <c r="D27" s="500"/>
      <c r="E27" s="80"/>
      <c r="F27" s="80"/>
      <c r="G27" s="81"/>
      <c r="H27" s="14"/>
      <c r="I27" s="34"/>
      <c r="J27" s="35"/>
      <c r="K27" s="34"/>
      <c r="L27" s="34"/>
      <c r="M27" s="34"/>
      <c r="N27" s="34"/>
      <c r="O27" s="34">
        <f>'Uncaser Downtime Detail '!AG630</f>
        <v>0</v>
      </c>
      <c r="P27" s="34">
        <f>'Washer Downtime Detail'!BH640</f>
        <v>0</v>
      </c>
      <c r="Q27" s="34">
        <f>'EBI Downtime Detail'!AI637</f>
        <v>0</v>
      </c>
      <c r="R27" s="34">
        <f>'Filler Downtime Detail'!AK630</f>
        <v>0</v>
      </c>
      <c r="S27" s="34">
        <f>'Pasteurizer Downtime Detail'!Z609</f>
        <v>0</v>
      </c>
      <c r="T27" s="34">
        <f>'Labeler Downtime Detail'!AN608</f>
        <v>0</v>
      </c>
      <c r="U27" s="34">
        <f>'Videojet Downtime Detail '!O626</f>
        <v>0</v>
      </c>
      <c r="V27" s="34">
        <f>'Conveyor Downtime (new)'!AV636</f>
        <v>0</v>
      </c>
      <c r="W27" s="34">
        <f>'Packer Downtime Detail  '!AD620</f>
        <v>0</v>
      </c>
      <c r="X27" s="34">
        <f>'Carton Errector-sealer Detail'!P620</f>
        <v>0</v>
      </c>
      <c r="Y27" s="34"/>
      <c r="Z27" s="120"/>
      <c r="AA27" s="120"/>
      <c r="AB27" s="120"/>
      <c r="AC27" s="34"/>
      <c r="AD27" s="44">
        <f t="shared" si="0"/>
        <v>0</v>
      </c>
      <c r="AE27" s="605"/>
      <c r="AH27" s="3"/>
      <c r="AI27" s="23"/>
      <c r="AJ27" s="23"/>
      <c r="AK27" s="54"/>
      <c r="AL27" s="3"/>
      <c r="AM27" s="3"/>
      <c r="AN27" s="3"/>
      <c r="AO27" s="3"/>
      <c r="AP27" s="3"/>
      <c r="AQ27" s="3"/>
      <c r="AR27" s="3"/>
      <c r="AS27" s="3"/>
      <c r="AT27" s="3"/>
      <c r="AU27" s="3"/>
      <c r="AV27" s="3"/>
      <c r="AW27" s="3"/>
      <c r="AX27" s="3"/>
    </row>
    <row r="28" spans="1:50">
      <c r="A28" s="7"/>
      <c r="B28" s="8"/>
      <c r="C28" s="78"/>
      <c r="D28" s="13"/>
      <c r="E28" s="80"/>
      <c r="F28" s="80"/>
      <c r="G28" s="81"/>
      <c r="H28" s="82"/>
      <c r="I28" s="32"/>
      <c r="J28" s="86"/>
      <c r="K28" s="71"/>
      <c r="L28" s="71"/>
      <c r="M28" s="71"/>
      <c r="N28" s="71"/>
      <c r="O28" s="71">
        <f>'Uncaser Downtime Detail '!AG631</f>
        <v>0</v>
      </c>
      <c r="P28" s="71">
        <f>'Washer Downtime Detail'!BH641</f>
        <v>0</v>
      </c>
      <c r="Q28" s="71">
        <f>'EBI Downtime Detail'!AI638</f>
        <v>0</v>
      </c>
      <c r="R28" s="71">
        <f>'Filler Downtime Detail'!AK631</f>
        <v>0</v>
      </c>
      <c r="S28" s="71">
        <f>'Pasteurizer Downtime Detail'!Z610</f>
        <v>0</v>
      </c>
      <c r="T28" s="71">
        <f>'Labeler Downtime Detail'!AN609</f>
        <v>0</v>
      </c>
      <c r="U28" s="71">
        <f>'Videojet Downtime Detail '!O627</f>
        <v>0</v>
      </c>
      <c r="V28" s="71">
        <f>'Conveyor Downtime (new)'!AV637</f>
        <v>0</v>
      </c>
      <c r="W28" s="71">
        <f>'Packer Downtime Detail  '!AD621</f>
        <v>0</v>
      </c>
      <c r="X28" s="71">
        <f>'Carton Errector-sealer Detail'!P621</f>
        <v>0</v>
      </c>
      <c r="Y28" s="71"/>
      <c r="Z28" s="122"/>
      <c r="AA28" s="122"/>
      <c r="AB28" s="122"/>
      <c r="AC28" s="71"/>
      <c r="AD28" s="44">
        <f t="shared" si="0"/>
        <v>0</v>
      </c>
      <c r="AE28" s="45">
        <f>G28-D28</f>
        <v>0</v>
      </c>
      <c r="AH28" s="3"/>
      <c r="AI28" s="23"/>
      <c r="AJ28" s="23"/>
      <c r="AK28" s="54"/>
      <c r="AL28" s="3"/>
      <c r="AM28" s="3"/>
      <c r="AN28" s="3"/>
      <c r="AO28" s="3"/>
      <c r="AP28" s="3"/>
      <c r="AQ28" s="3"/>
      <c r="AR28" s="3"/>
      <c r="AS28" s="3"/>
      <c r="AT28" s="3"/>
      <c r="AU28" s="3"/>
      <c r="AV28" s="3"/>
      <c r="AW28" s="3"/>
      <c r="AX28" s="3"/>
    </row>
    <row r="29" spans="1:50">
      <c r="A29" s="7"/>
      <c r="B29" s="8"/>
      <c r="C29" s="78"/>
      <c r="D29" s="13"/>
      <c r="E29" s="80"/>
      <c r="F29" s="80"/>
      <c r="G29" s="81"/>
      <c r="H29" s="14"/>
      <c r="I29" s="34"/>
      <c r="J29" s="35"/>
      <c r="K29" s="34"/>
      <c r="L29" s="34"/>
      <c r="M29" s="34"/>
      <c r="N29" s="34"/>
      <c r="O29" s="34">
        <f>'Uncaser Downtime Detail '!AG632</f>
        <v>0</v>
      </c>
      <c r="P29" s="34">
        <f>'Washer Downtime Detail'!BH642</f>
        <v>0</v>
      </c>
      <c r="Q29" s="34">
        <f>'EBI Downtime Detail'!AI639</f>
        <v>0</v>
      </c>
      <c r="R29" s="34">
        <f>'Filler Downtime Detail'!AK632</f>
        <v>0</v>
      </c>
      <c r="S29" s="34">
        <f>'Pasteurizer Downtime Detail'!Z611</f>
        <v>0</v>
      </c>
      <c r="T29" s="34">
        <f>'Labeler Downtime Detail'!AN610</f>
        <v>0</v>
      </c>
      <c r="U29" s="34">
        <f>'Videojet Downtime Detail '!O628</f>
        <v>0</v>
      </c>
      <c r="V29" s="34">
        <f>'Conveyor Downtime (new)'!AV638</f>
        <v>0</v>
      </c>
      <c r="W29" s="34">
        <f>'Packer Downtime Detail  '!AD622</f>
        <v>0</v>
      </c>
      <c r="X29" s="34">
        <f>'Carton Errector-sealer Detail'!P622</f>
        <v>0</v>
      </c>
      <c r="Y29" s="34"/>
      <c r="Z29" s="120"/>
      <c r="AA29" s="120"/>
      <c r="AB29" s="120"/>
      <c r="AC29" s="34"/>
      <c r="AD29" s="44">
        <f t="shared" si="0"/>
        <v>0</v>
      </c>
      <c r="AE29" s="45">
        <f>G29-D29</f>
        <v>0</v>
      </c>
      <c r="AH29" s="3"/>
      <c r="AI29" s="23"/>
      <c r="AJ29" s="23"/>
      <c r="AK29" s="54"/>
      <c r="AL29" s="3"/>
      <c r="AM29" s="3"/>
      <c r="AN29" s="3"/>
      <c r="AO29" s="3"/>
      <c r="AP29" s="3"/>
      <c r="AQ29" s="3"/>
      <c r="AR29" s="3"/>
      <c r="AS29" s="3"/>
      <c r="AT29" s="3"/>
      <c r="AU29" s="3"/>
      <c r="AV29" s="3"/>
      <c r="AW29" s="3"/>
      <c r="AX29" s="3"/>
    </row>
    <row r="30" spans="1:50">
      <c r="A30" s="7"/>
      <c r="B30" s="8"/>
      <c r="C30" s="78"/>
      <c r="D30" s="500"/>
      <c r="E30" s="80"/>
      <c r="F30" s="80"/>
      <c r="G30" s="81"/>
      <c r="H30" s="82"/>
      <c r="I30" s="32"/>
      <c r="J30" s="86"/>
      <c r="K30" s="71"/>
      <c r="L30" s="71"/>
      <c r="M30" s="71"/>
      <c r="N30" s="71"/>
      <c r="O30" s="71">
        <f>'Uncaser Downtime Detail '!AG633</f>
        <v>0</v>
      </c>
      <c r="P30" s="71">
        <f>'Washer Downtime Detail'!BH643</f>
        <v>0</v>
      </c>
      <c r="Q30" s="71">
        <f>'EBI Downtime Detail'!AI640</f>
        <v>0</v>
      </c>
      <c r="R30" s="71">
        <f>'Filler Downtime Detail'!AK633</f>
        <v>0</v>
      </c>
      <c r="S30" s="71">
        <f>'Pasteurizer Downtime Detail'!Z612</f>
        <v>0</v>
      </c>
      <c r="T30" s="71">
        <f>'Labeler Downtime Detail'!AN611</f>
        <v>0</v>
      </c>
      <c r="U30" s="71">
        <f>'Videojet Downtime Detail '!O629</f>
        <v>0</v>
      </c>
      <c r="V30" s="71">
        <f>'Conveyor Downtime (new)'!AV639</f>
        <v>0</v>
      </c>
      <c r="W30" s="71">
        <f>'Packer Downtime Detail  '!AD623</f>
        <v>0</v>
      </c>
      <c r="X30" s="71">
        <f>'Carton Errector-sealer Detail'!P623</f>
        <v>0</v>
      </c>
      <c r="Y30" s="71"/>
      <c r="Z30" s="122"/>
      <c r="AA30" s="122"/>
      <c r="AB30" s="122"/>
      <c r="AC30" s="71"/>
      <c r="AD30" s="44">
        <f t="shared" si="0"/>
        <v>0</v>
      </c>
      <c r="AE30" s="604">
        <f>G31-D30</f>
        <v>0</v>
      </c>
      <c r="AH30" s="3"/>
      <c r="AI30" s="23"/>
      <c r="AJ30" s="23"/>
      <c r="AK30" s="54"/>
      <c r="AL30" s="3"/>
      <c r="AM30" s="3"/>
      <c r="AN30" s="3"/>
      <c r="AO30" s="3"/>
      <c r="AP30" s="3"/>
      <c r="AQ30" s="3"/>
      <c r="AR30" s="3"/>
      <c r="AS30" s="3"/>
      <c r="AT30" s="3"/>
      <c r="AU30" s="3"/>
      <c r="AV30" s="3"/>
      <c r="AW30" s="3"/>
      <c r="AX30" s="3"/>
    </row>
    <row r="31" spans="1:50">
      <c r="A31" s="7"/>
      <c r="B31" s="8"/>
      <c r="C31" s="78"/>
      <c r="D31" s="500"/>
      <c r="E31" s="80"/>
      <c r="F31" s="80"/>
      <c r="G31" s="81"/>
      <c r="H31" s="14"/>
      <c r="I31" s="34"/>
      <c r="J31" s="35"/>
      <c r="K31" s="34"/>
      <c r="L31" s="34"/>
      <c r="M31" s="34"/>
      <c r="N31" s="34"/>
      <c r="O31" s="34">
        <f>'Uncaser Downtime Detail '!AG634</f>
        <v>0</v>
      </c>
      <c r="P31" s="34">
        <f>'Washer Downtime Detail'!BH644</f>
        <v>0</v>
      </c>
      <c r="Q31" s="34">
        <f>'EBI Downtime Detail'!AI641</f>
        <v>0</v>
      </c>
      <c r="R31" s="34">
        <f>'Filler Downtime Detail'!AK634</f>
        <v>0</v>
      </c>
      <c r="S31" s="34">
        <f>'Pasteurizer Downtime Detail'!Z613</f>
        <v>0</v>
      </c>
      <c r="T31" s="34">
        <f>'Labeler Downtime Detail'!AN612</f>
        <v>0</v>
      </c>
      <c r="U31" s="34">
        <f>'Videojet Downtime Detail '!O630</f>
        <v>0</v>
      </c>
      <c r="V31" s="34">
        <f>'Conveyor Downtime (new)'!AV640</f>
        <v>0</v>
      </c>
      <c r="W31" s="34">
        <f>'Packer Downtime Detail  '!AD624</f>
        <v>0</v>
      </c>
      <c r="X31" s="34">
        <f>'Carton Errector-sealer Detail'!P624</f>
        <v>0</v>
      </c>
      <c r="Y31" s="34"/>
      <c r="Z31" s="120"/>
      <c r="AA31" s="120"/>
      <c r="AB31" s="123"/>
      <c r="AC31" s="34"/>
      <c r="AD31" s="44">
        <f t="shared" si="0"/>
        <v>0</v>
      </c>
      <c r="AE31" s="605"/>
      <c r="AH31" s="3"/>
      <c r="AI31" s="23"/>
      <c r="AJ31" s="23"/>
      <c r="AK31" s="54"/>
      <c r="AL31" s="3"/>
      <c r="AM31" s="3"/>
      <c r="AN31" s="3"/>
      <c r="AO31" s="3"/>
      <c r="AP31" s="3"/>
      <c r="AQ31" s="3"/>
      <c r="AR31" s="3"/>
      <c r="AS31" s="3"/>
      <c r="AT31" s="3"/>
      <c r="AU31" s="3"/>
      <c r="AV31" s="3"/>
      <c r="AW31" s="3"/>
      <c r="AX31" s="3"/>
    </row>
    <row r="32" spans="1:50">
      <c r="A32" s="7"/>
      <c r="B32" s="8"/>
      <c r="C32" s="78"/>
      <c r="D32" s="500"/>
      <c r="E32" s="80"/>
      <c r="F32" s="80"/>
      <c r="G32" s="81"/>
      <c r="H32" s="82"/>
      <c r="I32" s="32"/>
      <c r="J32" s="86"/>
      <c r="K32" s="71"/>
      <c r="L32" s="71"/>
      <c r="M32" s="71"/>
      <c r="N32" s="71"/>
      <c r="O32" s="71">
        <f>'Uncaser Downtime Detail '!AG635</f>
        <v>0</v>
      </c>
      <c r="P32" s="71">
        <f>'Washer Downtime Detail'!BH645</f>
        <v>0</v>
      </c>
      <c r="Q32" s="71">
        <f>'EBI Downtime Detail'!AI642</f>
        <v>0</v>
      </c>
      <c r="R32" s="71">
        <f>'Filler Downtime Detail'!AK635</f>
        <v>0</v>
      </c>
      <c r="S32" s="71">
        <f>'Pasteurizer Downtime Detail'!Z614</f>
        <v>0</v>
      </c>
      <c r="T32" s="71">
        <f>'Labeler Downtime Detail'!AN613</f>
        <v>0</v>
      </c>
      <c r="U32" s="71">
        <f>'Videojet Downtime Detail '!O631</f>
        <v>0</v>
      </c>
      <c r="V32" s="71">
        <f>'Conveyor Downtime (new)'!AV641</f>
        <v>0</v>
      </c>
      <c r="W32" s="71">
        <f>'Packer Downtime Detail  '!AD625</f>
        <v>0</v>
      </c>
      <c r="X32" s="71">
        <f>'Carton Errector-sealer Detail'!P625</f>
        <v>0</v>
      </c>
      <c r="Y32" s="71"/>
      <c r="Z32" s="122"/>
      <c r="AA32" s="122"/>
      <c r="AB32" s="122"/>
      <c r="AC32" s="71"/>
      <c r="AD32" s="44">
        <f t="shared" si="0"/>
        <v>0</v>
      </c>
      <c r="AE32" s="604">
        <f>G33-D32</f>
        <v>0</v>
      </c>
      <c r="AH32" s="3"/>
      <c r="AI32" s="23"/>
      <c r="AJ32" s="23"/>
      <c r="AK32" s="54"/>
      <c r="AL32" s="3"/>
      <c r="AM32" s="3"/>
      <c r="AN32" s="3"/>
      <c r="AO32" s="3"/>
      <c r="AP32" s="3"/>
      <c r="AQ32" s="3"/>
      <c r="AR32" s="3"/>
      <c r="AS32" s="3"/>
      <c r="AT32" s="3"/>
      <c r="AU32" s="3"/>
      <c r="AV32" s="3"/>
      <c r="AW32" s="3"/>
      <c r="AX32" s="3"/>
    </row>
    <row r="33" spans="1:50">
      <c r="A33" s="7"/>
      <c r="B33" s="8"/>
      <c r="C33" s="78"/>
      <c r="D33" s="500"/>
      <c r="E33" s="80"/>
      <c r="F33" s="80"/>
      <c r="G33" s="81"/>
      <c r="H33" s="14"/>
      <c r="I33" s="34"/>
      <c r="J33" s="35"/>
      <c r="K33" s="34"/>
      <c r="L33" s="34"/>
      <c r="M33" s="34"/>
      <c r="N33" s="34"/>
      <c r="O33" s="34">
        <f>'Uncaser Downtime Detail '!AG636</f>
        <v>0</v>
      </c>
      <c r="P33" s="34">
        <f>'Washer Downtime Detail'!BH646</f>
        <v>0</v>
      </c>
      <c r="Q33" s="34">
        <f>'EBI Downtime Detail'!AI643</f>
        <v>0</v>
      </c>
      <c r="R33" s="34">
        <f>'Filler Downtime Detail'!AK636</f>
        <v>0</v>
      </c>
      <c r="S33" s="34">
        <f>'Pasteurizer Downtime Detail'!Z615</f>
        <v>0</v>
      </c>
      <c r="T33" s="34">
        <f>'Labeler Downtime Detail'!AN614</f>
        <v>0</v>
      </c>
      <c r="U33" s="34">
        <f>'Videojet Downtime Detail '!O632</f>
        <v>0</v>
      </c>
      <c r="V33" s="34">
        <f>'Conveyor Downtime (new)'!AV642</f>
        <v>0</v>
      </c>
      <c r="W33" s="34">
        <f>'Packer Downtime Detail  '!AD626</f>
        <v>0</v>
      </c>
      <c r="X33" s="34">
        <f>'Carton Errector-sealer Detail'!P626</f>
        <v>0</v>
      </c>
      <c r="Y33" s="34"/>
      <c r="Z33" s="120"/>
      <c r="AA33" s="120"/>
      <c r="AB33" s="120"/>
      <c r="AC33" s="34"/>
      <c r="AD33" s="44">
        <f t="shared" si="0"/>
        <v>0</v>
      </c>
      <c r="AE33" s="605"/>
      <c r="AH33" s="3"/>
      <c r="AI33" s="23"/>
      <c r="AJ33" s="23"/>
      <c r="AK33" s="54"/>
      <c r="AL33" s="3"/>
      <c r="AM33" s="3"/>
      <c r="AN33" s="3"/>
      <c r="AO33" s="3"/>
      <c r="AP33" s="3"/>
      <c r="AQ33" s="3"/>
      <c r="AR33" s="3"/>
      <c r="AS33" s="3"/>
      <c r="AT33" s="3"/>
      <c r="AU33" s="3"/>
      <c r="AV33" s="3"/>
      <c r="AW33" s="3"/>
      <c r="AX33" s="3"/>
    </row>
    <row r="34" spans="1:50">
      <c r="A34" s="7"/>
      <c r="B34" s="8"/>
      <c r="C34" s="78"/>
      <c r="D34" s="500"/>
      <c r="E34" s="80"/>
      <c r="F34" s="80"/>
      <c r="G34" s="81"/>
      <c r="H34" s="82"/>
      <c r="I34" s="3"/>
      <c r="J34" s="86"/>
      <c r="L34" s="71"/>
      <c r="M34" s="71"/>
      <c r="N34" s="71"/>
      <c r="O34" s="71">
        <f>'Uncaser Downtime Detail '!AG637</f>
        <v>0</v>
      </c>
      <c r="P34" s="71">
        <f>'Washer Downtime Detail'!BH647</f>
        <v>0</v>
      </c>
      <c r="Q34" s="71">
        <f>'EBI Downtime Detail'!AI644</f>
        <v>0</v>
      </c>
      <c r="R34" s="71">
        <f>'Filler Downtime Detail'!AK637</f>
        <v>0</v>
      </c>
      <c r="S34" s="71">
        <f>'Pasteurizer Downtime Detail'!Z616</f>
        <v>0</v>
      </c>
      <c r="T34" s="71">
        <f>'Labeler Downtime Detail'!AN615</f>
        <v>0</v>
      </c>
      <c r="U34" s="71">
        <f>'Videojet Downtime Detail '!O633</f>
        <v>0</v>
      </c>
      <c r="V34" s="71">
        <f>'Conveyor Downtime (new)'!AV643</f>
        <v>0</v>
      </c>
      <c r="W34" s="71">
        <f>'Packer Downtime Detail  '!AD627</f>
        <v>0</v>
      </c>
      <c r="X34">
        <f>'Carton Errector-sealer Detail'!P627</f>
        <v>0</v>
      </c>
      <c r="Y34" s="71"/>
      <c r="Z34" s="122"/>
      <c r="AA34" s="122"/>
      <c r="AB34" s="122"/>
      <c r="AC34" s="71"/>
      <c r="AD34" s="44">
        <f t="shared" si="0"/>
        <v>0</v>
      </c>
      <c r="AE34" s="604">
        <f>G35-D34</f>
        <v>0</v>
      </c>
      <c r="AH34" s="3"/>
      <c r="AI34" s="23"/>
      <c r="AJ34" s="23"/>
      <c r="AK34" s="54"/>
      <c r="AL34" s="3"/>
      <c r="AM34" s="3"/>
      <c r="AN34" s="3"/>
      <c r="AO34" s="3"/>
      <c r="AP34" s="3"/>
      <c r="AQ34" s="3"/>
      <c r="AR34" s="3"/>
      <c r="AS34" s="3"/>
      <c r="AT34" s="3"/>
      <c r="AU34" s="3"/>
      <c r="AV34" s="3"/>
      <c r="AW34" s="3"/>
      <c r="AX34" s="3"/>
    </row>
    <row r="35" spans="1:50" ht="12.6" customHeight="1">
      <c r="A35" s="7"/>
      <c r="B35" s="8"/>
      <c r="C35" s="78"/>
      <c r="D35" s="500"/>
      <c r="E35" s="80"/>
      <c r="F35" s="80"/>
      <c r="G35" s="81"/>
      <c r="H35" s="14"/>
      <c r="I35" s="34"/>
      <c r="J35" s="35"/>
      <c r="K35" s="34"/>
      <c r="L35" s="34"/>
      <c r="M35" s="34"/>
      <c r="N35" s="34"/>
      <c r="O35" s="34">
        <f>'Uncaser Downtime Detail '!AG638</f>
        <v>0</v>
      </c>
      <c r="P35" s="34">
        <f>'Washer Downtime Detail'!BH648</f>
        <v>0</v>
      </c>
      <c r="Q35" s="34">
        <f>'EBI Downtime Detail'!AI645</f>
        <v>0</v>
      </c>
      <c r="R35" s="34">
        <f>'Filler Downtime Detail'!AK638</f>
        <v>0</v>
      </c>
      <c r="S35" s="34">
        <f>'Pasteurizer Downtime Detail'!Z617</f>
        <v>0</v>
      </c>
      <c r="T35" s="34">
        <f>'Labeler Downtime Detail'!AN616</f>
        <v>0</v>
      </c>
      <c r="U35" s="34">
        <f>'Videojet Downtime Detail '!O634</f>
        <v>0</v>
      </c>
      <c r="V35" s="34">
        <f>'Conveyor Downtime (new)'!AV644</f>
        <v>0</v>
      </c>
      <c r="W35" s="34">
        <f>'Packer Downtime Detail  '!AD628</f>
        <v>0</v>
      </c>
      <c r="X35" s="34">
        <f>'Carton Errector-sealer Detail'!P628</f>
        <v>0</v>
      </c>
      <c r="Y35" s="34"/>
      <c r="Z35" s="120"/>
      <c r="AA35" s="120"/>
      <c r="AB35" s="120"/>
      <c r="AC35" s="34"/>
      <c r="AD35" s="44">
        <f t="shared" si="0"/>
        <v>0</v>
      </c>
      <c r="AE35" s="605"/>
      <c r="AH35" s="3"/>
      <c r="AI35" s="23"/>
      <c r="AJ35" s="23"/>
      <c r="AK35" s="54"/>
      <c r="AL35" s="3"/>
      <c r="AM35" s="3"/>
      <c r="AN35" s="3"/>
      <c r="AO35" s="3"/>
      <c r="AP35" s="3"/>
      <c r="AQ35" s="3"/>
      <c r="AR35" s="3"/>
      <c r="AS35" s="3"/>
      <c r="AT35" s="3"/>
      <c r="AU35" s="3"/>
      <c r="AV35" s="3"/>
      <c r="AW35" s="3"/>
      <c r="AX35" s="3"/>
    </row>
    <row r="36" spans="1:50">
      <c r="A36" s="7"/>
      <c r="B36" s="8"/>
      <c r="C36" s="78"/>
      <c r="D36" s="500"/>
      <c r="E36" s="80"/>
      <c r="F36" s="80"/>
      <c r="G36" s="81"/>
      <c r="H36" s="82"/>
      <c r="I36" s="32"/>
      <c r="J36" s="86"/>
      <c r="K36" s="71"/>
      <c r="L36" s="71"/>
      <c r="M36" s="71"/>
      <c r="N36" s="71"/>
      <c r="O36" s="71">
        <f>'Uncaser Downtime Detail '!AG639</f>
        <v>0</v>
      </c>
      <c r="P36" s="71">
        <f>'Washer Downtime Detail'!BH649</f>
        <v>0</v>
      </c>
      <c r="Q36" s="71">
        <f>'EBI Downtime Detail'!AI646</f>
        <v>0</v>
      </c>
      <c r="R36" s="71">
        <f>'Filler Downtime Detail'!AK639</f>
        <v>0</v>
      </c>
      <c r="S36" s="71">
        <f>'Pasteurizer Downtime Detail'!Z618</f>
        <v>0</v>
      </c>
      <c r="T36" s="71">
        <f>'Labeler Downtime Detail'!AN617</f>
        <v>0</v>
      </c>
      <c r="U36" s="71">
        <f>'Videojet Downtime Detail '!O635</f>
        <v>0</v>
      </c>
      <c r="V36" s="71">
        <f>'Conveyor Downtime (new)'!AV645</f>
        <v>0</v>
      </c>
      <c r="W36" s="71">
        <f>'Packer Downtime Detail  '!AD629</f>
        <v>0</v>
      </c>
      <c r="X36" s="71">
        <f>'Carton Errector-sealer Detail'!P629</f>
        <v>0</v>
      </c>
      <c r="Y36" s="71"/>
      <c r="Z36" s="122"/>
      <c r="AA36" s="122"/>
      <c r="AB36" s="122"/>
      <c r="AC36" s="71"/>
      <c r="AD36" s="44">
        <f t="shared" si="0"/>
        <v>0</v>
      </c>
      <c r="AE36" s="604">
        <f>G37-D36</f>
        <v>0</v>
      </c>
      <c r="AH36" s="3"/>
      <c r="AI36" s="23"/>
      <c r="AJ36" s="23"/>
      <c r="AK36" s="54"/>
      <c r="AL36" s="3"/>
      <c r="AM36" s="3"/>
      <c r="AN36" s="3"/>
      <c r="AO36" s="3"/>
      <c r="AP36" s="3"/>
      <c r="AQ36" s="3"/>
      <c r="AR36" s="3"/>
      <c r="AS36" s="3"/>
      <c r="AT36" s="3"/>
      <c r="AU36" s="3"/>
      <c r="AV36" s="3"/>
      <c r="AW36" s="3"/>
      <c r="AX36" s="3"/>
    </row>
    <row r="37" spans="1:50" ht="13.35" customHeight="1">
      <c r="A37" s="7"/>
      <c r="B37" s="8"/>
      <c r="C37" s="78"/>
      <c r="D37" s="500"/>
      <c r="E37" s="80"/>
      <c r="F37" s="80"/>
      <c r="G37" s="81"/>
      <c r="H37" s="14"/>
      <c r="I37" s="34"/>
      <c r="J37" s="35"/>
      <c r="K37" s="34"/>
      <c r="L37" s="34"/>
      <c r="M37" s="34"/>
      <c r="N37" s="34"/>
      <c r="O37" s="34">
        <f>'Uncaser Downtime Detail '!AG640</f>
        <v>0</v>
      </c>
      <c r="P37" s="34">
        <f>'Washer Downtime Detail'!BH650</f>
        <v>0</v>
      </c>
      <c r="Q37" s="34">
        <f>'EBI Downtime Detail'!AI647</f>
        <v>0</v>
      </c>
      <c r="R37" s="34">
        <f>'Filler Downtime Detail'!AK640</f>
        <v>0</v>
      </c>
      <c r="S37" s="34">
        <f>'Pasteurizer Downtime Detail'!Z619</f>
        <v>0</v>
      </c>
      <c r="T37" s="34">
        <f>'Labeler Downtime Detail'!AN618</f>
        <v>0</v>
      </c>
      <c r="U37" s="34">
        <f>'Videojet Downtime Detail '!O636</f>
        <v>0</v>
      </c>
      <c r="V37" s="34">
        <f>'Conveyor Downtime (new)'!AV646</f>
        <v>0</v>
      </c>
      <c r="W37" s="34">
        <f>'Packer Downtime Detail  '!AD630</f>
        <v>0</v>
      </c>
      <c r="X37" s="34">
        <f>'Carton Errector-sealer Detail'!P630</f>
        <v>0</v>
      </c>
      <c r="Y37" s="34"/>
      <c r="Z37" s="120"/>
      <c r="AA37" s="120"/>
      <c r="AB37" s="120"/>
      <c r="AC37" s="34"/>
      <c r="AD37" s="44">
        <f t="shared" si="0"/>
        <v>0</v>
      </c>
      <c r="AE37" s="605"/>
      <c r="AH37" s="3"/>
      <c r="AI37" s="23"/>
      <c r="AJ37" s="23"/>
      <c r="AK37" s="54"/>
      <c r="AL37" s="3"/>
      <c r="AM37" s="3"/>
      <c r="AN37" s="3"/>
      <c r="AO37" s="3"/>
      <c r="AP37" s="3"/>
      <c r="AQ37" s="3"/>
      <c r="AR37" s="3"/>
      <c r="AS37" s="3"/>
      <c r="AT37" s="3"/>
      <c r="AU37" s="3"/>
      <c r="AV37" s="3"/>
      <c r="AW37" s="3"/>
      <c r="AX37" s="3"/>
    </row>
    <row r="38" spans="1:50" ht="13.35" customHeight="1">
      <c r="A38" s="7"/>
      <c r="B38" s="8"/>
      <c r="C38" s="78"/>
      <c r="D38" s="13"/>
      <c r="E38" s="80"/>
      <c r="F38" s="80"/>
      <c r="G38" s="81"/>
      <c r="H38" s="82"/>
      <c r="I38" s="32"/>
      <c r="J38" s="86"/>
      <c r="K38" s="71"/>
      <c r="L38" s="71"/>
      <c r="M38" s="71"/>
      <c r="N38" s="71"/>
      <c r="O38" s="71">
        <f>'Uncaser Downtime Detail '!AG641</f>
        <v>0</v>
      </c>
      <c r="P38" s="71">
        <f>'Washer Downtime Detail'!BH651</f>
        <v>0</v>
      </c>
      <c r="Q38" s="71">
        <f>'EBI Downtime Detail'!AI648</f>
        <v>0</v>
      </c>
      <c r="R38" s="71">
        <f>'Filler Downtime Detail'!AK641</f>
        <v>0</v>
      </c>
      <c r="S38" s="71">
        <f>'Pasteurizer Downtime Detail'!Z620</f>
        <v>0</v>
      </c>
      <c r="T38" s="71">
        <f>'Labeler Downtime Detail'!AN619</f>
        <v>0</v>
      </c>
      <c r="U38" s="71">
        <f>'Videojet Downtime Detail '!O637</f>
        <v>0</v>
      </c>
      <c r="V38" s="71">
        <f>'Conveyor Downtime (new)'!AV647</f>
        <v>0</v>
      </c>
      <c r="W38" s="71">
        <f>'Packer Downtime Detail  '!AD631</f>
        <v>0</v>
      </c>
      <c r="X38" s="71">
        <f>'Carton Errector-sealer Detail'!P631</f>
        <v>0</v>
      </c>
      <c r="Y38" s="71"/>
      <c r="Z38" s="122"/>
      <c r="AA38" s="122"/>
      <c r="AB38" s="122"/>
      <c r="AC38" s="71"/>
      <c r="AD38" s="44">
        <f t="shared" si="0"/>
        <v>0</v>
      </c>
      <c r="AE38" s="45">
        <f>G38-D38</f>
        <v>0</v>
      </c>
      <c r="AH38" s="3"/>
      <c r="AI38" s="23"/>
      <c r="AJ38" s="23"/>
      <c r="AK38" s="54"/>
      <c r="AL38" s="3"/>
      <c r="AM38" s="3"/>
      <c r="AN38" s="3"/>
      <c r="AO38" s="3"/>
      <c r="AP38" s="3"/>
      <c r="AQ38" s="3"/>
      <c r="AR38" s="3"/>
      <c r="AS38" s="3"/>
      <c r="AT38" s="3"/>
      <c r="AU38" s="3"/>
      <c r="AV38" s="3"/>
      <c r="AW38" s="3"/>
      <c r="AX38" s="3"/>
    </row>
    <row r="39" spans="1:50" ht="13.35" customHeight="1">
      <c r="A39" s="7"/>
      <c r="B39" s="8"/>
      <c r="C39" s="78"/>
      <c r="D39" s="13"/>
      <c r="E39" s="80"/>
      <c r="F39" s="80"/>
      <c r="G39" s="81"/>
      <c r="H39" s="14"/>
      <c r="I39" s="34"/>
      <c r="J39" s="35"/>
      <c r="K39" s="34"/>
      <c r="L39" s="34"/>
      <c r="M39" s="34"/>
      <c r="N39" s="34"/>
      <c r="O39" s="34">
        <f>'Uncaser Downtime Detail '!AG642</f>
        <v>0</v>
      </c>
      <c r="P39" s="34">
        <f>'Washer Downtime Detail'!BH652</f>
        <v>0</v>
      </c>
      <c r="Q39" s="34">
        <f>'EBI Downtime Detail'!AI649</f>
        <v>0</v>
      </c>
      <c r="R39" s="34">
        <f>'Filler Downtime Detail'!AK642</f>
        <v>0</v>
      </c>
      <c r="S39" s="34">
        <f>'Pasteurizer Downtime Detail'!Z621</f>
        <v>0</v>
      </c>
      <c r="T39" s="34">
        <f>'Labeler Downtime Detail'!AN620</f>
        <v>0</v>
      </c>
      <c r="U39" s="34">
        <f>'Videojet Downtime Detail '!O638</f>
        <v>0</v>
      </c>
      <c r="V39" s="34">
        <f>'Conveyor Downtime (new)'!AV648</f>
        <v>0</v>
      </c>
      <c r="W39" s="34">
        <f>'Packer Downtime Detail  '!AD632</f>
        <v>0</v>
      </c>
      <c r="X39" s="34">
        <f>'Carton Errector-sealer Detail'!P632</f>
        <v>0</v>
      </c>
      <c r="Y39" s="34"/>
      <c r="Z39" s="120"/>
      <c r="AA39" s="120"/>
      <c r="AB39" s="120"/>
      <c r="AC39" s="34"/>
      <c r="AD39" s="44">
        <f t="shared" si="0"/>
        <v>0</v>
      </c>
      <c r="AE39" s="45">
        <f t="shared" ref="AE39" si="1">G39-D39</f>
        <v>0</v>
      </c>
      <c r="AH39" s="3"/>
      <c r="AI39" s="23"/>
      <c r="AJ39" s="23"/>
      <c r="AK39" s="54"/>
      <c r="AL39" s="3"/>
      <c r="AM39" s="3"/>
      <c r="AN39" s="3"/>
      <c r="AO39" s="3"/>
      <c r="AP39" s="3"/>
      <c r="AQ39" s="3"/>
      <c r="AR39" s="3"/>
      <c r="AS39" s="3"/>
      <c r="AT39" s="3"/>
      <c r="AU39" s="3"/>
      <c r="AV39" s="3"/>
      <c r="AW39" s="3"/>
      <c r="AX39" s="3"/>
    </row>
    <row r="40" spans="1:50" s="497" customFormat="1" ht="13.35" customHeight="1">
      <c r="A40" s="486"/>
      <c r="B40" s="487"/>
      <c r="C40" s="502"/>
      <c r="D40" s="13"/>
      <c r="E40" s="80"/>
      <c r="F40" s="80"/>
      <c r="G40" s="81"/>
      <c r="H40" s="490"/>
      <c r="I40" s="491"/>
      <c r="J40" s="492"/>
      <c r="K40" s="491"/>
      <c r="L40" s="491"/>
      <c r="M40" s="491"/>
      <c r="N40" s="491"/>
      <c r="O40" s="491">
        <f>'Uncaser Downtime Detail '!AG643</f>
        <v>0</v>
      </c>
      <c r="P40" s="491">
        <f>'Washer Downtime Detail'!BH653</f>
        <v>0</v>
      </c>
      <c r="Q40" s="491">
        <f>'EBI Downtime Detail'!AI650</f>
        <v>0</v>
      </c>
      <c r="R40" s="491">
        <f>'Filler Downtime Detail'!AK643</f>
        <v>0</v>
      </c>
      <c r="S40" s="491">
        <f>'Pasteurizer Downtime Detail'!Z622</f>
        <v>0</v>
      </c>
      <c r="T40" s="491">
        <f>'Labeler Downtime Detail'!AN621</f>
        <v>0</v>
      </c>
      <c r="U40" s="491">
        <f>'Videojet Downtime Detail '!O639</f>
        <v>0</v>
      </c>
      <c r="V40" s="491">
        <f>'Conveyor Downtime (new)'!AV649</f>
        <v>0</v>
      </c>
      <c r="W40" s="491">
        <f>'Packer Downtime Detail  '!AD633</f>
        <v>0</v>
      </c>
      <c r="X40" s="491">
        <f>'Carton Errector-sealer Detail'!P633</f>
        <v>0</v>
      </c>
      <c r="Y40" s="491"/>
      <c r="Z40" s="518"/>
      <c r="AA40" s="518"/>
      <c r="AB40" s="518"/>
      <c r="AC40" s="491"/>
      <c r="AD40" s="495"/>
      <c r="AE40" s="496"/>
      <c r="AH40" s="498"/>
      <c r="AI40" s="504"/>
      <c r="AJ40" s="504"/>
      <c r="AK40" s="505"/>
      <c r="AL40" s="498"/>
      <c r="AM40" s="498"/>
      <c r="AN40" s="498"/>
      <c r="AO40" s="498"/>
      <c r="AP40" s="498"/>
      <c r="AQ40" s="498"/>
      <c r="AR40" s="498"/>
      <c r="AS40" s="498"/>
      <c r="AT40" s="498"/>
      <c r="AU40" s="498"/>
      <c r="AV40" s="498"/>
      <c r="AW40" s="498"/>
      <c r="AX40" s="498"/>
    </row>
    <row r="41" spans="1:50" ht="12" customHeight="1">
      <c r="A41" s="7"/>
      <c r="B41" s="8"/>
      <c r="C41" s="78"/>
      <c r="D41" s="500"/>
      <c r="E41" s="80"/>
      <c r="F41" s="80"/>
      <c r="G41" s="81"/>
      <c r="H41" s="82"/>
      <c r="I41" s="32"/>
      <c r="J41" s="86"/>
      <c r="K41" s="71"/>
      <c r="L41" s="71"/>
      <c r="M41" s="71"/>
      <c r="N41" s="71"/>
      <c r="O41" s="71">
        <f>'Uncaser Downtime Detail '!AG644</f>
        <v>0</v>
      </c>
      <c r="P41" s="71">
        <f>'Washer Downtime Detail'!BH654</f>
        <v>0</v>
      </c>
      <c r="Q41" s="71">
        <f>'EBI Downtime Detail'!AI651</f>
        <v>0</v>
      </c>
      <c r="R41" s="71">
        <f>'Filler Downtime Detail'!AK644</f>
        <v>0</v>
      </c>
      <c r="S41" s="71">
        <f>'Pasteurizer Downtime Detail'!Z623</f>
        <v>0</v>
      </c>
      <c r="T41" s="71">
        <f>'Labeler Downtime Detail'!AN622</f>
        <v>0</v>
      </c>
      <c r="U41" s="71">
        <f>'Videojet Downtime Detail '!O640</f>
        <v>0</v>
      </c>
      <c r="V41" s="71">
        <f>'Conveyor Downtime (new)'!AV650</f>
        <v>0</v>
      </c>
      <c r="W41" s="71">
        <f>'Packer Downtime Detail  '!AD634</f>
        <v>0</v>
      </c>
      <c r="X41" s="71">
        <f>'Carton Errector-sealer Detail'!P634</f>
        <v>0</v>
      </c>
      <c r="Y41" s="71"/>
      <c r="Z41" s="122"/>
      <c r="AA41" s="122"/>
      <c r="AB41" s="122"/>
      <c r="AC41" s="71"/>
      <c r="AD41" s="44">
        <f t="shared" si="0"/>
        <v>0</v>
      </c>
      <c r="AE41" s="606">
        <f>G43-D41</f>
        <v>0</v>
      </c>
      <c r="AH41" s="3"/>
      <c r="AI41" s="23"/>
      <c r="AJ41" s="23"/>
      <c r="AK41" s="54"/>
      <c r="AL41" s="3"/>
      <c r="AM41" s="3"/>
      <c r="AN41" s="3"/>
      <c r="AO41" s="3"/>
      <c r="AP41" s="3"/>
      <c r="AQ41" s="3"/>
      <c r="AR41" s="3"/>
      <c r="AS41" s="3"/>
      <c r="AT41" s="3"/>
      <c r="AU41" s="3"/>
      <c r="AV41" s="3"/>
      <c r="AW41" s="3"/>
      <c r="AX41" s="3"/>
    </row>
    <row r="42" spans="1:50" ht="13.35" customHeight="1">
      <c r="A42" s="7"/>
      <c r="B42" s="8"/>
      <c r="C42" s="78"/>
      <c r="D42" s="500"/>
      <c r="E42" s="80"/>
      <c r="F42" s="80"/>
      <c r="G42" s="81"/>
      <c r="H42" s="14"/>
      <c r="I42" s="34"/>
      <c r="J42" s="35"/>
      <c r="K42" s="34"/>
      <c r="L42" s="34"/>
      <c r="M42" s="34"/>
      <c r="N42" s="34"/>
      <c r="O42" s="34">
        <f>'Uncaser Downtime Detail '!AG645</f>
        <v>0</v>
      </c>
      <c r="P42" s="34">
        <f>'Washer Downtime Detail'!BH655</f>
        <v>0</v>
      </c>
      <c r="Q42" s="34">
        <f>'EBI Downtime Detail'!AI652</f>
        <v>0</v>
      </c>
      <c r="R42" s="34">
        <f>'Filler Downtime Detail'!AK645</f>
        <v>0</v>
      </c>
      <c r="S42" s="34">
        <f>'Pasteurizer Downtime Detail'!Z624</f>
        <v>0</v>
      </c>
      <c r="T42" s="34">
        <f>'Labeler Downtime Detail'!AN623</f>
        <v>0</v>
      </c>
      <c r="U42" s="34">
        <f>'Videojet Downtime Detail '!O641</f>
        <v>0</v>
      </c>
      <c r="V42" s="34">
        <f>'Conveyor Downtime (new)'!AV651</f>
        <v>0</v>
      </c>
      <c r="W42" s="34">
        <f>'Packer Downtime Detail  '!AD635</f>
        <v>0</v>
      </c>
      <c r="X42" s="34">
        <f>'Carton Errector-sealer Detail'!P635</f>
        <v>0</v>
      </c>
      <c r="Y42" s="34"/>
      <c r="Z42" s="120"/>
      <c r="AA42" s="120"/>
      <c r="AB42" s="120"/>
      <c r="AC42" s="34"/>
      <c r="AD42" s="44">
        <f t="shared" si="0"/>
        <v>0</v>
      </c>
      <c r="AE42" s="606"/>
      <c r="AH42" s="3"/>
      <c r="AI42" s="23"/>
      <c r="AJ42" s="23"/>
      <c r="AK42" s="54"/>
      <c r="AL42" s="3"/>
      <c r="AM42" s="3"/>
      <c r="AN42" s="3"/>
      <c r="AO42" s="3"/>
      <c r="AP42" s="3"/>
      <c r="AQ42" s="3"/>
      <c r="AR42" s="3"/>
      <c r="AS42" s="3"/>
      <c r="AT42" s="3"/>
      <c r="AU42" s="3"/>
      <c r="AV42" s="3"/>
      <c r="AW42" s="3"/>
      <c r="AX42" s="3"/>
    </row>
    <row r="43" spans="1:50" ht="12.75" customHeight="1">
      <c r="A43" s="7"/>
      <c r="B43" s="8"/>
      <c r="C43" s="78"/>
      <c r="D43" s="500"/>
      <c r="E43" s="80"/>
      <c r="F43" s="80"/>
      <c r="G43" s="81"/>
      <c r="H43" s="82"/>
      <c r="I43" s="32"/>
      <c r="J43" s="86"/>
      <c r="K43" s="71"/>
      <c r="L43" s="71"/>
      <c r="M43" s="71"/>
      <c r="N43" s="71"/>
      <c r="O43" s="71">
        <f>'Uncaser Downtime Detail '!AG646</f>
        <v>0</v>
      </c>
      <c r="P43" s="71">
        <f>'Washer Downtime Detail'!BH656</f>
        <v>0</v>
      </c>
      <c r="Q43" s="71">
        <f>'EBI Downtime Detail'!AI653</f>
        <v>0</v>
      </c>
      <c r="R43" s="71">
        <f>'Filler Downtime Detail'!AK646</f>
        <v>0</v>
      </c>
      <c r="S43" s="71">
        <f>'Pasteurizer Downtime Detail'!Z625</f>
        <v>0</v>
      </c>
      <c r="T43" s="71">
        <f>'Labeler Downtime Detail'!AN624</f>
        <v>0</v>
      </c>
      <c r="U43" s="71">
        <f>'Videojet Downtime Detail '!O642</f>
        <v>0</v>
      </c>
      <c r="V43" s="71">
        <f>'Conveyor Downtime (new)'!AV652</f>
        <v>0</v>
      </c>
      <c r="W43" s="71">
        <f>'Packer Downtime Detail  '!AD636</f>
        <v>0</v>
      </c>
      <c r="X43" s="71">
        <f>'Carton Errector-sealer Detail'!P636</f>
        <v>0</v>
      </c>
      <c r="Y43" s="71"/>
      <c r="Z43" s="122"/>
      <c r="AA43" s="122"/>
      <c r="AB43" s="122"/>
      <c r="AC43" s="71"/>
      <c r="AD43" s="44">
        <f t="shared" si="0"/>
        <v>0</v>
      </c>
      <c r="AE43" s="605"/>
      <c r="AH43" s="3"/>
      <c r="AI43" s="23"/>
      <c r="AJ43" s="23"/>
      <c r="AK43" s="54"/>
      <c r="AL43" s="3"/>
      <c r="AM43" s="3"/>
      <c r="AN43" s="3"/>
      <c r="AO43" s="3"/>
      <c r="AP43" s="3"/>
      <c r="AQ43" s="3"/>
      <c r="AR43" s="3"/>
      <c r="AS43" s="3"/>
      <c r="AT43" s="3"/>
      <c r="AU43" s="3"/>
      <c r="AV43" s="3"/>
      <c r="AW43" s="3"/>
      <c r="AX43" s="3"/>
    </row>
    <row r="44" spans="1:50" ht="13.35" customHeight="1">
      <c r="A44" s="7"/>
      <c r="B44" s="8"/>
      <c r="C44" s="78"/>
      <c r="D44" s="500"/>
      <c r="E44" s="80"/>
      <c r="F44" s="80"/>
      <c r="G44" s="81"/>
      <c r="H44" s="14"/>
      <c r="I44" s="34"/>
      <c r="J44" s="35"/>
      <c r="K44" s="34"/>
      <c r="L44" s="34"/>
      <c r="M44" s="34"/>
      <c r="N44" s="34"/>
      <c r="O44" s="34">
        <f>'Uncaser Downtime Detail '!AG647</f>
        <v>0</v>
      </c>
      <c r="P44" s="34">
        <f>'Washer Downtime Detail'!BH657</f>
        <v>0</v>
      </c>
      <c r="Q44" s="34">
        <f>'EBI Downtime Detail'!AI654</f>
        <v>0</v>
      </c>
      <c r="R44" s="34">
        <f>'Filler Downtime Detail'!AK647</f>
        <v>0</v>
      </c>
      <c r="S44" s="34">
        <f>'Pasteurizer Downtime Detail'!Z626</f>
        <v>0</v>
      </c>
      <c r="T44" s="34">
        <f>'Labeler Downtime Detail'!AN625</f>
        <v>0</v>
      </c>
      <c r="U44" s="34">
        <f>'Videojet Downtime Detail '!O643</f>
        <v>0</v>
      </c>
      <c r="V44" s="34">
        <f>'Conveyor Downtime (new)'!AV653</f>
        <v>0</v>
      </c>
      <c r="W44" s="34">
        <f>'Packer Downtime Detail  '!AD637</f>
        <v>0</v>
      </c>
      <c r="X44" s="34">
        <f>'Carton Errector-sealer Detail'!P637</f>
        <v>0</v>
      </c>
      <c r="Y44" s="34"/>
      <c r="Z44" s="120"/>
      <c r="AA44" s="120"/>
      <c r="AB44" s="120"/>
      <c r="AC44" s="34"/>
      <c r="AD44" s="44">
        <f t="shared" si="0"/>
        <v>0</v>
      </c>
      <c r="AE44" s="604">
        <f>G45-D44</f>
        <v>0</v>
      </c>
      <c r="AH44" s="3"/>
      <c r="AI44" s="23"/>
      <c r="AJ44" s="23"/>
      <c r="AK44" s="54"/>
      <c r="AL44" s="3"/>
      <c r="AM44" s="3"/>
      <c r="AN44" s="3"/>
      <c r="AO44" s="3"/>
      <c r="AP44" s="3"/>
      <c r="AQ44" s="3"/>
      <c r="AR44" s="3"/>
      <c r="AS44" s="3"/>
      <c r="AT44" s="3"/>
      <c r="AU44" s="3"/>
      <c r="AV44" s="3"/>
      <c r="AW44" s="3"/>
      <c r="AX44" s="3"/>
    </row>
    <row r="45" spans="1:50" ht="13.35" customHeight="1">
      <c r="A45" s="7"/>
      <c r="B45" s="8"/>
      <c r="C45" s="78"/>
      <c r="D45" s="500"/>
      <c r="E45" s="80"/>
      <c r="F45" s="80"/>
      <c r="G45" s="81"/>
      <c r="H45" s="82"/>
      <c r="I45" s="32"/>
      <c r="J45" s="86"/>
      <c r="K45" s="71"/>
      <c r="L45" s="71"/>
      <c r="M45" s="71"/>
      <c r="N45" s="71"/>
      <c r="O45" s="71">
        <f>'Uncaser Downtime Detail '!AG648</f>
        <v>0</v>
      </c>
      <c r="P45" s="71">
        <f>'Washer Downtime Detail'!BH658</f>
        <v>0</v>
      </c>
      <c r="Q45" s="71">
        <f>'EBI Downtime Detail'!AI655</f>
        <v>0</v>
      </c>
      <c r="R45" s="71">
        <f>'Filler Downtime Detail'!AK648</f>
        <v>0</v>
      </c>
      <c r="S45" s="71">
        <f>'Pasteurizer Downtime Detail'!Z627</f>
        <v>0</v>
      </c>
      <c r="T45" s="71">
        <f>'Labeler Downtime Detail'!AN626</f>
        <v>0</v>
      </c>
      <c r="U45" s="71">
        <f>'Videojet Downtime Detail '!O644</f>
        <v>0</v>
      </c>
      <c r="V45" s="71">
        <f>'Conveyor Downtime (new)'!AV654</f>
        <v>0</v>
      </c>
      <c r="W45" s="71">
        <f>'Packer Downtime Detail  '!AD638</f>
        <v>0</v>
      </c>
      <c r="X45" s="71">
        <f>'Carton Errector-sealer Detail'!P638</f>
        <v>0</v>
      </c>
      <c r="Y45" s="71"/>
      <c r="Z45" s="122"/>
      <c r="AA45" s="122"/>
      <c r="AB45" s="122"/>
      <c r="AC45" s="71"/>
      <c r="AD45" s="44">
        <f t="shared" si="0"/>
        <v>0</v>
      </c>
      <c r="AE45" s="605"/>
      <c r="AH45" s="3"/>
      <c r="AI45" s="23"/>
      <c r="AJ45" s="23"/>
      <c r="AK45" s="54"/>
      <c r="AL45" s="3"/>
      <c r="AM45" s="3"/>
      <c r="AN45" s="3"/>
      <c r="AO45" s="3"/>
      <c r="AP45" s="3"/>
      <c r="AQ45" s="3"/>
      <c r="AR45" s="3"/>
      <c r="AS45" s="3"/>
      <c r="AT45" s="3"/>
      <c r="AU45" s="3"/>
      <c r="AV45" s="3"/>
      <c r="AW45" s="3"/>
      <c r="AX45" s="3"/>
    </row>
    <row r="46" spans="1:50" ht="13.35" customHeight="1">
      <c r="A46" s="7"/>
      <c r="B46" s="8"/>
      <c r="C46" s="78"/>
      <c r="D46" s="500"/>
      <c r="E46" s="80"/>
      <c r="F46" s="80"/>
      <c r="G46" s="81"/>
      <c r="H46" s="14"/>
      <c r="I46" s="34"/>
      <c r="J46" s="35"/>
      <c r="K46" s="34"/>
      <c r="L46" s="34"/>
      <c r="M46" s="34"/>
      <c r="N46" s="34"/>
      <c r="O46" s="34">
        <f>'Uncaser Downtime Detail '!AG649</f>
        <v>0</v>
      </c>
      <c r="P46" s="34">
        <f>'Washer Downtime Detail'!BH659</f>
        <v>0</v>
      </c>
      <c r="Q46" s="34">
        <f>'EBI Downtime Detail'!AI656</f>
        <v>0</v>
      </c>
      <c r="R46" s="34">
        <f>'Filler Downtime Detail'!AK649</f>
        <v>0</v>
      </c>
      <c r="S46" s="34">
        <f>'Pasteurizer Downtime Detail'!Z628</f>
        <v>0</v>
      </c>
      <c r="T46" s="34">
        <f>'Labeler Downtime Detail'!AN627</f>
        <v>0</v>
      </c>
      <c r="U46" s="34">
        <f>'Videojet Downtime Detail '!O645</f>
        <v>0</v>
      </c>
      <c r="V46" s="34">
        <f>'Conveyor Downtime (new)'!AV655</f>
        <v>0</v>
      </c>
      <c r="W46" s="34">
        <f>'Packer Downtime Detail  '!AD639</f>
        <v>0</v>
      </c>
      <c r="X46" s="34">
        <f>'Carton Errector-sealer Detail'!P639</f>
        <v>0</v>
      </c>
      <c r="Y46" s="34"/>
      <c r="Z46" s="120"/>
      <c r="AA46" s="120"/>
      <c r="AB46" s="120"/>
      <c r="AC46" s="34"/>
      <c r="AD46" s="44">
        <f t="shared" si="0"/>
        <v>0</v>
      </c>
      <c r="AE46" s="604">
        <f>G47-D46</f>
        <v>0</v>
      </c>
      <c r="AH46" s="3"/>
      <c r="AI46" s="23"/>
      <c r="AJ46" s="23"/>
      <c r="AK46" s="54"/>
      <c r="AL46" s="3"/>
      <c r="AM46" s="3"/>
      <c r="AN46" s="3"/>
      <c r="AO46" s="3"/>
      <c r="AP46" s="3"/>
      <c r="AQ46" s="3"/>
      <c r="AR46" s="3"/>
      <c r="AS46" s="3"/>
      <c r="AT46" s="3"/>
      <c r="AU46" s="3"/>
      <c r="AV46" s="3"/>
      <c r="AW46" s="3"/>
      <c r="AX46" s="3"/>
    </row>
    <row r="47" spans="1:50" ht="13.35" customHeight="1">
      <c r="A47" s="7"/>
      <c r="B47" s="8"/>
      <c r="C47" s="78"/>
      <c r="D47" s="500"/>
      <c r="E47" s="80"/>
      <c r="F47" s="80"/>
      <c r="G47" s="81"/>
      <c r="H47" s="82"/>
      <c r="I47" s="32"/>
      <c r="J47" s="86"/>
      <c r="K47" s="71"/>
      <c r="L47" s="71"/>
      <c r="M47" s="71"/>
      <c r="N47" s="71"/>
      <c r="O47" s="71">
        <f>'Uncaser Downtime Detail '!AG650</f>
        <v>0</v>
      </c>
      <c r="P47" s="71">
        <f>'Washer Downtime Detail'!BH660</f>
        <v>0</v>
      </c>
      <c r="Q47" s="71">
        <f>'EBI Downtime Detail'!AI657</f>
        <v>0</v>
      </c>
      <c r="R47" s="71">
        <f>'Filler Downtime Detail'!AK650</f>
        <v>0</v>
      </c>
      <c r="S47" s="71">
        <f>'Pasteurizer Downtime Detail'!Z629</f>
        <v>0</v>
      </c>
      <c r="T47" s="71">
        <f>'Labeler Downtime Detail'!AN628</f>
        <v>0</v>
      </c>
      <c r="U47" s="71">
        <f>'Videojet Downtime Detail '!O646</f>
        <v>0</v>
      </c>
      <c r="V47" s="71">
        <f>'Conveyor Downtime (new)'!AV656</f>
        <v>0</v>
      </c>
      <c r="W47" s="71">
        <f>'Packer Downtime Detail  '!AD640</f>
        <v>0</v>
      </c>
      <c r="X47" s="71">
        <f>'Carton Errector-sealer Detail'!P640</f>
        <v>0</v>
      </c>
      <c r="Y47" s="71"/>
      <c r="Z47" s="122"/>
      <c r="AA47" s="122"/>
      <c r="AB47" s="122"/>
      <c r="AC47" s="71"/>
      <c r="AD47" s="44">
        <f t="shared" si="0"/>
        <v>0</v>
      </c>
      <c r="AE47" s="605"/>
      <c r="AH47" s="3"/>
      <c r="AI47" s="23"/>
      <c r="AJ47" s="23"/>
      <c r="AK47" s="54"/>
      <c r="AL47" s="3"/>
      <c r="AM47" s="3"/>
      <c r="AN47" s="3"/>
      <c r="AO47" s="3"/>
      <c r="AP47" s="3"/>
      <c r="AQ47" s="3"/>
      <c r="AR47" s="3"/>
      <c r="AS47" s="3"/>
      <c r="AT47" s="3"/>
      <c r="AU47" s="3"/>
      <c r="AV47" s="3"/>
      <c r="AW47" s="3"/>
      <c r="AX47" s="3"/>
    </row>
    <row r="48" spans="1:50" ht="13.35" customHeight="1">
      <c r="A48" s="7"/>
      <c r="B48" s="8"/>
      <c r="C48" s="78"/>
      <c r="D48" s="500"/>
      <c r="E48" s="80"/>
      <c r="F48" s="80"/>
      <c r="G48" s="81"/>
      <c r="H48" s="14"/>
      <c r="I48" s="34"/>
      <c r="J48" s="35"/>
      <c r="K48" s="34"/>
      <c r="L48" s="34"/>
      <c r="M48" s="34"/>
      <c r="N48" s="34"/>
      <c r="O48" s="34">
        <f>'Uncaser Downtime Detail '!AG651</f>
        <v>0</v>
      </c>
      <c r="P48" s="34">
        <f>'Washer Downtime Detail'!BH661</f>
        <v>0</v>
      </c>
      <c r="Q48" s="34">
        <f>'EBI Downtime Detail'!AI658</f>
        <v>0</v>
      </c>
      <c r="R48" s="34">
        <f>'Filler Downtime Detail'!AK651</f>
        <v>0</v>
      </c>
      <c r="S48" s="34">
        <f>'Pasteurizer Downtime Detail'!Z630</f>
        <v>0</v>
      </c>
      <c r="T48" s="34">
        <f>'Labeler Downtime Detail'!AN629</f>
        <v>0</v>
      </c>
      <c r="U48" s="34">
        <f>'Videojet Downtime Detail '!O647</f>
        <v>0</v>
      </c>
      <c r="V48" s="34">
        <f>'Conveyor Downtime (new)'!AV657</f>
        <v>0</v>
      </c>
      <c r="W48" s="34">
        <f>'Packer Downtime Detail  '!AD641</f>
        <v>0</v>
      </c>
      <c r="X48" s="34">
        <f>'Carton Errector-sealer Detail'!P641</f>
        <v>0</v>
      </c>
      <c r="Y48" s="34"/>
      <c r="Z48" s="120"/>
      <c r="AA48" s="120"/>
      <c r="AB48" s="120"/>
      <c r="AC48" s="34"/>
      <c r="AD48" s="44">
        <f t="shared" si="0"/>
        <v>0</v>
      </c>
      <c r="AE48" s="604">
        <f t="shared" ref="AE48" si="2">G49-D48</f>
        <v>0</v>
      </c>
      <c r="AH48" s="3"/>
      <c r="AI48" s="23"/>
      <c r="AJ48" s="23"/>
      <c r="AK48" s="54"/>
      <c r="AL48" s="3"/>
      <c r="AM48" s="3"/>
      <c r="AN48" s="3"/>
      <c r="AO48" s="3"/>
      <c r="AP48" s="3"/>
      <c r="AQ48" s="3"/>
      <c r="AR48" s="3"/>
      <c r="AS48" s="3"/>
      <c r="AT48" s="3"/>
      <c r="AU48" s="3"/>
      <c r="AV48" s="3"/>
      <c r="AW48" s="3"/>
      <c r="AX48" s="3"/>
    </row>
    <row r="49" spans="1:50" ht="13.35" customHeight="1">
      <c r="A49" s="7"/>
      <c r="B49" s="8"/>
      <c r="C49" s="78"/>
      <c r="D49" s="500"/>
      <c r="E49" s="80"/>
      <c r="F49" s="80"/>
      <c r="G49" s="81"/>
      <c r="H49" s="82"/>
      <c r="I49" s="32"/>
      <c r="J49" s="86"/>
      <c r="K49" s="71"/>
      <c r="L49" s="71"/>
      <c r="M49" s="71"/>
      <c r="N49" s="71"/>
      <c r="O49" s="71">
        <f>'Uncaser Downtime Detail '!AG652</f>
        <v>0</v>
      </c>
      <c r="P49" s="71">
        <f>'Washer Downtime Detail'!BH662</f>
        <v>0</v>
      </c>
      <c r="Q49" s="71">
        <f>'EBI Downtime Detail'!AI659</f>
        <v>0</v>
      </c>
      <c r="R49" s="71">
        <f>'Filler Downtime Detail'!AK652</f>
        <v>0</v>
      </c>
      <c r="S49" s="71">
        <f>'Pasteurizer Downtime Detail'!Z631</f>
        <v>0</v>
      </c>
      <c r="T49" s="71">
        <f>'Labeler Downtime Detail'!AN630</f>
        <v>0</v>
      </c>
      <c r="U49" s="71">
        <f>'Videojet Downtime Detail '!O648</f>
        <v>0</v>
      </c>
      <c r="V49" s="71">
        <f>'Conveyor Downtime (new)'!AV658</f>
        <v>0</v>
      </c>
      <c r="W49" s="71">
        <f>'Packer Downtime Detail  '!AD642</f>
        <v>0</v>
      </c>
      <c r="X49" s="71">
        <f>'Carton Errector-sealer Detail'!P642</f>
        <v>0</v>
      </c>
      <c r="Y49" s="71"/>
      <c r="Z49" s="122"/>
      <c r="AA49" s="122"/>
      <c r="AB49" s="122"/>
      <c r="AC49" s="71"/>
      <c r="AD49" s="44">
        <f t="shared" si="0"/>
        <v>0</v>
      </c>
      <c r="AE49" s="605"/>
      <c r="AH49" s="3"/>
      <c r="AI49" s="23"/>
      <c r="AJ49" s="23"/>
      <c r="AK49" s="54"/>
      <c r="AL49" s="3"/>
      <c r="AM49" s="3"/>
      <c r="AN49" s="3"/>
      <c r="AO49" s="3"/>
      <c r="AP49" s="3"/>
      <c r="AQ49" s="3"/>
      <c r="AR49" s="3"/>
      <c r="AS49" s="3"/>
      <c r="AT49" s="3"/>
      <c r="AU49" s="3"/>
      <c r="AV49" s="3"/>
      <c r="AW49" s="3"/>
      <c r="AX49" s="3"/>
    </row>
    <row r="50" spans="1:50" ht="13.35" customHeight="1">
      <c r="A50" s="7"/>
      <c r="B50" s="8"/>
      <c r="C50" s="78"/>
      <c r="D50" s="500"/>
      <c r="E50" s="80"/>
      <c r="F50" s="80"/>
      <c r="G50" s="81"/>
      <c r="H50" s="14"/>
      <c r="I50" s="34"/>
      <c r="J50" s="35"/>
      <c r="K50" s="34"/>
      <c r="L50" s="34"/>
      <c r="M50" s="34"/>
      <c r="N50" s="34"/>
      <c r="O50" s="34"/>
      <c r="P50" s="34"/>
      <c r="Q50" s="34"/>
      <c r="R50" s="34"/>
      <c r="S50" s="34"/>
      <c r="T50" s="34"/>
      <c r="U50" s="34"/>
      <c r="V50" s="34"/>
      <c r="W50" s="34"/>
      <c r="X50" s="34"/>
      <c r="Y50" s="34"/>
      <c r="Z50" s="120"/>
      <c r="AA50" s="120"/>
      <c r="AB50" s="120"/>
      <c r="AC50" s="34"/>
      <c r="AD50" s="44"/>
      <c r="AE50" s="91"/>
      <c r="AH50" s="3"/>
      <c r="AI50" s="23"/>
      <c r="AJ50" s="23"/>
      <c r="AK50" s="54"/>
      <c r="AL50" s="3"/>
      <c r="AM50" s="3"/>
      <c r="AN50" s="3"/>
      <c r="AO50" s="3"/>
      <c r="AP50" s="3"/>
      <c r="AQ50" s="3"/>
      <c r="AR50" s="3"/>
      <c r="AS50" s="3"/>
      <c r="AT50" s="3"/>
      <c r="AU50" s="3"/>
      <c r="AV50" s="3"/>
      <c r="AW50" s="3"/>
      <c r="AX50" s="3"/>
    </row>
    <row r="51" spans="1:50" ht="13.35" customHeight="1">
      <c r="A51" s="7"/>
      <c r="B51" s="8"/>
      <c r="C51" s="78" t="e">
        <f>[8]November_2025!$D50</f>
        <v>#REF!</v>
      </c>
      <c r="D51" s="500"/>
      <c r="E51" s="80"/>
      <c r="F51" s="80"/>
      <c r="G51" s="81"/>
      <c r="H51" s="82"/>
      <c r="I51" s="32"/>
      <c r="J51" s="86"/>
      <c r="K51" s="71"/>
      <c r="L51" s="71"/>
      <c r="M51" s="71"/>
      <c r="N51" s="71"/>
      <c r="O51" s="71">
        <f>'Uncaser Downtime Detail '!AG653</f>
        <v>0</v>
      </c>
      <c r="P51" s="71">
        <f>'Washer Downtime Detail'!BH663</f>
        <v>0</v>
      </c>
      <c r="Q51" s="71">
        <f>'EBI Downtime Detail'!AI660</f>
        <v>0</v>
      </c>
      <c r="R51" s="71">
        <f>'Filler Downtime Detail'!AK653</f>
        <v>0</v>
      </c>
      <c r="S51" s="71">
        <f>'Pasteurizer Downtime Detail'!Z632</f>
        <v>0</v>
      </c>
      <c r="T51" s="71">
        <f>'Labeler Downtime Detail'!AN632</f>
        <v>0</v>
      </c>
      <c r="U51" s="71">
        <f>'Videojet Downtime Detail '!O649</f>
        <v>0</v>
      </c>
      <c r="V51" s="71">
        <f>'Conveyor Downtime (new)'!AV660</f>
        <v>0</v>
      </c>
      <c r="W51" s="71">
        <f>'Packer Downtime Detail  '!AD644</f>
        <v>0</v>
      </c>
      <c r="X51" s="71">
        <f>'Carton Errector-sealer Detail'!P644</f>
        <v>0</v>
      </c>
      <c r="Y51" s="71"/>
      <c r="Z51" s="122"/>
      <c r="AA51" s="122"/>
      <c r="AB51" s="122"/>
      <c r="AC51" s="71"/>
      <c r="AD51" s="44">
        <f t="shared" si="0"/>
        <v>0</v>
      </c>
      <c r="AE51" s="91"/>
      <c r="AH51" s="3"/>
      <c r="AI51" s="23"/>
      <c r="AJ51" s="23"/>
      <c r="AK51" s="54"/>
      <c r="AL51" s="3"/>
      <c r="AM51" s="3"/>
      <c r="AN51" s="3"/>
      <c r="AO51" s="3"/>
      <c r="AP51" s="3"/>
      <c r="AQ51" s="3"/>
      <c r="AR51" s="3"/>
      <c r="AS51" s="3"/>
      <c r="AT51" s="3"/>
      <c r="AU51" s="3"/>
      <c r="AV51" s="3"/>
      <c r="AW51" s="3"/>
      <c r="AX51" s="3"/>
    </row>
    <row r="52" spans="1:50" ht="13.35" customHeight="1">
      <c r="A52" s="7"/>
      <c r="B52" s="8"/>
      <c r="C52" s="78" t="e">
        <f>[8]November_2025!$D51</f>
        <v>#REF!</v>
      </c>
      <c r="D52" s="500"/>
      <c r="E52" s="80"/>
      <c r="F52" s="80"/>
      <c r="G52" s="81"/>
      <c r="H52" s="14"/>
      <c r="I52" s="34"/>
      <c r="J52" s="35"/>
      <c r="K52" s="34"/>
      <c r="L52" s="34"/>
      <c r="M52" s="34"/>
      <c r="N52" s="34"/>
      <c r="O52" s="34">
        <f>'Uncaser Downtime Detail '!AG654</f>
        <v>0</v>
      </c>
      <c r="P52" s="34">
        <f>'Washer Downtime Detail'!BH664</f>
        <v>0</v>
      </c>
      <c r="Q52" s="34">
        <f>'EBI Downtime Detail'!AI661</f>
        <v>0</v>
      </c>
      <c r="R52" s="34">
        <f>'Filler Downtime Detail'!AK654</f>
        <v>0</v>
      </c>
      <c r="S52" s="34">
        <f>'Pasteurizer Downtime Detail'!Z633</f>
        <v>0</v>
      </c>
      <c r="T52" s="34">
        <f>'Labeler Downtime Detail'!AN632</f>
        <v>0</v>
      </c>
      <c r="U52" s="34">
        <f>'Videojet Downtime Detail '!O650</f>
        <v>0</v>
      </c>
      <c r="V52" s="34">
        <f>'Conveyor Downtime (new)'!AV660</f>
        <v>0</v>
      </c>
      <c r="W52" s="34">
        <f>'Packer Downtime Detail  '!AD645</f>
        <v>0</v>
      </c>
      <c r="X52" s="34">
        <f>'Carton Errector-sealer Detail'!P645</f>
        <v>0</v>
      </c>
      <c r="Y52" s="34"/>
      <c r="Z52" s="120"/>
      <c r="AA52" s="120"/>
      <c r="AB52" s="120"/>
      <c r="AC52" s="34"/>
      <c r="AD52" s="44">
        <f t="shared" si="0"/>
        <v>0</v>
      </c>
      <c r="AE52" s="91"/>
      <c r="AH52" s="3"/>
      <c r="AI52" s="23"/>
      <c r="AJ52" s="23"/>
      <c r="AK52" s="54"/>
      <c r="AL52" s="3"/>
      <c r="AM52" s="3"/>
      <c r="AN52" s="3"/>
      <c r="AO52" s="3"/>
      <c r="AP52" s="3"/>
      <c r="AQ52" s="3"/>
      <c r="AR52" s="3"/>
      <c r="AS52" s="3"/>
      <c r="AT52" s="3"/>
      <c r="AU52" s="3"/>
      <c r="AV52" s="3"/>
      <c r="AW52" s="3"/>
      <c r="AX52" s="3"/>
    </row>
    <row r="53" spans="1:50" ht="15.6" hidden="1" customHeight="1">
      <c r="A53" s="7"/>
      <c r="B53" s="8"/>
      <c r="C53" s="78" t="e">
        <f>[8]November_2025!$D52</f>
        <v>#REF!</v>
      </c>
      <c r="D53" s="500"/>
      <c r="E53" s="80"/>
      <c r="F53" s="80"/>
      <c r="G53" s="81"/>
      <c r="H53" s="82"/>
      <c r="I53" s="32"/>
      <c r="J53" s="86"/>
      <c r="K53" s="71"/>
      <c r="L53" s="71"/>
      <c r="M53" s="71"/>
      <c r="N53" s="71"/>
      <c r="O53" s="71">
        <f>'Uncaser Downtime Detail '!AG655</f>
        <v>0</v>
      </c>
      <c r="P53" s="71">
        <f>'Washer Downtime Detail'!BH665</f>
        <v>0</v>
      </c>
      <c r="Q53" s="71">
        <f>'EBI Downtime Detail'!AI662</f>
        <v>0</v>
      </c>
      <c r="R53" s="71">
        <f>'Filler Downtime Detail'!AK655</f>
        <v>0</v>
      </c>
      <c r="S53" s="71">
        <f>'Pasteurizer Downtime Detail'!Z634</f>
        <v>0</v>
      </c>
      <c r="T53" s="71">
        <f>'Labeler Downtime Detail'!AN633</f>
        <v>0</v>
      </c>
      <c r="U53" s="71">
        <f>'Videojet Downtime Detail '!O651</f>
        <v>0</v>
      </c>
      <c r="V53" s="71">
        <f>'Conveyor Downtime (new)'!AV661</f>
        <v>0</v>
      </c>
      <c r="W53" s="71">
        <f>'Packer Downtime Detail  '!AD645</f>
        <v>0</v>
      </c>
      <c r="X53" s="71">
        <f>'Carton Errector-sealer Detail'!P646</f>
        <v>0</v>
      </c>
      <c r="Y53" s="71"/>
      <c r="Z53" s="122"/>
      <c r="AA53" s="122"/>
      <c r="AB53" s="122"/>
      <c r="AC53" s="71"/>
      <c r="AD53" s="44">
        <f t="shared" si="0"/>
        <v>0</v>
      </c>
      <c r="AE53" s="91"/>
      <c r="AH53" s="3"/>
      <c r="AI53" s="23"/>
      <c r="AJ53" s="23"/>
      <c r="AK53" s="54"/>
      <c r="AL53" s="3"/>
      <c r="AM53" s="3"/>
      <c r="AN53" s="3"/>
      <c r="AO53" s="3"/>
      <c r="AP53" s="3"/>
      <c r="AQ53" s="3"/>
      <c r="AR53" s="3"/>
      <c r="AS53" s="3"/>
      <c r="AT53" s="3"/>
      <c r="AU53" s="3"/>
      <c r="AV53" s="3"/>
      <c r="AW53" s="3"/>
      <c r="AX53" s="3"/>
    </row>
    <row r="54" spans="1:50" ht="17.45" hidden="1" customHeight="1">
      <c r="A54" s="7"/>
      <c r="B54" s="8"/>
      <c r="C54" s="78" t="e">
        <f>[8]November_2025!$D53</f>
        <v>#REF!</v>
      </c>
      <c r="D54" s="13"/>
      <c r="E54" s="80"/>
      <c r="F54" s="80"/>
      <c r="G54" s="81"/>
      <c r="H54" s="14"/>
      <c r="I54" s="34"/>
      <c r="J54" s="35"/>
      <c r="K54" s="34"/>
      <c r="L54" s="34"/>
      <c r="M54" s="34"/>
      <c r="N54" s="34"/>
      <c r="O54" s="34">
        <f>'Uncaser Downtime Detail '!AG656</f>
        <v>0</v>
      </c>
      <c r="P54" s="34">
        <f>'Washer Downtime Detail'!BH666</f>
        <v>0</v>
      </c>
      <c r="Q54" s="34">
        <f>'EBI Downtime Detail'!AI663</f>
        <v>0</v>
      </c>
      <c r="R54" s="34">
        <f>'Filler Downtime Detail'!AK656</f>
        <v>0</v>
      </c>
      <c r="S54" s="34">
        <f>'Pasteurizer Downtime Detail'!Z635</f>
        <v>0</v>
      </c>
      <c r="T54" s="34">
        <f>'Labeler Downtime Detail'!AN634</f>
        <v>0</v>
      </c>
      <c r="U54" s="34">
        <f>'Videojet Downtime Detail '!O652</f>
        <v>0</v>
      </c>
      <c r="V54" s="34">
        <f>'Conveyor Downtime (new)'!AV662</f>
        <v>0</v>
      </c>
      <c r="W54" s="34">
        <f>'Packer Downtime Detail  '!AD646</f>
        <v>0</v>
      </c>
      <c r="X54" s="34">
        <f>'Carton Errector-sealer Detail'!P647</f>
        <v>0</v>
      </c>
      <c r="Y54" s="34"/>
      <c r="Z54" s="120"/>
      <c r="AA54" s="120"/>
      <c r="AB54" s="120"/>
      <c r="AC54" s="34"/>
      <c r="AD54" s="44">
        <f t="shared" si="0"/>
        <v>0</v>
      </c>
      <c r="AE54" s="45"/>
      <c r="AH54" s="3"/>
      <c r="AI54" s="23"/>
      <c r="AJ54" s="23"/>
      <c r="AK54" s="54"/>
      <c r="AL54" s="3"/>
      <c r="AM54" s="3"/>
      <c r="AN54" s="3"/>
      <c r="AO54" s="3"/>
      <c r="AP54" s="3"/>
      <c r="AQ54" s="3"/>
      <c r="AR54" s="3"/>
      <c r="AS54" s="3"/>
      <c r="AT54" s="3"/>
      <c r="AU54" s="3"/>
      <c r="AV54" s="3"/>
      <c r="AW54" s="3"/>
      <c r="AX54" s="3"/>
    </row>
    <row r="55" spans="1:50" ht="13.35" hidden="1" customHeight="1">
      <c r="A55" s="7">
        <f>[9]November_2024!C54</f>
        <v>0</v>
      </c>
      <c r="B55" s="8">
        <f>[9]November_2024!B54</f>
        <v>0</v>
      </c>
      <c r="C55" s="78" t="e">
        <f>[8]November_2025!$D54</f>
        <v>#REF!</v>
      </c>
      <c r="D55" s="85"/>
      <c r="E55" s="80"/>
      <c r="F55" s="80"/>
      <c r="G55" s="81"/>
      <c r="H55" s="82"/>
      <c r="I55" s="32"/>
      <c r="J55" s="86"/>
      <c r="K55" s="71"/>
      <c r="L55" s="71"/>
      <c r="M55" s="71"/>
      <c r="N55" s="71"/>
      <c r="O55" s="71">
        <f>'Uncaser Downtime Detail '!AG657</f>
        <v>0</v>
      </c>
      <c r="P55" s="71">
        <f>'Washer Downtime Detail'!BH667</f>
        <v>0</v>
      </c>
      <c r="Q55" s="71">
        <f>'EBI Downtime Detail'!AI664</f>
        <v>0</v>
      </c>
      <c r="R55" s="71">
        <f>'Filler Downtime Detail'!AK657</f>
        <v>0</v>
      </c>
      <c r="S55" s="71">
        <f>'Pasteurizer Downtime Detail'!Z636</f>
        <v>0</v>
      </c>
      <c r="T55" s="71" t="e">
        <f>'Labeler Downtime Detail'!#REF!</f>
        <v>#REF!</v>
      </c>
      <c r="U55" s="71">
        <f>'Videojet Downtime Detail '!O653</f>
        <v>0</v>
      </c>
      <c r="V55" s="71">
        <f>'Conveyor Downtime (new)'!AV663</f>
        <v>0</v>
      </c>
      <c r="W55" s="71">
        <f>'Packer Downtime Detail  '!AD647</f>
        <v>0</v>
      </c>
      <c r="X55" s="71">
        <f>'Carton Errector-sealer Detail'!P648</f>
        <v>0</v>
      </c>
      <c r="Y55" s="71"/>
      <c r="Z55" s="122"/>
      <c r="AA55" s="122"/>
      <c r="AB55" s="122"/>
      <c r="AC55" s="71"/>
      <c r="AD55" s="44" t="e">
        <f t="shared" ref="AD55:AD68" si="3">SUM(H55:J55,K55:AC55)</f>
        <v>#REF!</v>
      </c>
      <c r="AE55" s="91"/>
      <c r="AH55" s="3"/>
      <c r="AI55" s="23"/>
      <c r="AJ55" s="23"/>
      <c r="AK55" s="54"/>
      <c r="AL55" s="3"/>
      <c r="AM55" s="3"/>
      <c r="AN55" s="3"/>
      <c r="AO55" s="3"/>
      <c r="AP55" s="3"/>
      <c r="AQ55" s="3"/>
      <c r="AR55" s="3"/>
      <c r="AS55" s="3"/>
      <c r="AT55" s="3"/>
      <c r="AU55" s="3"/>
      <c r="AV55" s="3"/>
      <c r="AW55" s="3"/>
      <c r="AX55" s="3"/>
    </row>
    <row r="56" spans="1:50" ht="13.35" hidden="1" customHeight="1">
      <c r="A56" s="7">
        <f>[9]November_2024!C55</f>
        <v>0</v>
      </c>
      <c r="B56" s="8">
        <f>[9]November_2024!B55</f>
        <v>0</v>
      </c>
      <c r="C56" s="78" t="e">
        <f>[8]November_2025!$D55</f>
        <v>#REF!</v>
      </c>
      <c r="D56" s="85"/>
      <c r="E56" s="80"/>
      <c r="F56" s="80"/>
      <c r="G56" s="81"/>
      <c r="H56" s="14"/>
      <c r="I56" s="34"/>
      <c r="J56" s="35"/>
      <c r="K56" s="34"/>
      <c r="L56" s="34"/>
      <c r="M56" s="34"/>
      <c r="N56" s="34"/>
      <c r="O56" s="34">
        <f>'Uncaser Downtime Detail '!AG658</f>
        <v>0</v>
      </c>
      <c r="P56" s="34">
        <f>'Washer Downtime Detail'!BH668</f>
        <v>0</v>
      </c>
      <c r="Q56" s="34">
        <f>'EBI Downtime Detail'!AI665</f>
        <v>0</v>
      </c>
      <c r="R56" s="34">
        <f>'Filler Downtime Detail'!AK658</f>
        <v>0</v>
      </c>
      <c r="S56" s="34">
        <f>'Pasteurizer Downtime Detail'!Z637</f>
        <v>0</v>
      </c>
      <c r="T56" s="34" t="e">
        <f>'Labeler Downtime Detail'!#REF!</f>
        <v>#REF!</v>
      </c>
      <c r="U56" s="34">
        <f>'Videojet Downtime Detail '!O654</f>
        <v>0</v>
      </c>
      <c r="V56" s="34">
        <f>'Conveyor Downtime (new)'!AV664</f>
        <v>0</v>
      </c>
      <c r="W56" s="34">
        <f>'Packer Downtime Detail  '!AD648</f>
        <v>0</v>
      </c>
      <c r="X56" s="34">
        <f>'Carton Errector-sealer Detail'!P649</f>
        <v>0</v>
      </c>
      <c r="Y56" s="34"/>
      <c r="Z56" s="120"/>
      <c r="AA56" s="120"/>
      <c r="AB56" s="120"/>
      <c r="AC56" s="34"/>
      <c r="AD56" s="44" t="e">
        <f t="shared" si="3"/>
        <v>#REF!</v>
      </c>
      <c r="AE56" s="91">
        <f>G57-D56</f>
        <v>0</v>
      </c>
      <c r="AH56" s="3"/>
      <c r="AI56" s="23"/>
      <c r="AJ56" s="23"/>
      <c r="AK56" s="54"/>
      <c r="AL56" s="3"/>
      <c r="AM56" s="3"/>
      <c r="AN56" s="3"/>
      <c r="AO56" s="3"/>
      <c r="AP56" s="3"/>
      <c r="AQ56" s="3"/>
      <c r="AR56" s="3"/>
      <c r="AS56" s="3"/>
      <c r="AT56" s="3"/>
      <c r="AU56" s="3"/>
      <c r="AV56" s="3"/>
      <c r="AW56" s="3"/>
      <c r="AX56" s="3"/>
    </row>
    <row r="57" spans="1:50" ht="13.35" hidden="1" customHeight="1">
      <c r="A57" s="7">
        <f>[9]November_2024!C56</f>
        <v>0</v>
      </c>
      <c r="B57" s="8">
        <f>[9]November_2024!B56</f>
        <v>0</v>
      </c>
      <c r="C57" s="78" t="e">
        <f>[8]November_2025!$D56</f>
        <v>#REF!</v>
      </c>
      <c r="D57" s="85"/>
      <c r="E57" s="80"/>
      <c r="F57" s="80"/>
      <c r="G57" s="81"/>
      <c r="H57" s="82"/>
      <c r="I57" s="32"/>
      <c r="J57" s="86"/>
      <c r="K57" s="71"/>
      <c r="L57" s="71"/>
      <c r="M57" s="71"/>
      <c r="N57" s="71"/>
      <c r="O57" s="71">
        <f>'Uncaser Downtime Detail '!AG659</f>
        <v>0</v>
      </c>
      <c r="P57" s="71">
        <f>'Washer Downtime Detail'!BH669</f>
        <v>0</v>
      </c>
      <c r="Q57" s="71">
        <f>'EBI Downtime Detail'!AI666</f>
        <v>0</v>
      </c>
      <c r="R57" s="71">
        <f>'Filler Downtime Detail'!AK659</f>
        <v>0</v>
      </c>
      <c r="S57" s="71">
        <f>'Pasteurizer Downtime Detail'!Z637</f>
        <v>0</v>
      </c>
      <c r="T57" s="71" t="e">
        <f>'Labeler Downtime Detail'!#REF!</f>
        <v>#REF!</v>
      </c>
      <c r="U57" s="71">
        <f>'Videojet Downtime Detail '!O655</f>
        <v>0</v>
      </c>
      <c r="V57" s="71">
        <f>'Conveyor Downtime (new)'!AV665</f>
        <v>0</v>
      </c>
      <c r="W57" s="71">
        <f>'Packer Downtime Detail  '!AD649</f>
        <v>0</v>
      </c>
      <c r="X57" s="71">
        <f>'Carton Errector-sealer Detail'!P650</f>
        <v>0</v>
      </c>
      <c r="Y57" s="71"/>
      <c r="Z57" s="122"/>
      <c r="AB57" s="122"/>
      <c r="AC57" s="71"/>
      <c r="AD57" s="44" t="e">
        <f t="shared" si="3"/>
        <v>#REF!</v>
      </c>
      <c r="AE57" s="91"/>
      <c r="AH57" s="3"/>
      <c r="AI57" s="23"/>
      <c r="AJ57" s="23"/>
      <c r="AK57" s="54"/>
      <c r="AL57" s="3"/>
      <c r="AM57" s="3"/>
      <c r="AN57" s="3"/>
      <c r="AO57" s="3"/>
      <c r="AP57" s="3"/>
      <c r="AQ57" s="3"/>
      <c r="AR57" s="3"/>
      <c r="AS57" s="3"/>
      <c r="AT57" s="3"/>
      <c r="AU57" s="3"/>
      <c r="AV57" s="3"/>
      <c r="AW57" s="3"/>
      <c r="AX57" s="3"/>
    </row>
    <row r="58" spans="1:50" ht="13.35" hidden="1" customHeight="1">
      <c r="A58" s="7">
        <f>[9]November_2024!C57</f>
        <v>0</v>
      </c>
      <c r="B58" s="8">
        <f>[9]November_2024!B57</f>
        <v>0</v>
      </c>
      <c r="C58" s="78" t="e">
        <f>[8]November_2025!$D57</f>
        <v>#REF!</v>
      </c>
      <c r="D58" s="85"/>
      <c r="E58" s="80"/>
      <c r="F58" s="80"/>
      <c r="G58" s="81"/>
      <c r="H58" s="14"/>
      <c r="I58" s="34"/>
      <c r="J58" s="35"/>
      <c r="K58" s="34"/>
      <c r="L58" s="34"/>
      <c r="M58" s="34"/>
      <c r="N58" s="34"/>
      <c r="O58" s="34">
        <f>'Uncaser Downtime Detail '!AG660</f>
        <v>0</v>
      </c>
      <c r="P58" s="34">
        <f>'Washer Downtime Detail'!BH670</f>
        <v>0</v>
      </c>
      <c r="Q58" s="34">
        <f>'EBI Downtime Detail'!AI667</f>
        <v>0</v>
      </c>
      <c r="R58" s="34">
        <f>'Filler Downtime Detail'!AK660</f>
        <v>0</v>
      </c>
      <c r="S58" s="34">
        <f>'Pasteurizer Downtime Detail'!Z638</f>
        <v>0</v>
      </c>
      <c r="T58" s="34" t="e">
        <f>'Labeler Downtime Detail'!#REF!</f>
        <v>#REF!</v>
      </c>
      <c r="U58" s="34">
        <f>'Videojet Downtime Detail '!O656</f>
        <v>0</v>
      </c>
      <c r="V58" s="34">
        <f>'Conveyor Downtime (new)'!AV666</f>
        <v>0</v>
      </c>
      <c r="W58" s="34">
        <f>'Packer Downtime Detail  '!AD650</f>
        <v>0</v>
      </c>
      <c r="X58" s="34">
        <f>'Carton Errector-sealer Detail'!P651</f>
        <v>0</v>
      </c>
      <c r="Y58" s="34"/>
      <c r="Z58" s="120"/>
      <c r="AA58" s="120"/>
      <c r="AB58" s="120"/>
      <c r="AC58" s="34"/>
      <c r="AD58" s="44" t="e">
        <f t="shared" si="3"/>
        <v>#REF!</v>
      </c>
      <c r="AE58" s="91">
        <f>G59-D58</f>
        <v>0</v>
      </c>
      <c r="AH58" s="3"/>
      <c r="AI58" s="23"/>
      <c r="AJ58" s="23"/>
      <c r="AK58" s="54"/>
      <c r="AL58" s="3"/>
      <c r="AM58" s="3"/>
      <c r="AN58" s="3"/>
      <c r="AO58" s="3"/>
      <c r="AP58" s="3"/>
      <c r="AQ58" s="3"/>
      <c r="AR58" s="3"/>
      <c r="AS58" s="3"/>
      <c r="AT58" s="3"/>
      <c r="AU58" s="3"/>
      <c r="AV58" s="3"/>
      <c r="AW58" s="3"/>
      <c r="AX58" s="3"/>
    </row>
    <row r="59" spans="1:50" ht="13.35" hidden="1" customHeight="1">
      <c r="A59" s="7"/>
      <c r="B59" s="8"/>
      <c r="C59" s="78" t="e">
        <f>[8]November_2025!$D58</f>
        <v>#REF!</v>
      </c>
      <c r="D59" s="85"/>
      <c r="E59" s="80"/>
      <c r="F59" s="80"/>
      <c r="G59" s="81"/>
      <c r="H59" s="82"/>
      <c r="I59" s="32"/>
      <c r="J59" s="86"/>
      <c r="K59" s="71"/>
      <c r="L59" s="71"/>
      <c r="M59" s="71"/>
      <c r="N59" s="71"/>
      <c r="O59" s="71">
        <f>'Uncaser Downtime Detail '!AG661</f>
        <v>0</v>
      </c>
      <c r="P59" s="71">
        <f>'Washer Downtime Detail'!BH671</f>
        <v>0</v>
      </c>
      <c r="Q59" s="71">
        <f>'EBI Downtime Detail'!AI668</f>
        <v>0</v>
      </c>
      <c r="R59" s="71">
        <f>'Filler Downtime Detail'!AK661</f>
        <v>0</v>
      </c>
      <c r="S59" s="71">
        <f>'Pasteurizer Downtime Detail'!Z639</f>
        <v>0</v>
      </c>
      <c r="T59" s="71" t="e">
        <f>'Labeler Downtime Detail'!#REF!</f>
        <v>#REF!</v>
      </c>
      <c r="U59" s="71">
        <f>'Videojet Downtime Detail '!O657</f>
        <v>0</v>
      </c>
      <c r="V59" s="71">
        <f>'Conveyor Downtime (new)'!AV667</f>
        <v>0</v>
      </c>
      <c r="W59" s="71">
        <f>'Packer Downtime Detail  '!AD651</f>
        <v>0</v>
      </c>
      <c r="X59" s="71">
        <f>'Carton Errector-sealer Detail'!P652</f>
        <v>0</v>
      </c>
      <c r="Y59" s="71"/>
      <c r="Z59" s="122"/>
      <c r="AA59" s="122"/>
      <c r="AB59" s="122"/>
      <c r="AC59" s="71"/>
      <c r="AD59" s="44" t="e">
        <f t="shared" si="3"/>
        <v>#REF!</v>
      </c>
      <c r="AE59" s="91"/>
      <c r="AH59" s="3"/>
      <c r="AI59" s="23"/>
      <c r="AJ59" s="23"/>
      <c r="AK59" s="54"/>
      <c r="AL59" s="3"/>
      <c r="AM59" s="3"/>
      <c r="AN59" s="3"/>
      <c r="AO59" s="3"/>
      <c r="AP59" s="3"/>
      <c r="AQ59" s="3"/>
      <c r="AR59" s="3"/>
      <c r="AS59" s="3"/>
      <c r="AT59" s="3"/>
      <c r="AU59" s="3"/>
      <c r="AV59" s="3"/>
      <c r="AW59" s="3"/>
      <c r="AX59" s="3"/>
    </row>
    <row r="60" spans="1:50" ht="13.35" hidden="1" customHeight="1">
      <c r="A60" s="7"/>
      <c r="B60" s="8"/>
      <c r="C60" s="78" t="e">
        <f>[8]November_2025!$D59</f>
        <v>#REF!</v>
      </c>
      <c r="D60" s="85"/>
      <c r="E60" s="80"/>
      <c r="F60" s="80"/>
      <c r="G60" s="81"/>
      <c r="H60" s="14"/>
      <c r="I60" s="34"/>
      <c r="J60" s="35"/>
      <c r="K60" s="34"/>
      <c r="L60" s="34"/>
      <c r="M60" s="34"/>
      <c r="N60" s="34"/>
      <c r="O60" s="34">
        <f>'Uncaser Downtime Detail '!AG662</f>
        <v>0</v>
      </c>
      <c r="P60" s="34">
        <f>'Washer Downtime Detail'!BH672</f>
        <v>0</v>
      </c>
      <c r="Q60" s="34">
        <f>'EBI Downtime Detail'!AI669</f>
        <v>0</v>
      </c>
      <c r="R60" s="34">
        <f>'Filler Downtime Detail'!AK662</f>
        <v>0</v>
      </c>
      <c r="S60" s="34">
        <f>'Pasteurizer Downtime Detail'!Z640</f>
        <v>0</v>
      </c>
      <c r="T60" s="34" t="e">
        <f>'Labeler Downtime Detail'!#REF!</f>
        <v>#REF!</v>
      </c>
      <c r="U60" s="34">
        <f>'Videojet Downtime Detail '!O658</f>
        <v>0</v>
      </c>
      <c r="V60" s="34">
        <f>'Conveyor Downtime (new)'!AV668</f>
        <v>0</v>
      </c>
      <c r="W60" s="34">
        <f>'Packer Downtime Detail  '!AD652</f>
        <v>0</v>
      </c>
      <c r="X60" s="34">
        <f>'Carton Errector-sealer Detail'!P653</f>
        <v>0</v>
      </c>
      <c r="Y60" s="34"/>
      <c r="Z60" s="34"/>
      <c r="AA60" s="90"/>
      <c r="AB60" s="89"/>
      <c r="AC60" s="89"/>
      <c r="AD60" s="44" t="e">
        <f t="shared" si="3"/>
        <v>#REF!</v>
      </c>
      <c r="AE60" s="68">
        <f t="shared" ref="AE60:AE67" si="4">G60-D60</f>
        <v>0</v>
      </c>
      <c r="AH60" s="3"/>
      <c r="AI60" s="23"/>
      <c r="AJ60" s="23"/>
      <c r="AK60" s="54"/>
      <c r="AL60" s="3"/>
      <c r="AM60" s="3"/>
      <c r="AN60" s="3"/>
      <c r="AO60" s="3"/>
      <c r="AP60" s="3"/>
      <c r="AQ60" s="3"/>
      <c r="AR60" s="3"/>
      <c r="AS60" s="3"/>
      <c r="AT60" s="3"/>
      <c r="AU60" s="3"/>
      <c r="AV60" s="3"/>
      <c r="AW60" s="3"/>
      <c r="AX60" s="3"/>
    </row>
    <row r="61" spans="1:50" ht="13.35" hidden="1" customHeight="1">
      <c r="A61" s="7"/>
      <c r="B61" s="8"/>
      <c r="C61" s="78" t="e">
        <f>[8]November_2025!$D60</f>
        <v>#REF!</v>
      </c>
      <c r="D61" s="85"/>
      <c r="E61" s="80"/>
      <c r="F61" s="80"/>
      <c r="G61" s="81"/>
      <c r="H61" s="82"/>
      <c r="I61" s="32"/>
      <c r="J61" s="86"/>
      <c r="K61" s="71"/>
      <c r="L61" s="71"/>
      <c r="M61" s="71"/>
      <c r="N61" s="71"/>
      <c r="O61" s="71">
        <f>'Uncaser Downtime Detail '!AG663</f>
        <v>0</v>
      </c>
      <c r="P61" s="71">
        <f>'Washer Downtime Detail'!BH673</f>
        <v>0</v>
      </c>
      <c r="Q61" s="71">
        <f>'EBI Downtime Detail'!AI670</f>
        <v>0</v>
      </c>
      <c r="R61" s="71">
        <f>'Filler Downtime Detail'!AK663</f>
        <v>0</v>
      </c>
      <c r="S61" s="71">
        <f>'Pasteurizer Downtime Detail'!Z641</f>
        <v>0</v>
      </c>
      <c r="T61" s="71" t="e">
        <f>'Labeler Downtime Detail'!#REF!</f>
        <v>#REF!</v>
      </c>
      <c r="U61" s="71">
        <f>'Videojet Downtime Detail '!O659</f>
        <v>0</v>
      </c>
      <c r="V61" s="71">
        <f>'Conveyor Downtime (new)'!AV669</f>
        <v>0</v>
      </c>
      <c r="W61" s="71">
        <f>'Packer Downtime Detail  '!AD653</f>
        <v>0</v>
      </c>
      <c r="X61" s="71">
        <f>'Carton Errector-sealer Detail'!P654</f>
        <v>0</v>
      </c>
      <c r="Y61" s="71"/>
      <c r="Z61" s="43"/>
      <c r="AA61" s="88"/>
      <c r="AB61" s="71"/>
      <c r="AC61" s="71"/>
      <c r="AD61" s="44" t="e">
        <f t="shared" si="3"/>
        <v>#REF!</v>
      </c>
      <c r="AE61" s="68">
        <f t="shared" si="4"/>
        <v>0</v>
      </c>
      <c r="AH61" s="3"/>
      <c r="AI61" s="23"/>
      <c r="AJ61" s="23"/>
      <c r="AK61" s="54"/>
      <c r="AL61" s="3"/>
      <c r="AM61" s="3"/>
      <c r="AN61" s="3"/>
      <c r="AO61" s="3"/>
      <c r="AP61" s="3"/>
      <c r="AQ61" s="3"/>
      <c r="AR61" s="3"/>
      <c r="AS61" s="3"/>
      <c r="AT61" s="3"/>
      <c r="AU61" s="3"/>
      <c r="AV61" s="3"/>
      <c r="AW61" s="3"/>
      <c r="AX61" s="3"/>
    </row>
    <row r="62" spans="1:50" ht="13.35" hidden="1" customHeight="1">
      <c r="A62" s="7"/>
      <c r="B62" s="8"/>
      <c r="C62" s="78" t="e">
        <f>[8]November_2025!$D61</f>
        <v>#REF!</v>
      </c>
      <c r="D62" s="85"/>
      <c r="E62" s="80"/>
      <c r="F62" s="80"/>
      <c r="G62" s="81"/>
      <c r="H62" s="14"/>
      <c r="I62" s="34"/>
      <c r="J62" s="35"/>
      <c r="K62" s="34"/>
      <c r="L62" s="34"/>
      <c r="M62" s="34"/>
      <c r="N62" s="34"/>
      <c r="O62" s="34">
        <f>'Uncaser Downtime Detail '!AG664</f>
        <v>0</v>
      </c>
      <c r="P62" s="34"/>
      <c r="Q62" s="34">
        <f>'EBI Downtime Detail'!AI671</f>
        <v>0</v>
      </c>
      <c r="R62" s="34">
        <f>'Filler Downtime Detail'!AK664</f>
        <v>0</v>
      </c>
      <c r="S62" s="34">
        <f>'Pasteurizer Downtime Detail'!Z642</f>
        <v>0</v>
      </c>
      <c r="T62" s="34" t="e">
        <f>'Labeler Downtime Detail'!#REF!</f>
        <v>#REF!</v>
      </c>
      <c r="U62" s="34"/>
      <c r="V62" s="34"/>
      <c r="W62" s="34"/>
      <c r="X62" s="34">
        <f>'Carton Errector-sealer Detail'!P655</f>
        <v>0</v>
      </c>
      <c r="Y62" s="34"/>
      <c r="Z62" s="34"/>
      <c r="AA62" s="90"/>
      <c r="AB62" s="89"/>
      <c r="AC62" s="89"/>
      <c r="AD62" s="44" t="e">
        <f t="shared" si="3"/>
        <v>#REF!</v>
      </c>
      <c r="AE62" s="68">
        <f t="shared" si="4"/>
        <v>0</v>
      </c>
      <c r="AH62" s="3"/>
      <c r="AI62" s="23"/>
      <c r="AJ62" s="23"/>
      <c r="AK62" s="54"/>
      <c r="AL62" s="3"/>
      <c r="AM62" s="3"/>
      <c r="AN62" s="3"/>
      <c r="AO62" s="3"/>
      <c r="AP62" s="3"/>
      <c r="AQ62" s="3"/>
      <c r="AR62" s="3"/>
      <c r="AS62" s="3"/>
      <c r="AT62" s="3"/>
      <c r="AU62" s="3"/>
      <c r="AV62" s="3"/>
      <c r="AW62" s="3"/>
      <c r="AX62" s="3"/>
    </row>
    <row r="63" spans="1:50" ht="12.75" hidden="1" customHeight="1">
      <c r="A63" s="7"/>
      <c r="B63" s="8"/>
      <c r="C63" s="78" t="e">
        <f>[8]November_2025!$D62</f>
        <v>#REF!</v>
      </c>
      <c r="D63" s="85"/>
      <c r="E63" s="80"/>
      <c r="F63" s="80"/>
      <c r="G63" s="81"/>
      <c r="H63" s="82"/>
      <c r="I63" s="32"/>
      <c r="J63" s="86"/>
      <c r="K63" s="71"/>
      <c r="L63" s="71"/>
      <c r="M63" s="71"/>
      <c r="N63" s="71"/>
      <c r="O63" s="71">
        <f>'Uncaser Downtime Detail '!AG665</f>
        <v>0</v>
      </c>
      <c r="P63" s="71"/>
      <c r="Q63" s="71">
        <f>'EBI Downtime Detail'!AI672</f>
        <v>0</v>
      </c>
      <c r="R63" s="71"/>
      <c r="S63" s="71"/>
      <c r="T63" s="71"/>
      <c r="U63" s="71"/>
      <c r="V63" s="71"/>
      <c r="W63" s="71"/>
      <c r="X63" s="71">
        <f>'Carton Errector-sealer Detail'!P656</f>
        <v>0</v>
      </c>
      <c r="Y63" s="71"/>
      <c r="Z63" s="43"/>
      <c r="AA63" s="88"/>
      <c r="AB63" s="71"/>
      <c r="AC63" s="71"/>
      <c r="AD63" s="44">
        <f t="shared" si="3"/>
        <v>0</v>
      </c>
      <c r="AE63" s="68">
        <f t="shared" si="4"/>
        <v>0</v>
      </c>
      <c r="AH63" s="3"/>
      <c r="AI63" s="23"/>
      <c r="AJ63" s="23"/>
      <c r="AK63" s="54"/>
      <c r="AL63" s="3"/>
      <c r="AM63" s="3"/>
      <c r="AN63" s="3"/>
      <c r="AO63" s="3"/>
      <c r="AP63" s="3"/>
      <c r="AQ63" s="3"/>
      <c r="AR63" s="3"/>
      <c r="AS63" s="3"/>
      <c r="AT63" s="3"/>
      <c r="AU63" s="3"/>
      <c r="AV63" s="3"/>
      <c r="AW63" s="3"/>
      <c r="AX63" s="3"/>
    </row>
    <row r="64" spans="1:50" ht="12.75" hidden="1" customHeight="1">
      <c r="A64" s="7"/>
      <c r="B64" s="8"/>
      <c r="C64" s="78" t="e">
        <f>[8]November_2025!$D63</f>
        <v>#REF!</v>
      </c>
      <c r="D64" s="85"/>
      <c r="E64" s="80"/>
      <c r="F64" s="80"/>
      <c r="G64" s="81"/>
      <c r="H64" s="14"/>
      <c r="I64" s="34"/>
      <c r="J64" s="35"/>
      <c r="K64" s="34"/>
      <c r="L64" s="34"/>
      <c r="M64" s="34"/>
      <c r="N64" s="34"/>
      <c r="O64" s="34">
        <f>'Uncaser Downtime Detail '!AG666</f>
        <v>0</v>
      </c>
      <c r="P64" s="34"/>
      <c r="Q64" s="34"/>
      <c r="R64" s="34">
        <f>'Filler Downtime Detail'!AK666</f>
        <v>0</v>
      </c>
      <c r="S64" s="34"/>
      <c r="T64" s="34"/>
      <c r="U64" s="34"/>
      <c r="V64" s="34"/>
      <c r="W64" s="34"/>
      <c r="X64" s="34"/>
      <c r="Y64" s="34"/>
      <c r="Z64" s="34"/>
      <c r="AA64" s="90"/>
      <c r="AB64" s="89"/>
      <c r="AC64" s="89"/>
      <c r="AD64" s="44">
        <f t="shared" si="3"/>
        <v>0</v>
      </c>
      <c r="AE64" s="68">
        <f t="shared" si="4"/>
        <v>0</v>
      </c>
      <c r="AH64" s="3"/>
      <c r="AI64" s="23"/>
      <c r="AJ64" s="23"/>
      <c r="AK64" s="54"/>
      <c r="AL64" s="3"/>
      <c r="AM64" s="3"/>
      <c r="AN64" s="3"/>
      <c r="AO64" s="3"/>
      <c r="AP64" s="3"/>
      <c r="AQ64" s="3"/>
      <c r="AR64" s="3"/>
      <c r="AS64" s="3"/>
      <c r="AT64" s="3"/>
      <c r="AU64" s="3"/>
      <c r="AV64" s="3"/>
      <c r="AW64" s="3"/>
      <c r="AX64" s="3"/>
    </row>
    <row r="65" spans="1:50" ht="12.75" hidden="1" customHeight="1">
      <c r="A65" s="7"/>
      <c r="B65" s="8"/>
      <c r="C65" s="78" t="e">
        <f>[8]November_2025!$D64</f>
        <v>#REF!</v>
      </c>
      <c r="D65" s="85"/>
      <c r="E65" s="80"/>
      <c r="F65" s="80"/>
      <c r="G65" s="81"/>
      <c r="H65" s="82"/>
      <c r="I65" s="32"/>
      <c r="J65" s="86"/>
      <c r="K65" s="71"/>
      <c r="L65" s="71"/>
      <c r="M65" s="71"/>
      <c r="N65" s="71"/>
      <c r="O65" s="71">
        <f>'Uncaser Downtime Detail '!AG667</f>
        <v>0</v>
      </c>
      <c r="P65" s="71"/>
      <c r="Q65" s="71"/>
      <c r="R65" s="71"/>
      <c r="S65" s="71"/>
      <c r="T65" s="71"/>
      <c r="U65" s="71"/>
      <c r="V65" s="71"/>
      <c r="W65" s="71"/>
      <c r="X65" s="71"/>
      <c r="Y65" s="71"/>
      <c r="Z65" s="43"/>
      <c r="AA65" s="88"/>
      <c r="AB65" s="71"/>
      <c r="AC65" s="71"/>
      <c r="AD65" s="44">
        <f t="shared" si="3"/>
        <v>0</v>
      </c>
      <c r="AE65" s="68">
        <f t="shared" si="4"/>
        <v>0</v>
      </c>
      <c r="AH65" s="3"/>
      <c r="AI65" s="23"/>
      <c r="AJ65" s="23"/>
      <c r="AK65" s="54"/>
      <c r="AL65" s="3"/>
      <c r="AM65" s="3"/>
      <c r="AN65" s="3"/>
      <c r="AO65" s="3"/>
      <c r="AP65" s="3"/>
      <c r="AQ65" s="3"/>
      <c r="AR65" s="3"/>
      <c r="AS65" s="3"/>
      <c r="AT65" s="3"/>
      <c r="AU65" s="3"/>
      <c r="AV65" s="3"/>
      <c r="AW65" s="3"/>
      <c r="AX65" s="3"/>
    </row>
    <row r="66" spans="1:50" ht="12.75" hidden="1" customHeight="1">
      <c r="A66" s="7"/>
      <c r="B66" s="8"/>
      <c r="C66" s="78" t="e">
        <f>[8]November_2025!$D65</f>
        <v>#REF!</v>
      </c>
      <c r="D66" s="93"/>
      <c r="E66" s="81"/>
      <c r="F66" s="81"/>
      <c r="G66" s="94"/>
      <c r="H66" s="14"/>
      <c r="I66" s="34"/>
      <c r="J66" s="35"/>
      <c r="K66" s="34"/>
      <c r="L66" s="34"/>
      <c r="M66" s="34"/>
      <c r="N66" s="34"/>
      <c r="O66" s="34"/>
      <c r="P66" s="34"/>
      <c r="Q66" s="34">
        <f>'EBI Downtime Detail'!AI675</f>
        <v>0</v>
      </c>
      <c r="R66" s="34"/>
      <c r="S66" s="34"/>
      <c r="T66" s="34"/>
      <c r="U66" s="34"/>
      <c r="V66" s="34"/>
      <c r="W66" s="34"/>
      <c r="X66" s="34"/>
      <c r="Y66" s="35"/>
      <c r="Z66" s="34"/>
      <c r="AA66" s="90"/>
      <c r="AB66" s="89"/>
      <c r="AC66" s="89"/>
      <c r="AD66" s="44">
        <f t="shared" si="3"/>
        <v>0</v>
      </c>
      <c r="AE66" s="68">
        <f t="shared" si="4"/>
        <v>0</v>
      </c>
      <c r="AH66" s="3"/>
      <c r="AI66" s="23"/>
      <c r="AJ66" s="23"/>
      <c r="AK66" s="54"/>
      <c r="AL66" s="3"/>
      <c r="AM66" s="3"/>
      <c r="AN66" s="3"/>
      <c r="AO66" s="3"/>
      <c r="AP66" s="3"/>
      <c r="AQ66" s="3"/>
      <c r="AR66" s="3"/>
      <c r="AS66" s="3"/>
      <c r="AT66" s="3"/>
      <c r="AU66" s="3"/>
      <c r="AV66" s="3"/>
      <c r="AW66" s="3"/>
      <c r="AX66" s="3"/>
    </row>
    <row r="67" spans="1:50" ht="12.75" hidden="1" customHeight="1">
      <c r="A67" s="7"/>
      <c r="B67" s="8"/>
      <c r="C67" s="78" t="e">
        <f>[8]November_2025!$D66</f>
        <v>#REF!</v>
      </c>
      <c r="D67" s="93"/>
      <c r="E67" s="81"/>
      <c r="F67" s="81"/>
      <c r="G67" s="4"/>
      <c r="H67" s="34"/>
      <c r="I67" s="34"/>
      <c r="J67" s="34"/>
      <c r="K67" s="34"/>
      <c r="L67" s="34"/>
      <c r="M67" s="34"/>
      <c r="N67" s="71"/>
      <c r="O67" s="71">
        <f>'Uncaser Downtime Detail '!AG669</f>
        <v>0</v>
      </c>
      <c r="P67" s="71"/>
      <c r="Q67" s="71">
        <f>'EBI Downtime Detail'!AI676</f>
        <v>0</v>
      </c>
      <c r="R67" s="71"/>
      <c r="S67" s="34"/>
      <c r="T67" s="34"/>
      <c r="U67" s="34"/>
      <c r="V67" s="34"/>
      <c r="W67" s="34"/>
      <c r="X67" s="71"/>
      <c r="Y67" s="34"/>
      <c r="Z67" s="34"/>
      <c r="AA67" s="89"/>
      <c r="AB67" s="89"/>
      <c r="AC67" s="89"/>
      <c r="AD67" s="44">
        <f t="shared" si="3"/>
        <v>0</v>
      </c>
      <c r="AE67" s="68">
        <f t="shared" si="4"/>
        <v>0</v>
      </c>
      <c r="AH67" s="3"/>
      <c r="AI67" s="23"/>
      <c r="AJ67" s="23"/>
      <c r="AK67" s="54"/>
      <c r="AL67" s="3"/>
      <c r="AM67" s="3"/>
      <c r="AN67" s="3"/>
      <c r="AO67" s="3"/>
      <c r="AP67" s="3"/>
      <c r="AQ67" s="3"/>
      <c r="AR67" s="3"/>
      <c r="AS67" s="3"/>
      <c r="AT67" s="3"/>
      <c r="AU67" s="3"/>
      <c r="AV67" s="3"/>
      <c r="AW67" s="3"/>
      <c r="AX67" s="3"/>
    </row>
    <row r="68" spans="1:50" hidden="1">
      <c r="A68" s="7"/>
      <c r="B68" s="8"/>
      <c r="C68" s="78" t="e">
        <f>[8]November_2025!$D67</f>
        <v>#REF!</v>
      </c>
      <c r="D68" s="93"/>
      <c r="E68" s="81"/>
      <c r="F68" s="81"/>
      <c r="G68" s="4"/>
      <c r="H68" s="32"/>
      <c r="I68" s="32"/>
      <c r="J68" s="32"/>
      <c r="K68" s="32"/>
      <c r="L68" s="32"/>
      <c r="M68" s="32"/>
      <c r="N68" s="71"/>
      <c r="O68" s="71"/>
      <c r="P68" s="71"/>
      <c r="Q68" s="71"/>
      <c r="R68" s="71"/>
      <c r="S68" s="32"/>
      <c r="T68" s="32"/>
      <c r="U68" s="32"/>
      <c r="V68" s="32"/>
      <c r="W68" s="32"/>
      <c r="X68" s="34"/>
      <c r="Y68" s="32"/>
      <c r="Z68" s="32"/>
      <c r="AA68" s="71"/>
      <c r="AB68" s="71"/>
      <c r="AC68" s="71"/>
      <c r="AD68" s="44">
        <f t="shared" si="3"/>
        <v>0</v>
      </c>
      <c r="AE68" s="101"/>
      <c r="AH68" s="3"/>
      <c r="AI68" s="23"/>
      <c r="AJ68" s="23"/>
      <c r="AK68" s="54"/>
      <c r="AL68" s="3"/>
      <c r="AM68" s="3"/>
      <c r="AN68" s="3"/>
      <c r="AO68" s="3"/>
      <c r="AP68" s="3"/>
      <c r="AQ68" s="3"/>
      <c r="AR68" s="3"/>
      <c r="AS68" s="3"/>
      <c r="AT68" s="3"/>
      <c r="AU68" s="3"/>
      <c r="AV68" s="3"/>
      <c r="AW68" s="3"/>
      <c r="AX68" s="3"/>
    </row>
    <row r="69" spans="1:50" hidden="1">
      <c r="A69" s="7"/>
      <c r="B69" s="95"/>
      <c r="C69" s="78" t="e">
        <f>[8]November_2025!$D68</f>
        <v>#REF!</v>
      </c>
      <c r="D69" s="4"/>
      <c r="E69" s="23"/>
      <c r="F69" s="23"/>
      <c r="G69" s="4"/>
      <c r="H69" s="32"/>
      <c r="I69" s="32"/>
      <c r="J69" s="32"/>
      <c r="K69" s="32"/>
      <c r="L69" s="32"/>
      <c r="M69" s="32"/>
      <c r="N69" s="71"/>
      <c r="O69" s="71"/>
      <c r="P69" s="71"/>
      <c r="Q69" s="71"/>
      <c r="R69" s="71"/>
      <c r="S69" s="32"/>
      <c r="T69" s="32"/>
      <c r="U69" s="32"/>
      <c r="V69" s="32"/>
      <c r="W69" s="32"/>
      <c r="X69" s="32"/>
      <c r="Y69" s="32"/>
      <c r="Z69" s="32"/>
      <c r="AA69" s="71"/>
      <c r="AB69" s="71"/>
      <c r="AC69" s="71"/>
      <c r="AD69" s="102"/>
      <c r="AE69" s="101"/>
      <c r="AH69" s="3"/>
      <c r="AI69" s="23"/>
      <c r="AJ69" s="23"/>
      <c r="AK69" s="54"/>
      <c r="AL69" s="3"/>
      <c r="AM69" s="3"/>
      <c r="AN69" s="3"/>
      <c r="AO69" s="3"/>
      <c r="AP69" s="3"/>
      <c r="AQ69" s="3"/>
      <c r="AR69" s="3"/>
      <c r="AS69" s="3"/>
      <c r="AT69" s="3"/>
      <c r="AU69" s="3"/>
      <c r="AV69" s="3"/>
      <c r="AW69" s="3"/>
      <c r="AX69" s="3"/>
    </row>
    <row r="70" spans="1:50" ht="15.75" thickBot="1">
      <c r="A70" s="15" t="s">
        <v>427</v>
      </c>
      <c r="B70" s="96"/>
      <c r="C70" s="17"/>
      <c r="D70" s="18"/>
      <c r="E70" s="18"/>
      <c r="F70" s="18"/>
      <c r="G70" s="19" t="e">
        <f>AVERAGE(G8:G14,G16:G17,G19:G37,G39:G45,G47:G55)</f>
        <v>#DIV/0!</v>
      </c>
      <c r="H70" s="16">
        <f>SUM(H8:H67)</f>
        <v>0</v>
      </c>
      <c r="I70" s="98">
        <f>SUM(I8:I67)</f>
        <v>0</v>
      </c>
      <c r="J70" s="98">
        <f>SUM(J8:J67)</f>
        <v>0</v>
      </c>
      <c r="K70" s="98">
        <f t="shared" ref="K70:AC70" si="5">SUM(K8:K65)</f>
        <v>0</v>
      </c>
      <c r="L70" s="98">
        <f t="shared" si="5"/>
        <v>0</v>
      </c>
      <c r="M70" s="98">
        <f t="shared" si="5"/>
        <v>0</v>
      </c>
      <c r="N70" s="98">
        <f t="shared" si="5"/>
        <v>0</v>
      </c>
      <c r="O70" s="98">
        <f t="shared" si="5"/>
        <v>0</v>
      </c>
      <c r="P70" s="98">
        <f t="shared" si="5"/>
        <v>0</v>
      </c>
      <c r="Q70" s="98">
        <f t="shared" si="5"/>
        <v>0</v>
      </c>
      <c r="R70" s="98">
        <f t="shared" si="5"/>
        <v>0</v>
      </c>
      <c r="S70" s="98">
        <f t="shared" si="5"/>
        <v>0</v>
      </c>
      <c r="T70" s="98">
        <f>SUM(T8:T52)</f>
        <v>0</v>
      </c>
      <c r="U70" s="98">
        <f t="shared" si="5"/>
        <v>0</v>
      </c>
      <c r="V70" s="98">
        <f t="shared" si="5"/>
        <v>0</v>
      </c>
      <c r="W70" s="98">
        <f t="shared" si="5"/>
        <v>0</v>
      </c>
      <c r="X70" s="98">
        <f t="shared" si="5"/>
        <v>0</v>
      </c>
      <c r="Y70" s="98">
        <f t="shared" si="5"/>
        <v>0</v>
      </c>
      <c r="Z70" s="98">
        <f t="shared" si="5"/>
        <v>0</v>
      </c>
      <c r="AA70" s="98">
        <f t="shared" si="5"/>
        <v>0</v>
      </c>
      <c r="AB70" s="98">
        <f t="shared" si="5"/>
        <v>0</v>
      </c>
      <c r="AC70" s="98">
        <f t="shared" si="5"/>
        <v>0</v>
      </c>
      <c r="AD70" s="98">
        <f>SUM(AD8:AD52)</f>
        <v>0</v>
      </c>
      <c r="AE70" s="48">
        <f>SUM(AE8:AE67)</f>
        <v>0</v>
      </c>
      <c r="AH70" s="3"/>
      <c r="AI70" s="23"/>
      <c r="AJ70" s="23"/>
      <c r="AK70" s="54"/>
      <c r="AL70" s="3"/>
      <c r="AM70" s="3"/>
      <c r="AN70" s="3"/>
      <c r="AO70" s="3"/>
      <c r="AP70" s="3"/>
      <c r="AQ70" s="3"/>
      <c r="AR70" s="3"/>
      <c r="AS70" s="3"/>
      <c r="AT70" s="3"/>
      <c r="AU70" s="3"/>
      <c r="AV70" s="3"/>
      <c r="AW70" s="3"/>
      <c r="AX70" s="3"/>
    </row>
    <row r="71" spans="1:50" ht="13.5" thickTop="1">
      <c r="A71" s="20" t="s">
        <v>45</v>
      </c>
      <c r="B71" s="1"/>
      <c r="C71" s="3" t="s">
        <v>463</v>
      </c>
      <c r="D71" s="3"/>
      <c r="E71" s="3"/>
      <c r="F71" s="3"/>
      <c r="G71" s="3"/>
      <c r="H71" s="21" t="e">
        <f>H70/$AD$70</f>
        <v>#DIV/0!</v>
      </c>
      <c r="I71" s="21" t="e">
        <f t="shared" ref="I71:AB71" si="6">I70/$AD$70</f>
        <v>#DIV/0!</v>
      </c>
      <c r="J71" s="21" t="e">
        <f t="shared" si="6"/>
        <v>#DIV/0!</v>
      </c>
      <c r="K71" s="21" t="e">
        <f t="shared" si="6"/>
        <v>#DIV/0!</v>
      </c>
      <c r="L71" s="21" t="e">
        <f t="shared" si="6"/>
        <v>#DIV/0!</v>
      </c>
      <c r="M71" s="21" t="e">
        <f t="shared" si="6"/>
        <v>#DIV/0!</v>
      </c>
      <c r="N71" s="21" t="e">
        <f t="shared" si="6"/>
        <v>#DIV/0!</v>
      </c>
      <c r="O71" s="21" t="e">
        <f t="shared" ref="O71:W71" si="7">O70/$AD$70</f>
        <v>#DIV/0!</v>
      </c>
      <c r="P71" s="21" t="e">
        <f t="shared" si="7"/>
        <v>#DIV/0!</v>
      </c>
      <c r="Q71" s="21" t="e">
        <f t="shared" si="7"/>
        <v>#DIV/0!</v>
      </c>
      <c r="R71" s="21" t="e">
        <f t="shared" si="7"/>
        <v>#DIV/0!</v>
      </c>
      <c r="S71" s="21" t="e">
        <f t="shared" si="7"/>
        <v>#DIV/0!</v>
      </c>
      <c r="T71" s="21" t="e">
        <f t="shared" si="7"/>
        <v>#DIV/0!</v>
      </c>
      <c r="U71" s="21" t="e">
        <f t="shared" si="7"/>
        <v>#DIV/0!</v>
      </c>
      <c r="V71" s="21" t="e">
        <f t="shared" si="7"/>
        <v>#DIV/0!</v>
      </c>
      <c r="W71" s="21" t="e">
        <f t="shared" si="7"/>
        <v>#DIV/0!</v>
      </c>
      <c r="X71" s="21" t="e">
        <f t="shared" si="6"/>
        <v>#DIV/0!</v>
      </c>
      <c r="Y71" s="21" t="e">
        <f t="shared" si="6"/>
        <v>#DIV/0!</v>
      </c>
      <c r="Z71" s="21" t="e">
        <f t="shared" si="6"/>
        <v>#DIV/0!</v>
      </c>
      <c r="AA71" s="21" t="e">
        <f t="shared" si="6"/>
        <v>#DIV/0!</v>
      </c>
      <c r="AB71" s="21" t="e">
        <f t="shared" si="6"/>
        <v>#DIV/0!</v>
      </c>
      <c r="AC71" s="21"/>
      <c r="AD71" s="3"/>
      <c r="AE71" s="49"/>
      <c r="AH71" s="3"/>
      <c r="AI71" s="23"/>
      <c r="AJ71" s="23"/>
      <c r="AK71" s="54"/>
      <c r="AL71" s="3"/>
      <c r="AM71" s="3"/>
      <c r="AN71" s="3"/>
      <c r="AO71" s="3"/>
      <c r="AP71" s="3"/>
      <c r="AQ71" s="3"/>
      <c r="AR71" s="3"/>
      <c r="AS71" s="3"/>
      <c r="AT71" s="3"/>
      <c r="AU71" s="3"/>
      <c r="AV71" s="3"/>
      <c r="AW71" s="3"/>
      <c r="AX71" s="3"/>
    </row>
    <row r="72" spans="1:50" ht="15">
      <c r="A72" s="20"/>
      <c r="B72" s="1"/>
      <c r="C72" s="3"/>
      <c r="D72" s="3"/>
      <c r="E72" s="3"/>
      <c r="F72" s="3"/>
      <c r="G72" s="3"/>
      <c r="H72" s="3"/>
      <c r="I72" s="36" t="s">
        <v>428</v>
      </c>
      <c r="J72" s="3"/>
      <c r="K72" s="37"/>
      <c r="L72" s="37"/>
      <c r="M72" s="3"/>
      <c r="N72" s="3"/>
      <c r="O72" s="3"/>
      <c r="P72" s="3"/>
      <c r="Q72" s="100"/>
      <c r="R72" s="3"/>
      <c r="S72" s="3"/>
      <c r="T72" s="3"/>
      <c r="U72" s="3"/>
      <c r="V72" s="3"/>
      <c r="W72" s="3"/>
      <c r="X72" s="3"/>
      <c r="Y72" s="3"/>
      <c r="Z72" s="3"/>
      <c r="AA72" s="3"/>
      <c r="AB72" s="3"/>
      <c r="AC72" s="3"/>
      <c r="AD72" s="3"/>
      <c r="AH72" s="3"/>
      <c r="AI72" s="23"/>
      <c r="AJ72" s="23"/>
      <c r="AK72" s="54"/>
      <c r="AL72" s="3"/>
      <c r="AM72" s="3"/>
      <c r="AN72" s="3"/>
      <c r="AO72" s="3"/>
      <c r="AP72" s="3"/>
      <c r="AQ72" s="3"/>
      <c r="AR72" s="3"/>
      <c r="AS72" s="3"/>
      <c r="AT72" s="3"/>
      <c r="AU72" s="3"/>
      <c r="AV72" s="3"/>
      <c r="AW72" s="3"/>
      <c r="AX72" s="3"/>
    </row>
    <row r="73" spans="1:50" ht="15">
      <c r="A73" s="1"/>
      <c r="B73" s="22"/>
      <c r="F73" s="23"/>
      <c r="G73" s="23"/>
      <c r="H73" s="3"/>
      <c r="I73" s="38">
        <f>COUNT(I8:I67)</f>
        <v>0</v>
      </c>
      <c r="J73" s="3"/>
      <c r="K73" s="24"/>
      <c r="L73" s="24"/>
      <c r="M73" s="24"/>
      <c r="N73" s="24"/>
      <c r="O73" s="24"/>
      <c r="P73" s="24"/>
      <c r="Q73" s="24"/>
      <c r="R73" s="24"/>
      <c r="S73" s="24"/>
      <c r="T73" s="24"/>
      <c r="U73" s="24"/>
      <c r="V73" s="24"/>
      <c r="W73" s="24"/>
      <c r="X73" s="24"/>
      <c r="Y73" s="24"/>
      <c r="AH73" s="3"/>
      <c r="AI73" s="23"/>
      <c r="AJ73" s="23"/>
      <c r="AK73" s="54"/>
      <c r="AL73" s="3"/>
      <c r="AM73" s="3"/>
      <c r="AN73" s="3"/>
      <c r="AO73" s="3"/>
      <c r="AP73" s="3"/>
      <c r="AQ73" s="3"/>
      <c r="AR73" s="3"/>
      <c r="AS73" s="3"/>
      <c r="AT73" s="3"/>
      <c r="AU73" s="3"/>
      <c r="AV73" s="3"/>
      <c r="AW73" s="3"/>
      <c r="AX73" s="3"/>
    </row>
    <row r="74" spans="1:50">
      <c r="A74" s="1"/>
      <c r="B74" s="22"/>
      <c r="C74" s="24"/>
      <c r="D74" s="24"/>
      <c r="E74" s="24"/>
      <c r="F74" s="23"/>
      <c r="G74" s="23"/>
      <c r="H74" s="97">
        <f>SUM(Jul!H61,Aug!H68,Sept!H55,Nov!H70)</f>
        <v>192</v>
      </c>
      <c r="I74" s="99">
        <f>SUM(Jul!I61,Aug!I68,Sept!I55,Oct!I71,Nov!I70)</f>
        <v>3861</v>
      </c>
      <c r="J74" s="99">
        <f>SUM(Jul!J61,Aug!J68,Sept!J55,Oct!J71,Nov!J70)</f>
        <v>3841</v>
      </c>
      <c r="K74" s="3"/>
      <c r="L74" s="3" t="s">
        <v>209</v>
      </c>
      <c r="M74" s="3"/>
      <c r="N74" s="3"/>
      <c r="O74" s="3"/>
      <c r="P74" s="3"/>
      <c r="Q74" s="3"/>
      <c r="R74" s="3"/>
      <c r="S74" s="3"/>
      <c r="T74" s="3"/>
      <c r="U74" s="3"/>
      <c r="V74" s="3"/>
      <c r="W74" s="3"/>
      <c r="X74" s="3"/>
      <c r="Y74" s="3"/>
      <c r="AH74" s="3"/>
      <c r="AI74" s="23"/>
      <c r="AJ74" s="23"/>
      <c r="AK74" s="54"/>
      <c r="AL74" s="3"/>
      <c r="AM74" s="3"/>
      <c r="AN74" s="3"/>
      <c r="AO74" s="3"/>
      <c r="AP74" s="3"/>
      <c r="AQ74" s="3"/>
      <c r="AR74" s="3"/>
      <c r="AS74" s="3"/>
      <c r="AT74" s="3"/>
      <c r="AU74" s="3"/>
      <c r="AV74" s="3"/>
      <c r="AW74" s="3"/>
      <c r="AX74" s="3"/>
    </row>
    <row r="75" spans="1:50" ht="13.5" customHeight="1">
      <c r="A75" s="1"/>
      <c r="B75" s="22"/>
      <c r="C75" s="24"/>
      <c r="D75" s="25"/>
      <c r="E75" s="25"/>
      <c r="F75" s="23"/>
      <c r="G75" s="23"/>
      <c r="H75" s="3"/>
      <c r="I75" s="1"/>
      <c r="J75" s="3"/>
      <c r="K75" s="24"/>
      <c r="L75" s="24"/>
      <c r="M75" s="24"/>
      <c r="N75" s="24"/>
      <c r="O75" s="24"/>
      <c r="P75" s="24"/>
      <c r="Q75" s="24"/>
      <c r="R75" s="24"/>
      <c r="S75" s="24"/>
      <c r="T75" s="24"/>
      <c r="U75" s="24"/>
      <c r="V75" s="24"/>
      <c r="W75" s="24"/>
      <c r="X75" s="24"/>
      <c r="Y75" s="24"/>
      <c r="AH75" s="3"/>
      <c r="AI75" s="23"/>
      <c r="AJ75" s="23"/>
      <c r="AK75" s="54"/>
      <c r="AL75" s="3"/>
      <c r="AM75" s="3"/>
      <c r="AN75" s="3"/>
      <c r="AO75" s="3"/>
      <c r="AP75" s="3"/>
      <c r="AQ75" s="3"/>
      <c r="AR75" s="3"/>
      <c r="AS75" s="3"/>
      <c r="AT75" s="3"/>
      <c r="AU75" s="3"/>
      <c r="AV75" s="3"/>
      <c r="AW75" s="3"/>
    </row>
    <row r="76" spans="1:50" ht="15" customHeight="1">
      <c r="A76" s="26"/>
      <c r="B76" s="26"/>
      <c r="C76" s="27"/>
      <c r="D76" s="28"/>
      <c r="E76" s="28"/>
      <c r="F76" s="29"/>
      <c r="G76" s="29"/>
      <c r="H76" s="679" t="s">
        <v>433</v>
      </c>
      <c r="I76" s="679"/>
      <c r="J76" s="679"/>
      <c r="K76" s="679"/>
      <c r="L76" s="679"/>
      <c r="M76" s="679"/>
      <c r="N76" s="679"/>
      <c r="O76" s="24"/>
      <c r="P76" s="680" t="s">
        <v>434</v>
      </c>
      <c r="Q76" s="680"/>
      <c r="R76" s="680"/>
      <c r="S76" s="680"/>
      <c r="T76" s="680"/>
      <c r="U76" s="1"/>
      <c r="V76" s="1"/>
      <c r="W76" s="1"/>
      <c r="X76" s="1"/>
      <c r="Y76" s="1"/>
      <c r="AH76" s="3"/>
      <c r="AI76" s="23"/>
      <c r="AJ76" s="23"/>
      <c r="AK76" s="54"/>
      <c r="AL76" s="3"/>
      <c r="AM76" s="3"/>
      <c r="AN76" s="3"/>
      <c r="AO76" s="3"/>
      <c r="AP76" s="3"/>
      <c r="AQ76" s="3"/>
      <c r="AR76" s="3"/>
      <c r="AS76" s="3"/>
    </row>
    <row r="77" spans="1:50" ht="25.5">
      <c r="A77" s="1"/>
      <c r="B77" s="1"/>
      <c r="C77" s="3"/>
      <c r="D77" s="3"/>
      <c r="E77" s="3"/>
      <c r="F77" s="3"/>
      <c r="G77" s="3"/>
      <c r="H77" s="30" t="s">
        <v>81</v>
      </c>
      <c r="I77" s="30" t="s">
        <v>435</v>
      </c>
      <c r="J77" s="30" t="s">
        <v>436</v>
      </c>
      <c r="K77" s="30" t="s">
        <v>437</v>
      </c>
      <c r="L77" s="66" t="s">
        <v>438</v>
      </c>
      <c r="M77" s="66" t="s">
        <v>439</v>
      </c>
      <c r="N77" s="66" t="s">
        <v>440</v>
      </c>
      <c r="O77" s="26"/>
      <c r="P77" s="67" t="s">
        <v>81</v>
      </c>
      <c r="Q77" s="67" t="s">
        <v>435</v>
      </c>
      <c r="R77" s="39" t="s">
        <v>436</v>
      </c>
      <c r="S77" s="39" t="s">
        <v>437</v>
      </c>
      <c r="T77" s="73" t="s">
        <v>441</v>
      </c>
      <c r="U77" s="3"/>
      <c r="V77" s="3"/>
      <c r="W77" s="3"/>
      <c r="X77" s="3"/>
      <c r="Y77" s="3"/>
    </row>
    <row r="78" spans="1:50">
      <c r="A78" s="1"/>
      <c r="B78" s="1"/>
      <c r="C78" s="3"/>
      <c r="D78" s="3"/>
      <c r="E78" s="3"/>
      <c r="F78" s="3"/>
      <c r="G78" s="3"/>
      <c r="H78" s="65">
        <f t="shared" ref="H78:H109" si="8">B8</f>
        <v>0</v>
      </c>
      <c r="I78" s="1">
        <f t="shared" ref="I78:I109" si="9">C8</f>
        <v>0</v>
      </c>
      <c r="J78" s="23">
        <f t="shared" ref="J78:J109" si="10">E8</f>
        <v>0</v>
      </c>
      <c r="K78" s="23">
        <f t="shared" ref="K78:K109" si="11">F8</f>
        <v>0</v>
      </c>
      <c r="L78" s="68">
        <f>K78-J78</f>
        <v>0</v>
      </c>
      <c r="M78" s="3"/>
      <c r="N78" s="69">
        <f t="shared" ref="N78:N135" si="12">M78-(H8+K8+L8+J8+M8+N8+AA8+Z8+AB8+AC8)</f>
        <v>0</v>
      </c>
      <c r="O78" s="3"/>
      <c r="P78" s="65">
        <f t="shared" ref="P78:P109" si="13">B8</f>
        <v>0</v>
      </c>
      <c r="Q78" s="74">
        <f t="shared" ref="Q78:Q109" si="14">C8</f>
        <v>0</v>
      </c>
      <c r="R78" s="23">
        <f t="shared" ref="R78:R119" si="15">E9</f>
        <v>0</v>
      </c>
      <c r="S78" s="23">
        <f t="shared" ref="S78:S119" si="16">F9</f>
        <v>0</v>
      </c>
      <c r="T78" s="668">
        <f>S80-R78</f>
        <v>0</v>
      </c>
      <c r="U78" s="3"/>
      <c r="V78" s="3"/>
      <c r="W78" s="3"/>
      <c r="X78" s="3"/>
      <c r="Y78" s="3"/>
      <c r="AJ78" t="s">
        <v>209</v>
      </c>
    </row>
    <row r="79" spans="1:50">
      <c r="H79" s="65">
        <f t="shared" si="8"/>
        <v>0</v>
      </c>
      <c r="I79" s="1">
        <f t="shared" si="9"/>
        <v>0</v>
      </c>
      <c r="J79" s="23">
        <f t="shared" si="10"/>
        <v>0</v>
      </c>
      <c r="K79" s="23">
        <f t="shared" si="11"/>
        <v>0</v>
      </c>
      <c r="L79" s="68">
        <f t="shared" ref="L79:L122" si="17">K79-J79</f>
        <v>0</v>
      </c>
      <c r="M79" s="3"/>
      <c r="N79" s="69">
        <f t="shared" si="12"/>
        <v>0</v>
      </c>
      <c r="O79" s="3" t="s">
        <v>209</v>
      </c>
      <c r="P79" s="65">
        <f t="shared" si="13"/>
        <v>0</v>
      </c>
      <c r="Q79" s="74">
        <f t="shared" si="14"/>
        <v>0</v>
      </c>
      <c r="R79" s="23">
        <f t="shared" si="15"/>
        <v>0</v>
      </c>
      <c r="S79" s="23">
        <f t="shared" si="16"/>
        <v>0</v>
      </c>
      <c r="T79" s="668"/>
    </row>
    <row r="80" spans="1:50">
      <c r="H80" s="65">
        <f t="shared" si="8"/>
        <v>0</v>
      </c>
      <c r="I80" s="1">
        <f t="shared" si="9"/>
        <v>0</v>
      </c>
      <c r="J80" s="23">
        <f t="shared" si="10"/>
        <v>0</v>
      </c>
      <c r="K80" s="23">
        <f t="shared" si="11"/>
        <v>0</v>
      </c>
      <c r="L80" s="68">
        <f t="shared" si="17"/>
        <v>0</v>
      </c>
      <c r="M80" s="3"/>
      <c r="N80" s="69">
        <f t="shared" si="12"/>
        <v>0</v>
      </c>
      <c r="P80" s="65">
        <f t="shared" si="13"/>
        <v>0</v>
      </c>
      <c r="Q80" s="74">
        <f t="shared" si="14"/>
        <v>0</v>
      </c>
      <c r="R80" s="23">
        <f t="shared" si="15"/>
        <v>0</v>
      </c>
      <c r="S80" s="23">
        <f t="shared" si="16"/>
        <v>0</v>
      </c>
      <c r="T80" s="668"/>
    </row>
    <row r="81" spans="8:20">
      <c r="H81" s="65">
        <f t="shared" si="8"/>
        <v>0</v>
      </c>
      <c r="I81" s="1">
        <f t="shared" si="9"/>
        <v>0</v>
      </c>
      <c r="J81" s="23">
        <f t="shared" si="10"/>
        <v>0</v>
      </c>
      <c r="K81" s="23">
        <f t="shared" si="11"/>
        <v>0</v>
      </c>
      <c r="L81" s="68">
        <f t="shared" si="17"/>
        <v>0</v>
      </c>
      <c r="M81" s="3"/>
      <c r="N81" s="69">
        <f t="shared" si="12"/>
        <v>0</v>
      </c>
      <c r="P81" s="65">
        <f t="shared" si="13"/>
        <v>0</v>
      </c>
      <c r="Q81" s="74">
        <f t="shared" si="14"/>
        <v>0</v>
      </c>
      <c r="R81" s="23">
        <f t="shared" si="15"/>
        <v>0</v>
      </c>
      <c r="S81" s="23">
        <f t="shared" si="16"/>
        <v>0</v>
      </c>
      <c r="T81" s="668">
        <f>S82-R81</f>
        <v>0</v>
      </c>
    </row>
    <row r="82" spans="8:20">
      <c r="H82" s="65">
        <f t="shared" si="8"/>
        <v>0</v>
      </c>
      <c r="I82" s="1">
        <f t="shared" si="9"/>
        <v>0</v>
      </c>
      <c r="J82" s="23">
        <f t="shared" si="10"/>
        <v>0</v>
      </c>
      <c r="K82" s="23">
        <f t="shared" si="11"/>
        <v>0</v>
      </c>
      <c r="L82" s="68">
        <f t="shared" si="17"/>
        <v>0</v>
      </c>
      <c r="M82" s="3"/>
      <c r="N82" s="69">
        <f t="shared" si="12"/>
        <v>0</v>
      </c>
      <c r="P82" s="65">
        <f t="shared" si="13"/>
        <v>0</v>
      </c>
      <c r="Q82" s="74">
        <f t="shared" si="14"/>
        <v>0</v>
      </c>
      <c r="R82" s="23">
        <f t="shared" si="15"/>
        <v>0</v>
      </c>
      <c r="S82" s="23">
        <f t="shared" si="16"/>
        <v>0</v>
      </c>
      <c r="T82" s="668"/>
    </row>
    <row r="83" spans="8:20">
      <c r="H83" s="65">
        <f t="shared" si="8"/>
        <v>0</v>
      </c>
      <c r="I83" s="1">
        <f t="shared" si="9"/>
        <v>0</v>
      </c>
      <c r="J83" s="23">
        <f t="shared" si="10"/>
        <v>0</v>
      </c>
      <c r="K83" s="23">
        <f t="shared" si="11"/>
        <v>0</v>
      </c>
      <c r="L83" s="68">
        <f t="shared" si="17"/>
        <v>0</v>
      </c>
      <c r="M83" s="3"/>
      <c r="N83" s="69">
        <f t="shared" si="12"/>
        <v>0</v>
      </c>
      <c r="P83" s="65">
        <f t="shared" si="13"/>
        <v>0</v>
      </c>
      <c r="Q83" s="74">
        <f t="shared" si="14"/>
        <v>0</v>
      </c>
      <c r="R83" s="23">
        <f t="shared" si="15"/>
        <v>0</v>
      </c>
      <c r="S83" s="23">
        <f t="shared" si="16"/>
        <v>0</v>
      </c>
      <c r="T83" s="668">
        <f>S85-R83</f>
        <v>0</v>
      </c>
    </row>
    <row r="84" spans="8:20">
      <c r="H84" s="65">
        <f t="shared" si="8"/>
        <v>0</v>
      </c>
      <c r="I84" s="1">
        <f t="shared" si="9"/>
        <v>0</v>
      </c>
      <c r="J84" s="23">
        <f t="shared" si="10"/>
        <v>0</v>
      </c>
      <c r="K84" s="23">
        <f t="shared" si="11"/>
        <v>0</v>
      </c>
      <c r="L84" s="68">
        <f t="shared" si="17"/>
        <v>0</v>
      </c>
      <c r="M84" s="3"/>
      <c r="N84" s="69">
        <f t="shared" si="12"/>
        <v>0</v>
      </c>
      <c r="P84" s="65">
        <f t="shared" si="13"/>
        <v>0</v>
      </c>
      <c r="Q84" s="74">
        <f t="shared" si="14"/>
        <v>0</v>
      </c>
      <c r="R84" s="23">
        <f t="shared" si="15"/>
        <v>0</v>
      </c>
      <c r="S84" s="23">
        <f t="shared" si="16"/>
        <v>0</v>
      </c>
      <c r="T84" s="668"/>
    </row>
    <row r="85" spans="8:20">
      <c r="H85" s="65">
        <f t="shared" si="8"/>
        <v>0</v>
      </c>
      <c r="I85" s="1">
        <f t="shared" si="9"/>
        <v>0</v>
      </c>
      <c r="J85" s="23">
        <f t="shared" si="10"/>
        <v>0</v>
      </c>
      <c r="K85" s="23">
        <f t="shared" si="11"/>
        <v>0</v>
      </c>
      <c r="L85" s="68">
        <f t="shared" si="17"/>
        <v>0</v>
      </c>
      <c r="M85" s="3"/>
      <c r="N85" s="69">
        <f t="shared" si="12"/>
        <v>0</v>
      </c>
      <c r="P85" s="65">
        <f t="shared" si="13"/>
        <v>0</v>
      </c>
      <c r="Q85" s="74">
        <f t="shared" si="14"/>
        <v>0</v>
      </c>
      <c r="R85" s="23">
        <f t="shared" si="15"/>
        <v>0</v>
      </c>
      <c r="S85" s="23">
        <f t="shared" si="16"/>
        <v>0</v>
      </c>
      <c r="T85" s="668"/>
    </row>
    <row r="86" spans="8:20">
      <c r="H86" s="65">
        <f t="shared" si="8"/>
        <v>0</v>
      </c>
      <c r="I86" s="1">
        <f t="shared" si="9"/>
        <v>0</v>
      </c>
      <c r="J86" s="23">
        <f t="shared" si="10"/>
        <v>0</v>
      </c>
      <c r="K86" s="23">
        <f t="shared" si="11"/>
        <v>0</v>
      </c>
      <c r="L86" s="68">
        <f t="shared" ref="L86:L91" si="18">K86-J86</f>
        <v>0</v>
      </c>
      <c r="M86" s="3"/>
      <c r="N86" s="69">
        <f t="shared" si="12"/>
        <v>0</v>
      </c>
      <c r="P86" s="65">
        <f t="shared" si="13"/>
        <v>0</v>
      </c>
      <c r="Q86" s="74">
        <f t="shared" si="14"/>
        <v>0</v>
      </c>
      <c r="R86" s="23">
        <f t="shared" si="15"/>
        <v>0</v>
      </c>
      <c r="S86" s="23">
        <f t="shared" si="16"/>
        <v>0</v>
      </c>
      <c r="T86" s="668">
        <f>S87-R86</f>
        <v>0</v>
      </c>
    </row>
    <row r="87" spans="8:20">
      <c r="H87" s="65">
        <f t="shared" si="8"/>
        <v>0</v>
      </c>
      <c r="I87" s="1">
        <f t="shared" si="9"/>
        <v>0</v>
      </c>
      <c r="J87" s="23">
        <f t="shared" si="10"/>
        <v>0</v>
      </c>
      <c r="K87" s="23">
        <f t="shared" si="11"/>
        <v>0</v>
      </c>
      <c r="L87" s="68">
        <f t="shared" si="18"/>
        <v>0</v>
      </c>
      <c r="M87" s="3"/>
      <c r="N87" s="69">
        <f t="shared" si="12"/>
        <v>0</v>
      </c>
      <c r="P87" s="65">
        <f t="shared" si="13"/>
        <v>0</v>
      </c>
      <c r="Q87" s="74">
        <f t="shared" si="14"/>
        <v>0</v>
      </c>
      <c r="R87" s="23">
        <f t="shared" si="15"/>
        <v>0</v>
      </c>
      <c r="S87" s="23">
        <f t="shared" si="16"/>
        <v>0</v>
      </c>
      <c r="T87" s="668"/>
    </row>
    <row r="88" spans="8:20">
      <c r="H88" s="65">
        <f t="shared" si="8"/>
        <v>0</v>
      </c>
      <c r="I88" s="1">
        <f t="shared" si="9"/>
        <v>0</v>
      </c>
      <c r="J88" s="23">
        <f t="shared" si="10"/>
        <v>0</v>
      </c>
      <c r="K88" s="23">
        <f t="shared" si="11"/>
        <v>0</v>
      </c>
      <c r="L88" s="68">
        <f t="shared" si="18"/>
        <v>0</v>
      </c>
      <c r="M88" s="3"/>
      <c r="N88" s="69">
        <f t="shared" si="12"/>
        <v>0</v>
      </c>
      <c r="P88" s="65">
        <f t="shared" si="13"/>
        <v>0</v>
      </c>
      <c r="Q88" s="74">
        <f t="shared" si="14"/>
        <v>0</v>
      </c>
      <c r="R88" s="23">
        <f t="shared" si="15"/>
        <v>0</v>
      </c>
      <c r="S88" s="23">
        <f t="shared" si="16"/>
        <v>0</v>
      </c>
      <c r="T88" s="668">
        <f>S90-R88</f>
        <v>0</v>
      </c>
    </row>
    <row r="89" spans="8:20">
      <c r="H89" s="65">
        <f t="shared" si="8"/>
        <v>0</v>
      </c>
      <c r="I89" s="1">
        <f t="shared" si="9"/>
        <v>0</v>
      </c>
      <c r="J89" s="23">
        <f t="shared" si="10"/>
        <v>0</v>
      </c>
      <c r="K89" s="23">
        <f t="shared" si="11"/>
        <v>0</v>
      </c>
      <c r="L89" s="68">
        <f t="shared" si="18"/>
        <v>0</v>
      </c>
      <c r="M89" s="3"/>
      <c r="N89" s="69">
        <f t="shared" si="12"/>
        <v>0</v>
      </c>
      <c r="P89" s="65">
        <f t="shared" si="13"/>
        <v>0</v>
      </c>
      <c r="Q89" s="74">
        <f t="shared" si="14"/>
        <v>0</v>
      </c>
      <c r="R89" s="23">
        <f t="shared" si="15"/>
        <v>0</v>
      </c>
      <c r="S89" s="23">
        <f t="shared" si="16"/>
        <v>0</v>
      </c>
      <c r="T89" s="668"/>
    </row>
    <row r="90" spans="8:20">
      <c r="H90" s="65">
        <f t="shared" si="8"/>
        <v>0</v>
      </c>
      <c r="I90" s="1">
        <f t="shared" si="9"/>
        <v>0</v>
      </c>
      <c r="J90" s="23">
        <f t="shared" si="10"/>
        <v>0</v>
      </c>
      <c r="K90" s="23">
        <f t="shared" si="11"/>
        <v>0</v>
      </c>
      <c r="L90" s="68">
        <f t="shared" si="18"/>
        <v>0</v>
      </c>
      <c r="M90" s="3"/>
      <c r="N90" s="69">
        <f t="shared" si="12"/>
        <v>0</v>
      </c>
      <c r="P90" s="65">
        <f t="shared" si="13"/>
        <v>0</v>
      </c>
      <c r="Q90" s="74">
        <f t="shared" si="14"/>
        <v>0</v>
      </c>
      <c r="R90" s="23">
        <f t="shared" si="15"/>
        <v>0</v>
      </c>
      <c r="S90" s="23">
        <f t="shared" si="16"/>
        <v>0</v>
      </c>
      <c r="T90" s="668"/>
    </row>
    <row r="91" spans="8:20">
      <c r="H91" s="65">
        <f t="shared" si="8"/>
        <v>0</v>
      </c>
      <c r="I91" s="1">
        <f t="shared" si="9"/>
        <v>0</v>
      </c>
      <c r="J91" s="23">
        <f t="shared" si="10"/>
        <v>0</v>
      </c>
      <c r="K91" s="23">
        <f t="shared" si="11"/>
        <v>0</v>
      </c>
      <c r="L91" s="68">
        <f t="shared" si="18"/>
        <v>0</v>
      </c>
      <c r="M91" s="3"/>
      <c r="N91" s="69">
        <f t="shared" si="12"/>
        <v>0</v>
      </c>
      <c r="P91" s="65">
        <f t="shared" si="13"/>
        <v>0</v>
      </c>
      <c r="Q91" s="74">
        <f t="shared" si="14"/>
        <v>0</v>
      </c>
      <c r="R91" s="23">
        <f t="shared" si="15"/>
        <v>0</v>
      </c>
      <c r="S91" s="23">
        <f t="shared" si="16"/>
        <v>0</v>
      </c>
      <c r="T91" s="75">
        <f>S91-R91</f>
        <v>0</v>
      </c>
    </row>
    <row r="92" spans="8:20">
      <c r="H92" s="65">
        <f t="shared" si="8"/>
        <v>0</v>
      </c>
      <c r="I92" s="1">
        <f t="shared" si="9"/>
        <v>0</v>
      </c>
      <c r="J92" s="23">
        <f t="shared" si="10"/>
        <v>0</v>
      </c>
      <c r="K92" s="23">
        <f t="shared" si="11"/>
        <v>0</v>
      </c>
      <c r="L92" s="68">
        <f t="shared" si="17"/>
        <v>0</v>
      </c>
      <c r="M92" s="3"/>
      <c r="N92" s="69">
        <f t="shared" si="12"/>
        <v>0</v>
      </c>
      <c r="P92" s="65">
        <f t="shared" si="13"/>
        <v>0</v>
      </c>
      <c r="Q92" s="74">
        <f t="shared" si="14"/>
        <v>0</v>
      </c>
      <c r="R92" s="23">
        <f t="shared" si="15"/>
        <v>0</v>
      </c>
      <c r="S92" s="23">
        <f t="shared" si="16"/>
        <v>0</v>
      </c>
      <c r="T92" s="668">
        <f>S93-R92</f>
        <v>0</v>
      </c>
    </row>
    <row r="93" spans="8:20">
      <c r="H93" s="65">
        <f t="shared" si="8"/>
        <v>0</v>
      </c>
      <c r="I93" s="1">
        <f t="shared" si="9"/>
        <v>0</v>
      </c>
      <c r="J93" s="23">
        <f t="shared" si="10"/>
        <v>0</v>
      </c>
      <c r="K93" s="23">
        <f t="shared" si="11"/>
        <v>0</v>
      </c>
      <c r="L93" s="68">
        <f t="shared" si="17"/>
        <v>0</v>
      </c>
      <c r="M93" s="3"/>
      <c r="N93" s="69">
        <f t="shared" si="12"/>
        <v>0</v>
      </c>
      <c r="P93" s="65">
        <f t="shared" si="13"/>
        <v>0</v>
      </c>
      <c r="Q93" s="74">
        <f t="shared" si="14"/>
        <v>0</v>
      </c>
      <c r="R93" s="23">
        <f t="shared" si="15"/>
        <v>0</v>
      </c>
      <c r="S93" s="23">
        <f t="shared" si="16"/>
        <v>0</v>
      </c>
      <c r="T93" s="668"/>
    </row>
    <row r="94" spans="8:20">
      <c r="H94" s="65">
        <f t="shared" si="8"/>
        <v>0</v>
      </c>
      <c r="I94" s="1">
        <f t="shared" si="9"/>
        <v>0</v>
      </c>
      <c r="J94" s="23">
        <f t="shared" si="10"/>
        <v>0</v>
      </c>
      <c r="K94" s="23">
        <f t="shared" si="11"/>
        <v>0</v>
      </c>
      <c r="L94" s="68">
        <f t="shared" si="17"/>
        <v>0</v>
      </c>
      <c r="M94" s="3"/>
      <c r="N94" s="69">
        <f t="shared" si="12"/>
        <v>0</v>
      </c>
      <c r="P94" s="65">
        <f t="shared" si="13"/>
        <v>0</v>
      </c>
      <c r="Q94" s="74">
        <f t="shared" si="14"/>
        <v>0</v>
      </c>
      <c r="R94" s="23">
        <f t="shared" si="15"/>
        <v>0</v>
      </c>
      <c r="S94" s="23">
        <f t="shared" si="16"/>
        <v>0</v>
      </c>
      <c r="T94" s="668">
        <f>S95-R94</f>
        <v>0</v>
      </c>
    </row>
    <row r="95" spans="8:20">
      <c r="H95" s="65">
        <f t="shared" si="8"/>
        <v>0</v>
      </c>
      <c r="I95" s="1">
        <f t="shared" si="9"/>
        <v>0</v>
      </c>
      <c r="J95" s="23">
        <f t="shared" si="10"/>
        <v>0</v>
      </c>
      <c r="K95" s="23">
        <f t="shared" si="11"/>
        <v>0</v>
      </c>
      <c r="L95" s="68">
        <f t="shared" si="17"/>
        <v>0</v>
      </c>
      <c r="M95" s="3"/>
      <c r="N95" s="69">
        <f t="shared" si="12"/>
        <v>0</v>
      </c>
      <c r="P95" s="65">
        <f t="shared" si="13"/>
        <v>0</v>
      </c>
      <c r="Q95" s="74">
        <f t="shared" si="14"/>
        <v>0</v>
      </c>
      <c r="R95" s="23">
        <f t="shared" si="15"/>
        <v>0</v>
      </c>
      <c r="S95" s="23">
        <f t="shared" si="16"/>
        <v>0</v>
      </c>
      <c r="T95" s="668"/>
    </row>
    <row r="96" spans="8:20">
      <c r="H96" s="65">
        <f t="shared" si="8"/>
        <v>0</v>
      </c>
      <c r="I96" s="1">
        <f t="shared" si="9"/>
        <v>0</v>
      </c>
      <c r="J96" s="23">
        <f t="shared" si="10"/>
        <v>0</v>
      </c>
      <c r="K96" s="23">
        <f t="shared" si="11"/>
        <v>0</v>
      </c>
      <c r="L96" s="68">
        <f t="shared" si="17"/>
        <v>0</v>
      </c>
      <c r="M96" s="3"/>
      <c r="N96" s="69">
        <f t="shared" si="12"/>
        <v>0</v>
      </c>
      <c r="P96" s="65">
        <f t="shared" si="13"/>
        <v>0</v>
      </c>
      <c r="Q96" s="74">
        <f t="shared" si="14"/>
        <v>0</v>
      </c>
      <c r="R96" s="23">
        <f t="shared" si="15"/>
        <v>0</v>
      </c>
      <c r="S96" s="23">
        <f t="shared" si="16"/>
        <v>0</v>
      </c>
      <c r="T96" s="668">
        <f>S97-R96</f>
        <v>0</v>
      </c>
    </row>
    <row r="97" spans="8:20">
      <c r="H97" s="65">
        <f t="shared" si="8"/>
        <v>0</v>
      </c>
      <c r="I97" s="1">
        <f t="shared" si="9"/>
        <v>0</v>
      </c>
      <c r="J97" s="23">
        <f t="shared" si="10"/>
        <v>0</v>
      </c>
      <c r="K97" s="23">
        <f t="shared" si="11"/>
        <v>0</v>
      </c>
      <c r="L97" s="68">
        <f t="shared" si="17"/>
        <v>0</v>
      </c>
      <c r="M97" s="3"/>
      <c r="N97" s="69">
        <f t="shared" si="12"/>
        <v>0</v>
      </c>
      <c r="P97" s="65">
        <f t="shared" si="13"/>
        <v>0</v>
      </c>
      <c r="Q97" s="74">
        <f t="shared" si="14"/>
        <v>0</v>
      </c>
      <c r="R97" s="23">
        <f t="shared" si="15"/>
        <v>0</v>
      </c>
      <c r="S97" s="23">
        <f t="shared" si="16"/>
        <v>0</v>
      </c>
      <c r="T97" s="668"/>
    </row>
    <row r="98" spans="8:20">
      <c r="H98" s="65">
        <f t="shared" si="8"/>
        <v>0</v>
      </c>
      <c r="I98" s="1">
        <f t="shared" si="9"/>
        <v>0</v>
      </c>
      <c r="J98" s="23">
        <f t="shared" si="10"/>
        <v>0</v>
      </c>
      <c r="K98" s="23">
        <f t="shared" si="11"/>
        <v>0</v>
      </c>
      <c r="L98" s="68">
        <f t="shared" si="17"/>
        <v>0</v>
      </c>
      <c r="M98" s="3"/>
      <c r="N98" s="69">
        <f t="shared" si="12"/>
        <v>0</v>
      </c>
      <c r="P98" s="65">
        <f t="shared" si="13"/>
        <v>0</v>
      </c>
      <c r="Q98" s="74">
        <f t="shared" si="14"/>
        <v>0</v>
      </c>
      <c r="R98" s="23">
        <f t="shared" si="15"/>
        <v>0</v>
      </c>
      <c r="S98" s="23">
        <f t="shared" si="16"/>
        <v>0</v>
      </c>
      <c r="T98" s="75">
        <f>S98-R98</f>
        <v>0</v>
      </c>
    </row>
    <row r="99" spans="8:20">
      <c r="H99" s="65">
        <f t="shared" si="8"/>
        <v>0</v>
      </c>
      <c r="I99" s="1">
        <f t="shared" si="9"/>
        <v>0</v>
      </c>
      <c r="J99" s="23">
        <f t="shared" si="10"/>
        <v>0</v>
      </c>
      <c r="K99" s="23">
        <f t="shared" si="11"/>
        <v>0</v>
      </c>
      <c r="L99" s="68">
        <f t="shared" si="17"/>
        <v>0</v>
      </c>
      <c r="M99" s="3"/>
      <c r="N99" s="69">
        <f t="shared" si="12"/>
        <v>0</v>
      </c>
      <c r="P99" s="65">
        <f t="shared" si="13"/>
        <v>0</v>
      </c>
      <c r="Q99" s="74">
        <f t="shared" si="14"/>
        <v>0</v>
      </c>
      <c r="R99" s="23">
        <f t="shared" si="15"/>
        <v>0</v>
      </c>
      <c r="S99" s="23">
        <f t="shared" si="16"/>
        <v>0</v>
      </c>
      <c r="T99" s="75">
        <f>S99-R99</f>
        <v>0</v>
      </c>
    </row>
    <row r="100" spans="8:20">
      <c r="H100" s="65">
        <f t="shared" si="8"/>
        <v>0</v>
      </c>
      <c r="I100" s="1">
        <f t="shared" si="9"/>
        <v>0</v>
      </c>
      <c r="J100" s="23">
        <f t="shared" si="10"/>
        <v>0</v>
      </c>
      <c r="K100" s="23">
        <f t="shared" si="11"/>
        <v>0</v>
      </c>
      <c r="L100" s="68">
        <f t="shared" si="17"/>
        <v>0</v>
      </c>
      <c r="M100" s="3"/>
      <c r="N100" s="69">
        <f t="shared" si="12"/>
        <v>0</v>
      </c>
      <c r="P100" s="65">
        <f t="shared" si="13"/>
        <v>0</v>
      </c>
      <c r="Q100" s="74">
        <f t="shared" si="14"/>
        <v>0</v>
      </c>
      <c r="R100" s="23">
        <f t="shared" si="15"/>
        <v>0</v>
      </c>
      <c r="S100" s="23">
        <f t="shared" si="16"/>
        <v>0</v>
      </c>
      <c r="T100" s="668">
        <f>S101-R100</f>
        <v>0</v>
      </c>
    </row>
    <row r="101" spans="8:20">
      <c r="H101" s="65">
        <f t="shared" si="8"/>
        <v>0</v>
      </c>
      <c r="I101" s="1">
        <f t="shared" si="9"/>
        <v>0</v>
      </c>
      <c r="J101" s="23">
        <f t="shared" si="10"/>
        <v>0</v>
      </c>
      <c r="K101" s="23">
        <f t="shared" si="11"/>
        <v>0</v>
      </c>
      <c r="L101" s="68">
        <f t="shared" si="17"/>
        <v>0</v>
      </c>
      <c r="M101" s="3"/>
      <c r="N101" s="69">
        <f t="shared" si="12"/>
        <v>0</v>
      </c>
      <c r="O101" s="70"/>
      <c r="P101" s="65">
        <f t="shared" si="13"/>
        <v>0</v>
      </c>
      <c r="Q101" s="74">
        <f t="shared" si="14"/>
        <v>0</v>
      </c>
      <c r="R101" s="23">
        <f t="shared" si="15"/>
        <v>0</v>
      </c>
      <c r="S101" s="23">
        <f t="shared" si="16"/>
        <v>0</v>
      </c>
      <c r="T101" s="668"/>
    </row>
    <row r="102" spans="8:20">
      <c r="H102" s="65">
        <f t="shared" si="8"/>
        <v>0</v>
      </c>
      <c r="I102" s="1">
        <f t="shared" si="9"/>
        <v>0</v>
      </c>
      <c r="J102" s="23">
        <f t="shared" si="10"/>
        <v>0</v>
      </c>
      <c r="K102" s="23">
        <f t="shared" si="11"/>
        <v>0</v>
      </c>
      <c r="L102" s="68">
        <f t="shared" ref="L102:L113" si="19">K102-J102</f>
        <v>0</v>
      </c>
      <c r="M102" s="3"/>
      <c r="N102" s="69">
        <f t="shared" si="12"/>
        <v>0</v>
      </c>
      <c r="O102" s="70"/>
      <c r="P102" s="65">
        <f t="shared" si="13"/>
        <v>0</v>
      </c>
      <c r="Q102" s="74">
        <f t="shared" si="14"/>
        <v>0</v>
      </c>
      <c r="R102" s="23">
        <f t="shared" si="15"/>
        <v>0</v>
      </c>
      <c r="S102" s="23">
        <f t="shared" si="16"/>
        <v>0</v>
      </c>
      <c r="T102" s="668">
        <f>S103-R102</f>
        <v>0</v>
      </c>
    </row>
    <row r="103" spans="8:20">
      <c r="H103" s="65">
        <f t="shared" si="8"/>
        <v>0</v>
      </c>
      <c r="I103" s="1">
        <f t="shared" si="9"/>
        <v>0</v>
      </c>
      <c r="J103" s="23">
        <f t="shared" si="10"/>
        <v>0</v>
      </c>
      <c r="K103" s="23">
        <f t="shared" si="11"/>
        <v>0</v>
      </c>
      <c r="L103" s="68">
        <f t="shared" si="19"/>
        <v>0</v>
      </c>
      <c r="M103" s="3"/>
      <c r="N103" s="69">
        <f t="shared" si="12"/>
        <v>0</v>
      </c>
      <c r="O103" s="70"/>
      <c r="P103" s="65">
        <f t="shared" si="13"/>
        <v>0</v>
      </c>
      <c r="Q103" s="74">
        <f t="shared" si="14"/>
        <v>0</v>
      </c>
      <c r="R103" s="23">
        <f t="shared" si="15"/>
        <v>0</v>
      </c>
      <c r="S103" s="23">
        <f t="shared" si="16"/>
        <v>0</v>
      </c>
      <c r="T103" s="668"/>
    </row>
    <row r="104" spans="8:20">
      <c r="H104" s="65">
        <f t="shared" si="8"/>
        <v>0</v>
      </c>
      <c r="I104" s="1">
        <f t="shared" si="9"/>
        <v>0</v>
      </c>
      <c r="J104" s="23">
        <f t="shared" si="10"/>
        <v>0</v>
      </c>
      <c r="K104" s="23">
        <f t="shared" si="11"/>
        <v>0</v>
      </c>
      <c r="L104" s="68">
        <f t="shared" si="19"/>
        <v>0</v>
      </c>
      <c r="M104" s="3"/>
      <c r="N104" s="69">
        <f t="shared" si="12"/>
        <v>0</v>
      </c>
      <c r="O104" s="70"/>
      <c r="P104" s="65">
        <f t="shared" si="13"/>
        <v>0</v>
      </c>
      <c r="Q104" s="74">
        <f t="shared" si="14"/>
        <v>0</v>
      </c>
      <c r="R104" s="23">
        <f t="shared" si="15"/>
        <v>0</v>
      </c>
      <c r="S104" s="23">
        <f t="shared" si="16"/>
        <v>0</v>
      </c>
      <c r="T104" s="668">
        <f>S105-R104</f>
        <v>0</v>
      </c>
    </row>
    <row r="105" spans="8:20">
      <c r="H105" s="65">
        <f t="shared" si="8"/>
        <v>0</v>
      </c>
      <c r="I105" s="1">
        <f t="shared" si="9"/>
        <v>0</v>
      </c>
      <c r="J105" s="23">
        <f t="shared" si="10"/>
        <v>0</v>
      </c>
      <c r="K105" s="23">
        <f t="shared" si="11"/>
        <v>0</v>
      </c>
      <c r="L105" s="68">
        <f t="shared" si="19"/>
        <v>0</v>
      </c>
      <c r="M105" s="3"/>
      <c r="N105" s="69">
        <f t="shared" si="12"/>
        <v>0</v>
      </c>
      <c r="O105" s="70"/>
      <c r="P105" s="65">
        <f t="shared" si="13"/>
        <v>0</v>
      </c>
      <c r="Q105" s="74">
        <f t="shared" si="14"/>
        <v>0</v>
      </c>
      <c r="R105" s="23">
        <f t="shared" si="15"/>
        <v>0</v>
      </c>
      <c r="S105" s="23">
        <f t="shared" si="16"/>
        <v>0</v>
      </c>
      <c r="T105" s="668"/>
    </row>
    <row r="106" spans="8:20">
      <c r="H106" s="65">
        <f t="shared" si="8"/>
        <v>0</v>
      </c>
      <c r="I106" s="1">
        <f t="shared" si="9"/>
        <v>0</v>
      </c>
      <c r="J106" s="23">
        <f t="shared" si="10"/>
        <v>0</v>
      </c>
      <c r="K106" s="23">
        <f t="shared" si="11"/>
        <v>0</v>
      </c>
      <c r="L106" s="68">
        <f t="shared" si="19"/>
        <v>0</v>
      </c>
      <c r="M106" s="3"/>
      <c r="N106" s="69">
        <f t="shared" si="12"/>
        <v>0</v>
      </c>
      <c r="O106" s="70"/>
      <c r="P106" s="65">
        <f t="shared" si="13"/>
        <v>0</v>
      </c>
      <c r="Q106" s="74">
        <f t="shared" si="14"/>
        <v>0</v>
      </c>
      <c r="R106" s="23">
        <f t="shared" si="15"/>
        <v>0</v>
      </c>
      <c r="S106" s="23">
        <f t="shared" si="16"/>
        <v>0</v>
      </c>
      <c r="T106" s="668">
        <f>S107-R106</f>
        <v>0</v>
      </c>
    </row>
    <row r="107" spans="8:20">
      <c r="H107" s="65">
        <f t="shared" si="8"/>
        <v>0</v>
      </c>
      <c r="I107" s="1">
        <f t="shared" si="9"/>
        <v>0</v>
      </c>
      <c r="J107" s="23">
        <f t="shared" si="10"/>
        <v>0</v>
      </c>
      <c r="K107" s="23">
        <f t="shared" si="11"/>
        <v>0</v>
      </c>
      <c r="L107" s="68">
        <f t="shared" si="19"/>
        <v>0</v>
      </c>
      <c r="M107" s="3"/>
      <c r="N107" s="69">
        <f t="shared" si="12"/>
        <v>0</v>
      </c>
      <c r="P107" s="65">
        <f t="shared" si="13"/>
        <v>0</v>
      </c>
      <c r="Q107" s="74">
        <f t="shared" si="14"/>
        <v>0</v>
      </c>
      <c r="R107" s="23">
        <f t="shared" si="15"/>
        <v>0</v>
      </c>
      <c r="S107" s="23">
        <f t="shared" si="16"/>
        <v>0</v>
      </c>
      <c r="T107" s="668"/>
    </row>
    <row r="108" spans="8:20">
      <c r="H108" s="65">
        <f t="shared" si="8"/>
        <v>0</v>
      </c>
      <c r="I108" s="1">
        <f t="shared" si="9"/>
        <v>0</v>
      </c>
      <c r="J108" s="23">
        <f t="shared" si="10"/>
        <v>0</v>
      </c>
      <c r="K108" s="23">
        <f t="shared" si="11"/>
        <v>0</v>
      </c>
      <c r="L108" s="68">
        <f t="shared" si="19"/>
        <v>0</v>
      </c>
      <c r="M108" s="3"/>
      <c r="N108" s="69">
        <f t="shared" si="12"/>
        <v>0</v>
      </c>
      <c r="P108" s="65">
        <f t="shared" si="13"/>
        <v>0</v>
      </c>
      <c r="Q108" s="74">
        <f t="shared" si="14"/>
        <v>0</v>
      </c>
      <c r="R108" s="23">
        <f t="shared" si="15"/>
        <v>0</v>
      </c>
      <c r="S108" s="23">
        <f t="shared" si="16"/>
        <v>0</v>
      </c>
      <c r="T108" s="75">
        <f>S108-R108</f>
        <v>0</v>
      </c>
    </row>
    <row r="109" spans="8:20">
      <c r="H109" s="65">
        <f t="shared" si="8"/>
        <v>0</v>
      </c>
      <c r="I109" s="1">
        <f t="shared" si="9"/>
        <v>0</v>
      </c>
      <c r="J109" s="23">
        <f t="shared" si="10"/>
        <v>0</v>
      </c>
      <c r="K109" s="23">
        <f t="shared" si="11"/>
        <v>0</v>
      </c>
      <c r="L109" s="68">
        <f t="shared" si="19"/>
        <v>0</v>
      </c>
      <c r="M109" s="3"/>
      <c r="N109" s="69">
        <f t="shared" si="12"/>
        <v>0</v>
      </c>
      <c r="P109" s="65">
        <f t="shared" si="13"/>
        <v>0</v>
      </c>
      <c r="Q109" s="74">
        <f t="shared" si="14"/>
        <v>0</v>
      </c>
      <c r="R109" s="23">
        <f t="shared" si="15"/>
        <v>0</v>
      </c>
      <c r="S109" s="23">
        <f t="shared" si="16"/>
        <v>0</v>
      </c>
      <c r="T109" s="75">
        <f>S109-R109</f>
        <v>0</v>
      </c>
    </row>
    <row r="110" spans="8:20">
      <c r="H110" s="65">
        <f t="shared" ref="H110:H128" si="20">B41</f>
        <v>0</v>
      </c>
      <c r="I110" s="1">
        <f t="shared" ref="I110:I128" si="21">C41</f>
        <v>0</v>
      </c>
      <c r="J110" s="23">
        <f t="shared" ref="J110:J128" si="22">E41</f>
        <v>0</v>
      </c>
      <c r="K110" s="23">
        <f t="shared" ref="K110:K128" si="23">F41</f>
        <v>0</v>
      </c>
      <c r="L110" s="68">
        <f t="shared" si="19"/>
        <v>0</v>
      </c>
      <c r="M110" s="3"/>
      <c r="N110" s="69">
        <f t="shared" si="12"/>
        <v>0</v>
      </c>
      <c r="P110" s="65">
        <f t="shared" ref="P110:P134" si="24">B41</f>
        <v>0</v>
      </c>
      <c r="Q110" s="74">
        <f t="shared" ref="Q110:Q134" si="25">C41</f>
        <v>0</v>
      </c>
      <c r="R110" s="23">
        <f t="shared" si="15"/>
        <v>0</v>
      </c>
      <c r="S110" s="23">
        <f t="shared" si="16"/>
        <v>0</v>
      </c>
      <c r="T110" s="668">
        <f>S112-R110</f>
        <v>0</v>
      </c>
    </row>
    <row r="111" spans="8:20">
      <c r="H111" s="65">
        <f t="shared" si="20"/>
        <v>0</v>
      </c>
      <c r="I111" s="1">
        <f t="shared" si="21"/>
        <v>0</v>
      </c>
      <c r="J111" s="23">
        <f t="shared" si="22"/>
        <v>0</v>
      </c>
      <c r="K111" s="23">
        <f t="shared" si="23"/>
        <v>0</v>
      </c>
      <c r="L111" s="68">
        <f t="shared" si="19"/>
        <v>0</v>
      </c>
      <c r="M111" s="3"/>
      <c r="N111" s="69">
        <f t="shared" si="12"/>
        <v>0</v>
      </c>
      <c r="P111" s="65">
        <f t="shared" si="24"/>
        <v>0</v>
      </c>
      <c r="Q111" s="74">
        <f t="shared" si="25"/>
        <v>0</v>
      </c>
      <c r="R111" s="23">
        <f t="shared" si="15"/>
        <v>0</v>
      </c>
      <c r="S111" s="23">
        <f t="shared" si="16"/>
        <v>0</v>
      </c>
      <c r="T111" s="668"/>
    </row>
    <row r="112" spans="8:20">
      <c r="H112" s="65">
        <f t="shared" si="20"/>
        <v>0</v>
      </c>
      <c r="I112" s="1">
        <f t="shared" si="21"/>
        <v>0</v>
      </c>
      <c r="J112" s="23">
        <f t="shared" si="22"/>
        <v>0</v>
      </c>
      <c r="K112" s="23">
        <f t="shared" si="23"/>
        <v>0</v>
      </c>
      <c r="L112" s="68">
        <f t="shared" si="19"/>
        <v>0</v>
      </c>
      <c r="M112" s="3"/>
      <c r="N112" s="69">
        <f t="shared" si="12"/>
        <v>0</v>
      </c>
      <c r="P112" s="65">
        <f t="shared" si="24"/>
        <v>0</v>
      </c>
      <c r="Q112" s="74">
        <f t="shared" si="25"/>
        <v>0</v>
      </c>
      <c r="R112" s="23">
        <f t="shared" si="15"/>
        <v>0</v>
      </c>
      <c r="S112" s="23">
        <f t="shared" si="16"/>
        <v>0</v>
      </c>
      <c r="T112" s="668"/>
    </row>
    <row r="113" spans="8:20">
      <c r="H113" s="65">
        <f t="shared" si="20"/>
        <v>0</v>
      </c>
      <c r="I113" s="1">
        <f t="shared" si="21"/>
        <v>0</v>
      </c>
      <c r="J113" s="23">
        <f t="shared" si="22"/>
        <v>0</v>
      </c>
      <c r="K113" s="23">
        <f t="shared" si="23"/>
        <v>0</v>
      </c>
      <c r="L113" s="68">
        <f t="shared" si="19"/>
        <v>0</v>
      </c>
      <c r="M113" s="3"/>
      <c r="N113" s="69">
        <f t="shared" si="12"/>
        <v>0</v>
      </c>
      <c r="P113" s="65">
        <f t="shared" si="24"/>
        <v>0</v>
      </c>
      <c r="Q113" s="74">
        <f t="shared" si="25"/>
        <v>0</v>
      </c>
      <c r="R113" s="23">
        <f t="shared" si="15"/>
        <v>0</v>
      </c>
      <c r="S113" s="23">
        <f t="shared" si="16"/>
        <v>0</v>
      </c>
      <c r="T113" s="668">
        <f>S114-R113</f>
        <v>0</v>
      </c>
    </row>
    <row r="114" spans="8:20">
      <c r="H114" s="65">
        <f t="shared" si="20"/>
        <v>0</v>
      </c>
      <c r="I114" s="1">
        <f t="shared" si="21"/>
        <v>0</v>
      </c>
      <c r="J114" s="23">
        <f t="shared" si="22"/>
        <v>0</v>
      </c>
      <c r="K114" s="23">
        <f t="shared" si="23"/>
        <v>0</v>
      </c>
      <c r="L114" s="68">
        <f t="shared" si="17"/>
        <v>0</v>
      </c>
      <c r="M114" s="3"/>
      <c r="N114" s="69">
        <f t="shared" si="12"/>
        <v>0</v>
      </c>
      <c r="P114" s="65">
        <f t="shared" si="24"/>
        <v>0</v>
      </c>
      <c r="Q114" s="74">
        <f t="shared" si="25"/>
        <v>0</v>
      </c>
      <c r="R114" s="23">
        <f t="shared" si="15"/>
        <v>0</v>
      </c>
      <c r="S114" s="23">
        <f t="shared" si="16"/>
        <v>0</v>
      </c>
      <c r="T114" s="668"/>
    </row>
    <row r="115" spans="8:20">
      <c r="H115" s="65">
        <f t="shared" si="20"/>
        <v>0</v>
      </c>
      <c r="I115" s="1">
        <f t="shared" si="21"/>
        <v>0</v>
      </c>
      <c r="J115" s="23">
        <f t="shared" si="22"/>
        <v>0</v>
      </c>
      <c r="K115" s="23">
        <f t="shared" si="23"/>
        <v>0</v>
      </c>
      <c r="L115" s="68">
        <f t="shared" si="17"/>
        <v>0</v>
      </c>
      <c r="M115" s="3"/>
      <c r="N115" s="69">
        <f t="shared" si="12"/>
        <v>0</v>
      </c>
      <c r="P115" s="65">
        <f t="shared" si="24"/>
        <v>0</v>
      </c>
      <c r="Q115" s="74">
        <f t="shared" si="25"/>
        <v>0</v>
      </c>
      <c r="R115" s="23">
        <f t="shared" si="15"/>
        <v>0</v>
      </c>
      <c r="S115" s="23">
        <f t="shared" si="16"/>
        <v>0</v>
      </c>
      <c r="T115" s="668">
        <f>S116-R115</f>
        <v>0</v>
      </c>
    </row>
    <row r="116" spans="8:20">
      <c r="H116" s="65">
        <f t="shared" si="20"/>
        <v>0</v>
      </c>
      <c r="I116" s="1">
        <f t="shared" si="21"/>
        <v>0</v>
      </c>
      <c r="J116" s="23">
        <f t="shared" si="22"/>
        <v>0</v>
      </c>
      <c r="K116" s="23">
        <f t="shared" si="23"/>
        <v>0</v>
      </c>
      <c r="L116" s="68">
        <f t="shared" si="17"/>
        <v>0</v>
      </c>
      <c r="M116" s="3"/>
      <c r="N116" s="69">
        <f t="shared" si="12"/>
        <v>0</v>
      </c>
      <c r="P116" s="65">
        <f t="shared" si="24"/>
        <v>0</v>
      </c>
      <c r="Q116" s="74">
        <f t="shared" si="25"/>
        <v>0</v>
      </c>
      <c r="R116" s="23">
        <f t="shared" si="15"/>
        <v>0</v>
      </c>
      <c r="S116" s="23">
        <f t="shared" si="16"/>
        <v>0</v>
      </c>
      <c r="T116" s="668"/>
    </row>
    <row r="117" spans="8:20">
      <c r="H117" s="65">
        <f t="shared" si="20"/>
        <v>0</v>
      </c>
      <c r="I117" s="1">
        <f t="shared" si="21"/>
        <v>0</v>
      </c>
      <c r="J117" s="23">
        <f t="shared" si="22"/>
        <v>0</v>
      </c>
      <c r="K117" s="23">
        <f t="shared" si="23"/>
        <v>0</v>
      </c>
      <c r="L117" s="68">
        <f t="shared" si="17"/>
        <v>0</v>
      </c>
      <c r="M117" s="3"/>
      <c r="N117" s="69">
        <f t="shared" si="12"/>
        <v>0</v>
      </c>
      <c r="P117" s="65">
        <f t="shared" si="24"/>
        <v>0</v>
      </c>
      <c r="Q117" s="74">
        <f t="shared" si="25"/>
        <v>0</v>
      </c>
      <c r="R117" s="23">
        <f t="shared" si="15"/>
        <v>0</v>
      </c>
      <c r="S117" s="23">
        <f t="shared" si="16"/>
        <v>0</v>
      </c>
      <c r="T117" s="668">
        <f>S118-R117</f>
        <v>0</v>
      </c>
    </row>
    <row r="118" spans="8:20">
      <c r="H118" s="65">
        <f t="shared" si="20"/>
        <v>0</v>
      </c>
      <c r="I118" s="1">
        <f t="shared" si="21"/>
        <v>0</v>
      </c>
      <c r="J118" s="23">
        <f t="shared" si="22"/>
        <v>0</v>
      </c>
      <c r="K118" s="23">
        <f t="shared" si="23"/>
        <v>0</v>
      </c>
      <c r="L118" s="68">
        <f t="shared" si="17"/>
        <v>0</v>
      </c>
      <c r="M118" s="3"/>
      <c r="N118" s="69">
        <f t="shared" si="12"/>
        <v>0</v>
      </c>
      <c r="P118" s="65">
        <f t="shared" si="24"/>
        <v>0</v>
      </c>
      <c r="Q118" s="74">
        <f t="shared" si="25"/>
        <v>0</v>
      </c>
      <c r="R118" s="23">
        <f t="shared" si="15"/>
        <v>0</v>
      </c>
      <c r="S118" s="23">
        <f t="shared" si="16"/>
        <v>0</v>
      </c>
      <c r="T118" s="668"/>
    </row>
    <row r="119" spans="8:20">
      <c r="H119" s="65">
        <f t="shared" si="20"/>
        <v>0</v>
      </c>
      <c r="I119" s="1">
        <f t="shared" si="21"/>
        <v>0</v>
      </c>
      <c r="J119" s="23">
        <f t="shared" si="22"/>
        <v>0</v>
      </c>
      <c r="K119" s="23">
        <f t="shared" si="23"/>
        <v>0</v>
      </c>
      <c r="L119" s="68">
        <f t="shared" si="17"/>
        <v>0</v>
      </c>
      <c r="M119" s="3"/>
      <c r="N119" s="69">
        <f t="shared" si="12"/>
        <v>0</v>
      </c>
      <c r="P119" s="65">
        <f t="shared" si="24"/>
        <v>0</v>
      </c>
      <c r="Q119" s="74">
        <f t="shared" si="25"/>
        <v>0</v>
      </c>
      <c r="R119" s="23">
        <f t="shared" si="15"/>
        <v>0</v>
      </c>
      <c r="S119" s="23">
        <f t="shared" si="16"/>
        <v>0</v>
      </c>
      <c r="T119" s="668">
        <f>S120-R119</f>
        <v>0</v>
      </c>
    </row>
    <row r="120" spans="8:20">
      <c r="H120" s="65">
        <f t="shared" si="20"/>
        <v>0</v>
      </c>
      <c r="I120" s="1" t="e">
        <f t="shared" si="21"/>
        <v>#REF!</v>
      </c>
      <c r="J120" s="23">
        <f t="shared" si="22"/>
        <v>0</v>
      </c>
      <c r="K120" s="23">
        <f t="shared" si="23"/>
        <v>0</v>
      </c>
      <c r="L120" s="68">
        <f t="shared" si="17"/>
        <v>0</v>
      </c>
      <c r="M120" s="3"/>
      <c r="N120" s="69">
        <f t="shared" si="12"/>
        <v>0</v>
      </c>
      <c r="P120" s="65">
        <f t="shared" si="24"/>
        <v>0</v>
      </c>
      <c r="Q120" s="74" t="e">
        <f t="shared" si="25"/>
        <v>#REF!</v>
      </c>
      <c r="R120" s="23">
        <f t="shared" ref="R120:S123" si="26">E51</f>
        <v>0</v>
      </c>
      <c r="S120" s="23">
        <f t="shared" si="26"/>
        <v>0</v>
      </c>
      <c r="T120" s="668"/>
    </row>
    <row r="121" spans="8:20">
      <c r="H121" s="65">
        <f t="shared" si="20"/>
        <v>0</v>
      </c>
      <c r="I121" s="1" t="e">
        <f t="shared" si="21"/>
        <v>#REF!</v>
      </c>
      <c r="J121" s="23">
        <f t="shared" si="22"/>
        <v>0</v>
      </c>
      <c r="K121" s="23">
        <f t="shared" si="23"/>
        <v>0</v>
      </c>
      <c r="L121" s="68">
        <f t="shared" si="17"/>
        <v>0</v>
      </c>
      <c r="M121" s="3"/>
      <c r="N121" s="69">
        <f t="shared" si="12"/>
        <v>0</v>
      </c>
      <c r="P121" s="65">
        <f t="shared" si="24"/>
        <v>0</v>
      </c>
      <c r="Q121" s="74" t="e">
        <f t="shared" si="25"/>
        <v>#REF!</v>
      </c>
      <c r="R121" s="23">
        <f t="shared" si="26"/>
        <v>0</v>
      </c>
      <c r="S121" s="23">
        <f t="shared" si="26"/>
        <v>0</v>
      </c>
      <c r="T121" s="668">
        <f>S122-R121</f>
        <v>0</v>
      </c>
    </row>
    <row r="122" spans="8:20">
      <c r="H122" s="65">
        <f t="shared" si="20"/>
        <v>0</v>
      </c>
      <c r="I122" s="1" t="e">
        <f t="shared" si="21"/>
        <v>#REF!</v>
      </c>
      <c r="J122" s="23">
        <f t="shared" si="22"/>
        <v>0</v>
      </c>
      <c r="K122" s="23">
        <f t="shared" si="23"/>
        <v>0</v>
      </c>
      <c r="L122" s="68">
        <f t="shared" si="17"/>
        <v>0</v>
      </c>
      <c r="M122" s="3"/>
      <c r="N122" s="69">
        <f t="shared" si="12"/>
        <v>0</v>
      </c>
      <c r="P122" s="65">
        <f t="shared" si="24"/>
        <v>0</v>
      </c>
      <c r="Q122" s="74" t="e">
        <f t="shared" si="25"/>
        <v>#REF!</v>
      </c>
      <c r="R122" s="23">
        <f t="shared" si="26"/>
        <v>0</v>
      </c>
      <c r="S122" s="23">
        <f t="shared" si="26"/>
        <v>0</v>
      </c>
      <c r="T122" s="668"/>
    </row>
    <row r="123" spans="8:20">
      <c r="H123" s="65">
        <f t="shared" si="20"/>
        <v>0</v>
      </c>
      <c r="I123" s="1" t="e">
        <f t="shared" si="21"/>
        <v>#REF!</v>
      </c>
      <c r="J123" s="23">
        <f t="shared" si="22"/>
        <v>0</v>
      </c>
      <c r="K123" s="23">
        <f t="shared" si="23"/>
        <v>0</v>
      </c>
      <c r="L123" s="68">
        <f t="shared" ref="L123:L128" si="27">K123-J123</f>
        <v>0</v>
      </c>
      <c r="M123" s="3"/>
      <c r="N123" s="69">
        <f t="shared" si="12"/>
        <v>0</v>
      </c>
      <c r="P123" s="65">
        <f t="shared" si="24"/>
        <v>0</v>
      </c>
      <c r="Q123" s="74" t="e">
        <f t="shared" si="25"/>
        <v>#REF!</v>
      </c>
      <c r="R123" s="23">
        <f t="shared" si="26"/>
        <v>0</v>
      </c>
      <c r="S123" s="23">
        <f t="shared" si="26"/>
        <v>0</v>
      </c>
      <c r="T123" s="75">
        <f>S123-R123</f>
        <v>0</v>
      </c>
    </row>
    <row r="124" spans="8:20">
      <c r="H124" s="65">
        <f t="shared" si="20"/>
        <v>0</v>
      </c>
      <c r="I124" s="1" t="e">
        <f t="shared" si="21"/>
        <v>#REF!</v>
      </c>
      <c r="J124" s="23">
        <f t="shared" si="22"/>
        <v>0</v>
      </c>
      <c r="K124" s="23">
        <f t="shared" si="23"/>
        <v>0</v>
      </c>
      <c r="L124" s="68">
        <f t="shared" si="27"/>
        <v>0</v>
      </c>
      <c r="M124" s="3"/>
      <c r="N124" s="69">
        <f t="shared" si="12"/>
        <v>0</v>
      </c>
      <c r="P124" s="65">
        <f t="shared" si="24"/>
        <v>0</v>
      </c>
      <c r="Q124" s="74" t="e">
        <f t="shared" si="25"/>
        <v>#REF!</v>
      </c>
      <c r="R124" s="23">
        <f t="shared" ref="R124:R128" si="28">E55</f>
        <v>0</v>
      </c>
      <c r="S124" s="23"/>
      <c r="T124" s="75">
        <f t="shared" ref="T124:T136" si="29">S125-R124</f>
        <v>0</v>
      </c>
    </row>
    <row r="125" spans="8:20">
      <c r="H125" s="65">
        <f t="shared" si="20"/>
        <v>0</v>
      </c>
      <c r="I125" s="1" t="e">
        <f t="shared" si="21"/>
        <v>#REF!</v>
      </c>
      <c r="J125" s="23">
        <f t="shared" si="22"/>
        <v>0</v>
      </c>
      <c r="K125" s="23">
        <f t="shared" si="23"/>
        <v>0</v>
      </c>
      <c r="L125" s="68">
        <f t="shared" si="27"/>
        <v>0</v>
      </c>
      <c r="M125" s="3"/>
      <c r="N125" s="69">
        <f t="shared" si="12"/>
        <v>0</v>
      </c>
      <c r="P125" s="65">
        <f t="shared" si="24"/>
        <v>0</v>
      </c>
      <c r="Q125" s="74" t="e">
        <f t="shared" si="25"/>
        <v>#REF!</v>
      </c>
      <c r="R125" s="23">
        <f t="shared" si="28"/>
        <v>0</v>
      </c>
      <c r="S125" s="23"/>
      <c r="T125" s="75">
        <f t="shared" si="29"/>
        <v>0</v>
      </c>
    </row>
    <row r="126" spans="8:20">
      <c r="H126" s="65">
        <f t="shared" si="20"/>
        <v>0</v>
      </c>
      <c r="I126" s="1" t="e">
        <f t="shared" si="21"/>
        <v>#REF!</v>
      </c>
      <c r="J126" s="23">
        <f t="shared" si="22"/>
        <v>0</v>
      </c>
      <c r="K126" s="23">
        <f t="shared" si="23"/>
        <v>0</v>
      </c>
      <c r="L126" s="68">
        <f t="shared" si="27"/>
        <v>0</v>
      </c>
      <c r="M126" s="3"/>
      <c r="N126" s="69">
        <f t="shared" si="12"/>
        <v>0</v>
      </c>
      <c r="P126" s="65">
        <f t="shared" si="24"/>
        <v>0</v>
      </c>
      <c r="Q126" s="74" t="e">
        <f t="shared" si="25"/>
        <v>#REF!</v>
      </c>
      <c r="R126" s="23">
        <f t="shared" si="28"/>
        <v>0</v>
      </c>
      <c r="S126" s="23"/>
      <c r="T126" s="75">
        <f t="shared" si="29"/>
        <v>0</v>
      </c>
    </row>
    <row r="127" spans="8:20">
      <c r="H127" s="65">
        <f t="shared" si="20"/>
        <v>0</v>
      </c>
      <c r="I127" s="1" t="e">
        <f t="shared" si="21"/>
        <v>#REF!</v>
      </c>
      <c r="J127" s="23">
        <f t="shared" si="22"/>
        <v>0</v>
      </c>
      <c r="K127" s="23">
        <f t="shared" si="23"/>
        <v>0</v>
      </c>
      <c r="L127" s="68">
        <f t="shared" si="27"/>
        <v>0</v>
      </c>
      <c r="M127" s="3"/>
      <c r="N127" s="69">
        <f t="shared" si="12"/>
        <v>0</v>
      </c>
      <c r="P127" s="65">
        <f t="shared" si="24"/>
        <v>0</v>
      </c>
      <c r="Q127" s="74" t="e">
        <f t="shared" si="25"/>
        <v>#REF!</v>
      </c>
      <c r="R127" s="23">
        <f t="shared" si="28"/>
        <v>0</v>
      </c>
      <c r="S127" s="23"/>
      <c r="T127" s="75">
        <f t="shared" si="29"/>
        <v>0</v>
      </c>
    </row>
    <row r="128" spans="8:20">
      <c r="H128" s="65">
        <f t="shared" si="20"/>
        <v>0</v>
      </c>
      <c r="I128" s="1" t="e">
        <f t="shared" si="21"/>
        <v>#REF!</v>
      </c>
      <c r="J128" s="23">
        <f t="shared" si="22"/>
        <v>0</v>
      </c>
      <c r="K128" s="23">
        <f t="shared" si="23"/>
        <v>0</v>
      </c>
      <c r="L128" s="68">
        <f t="shared" si="27"/>
        <v>0</v>
      </c>
      <c r="M128" s="3"/>
      <c r="N128" s="69">
        <f t="shared" si="12"/>
        <v>0</v>
      </c>
      <c r="P128" s="65">
        <f t="shared" si="24"/>
        <v>0</v>
      </c>
      <c r="Q128" s="74" t="e">
        <f t="shared" si="25"/>
        <v>#REF!</v>
      </c>
      <c r="R128" s="23">
        <f t="shared" si="28"/>
        <v>0</v>
      </c>
      <c r="S128" s="23"/>
      <c r="T128" s="75">
        <f t="shared" si="29"/>
        <v>0</v>
      </c>
    </row>
    <row r="129" spans="8:20">
      <c r="H129" s="65">
        <f t="shared" ref="H129:H135" si="30">B60</f>
        <v>0</v>
      </c>
      <c r="I129" s="1" t="e">
        <f t="shared" ref="I129:I135" si="31">C61</f>
        <v>#REF!</v>
      </c>
      <c r="J129" s="23">
        <f t="shared" ref="J129:K135" si="32">E61</f>
        <v>0</v>
      </c>
      <c r="K129" s="23">
        <f t="shared" si="32"/>
        <v>0</v>
      </c>
      <c r="L129" s="68">
        <f t="shared" ref="L129:L135" si="33">K129-J129</f>
        <v>0</v>
      </c>
      <c r="M129" s="3"/>
      <c r="N129" s="69">
        <f t="shared" si="12"/>
        <v>0</v>
      </c>
      <c r="P129" s="65">
        <f t="shared" si="24"/>
        <v>0</v>
      </c>
      <c r="Q129" s="74" t="e">
        <f t="shared" si="25"/>
        <v>#REF!</v>
      </c>
      <c r="R129" s="23">
        <f t="shared" ref="R129:R134" si="34">D60</f>
        <v>0</v>
      </c>
      <c r="S129" s="23"/>
      <c r="T129" s="75">
        <f t="shared" si="29"/>
        <v>0</v>
      </c>
    </row>
    <row r="130" spans="8:20">
      <c r="H130" s="65">
        <f t="shared" si="30"/>
        <v>0</v>
      </c>
      <c r="I130" s="1" t="e">
        <f t="shared" si="31"/>
        <v>#REF!</v>
      </c>
      <c r="J130" s="23">
        <f t="shared" si="32"/>
        <v>0</v>
      </c>
      <c r="K130" s="23">
        <f t="shared" si="32"/>
        <v>0</v>
      </c>
      <c r="L130" s="68">
        <f t="shared" si="33"/>
        <v>0</v>
      </c>
      <c r="M130" s="3"/>
      <c r="N130" s="69">
        <f t="shared" si="12"/>
        <v>0</v>
      </c>
      <c r="P130" s="65">
        <f t="shared" si="24"/>
        <v>0</v>
      </c>
      <c r="Q130" s="74" t="e">
        <f t="shared" si="25"/>
        <v>#REF!</v>
      </c>
      <c r="R130" s="23">
        <f t="shared" si="34"/>
        <v>0</v>
      </c>
      <c r="S130" s="23"/>
      <c r="T130" s="75">
        <f t="shared" si="29"/>
        <v>0</v>
      </c>
    </row>
    <row r="131" spans="8:20">
      <c r="H131" s="65">
        <f t="shared" si="30"/>
        <v>0</v>
      </c>
      <c r="I131" s="1" t="e">
        <f t="shared" si="31"/>
        <v>#REF!</v>
      </c>
      <c r="J131" s="23">
        <f t="shared" si="32"/>
        <v>0</v>
      </c>
      <c r="K131" s="23">
        <f t="shared" si="32"/>
        <v>0</v>
      </c>
      <c r="L131" s="68">
        <f t="shared" si="33"/>
        <v>0</v>
      </c>
      <c r="M131" s="3"/>
      <c r="N131" s="69">
        <f t="shared" si="12"/>
        <v>0</v>
      </c>
      <c r="P131" s="65">
        <f t="shared" si="24"/>
        <v>0</v>
      </c>
      <c r="Q131" s="74" t="e">
        <f t="shared" si="25"/>
        <v>#REF!</v>
      </c>
      <c r="R131" s="23">
        <f t="shared" si="34"/>
        <v>0</v>
      </c>
      <c r="S131" s="23"/>
      <c r="T131" s="75">
        <f t="shared" si="29"/>
        <v>0</v>
      </c>
    </row>
    <row r="132" spans="8:20">
      <c r="H132" s="65">
        <f t="shared" si="30"/>
        <v>0</v>
      </c>
      <c r="I132" s="1" t="e">
        <f t="shared" si="31"/>
        <v>#REF!</v>
      </c>
      <c r="J132" s="23">
        <f t="shared" si="32"/>
        <v>0</v>
      </c>
      <c r="K132" s="23">
        <f t="shared" si="32"/>
        <v>0</v>
      </c>
      <c r="L132" s="68">
        <f t="shared" si="33"/>
        <v>0</v>
      </c>
      <c r="M132" s="3"/>
      <c r="N132" s="69">
        <f t="shared" si="12"/>
        <v>0</v>
      </c>
      <c r="P132" s="65">
        <f t="shared" si="24"/>
        <v>0</v>
      </c>
      <c r="Q132" s="74" t="e">
        <f t="shared" si="25"/>
        <v>#REF!</v>
      </c>
      <c r="R132" s="23">
        <f t="shared" si="34"/>
        <v>0</v>
      </c>
      <c r="S132" s="23"/>
      <c r="T132" s="75">
        <f t="shared" si="29"/>
        <v>0</v>
      </c>
    </row>
    <row r="133" spans="8:20">
      <c r="H133" s="65">
        <f t="shared" si="30"/>
        <v>0</v>
      </c>
      <c r="I133" s="1" t="e">
        <f t="shared" si="31"/>
        <v>#REF!</v>
      </c>
      <c r="J133" s="23">
        <f t="shared" si="32"/>
        <v>0</v>
      </c>
      <c r="K133" s="23">
        <f t="shared" si="32"/>
        <v>0</v>
      </c>
      <c r="L133" s="68">
        <f t="shared" si="33"/>
        <v>0</v>
      </c>
      <c r="M133" s="3"/>
      <c r="N133" s="69">
        <f t="shared" si="12"/>
        <v>0</v>
      </c>
      <c r="P133" s="65">
        <f t="shared" si="24"/>
        <v>0</v>
      </c>
      <c r="Q133" s="74" t="e">
        <f t="shared" si="25"/>
        <v>#REF!</v>
      </c>
      <c r="R133" s="23">
        <f t="shared" si="34"/>
        <v>0</v>
      </c>
      <c r="S133" s="23"/>
      <c r="T133" s="75">
        <f t="shared" si="29"/>
        <v>0</v>
      </c>
    </row>
    <row r="134" spans="8:20">
      <c r="H134" s="65">
        <f t="shared" si="30"/>
        <v>0</v>
      </c>
      <c r="I134" s="1" t="e">
        <f t="shared" si="31"/>
        <v>#REF!</v>
      </c>
      <c r="J134" s="23">
        <f t="shared" si="32"/>
        <v>0</v>
      </c>
      <c r="K134" s="23">
        <f t="shared" si="32"/>
        <v>0</v>
      </c>
      <c r="L134" s="68">
        <f t="shared" si="33"/>
        <v>0</v>
      </c>
      <c r="M134" s="3"/>
      <c r="N134" s="69">
        <f t="shared" si="12"/>
        <v>0</v>
      </c>
      <c r="P134" s="65">
        <f t="shared" si="24"/>
        <v>0</v>
      </c>
      <c r="Q134" s="74" t="e">
        <f t="shared" si="25"/>
        <v>#REF!</v>
      </c>
      <c r="R134" s="23">
        <f t="shared" si="34"/>
        <v>0</v>
      </c>
      <c r="S134" s="23"/>
      <c r="T134" s="75">
        <f t="shared" si="29"/>
        <v>0</v>
      </c>
    </row>
    <row r="135" spans="8:20">
      <c r="H135" s="65">
        <f t="shared" si="30"/>
        <v>0</v>
      </c>
      <c r="I135" s="1" t="e">
        <f t="shared" si="31"/>
        <v>#REF!</v>
      </c>
      <c r="J135" s="23">
        <f t="shared" si="32"/>
        <v>0</v>
      </c>
      <c r="K135" s="23">
        <f t="shared" si="32"/>
        <v>0</v>
      </c>
      <c r="L135" s="68">
        <f t="shared" si="33"/>
        <v>0</v>
      </c>
      <c r="M135" s="3"/>
      <c r="N135" s="69">
        <f t="shared" si="12"/>
        <v>0</v>
      </c>
      <c r="P135" s="65"/>
      <c r="Q135" s="74"/>
      <c r="R135" s="23"/>
      <c r="S135" s="23"/>
      <c r="T135" s="75">
        <f t="shared" si="29"/>
        <v>0</v>
      </c>
    </row>
    <row r="136" spans="8:20">
      <c r="P136" s="65"/>
      <c r="Q136" s="74"/>
      <c r="R136" s="23"/>
      <c r="S136" s="23"/>
      <c r="T136" s="75">
        <f t="shared" si="29"/>
        <v>0</v>
      </c>
    </row>
  </sheetData>
  <mergeCells count="54">
    <mergeCell ref="T121:T122"/>
    <mergeCell ref="T119:T120"/>
    <mergeCell ref="T117:T118"/>
    <mergeCell ref="T86:T87"/>
    <mergeCell ref="T81:T82"/>
    <mergeCell ref="T83:T85"/>
    <mergeCell ref="T92:T93"/>
    <mergeCell ref="T94:T95"/>
    <mergeCell ref="T96:T97"/>
    <mergeCell ref="T88:T90"/>
    <mergeCell ref="T102:T103"/>
    <mergeCell ref="T100:T101"/>
    <mergeCell ref="T106:T107"/>
    <mergeCell ref="T104:T105"/>
    <mergeCell ref="T115:T116"/>
    <mergeCell ref="T110:T112"/>
    <mergeCell ref="T113:T114"/>
    <mergeCell ref="A4:A7"/>
    <mergeCell ref="B4:B7"/>
    <mergeCell ref="C4:C7"/>
    <mergeCell ref="D4:D7"/>
    <mergeCell ref="I5:I7"/>
    <mergeCell ref="T78:T80"/>
    <mergeCell ref="AL4:AV4"/>
    <mergeCell ref="H76:N76"/>
    <mergeCell ref="P76:T76"/>
    <mergeCell ref="E4:E7"/>
    <mergeCell ref="F4:F7"/>
    <mergeCell ref="G4:G7"/>
    <mergeCell ref="H5:H7"/>
    <mergeCell ref="J5:J7"/>
    <mergeCell ref="K5:K7"/>
    <mergeCell ref="L5:L7"/>
    <mergeCell ref="M5:M7"/>
    <mergeCell ref="N5:N7"/>
    <mergeCell ref="Q5:Q7"/>
    <mergeCell ref="U5:U7"/>
    <mergeCell ref="V5:V7"/>
    <mergeCell ref="B2:AE2"/>
    <mergeCell ref="H4:AE4"/>
    <mergeCell ref="AD5:AD7"/>
    <mergeCell ref="AE5:AE7"/>
    <mergeCell ref="W5:W7"/>
    <mergeCell ref="T5:T7"/>
    <mergeCell ref="O5:O7"/>
    <mergeCell ref="AC5:AC7"/>
    <mergeCell ref="X5:X7"/>
    <mergeCell ref="Y5:Y7"/>
    <mergeCell ref="Z5:Z7"/>
    <mergeCell ref="AA5:AA7"/>
    <mergeCell ref="AB5:AB7"/>
    <mergeCell ref="P5:P7"/>
    <mergeCell ref="R5:R7"/>
    <mergeCell ref="S5:S7"/>
  </mergeCells>
  <conditionalFormatting sqref="E8:E53">
    <cfRule type="cellIs" dxfId="6" priority="15" stopIfTrue="1" operator="greaterThan">
      <formula>$E$3</formula>
    </cfRule>
  </conditionalFormatting>
  <conditionalFormatting sqref="E10:E11">
    <cfRule type="cellIs" dxfId="5" priority="11" stopIfTrue="1" operator="greaterThan">
      <formula>$D$3</formula>
    </cfRule>
  </conditionalFormatting>
  <conditionalFormatting sqref="E16:E65">
    <cfRule type="cellIs" dxfId="4" priority="2" stopIfTrue="1" operator="greaterThan">
      <formula>$E$3</formula>
    </cfRule>
  </conditionalFormatting>
  <conditionalFormatting sqref="E54">
    <cfRule type="cellIs" dxfId="3" priority="1" stopIfTrue="1" operator="greaterThan">
      <formula>$F$3</formula>
    </cfRule>
  </conditionalFormatting>
  <conditionalFormatting sqref="E66:E69">
    <cfRule type="cellIs" dxfId="2" priority="5" stopIfTrue="1" operator="greaterThan">
      <formula>$F$3</formula>
    </cfRule>
  </conditionalFormatting>
  <conditionalFormatting sqref="F10:F12">
    <cfRule type="cellIs" dxfId="1" priority="12" stopIfTrue="1" operator="greaterThan">
      <formula>$E$3</formula>
    </cfRule>
  </conditionalFormatting>
  <pageMargins left="0.75" right="0.75" top="1" bottom="1" header="0.5" footer="0.5"/>
  <pageSetup scale="37" fitToHeight="2" orientation="landscape" horizontalDpi="300" verticalDpi="300" r:id="rId1"/>
  <headerFooter alignWithMargins="0"/>
  <legacyDrawing r:id="rId2"/>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29">
    <tabColor rgb="FFFF0000"/>
    <pageSetUpPr fitToPage="1"/>
  </sheetPr>
  <dimension ref="A1:AX120"/>
  <sheetViews>
    <sheetView showZeros="0" zoomScaleNormal="100" workbookViewId="0">
      <pane xSplit="7" ySplit="7" topLeftCell="H20" activePane="bottomRight" state="frozen"/>
      <selection pane="topRight"/>
      <selection pane="bottomLeft"/>
      <selection pane="bottomRight" activeCell="D8" sqref="D8"/>
    </sheetView>
  </sheetViews>
  <sheetFormatPr defaultColWidth="9" defaultRowHeight="12.75"/>
  <cols>
    <col min="1" max="1" width="8.42578125" style="3" customWidth="1"/>
    <col min="2" max="2" width="8.85546875" style="3" customWidth="1"/>
    <col min="3" max="3" width="27" customWidth="1"/>
    <col min="4" max="4" width="9.5703125" style="1" customWidth="1"/>
    <col min="5" max="5" width="8.42578125" customWidth="1"/>
    <col min="6" max="6" width="7" customWidth="1"/>
    <col min="7" max="7" width="9" style="1" customWidth="1"/>
    <col min="8" max="8" width="11.42578125" customWidth="1"/>
    <col min="9" max="9" width="10.42578125" customWidth="1"/>
    <col min="10" max="10" width="9.5703125" customWidth="1"/>
    <col min="11" max="11" width="11.42578125" customWidth="1"/>
    <col min="12" max="12" width="11.85546875" customWidth="1"/>
    <col min="13" max="14" width="11.42578125" customWidth="1"/>
    <col min="15" max="15" width="11" customWidth="1"/>
    <col min="16" max="16" width="9.85546875" customWidth="1"/>
    <col min="17" max="17" width="9.42578125" customWidth="1"/>
    <col min="18" max="18" width="8.42578125" customWidth="1"/>
    <col min="19" max="19" width="9.5703125" customWidth="1"/>
    <col min="20" max="20" width="10.42578125" customWidth="1"/>
    <col min="21" max="21" width="7.5703125" customWidth="1"/>
    <col min="22" max="22" width="12" customWidth="1"/>
    <col min="23" max="23" width="9.140625" customWidth="1"/>
    <col min="24" max="24" width="11.5703125" customWidth="1"/>
    <col min="25" max="25" width="10.5703125" customWidth="1"/>
    <col min="26" max="26" width="10.42578125" customWidth="1"/>
    <col min="27" max="27" width="12.5703125" customWidth="1"/>
    <col min="28" max="30" width="14.5703125" customWidth="1"/>
    <col min="31" max="31" width="14.85546875" customWidth="1"/>
    <col min="32" max="32" width="14.42578125" customWidth="1"/>
  </cols>
  <sheetData>
    <row r="1" spans="1:50">
      <c r="I1" s="3"/>
    </row>
    <row r="2" spans="1:50" ht="27.75">
      <c r="B2" s="670" t="s">
        <v>489</v>
      </c>
      <c r="C2" s="670"/>
      <c r="D2" s="670"/>
      <c r="E2" s="670"/>
      <c r="F2" s="670"/>
      <c r="G2" s="670"/>
      <c r="H2" s="670" t="s">
        <v>410</v>
      </c>
      <c r="I2" s="670"/>
      <c r="J2" s="670"/>
      <c r="K2" s="670"/>
      <c r="L2" s="670"/>
      <c r="M2" s="670"/>
      <c r="N2" s="670"/>
      <c r="O2" s="670"/>
      <c r="P2" s="670"/>
      <c r="Q2" s="670"/>
      <c r="R2" s="670"/>
      <c r="S2" s="670"/>
      <c r="T2" s="670"/>
      <c r="U2" s="670"/>
      <c r="V2" s="670"/>
      <c r="W2" s="670"/>
      <c r="X2" s="670"/>
      <c r="Y2" s="670"/>
      <c r="Z2" s="670"/>
      <c r="AA2" s="670"/>
      <c r="AB2" s="670"/>
      <c r="AC2" s="670"/>
      <c r="AD2" s="670"/>
      <c r="AE2" s="670"/>
      <c r="AM2" s="50"/>
    </row>
    <row r="3" spans="1:50">
      <c r="D3" s="4"/>
      <c r="E3" s="5"/>
      <c r="H3" s="6"/>
      <c r="I3" s="3"/>
      <c r="S3" s="3"/>
      <c r="AM3" s="6"/>
    </row>
    <row r="4" spans="1:50" ht="15.75" customHeight="1" thickTop="1" thickBot="1">
      <c r="A4" s="682" t="s">
        <v>411</v>
      </c>
      <c r="B4" s="685" t="s">
        <v>81</v>
      </c>
      <c r="C4" s="685" t="s">
        <v>412</v>
      </c>
      <c r="D4" s="688" t="s">
        <v>413</v>
      </c>
      <c r="E4" s="688" t="s">
        <v>414</v>
      </c>
      <c r="F4" s="688" t="s">
        <v>415</v>
      </c>
      <c r="G4" s="692" t="s">
        <v>416</v>
      </c>
      <c r="H4" s="671" t="s">
        <v>417</v>
      </c>
      <c r="I4" s="672"/>
      <c r="J4" s="672"/>
      <c r="K4" s="672"/>
      <c r="L4" s="672"/>
      <c r="M4" s="672"/>
      <c r="N4" s="672"/>
      <c r="O4" s="672"/>
      <c r="P4" s="672"/>
      <c r="Q4" s="672"/>
      <c r="R4" s="672"/>
      <c r="S4" s="672"/>
      <c r="T4" s="672"/>
      <c r="U4" s="672"/>
      <c r="V4" s="672"/>
      <c r="W4" s="672"/>
      <c r="X4" s="672"/>
      <c r="Y4" s="672"/>
      <c r="Z4" s="672"/>
      <c r="AA4" s="672"/>
      <c r="AB4" s="672"/>
      <c r="AC4" s="672"/>
      <c r="AD4" s="672"/>
      <c r="AE4" s="673"/>
      <c r="AF4" s="40"/>
      <c r="AK4" s="51"/>
      <c r="AL4" s="678"/>
      <c r="AM4" s="678"/>
      <c r="AN4" s="678"/>
      <c r="AO4" s="678"/>
      <c r="AP4" s="678"/>
      <c r="AQ4" s="678"/>
      <c r="AR4" s="678"/>
      <c r="AS4" s="678"/>
      <c r="AT4" s="678"/>
      <c r="AU4" s="678"/>
      <c r="AV4" s="678"/>
    </row>
    <row r="5" spans="1:50" ht="12.75" customHeight="1">
      <c r="A5" s="683"/>
      <c r="B5" s="686"/>
      <c r="C5" s="686"/>
      <c r="D5" s="689"/>
      <c r="E5" s="689"/>
      <c r="F5" s="689"/>
      <c r="G5" s="693"/>
      <c r="H5" s="819" t="s">
        <v>6</v>
      </c>
      <c r="I5" s="819" t="s">
        <v>7</v>
      </c>
      <c r="J5" s="819" t="s">
        <v>8</v>
      </c>
      <c r="K5" s="808" t="s">
        <v>9</v>
      </c>
      <c r="L5" s="808" t="s">
        <v>60</v>
      </c>
      <c r="M5" s="808" t="s">
        <v>11</v>
      </c>
      <c r="N5" s="823" t="s">
        <v>12</v>
      </c>
      <c r="O5" s="689" t="s">
        <v>13</v>
      </c>
      <c r="P5" s="689" t="s">
        <v>14</v>
      </c>
      <c r="Q5" s="689" t="s">
        <v>15</v>
      </c>
      <c r="R5" s="689" t="s">
        <v>16</v>
      </c>
      <c r="S5" s="689" t="s">
        <v>419</v>
      </c>
      <c r="T5" s="689" t="s">
        <v>18</v>
      </c>
      <c r="U5" s="689" t="s">
        <v>420</v>
      </c>
      <c r="V5" s="689" t="s">
        <v>20</v>
      </c>
      <c r="W5" s="689" t="s">
        <v>21</v>
      </c>
      <c r="X5" s="748" t="s">
        <v>22</v>
      </c>
      <c r="Y5" s="689" t="s">
        <v>421</v>
      </c>
      <c r="Z5" s="808" t="s">
        <v>24</v>
      </c>
      <c r="AA5" s="819" t="s">
        <v>25</v>
      </c>
      <c r="AB5" s="819" t="s">
        <v>56</v>
      </c>
      <c r="AC5" s="752" t="s">
        <v>27</v>
      </c>
      <c r="AD5" s="695" t="s">
        <v>422</v>
      </c>
      <c r="AE5" s="697" t="s">
        <v>423</v>
      </c>
      <c r="AF5" s="41" t="s">
        <v>424</v>
      </c>
      <c r="AH5" s="3"/>
      <c r="AI5" s="3"/>
      <c r="AJ5" s="3"/>
      <c r="AK5" s="3"/>
      <c r="AL5" s="3"/>
      <c r="AM5" s="52"/>
      <c r="AN5" s="3"/>
      <c r="AO5" s="3"/>
      <c r="AP5" s="3"/>
      <c r="AQ5" s="3"/>
      <c r="AR5" s="3"/>
      <c r="AS5" s="3"/>
      <c r="AT5" s="3"/>
      <c r="AU5" s="3"/>
      <c r="AV5" s="3"/>
      <c r="AW5" s="3"/>
      <c r="AX5" s="3"/>
    </row>
    <row r="6" spans="1:50" ht="25.5" customHeight="1">
      <c r="A6" s="683"/>
      <c r="B6" s="686"/>
      <c r="C6" s="686"/>
      <c r="D6" s="689"/>
      <c r="E6" s="689"/>
      <c r="F6" s="689"/>
      <c r="G6" s="693"/>
      <c r="H6" s="819"/>
      <c r="I6" s="819"/>
      <c r="J6" s="819"/>
      <c r="K6" s="808"/>
      <c r="L6" s="808"/>
      <c r="M6" s="808"/>
      <c r="N6" s="808"/>
      <c r="O6" s="689"/>
      <c r="P6" s="689"/>
      <c r="Q6" s="689"/>
      <c r="R6" s="689"/>
      <c r="S6" s="689"/>
      <c r="T6" s="689"/>
      <c r="U6" s="689"/>
      <c r="V6" s="689"/>
      <c r="W6" s="689"/>
      <c r="X6" s="748"/>
      <c r="Y6" s="689"/>
      <c r="Z6" s="808"/>
      <c r="AA6" s="819"/>
      <c r="AB6" s="819"/>
      <c r="AC6" s="752"/>
      <c r="AD6" s="695"/>
      <c r="AE6" s="698"/>
      <c r="AF6" s="41" t="s">
        <v>425</v>
      </c>
      <c r="AH6" s="3"/>
      <c r="AI6" s="3"/>
      <c r="AJ6" s="3"/>
      <c r="AK6" s="3"/>
      <c r="AL6" s="3"/>
      <c r="AM6" s="3"/>
      <c r="AN6" s="51"/>
      <c r="AO6" s="51"/>
      <c r="AP6" s="51"/>
      <c r="AQ6" s="51"/>
      <c r="AR6" s="51"/>
      <c r="AS6" s="51"/>
      <c r="AT6" s="51"/>
      <c r="AU6" s="3"/>
      <c r="AV6" s="51"/>
      <c r="AW6" s="3"/>
      <c r="AX6" s="3"/>
    </row>
    <row r="7" spans="1:50" ht="31.5" customHeight="1" thickBot="1">
      <c r="A7" s="684"/>
      <c r="B7" s="687"/>
      <c r="C7" s="687"/>
      <c r="D7" s="690"/>
      <c r="E7" s="690"/>
      <c r="F7" s="690"/>
      <c r="G7" s="694"/>
      <c r="H7" s="820"/>
      <c r="I7" s="820"/>
      <c r="J7" s="820"/>
      <c r="K7" s="818"/>
      <c r="L7" s="818"/>
      <c r="M7" s="818"/>
      <c r="N7" s="818"/>
      <c r="O7" s="690"/>
      <c r="P7" s="690"/>
      <c r="Q7" s="690"/>
      <c r="R7" s="690"/>
      <c r="S7" s="690"/>
      <c r="T7" s="690"/>
      <c r="U7" s="690"/>
      <c r="V7" s="690"/>
      <c r="W7" s="690"/>
      <c r="X7" s="749"/>
      <c r="Y7" s="690"/>
      <c r="Z7" s="818"/>
      <c r="AA7" s="820"/>
      <c r="AB7" s="820"/>
      <c r="AC7" s="753"/>
      <c r="AD7" s="696"/>
      <c r="AE7" s="764"/>
      <c r="AF7" s="42" t="s">
        <v>426</v>
      </c>
      <c r="AH7" s="3"/>
      <c r="AI7" s="3"/>
      <c r="AJ7" s="3"/>
      <c r="AK7" s="3"/>
      <c r="AL7" s="3"/>
      <c r="AM7" s="3"/>
      <c r="AN7" s="3"/>
      <c r="AO7" s="3"/>
      <c r="AP7" s="3"/>
      <c r="AQ7" s="3"/>
      <c r="AR7" s="3"/>
      <c r="AS7" s="3"/>
      <c r="AT7" s="3"/>
      <c r="AU7" s="3"/>
      <c r="AV7" s="3"/>
      <c r="AW7" s="3"/>
      <c r="AX7" s="3"/>
    </row>
    <row r="8" spans="1:50" s="1" customFormat="1" ht="15.75" customHeight="1" thickTop="1">
      <c r="A8" s="599">
        <f>[5]December_2026!$C8</f>
        <v>0</v>
      </c>
      <c r="B8" s="600">
        <f>[5]December_2026!$B8</f>
        <v>0</v>
      </c>
      <c r="C8" s="9">
        <f>[5]December_2026!$D8</f>
        <v>0</v>
      </c>
      <c r="D8" s="602"/>
      <c r="E8" s="10"/>
      <c r="F8" s="10"/>
      <c r="G8" s="11"/>
      <c r="H8" s="12"/>
      <c r="I8" s="32"/>
      <c r="J8" s="33"/>
      <c r="K8" s="32"/>
      <c r="L8" s="32"/>
      <c r="M8" s="32"/>
      <c r="N8" s="32"/>
      <c r="O8" s="32">
        <f>'Uncaser Downtime Detail '!AG672</f>
        <v>0</v>
      </c>
      <c r="P8" s="32">
        <f>'Washer Downtime Detail'!BH684</f>
        <v>0</v>
      </c>
      <c r="Q8" s="32">
        <f>'EBI Downtime Detail'!AI679</f>
        <v>0</v>
      </c>
      <c r="R8" s="32">
        <f>'Filler Downtime Detail'!AK669</f>
        <v>0</v>
      </c>
      <c r="S8" s="32">
        <f>'Pasteurizer Downtime Detail'!Z650</f>
        <v>0</v>
      </c>
      <c r="T8" s="32">
        <f>'Labeler Downtime Detail'!AN640</f>
        <v>0</v>
      </c>
      <c r="U8" s="32">
        <f>'Videojet Downtime Detail '!O665</f>
        <v>0</v>
      </c>
      <c r="V8" s="32">
        <f>'Conveyor Downtime (new)'!AV678</f>
        <v>0</v>
      </c>
      <c r="W8" s="32">
        <f>'Packer Downtime Detail  '!AD660</f>
        <v>0</v>
      </c>
      <c r="X8" s="32">
        <f>'Carton Errector-sealer Detail'!P662</f>
        <v>0</v>
      </c>
      <c r="Y8" s="32"/>
      <c r="Z8" s="43"/>
      <c r="AA8" s="32"/>
      <c r="AB8" s="32"/>
      <c r="AC8" s="32"/>
      <c r="AD8" s="44">
        <f>SUM(H8:J8,K8:AC8)</f>
        <v>0</v>
      </c>
      <c r="AE8" s="240">
        <f>G9-D8</f>
        <v>0</v>
      </c>
      <c r="AI8" s="4"/>
      <c r="AJ8" s="4"/>
      <c r="AK8" s="53"/>
    </row>
    <row r="9" spans="1:50" ht="12.75" customHeight="1">
      <c r="A9" s="7"/>
      <c r="B9" s="8"/>
      <c r="C9" s="9"/>
      <c r="D9" s="500"/>
      <c r="E9" s="10"/>
      <c r="F9" s="10"/>
      <c r="G9" s="11"/>
      <c r="H9" s="14"/>
      <c r="I9" s="34"/>
      <c r="J9" s="35"/>
      <c r="K9" s="34"/>
      <c r="L9" s="34"/>
      <c r="M9" s="34"/>
      <c r="N9" s="34"/>
      <c r="O9" s="34">
        <f>'Uncaser Downtime Detail '!AG673</f>
        <v>0</v>
      </c>
      <c r="P9" s="34">
        <f>'Washer Downtime Detail'!BH685</f>
        <v>0</v>
      </c>
      <c r="Q9" s="34">
        <f>'EBI Downtime Detail'!AI680</f>
        <v>0</v>
      </c>
      <c r="R9" s="34">
        <f>'Filler Downtime Detail'!AK670</f>
        <v>0</v>
      </c>
      <c r="S9" s="34">
        <f>'Pasteurizer Downtime Detail'!Z651</f>
        <v>0</v>
      </c>
      <c r="T9" s="34">
        <f>'Labeler Downtime Detail'!AN641</f>
        <v>0</v>
      </c>
      <c r="U9" s="34">
        <f>'Videojet Downtime Detail '!O666</f>
        <v>0</v>
      </c>
      <c r="V9" s="34">
        <f>'Conveyor Downtime (new)'!AV679</f>
        <v>0</v>
      </c>
      <c r="W9" s="34">
        <f>'Packer Downtime Detail  '!AD661</f>
        <v>0</v>
      </c>
      <c r="X9" s="34">
        <f>'Carton Errector-sealer Detail'!P663</f>
        <v>0</v>
      </c>
      <c r="Y9" s="35"/>
      <c r="Z9" s="34"/>
      <c r="AA9" s="34"/>
      <c r="AB9" s="34"/>
      <c r="AC9" s="34"/>
      <c r="AD9" s="44">
        <f t="shared" ref="AD9:AD40" si="0">SUM(H9:J9,K9:AC9)</f>
        <v>0</v>
      </c>
      <c r="AE9" s="240"/>
      <c r="AH9" s="3"/>
      <c r="AI9" s="23"/>
      <c r="AJ9" s="23"/>
      <c r="AK9" s="54"/>
      <c r="AL9" s="3"/>
      <c r="AM9" s="3"/>
      <c r="AN9" s="3"/>
      <c r="AO9" s="3"/>
      <c r="AP9" s="3"/>
      <c r="AQ9" s="3"/>
      <c r="AR9" s="3"/>
      <c r="AS9" s="3"/>
      <c r="AT9" s="3"/>
      <c r="AU9" s="3"/>
      <c r="AV9" s="3"/>
      <c r="AW9" s="3"/>
      <c r="AX9" s="3"/>
    </row>
    <row r="10" spans="1:50" ht="12.75" customHeight="1">
      <c r="A10" s="7"/>
      <c r="B10" s="8"/>
      <c r="C10" s="9"/>
      <c r="D10" s="13"/>
      <c r="E10" s="10"/>
      <c r="F10" s="10"/>
      <c r="G10" s="11"/>
      <c r="H10" s="12"/>
      <c r="I10" s="32"/>
      <c r="J10" s="33"/>
      <c r="K10" s="32"/>
      <c r="L10" s="32"/>
      <c r="M10" s="32"/>
      <c r="N10" s="32"/>
      <c r="O10" s="32">
        <f>'Uncaser Downtime Detail '!AG674</f>
        <v>0</v>
      </c>
      <c r="P10" s="32">
        <f>'Washer Downtime Detail'!BH686</f>
        <v>0</v>
      </c>
      <c r="Q10" s="32">
        <f>'EBI Downtime Detail'!AI681</f>
        <v>0</v>
      </c>
      <c r="R10" s="32">
        <f>'Filler Downtime Detail'!AK671</f>
        <v>0</v>
      </c>
      <c r="S10" s="32">
        <f>'Pasteurizer Downtime Detail'!Z652</f>
        <v>0</v>
      </c>
      <c r="T10" s="32">
        <f>'Labeler Downtime Detail'!AN642</f>
        <v>0</v>
      </c>
      <c r="U10" s="32">
        <f>'Videojet Downtime Detail '!O667</f>
        <v>0</v>
      </c>
      <c r="V10" s="32">
        <f>'Conveyor Downtime (new)'!AV680</f>
        <v>0</v>
      </c>
      <c r="W10" s="32">
        <f>'Packer Downtime Detail  '!AD662</f>
        <v>0</v>
      </c>
      <c r="X10" s="32">
        <f>'Carton Errector-sealer Detail'!P664</f>
        <v>0</v>
      </c>
      <c r="Y10" s="32"/>
      <c r="Z10" s="43"/>
      <c r="AA10" s="32"/>
      <c r="AB10" s="32"/>
      <c r="AC10" s="32"/>
      <c r="AD10" s="44">
        <f t="shared" si="0"/>
        <v>0</v>
      </c>
      <c r="AE10" s="236">
        <f>G10-D10</f>
        <v>0</v>
      </c>
      <c r="AH10" s="3"/>
      <c r="AI10" s="23"/>
      <c r="AJ10" s="23"/>
      <c r="AK10" s="54"/>
      <c r="AL10" s="3"/>
      <c r="AM10" s="3"/>
      <c r="AN10" s="3"/>
      <c r="AO10" s="3"/>
      <c r="AP10" s="3"/>
      <c r="AQ10" s="3"/>
      <c r="AR10" s="3"/>
      <c r="AS10" s="3"/>
      <c r="AT10" s="3"/>
      <c r="AU10" s="3"/>
      <c r="AV10" s="3"/>
      <c r="AW10" s="3"/>
      <c r="AX10" s="3"/>
    </row>
    <row r="11" spans="1:50" ht="12.75" customHeight="1">
      <c r="A11" s="7"/>
      <c r="B11" s="8"/>
      <c r="C11" s="9"/>
      <c r="D11" s="500"/>
      <c r="E11" s="10"/>
      <c r="F11" s="10"/>
      <c r="G11" s="11"/>
      <c r="H11" s="14"/>
      <c r="I11" s="34"/>
      <c r="J11" s="35"/>
      <c r="K11" s="34"/>
      <c r="L11" s="34"/>
      <c r="M11" s="34"/>
      <c r="N11" s="34"/>
      <c r="O11" s="34">
        <f>'Uncaser Downtime Detail '!AG675</f>
        <v>0</v>
      </c>
      <c r="P11" s="34">
        <f>'Washer Downtime Detail'!BH687</f>
        <v>0</v>
      </c>
      <c r="Q11" s="34">
        <f>'EBI Downtime Detail'!AI682</f>
        <v>0</v>
      </c>
      <c r="R11" s="34">
        <f>'Filler Downtime Detail'!AK672</f>
        <v>0</v>
      </c>
      <c r="S11" s="34">
        <f>'Pasteurizer Downtime Detail'!Z653</f>
        <v>0</v>
      </c>
      <c r="T11" s="34">
        <f>'Labeler Downtime Detail'!AN643</f>
        <v>0</v>
      </c>
      <c r="U11" s="34">
        <f>'Videojet Downtime Detail '!O668</f>
        <v>0</v>
      </c>
      <c r="V11" s="34">
        <f>'Conveyor Downtime (new)'!AV681</f>
        <v>0</v>
      </c>
      <c r="W11" s="34">
        <f>'Packer Downtime Detail  '!AD663</f>
        <v>0</v>
      </c>
      <c r="X11" s="34">
        <f>'Carton Errector-sealer Detail'!P665</f>
        <v>0</v>
      </c>
      <c r="Y11" s="35"/>
      <c r="Z11" s="34"/>
      <c r="AA11" s="34"/>
      <c r="AB11" s="34"/>
      <c r="AC11" s="34"/>
      <c r="AD11" s="44">
        <f t="shared" si="0"/>
        <v>0</v>
      </c>
      <c r="AE11" s="240">
        <f>G12-D11</f>
        <v>0</v>
      </c>
      <c r="AH11" s="3"/>
      <c r="AI11" s="23"/>
      <c r="AJ11" s="23"/>
      <c r="AK11" s="54"/>
      <c r="AL11" s="3"/>
      <c r="AM11" s="3"/>
      <c r="AN11" s="3"/>
      <c r="AO11" s="3"/>
      <c r="AP11" s="3"/>
      <c r="AQ11" s="3"/>
      <c r="AR11" s="3"/>
      <c r="AS11" s="3"/>
      <c r="AT11" s="3"/>
      <c r="AU11" s="3"/>
      <c r="AV11" s="3"/>
      <c r="AW11" s="3"/>
      <c r="AX11" s="3"/>
    </row>
    <row r="12" spans="1:50" ht="12.75" customHeight="1">
      <c r="A12" s="7"/>
      <c r="B12" s="8"/>
      <c r="C12" s="9"/>
      <c r="D12" s="500"/>
      <c r="E12" s="10"/>
      <c r="F12" s="10"/>
      <c r="G12" s="11"/>
      <c r="H12" s="12"/>
      <c r="I12" s="32"/>
      <c r="J12" s="33"/>
      <c r="K12" s="32"/>
      <c r="L12" s="32"/>
      <c r="M12" s="32"/>
      <c r="N12" s="32"/>
      <c r="O12" s="32">
        <f>'Uncaser Downtime Detail '!AG676</f>
        <v>0</v>
      </c>
      <c r="P12" s="32">
        <f>'Washer Downtime Detail'!BH688</f>
        <v>0</v>
      </c>
      <c r="Q12" s="32">
        <f>'EBI Downtime Detail'!AI683</f>
        <v>0</v>
      </c>
      <c r="R12" s="32">
        <f>'Filler Downtime Detail'!AK673</f>
        <v>0</v>
      </c>
      <c r="S12" s="32">
        <f>'Pasteurizer Downtime Detail'!Z654</f>
        <v>0</v>
      </c>
      <c r="T12" s="32">
        <f>'Labeler Downtime Detail'!AN644</f>
        <v>0</v>
      </c>
      <c r="U12" s="32">
        <f>'Videojet Downtime Detail '!O669</f>
        <v>0</v>
      </c>
      <c r="V12" s="32">
        <f>'Conveyor Downtime (new)'!AV682</f>
        <v>0</v>
      </c>
      <c r="W12" s="32">
        <f>'Packer Downtime Detail  '!AD664</f>
        <v>0</v>
      </c>
      <c r="X12" s="32">
        <f>'Carton Errector-sealer Detail'!P666</f>
        <v>0</v>
      </c>
      <c r="Y12" s="32"/>
      <c r="Z12" s="43"/>
      <c r="AA12" s="32"/>
      <c r="AB12" s="32"/>
      <c r="AC12" s="32"/>
      <c r="AD12" s="44">
        <f t="shared" si="0"/>
        <v>0</v>
      </c>
      <c r="AE12" s="240"/>
      <c r="AH12" s="3"/>
      <c r="AI12" s="23"/>
      <c r="AJ12" s="23"/>
      <c r="AK12" s="54"/>
      <c r="AL12" s="3"/>
      <c r="AM12" s="3"/>
      <c r="AN12" s="3"/>
      <c r="AO12" s="3"/>
      <c r="AP12" s="3"/>
      <c r="AQ12" s="3"/>
      <c r="AR12" s="3"/>
      <c r="AS12" s="3"/>
      <c r="AT12" s="3"/>
      <c r="AU12" s="3"/>
      <c r="AV12" s="3"/>
      <c r="AW12" s="3"/>
      <c r="AX12" s="3"/>
    </row>
    <row r="13" spans="1:50" ht="13.35" customHeight="1">
      <c r="A13" s="7"/>
      <c r="B13" s="8"/>
      <c r="C13" s="9"/>
      <c r="D13" s="500"/>
      <c r="E13" s="10"/>
      <c r="F13" s="10"/>
      <c r="G13" s="11"/>
      <c r="H13" s="14"/>
      <c r="I13" s="34"/>
      <c r="J13" s="35"/>
      <c r="K13" s="34"/>
      <c r="L13" s="34"/>
      <c r="M13" s="34"/>
      <c r="N13" s="34"/>
      <c r="O13" s="34">
        <f>'Uncaser Downtime Detail '!AG677</f>
        <v>0</v>
      </c>
      <c r="P13" s="34">
        <f>'Washer Downtime Detail'!BH689</f>
        <v>0</v>
      </c>
      <c r="Q13" s="34">
        <f>'EBI Downtime Detail'!AI684</f>
        <v>0</v>
      </c>
      <c r="R13" s="34">
        <f>'Filler Downtime Detail'!AK674</f>
        <v>0</v>
      </c>
      <c r="S13" s="34">
        <f>'Pasteurizer Downtime Detail'!Z655</f>
        <v>0</v>
      </c>
      <c r="T13" s="34">
        <f>'Labeler Downtime Detail'!AN645</f>
        <v>0</v>
      </c>
      <c r="U13" s="34">
        <f>'Videojet Downtime Detail '!O670</f>
        <v>0</v>
      </c>
      <c r="V13" s="34">
        <f>'Conveyor Downtime (new)'!AV683</f>
        <v>0</v>
      </c>
      <c r="W13" s="34">
        <f>'Packer Downtime Detail  '!AD665</f>
        <v>0</v>
      </c>
      <c r="X13" s="34">
        <f>'Carton Errector-sealer Detail'!P667</f>
        <v>0</v>
      </c>
      <c r="Y13" s="35"/>
      <c r="Z13" s="34"/>
      <c r="AA13" s="34"/>
      <c r="AB13" s="34"/>
      <c r="AC13" s="34"/>
      <c r="AD13" s="44">
        <f t="shared" si="0"/>
        <v>0</v>
      </c>
      <c r="AE13" s="240">
        <f>G15-D13</f>
        <v>0</v>
      </c>
      <c r="AH13" s="3"/>
      <c r="AI13" s="23"/>
      <c r="AJ13" s="23"/>
      <c r="AK13" s="54"/>
      <c r="AL13" s="3"/>
      <c r="AM13" s="3"/>
      <c r="AN13" s="3"/>
      <c r="AO13" s="3"/>
      <c r="AP13" s="3"/>
      <c r="AQ13" s="3"/>
      <c r="AR13" s="3"/>
      <c r="AS13" s="3"/>
      <c r="AT13" s="3"/>
      <c r="AU13" s="3"/>
      <c r="AV13" s="3"/>
      <c r="AW13" s="3"/>
      <c r="AX13" s="3"/>
    </row>
    <row r="14" spans="1:50" ht="12.75" customHeight="1">
      <c r="A14" s="7"/>
      <c r="B14" s="8"/>
      <c r="C14" s="9"/>
      <c r="D14" s="500"/>
      <c r="E14" s="10"/>
      <c r="F14" s="10"/>
      <c r="G14" s="11"/>
      <c r="H14" s="12"/>
      <c r="I14" s="32"/>
      <c r="J14" s="33"/>
      <c r="K14" s="32"/>
      <c r="L14" s="32"/>
      <c r="M14" s="32"/>
      <c r="N14" s="32"/>
      <c r="O14" s="32">
        <f>'Uncaser Downtime Detail '!AG678</f>
        <v>0</v>
      </c>
      <c r="P14" s="32">
        <f>'Washer Downtime Detail'!BH690</f>
        <v>0</v>
      </c>
      <c r="Q14" s="32">
        <f>'EBI Downtime Detail'!AI685</f>
        <v>0</v>
      </c>
      <c r="R14" s="32">
        <f>'Filler Downtime Detail'!AK675</f>
        <v>0</v>
      </c>
      <c r="S14" s="32">
        <f>'Pasteurizer Downtime Detail'!Z656</f>
        <v>0</v>
      </c>
      <c r="T14" s="32">
        <f>'Labeler Downtime Detail'!AN646</f>
        <v>0</v>
      </c>
      <c r="U14" s="32">
        <f>'Videojet Downtime Detail '!O671</f>
        <v>0</v>
      </c>
      <c r="V14" s="32">
        <f>'Conveyor Downtime (new)'!AV684</f>
        <v>0</v>
      </c>
      <c r="W14" s="32">
        <f>'Packer Downtime Detail  '!AD666</f>
        <v>0</v>
      </c>
      <c r="X14" s="32">
        <f>'Carton Errector-sealer Detail'!P668</f>
        <v>0</v>
      </c>
      <c r="Y14" s="32"/>
      <c r="Z14" s="43"/>
      <c r="AA14" s="32"/>
      <c r="AB14" s="32"/>
      <c r="AC14" s="32"/>
      <c r="AD14" s="44">
        <f t="shared" si="0"/>
        <v>0</v>
      </c>
      <c r="AE14" s="240"/>
      <c r="AH14" s="3"/>
      <c r="AI14" s="23"/>
      <c r="AJ14" s="23"/>
      <c r="AK14" s="54"/>
      <c r="AL14" s="3"/>
      <c r="AM14" s="3"/>
      <c r="AN14" s="3"/>
      <c r="AO14" s="3"/>
      <c r="AP14" s="3"/>
      <c r="AQ14" s="3"/>
      <c r="AR14" s="3"/>
      <c r="AS14" s="3"/>
      <c r="AT14" s="3"/>
      <c r="AU14" s="3"/>
      <c r="AV14" s="3"/>
      <c r="AW14" s="3"/>
      <c r="AX14" s="3"/>
    </row>
    <row r="15" spans="1:50" ht="12.75" customHeight="1">
      <c r="A15" s="7"/>
      <c r="B15" s="8"/>
      <c r="C15" s="9"/>
      <c r="D15" s="500"/>
      <c r="E15" s="10"/>
      <c r="F15" s="10"/>
      <c r="G15" s="11"/>
      <c r="H15" s="14"/>
      <c r="I15" s="34"/>
      <c r="J15" s="35"/>
      <c r="K15" s="34"/>
      <c r="L15" s="34"/>
      <c r="M15" s="34"/>
      <c r="N15" s="34"/>
      <c r="O15" s="34">
        <f>'Uncaser Downtime Detail '!AG679</f>
        <v>0</v>
      </c>
      <c r="P15" s="34">
        <f>'Washer Downtime Detail'!BH691</f>
        <v>0</v>
      </c>
      <c r="Q15" s="34">
        <f>'EBI Downtime Detail'!AI686</f>
        <v>0</v>
      </c>
      <c r="R15" s="34">
        <f>'Filler Downtime Detail'!AK676</f>
        <v>0</v>
      </c>
      <c r="S15" s="34">
        <f>'Pasteurizer Downtime Detail'!Z657</f>
        <v>0</v>
      </c>
      <c r="T15" s="34">
        <f>'Labeler Downtime Detail'!AN647</f>
        <v>0</v>
      </c>
      <c r="U15" s="34">
        <f>'Videojet Downtime Detail '!O672</f>
        <v>0</v>
      </c>
      <c r="V15" s="34">
        <f>'Conveyor Downtime (new)'!AV685</f>
        <v>0</v>
      </c>
      <c r="W15" s="34">
        <f>'Packer Downtime Detail  '!AD667</f>
        <v>0</v>
      </c>
      <c r="X15" s="34">
        <f>'Carton Errector-sealer Detail'!P669</f>
        <v>0</v>
      </c>
      <c r="Y15" s="35"/>
      <c r="Z15" s="34"/>
      <c r="AA15" s="34"/>
      <c r="AB15" s="34"/>
      <c r="AC15" s="34"/>
      <c r="AD15" s="44">
        <f t="shared" si="0"/>
        <v>0</v>
      </c>
      <c r="AE15" s="240"/>
      <c r="AH15" s="3"/>
      <c r="AI15" s="23"/>
      <c r="AJ15" s="23"/>
      <c r="AK15" s="54"/>
      <c r="AL15" s="3"/>
      <c r="AM15" s="3"/>
      <c r="AN15" s="3"/>
      <c r="AO15" s="3"/>
      <c r="AP15" s="3"/>
      <c r="AQ15" s="3"/>
      <c r="AR15" s="3"/>
      <c r="AS15" s="3"/>
      <c r="AT15" s="3"/>
      <c r="AU15" s="3"/>
      <c r="AV15" s="3"/>
      <c r="AW15" s="3"/>
      <c r="AX15" s="3"/>
    </row>
    <row r="16" spans="1:50" ht="16.5">
      <c r="A16" s="7"/>
      <c r="B16" s="8"/>
      <c r="C16" s="9"/>
      <c r="D16" s="13"/>
      <c r="E16" s="10"/>
      <c r="F16" s="10"/>
      <c r="G16" s="11"/>
      <c r="H16" s="12"/>
      <c r="I16" s="32"/>
      <c r="J16" s="33"/>
      <c r="K16" s="32"/>
      <c r="L16" s="32"/>
      <c r="M16" s="32"/>
      <c r="N16" s="32"/>
      <c r="O16" s="32">
        <f>'Uncaser Downtime Detail '!AG680</f>
        <v>0</v>
      </c>
      <c r="P16" s="32">
        <f>'Washer Downtime Detail'!BH692</f>
        <v>0</v>
      </c>
      <c r="Q16" s="32">
        <f>'EBI Downtime Detail'!AI687</f>
        <v>0</v>
      </c>
      <c r="R16" s="32">
        <f>'Filler Downtime Detail'!AK677</f>
        <v>0</v>
      </c>
      <c r="S16" s="32">
        <f>'Pasteurizer Downtime Detail'!Z658</f>
        <v>0</v>
      </c>
      <c r="T16" s="32">
        <f>'Labeler Downtime Detail'!AN648</f>
        <v>0</v>
      </c>
      <c r="U16" s="32">
        <f>'Videojet Downtime Detail '!O673</f>
        <v>0</v>
      </c>
      <c r="V16" s="32">
        <f>'Conveyor Downtime (new)'!AV686</f>
        <v>0</v>
      </c>
      <c r="W16" s="32">
        <f>'Packer Downtime Detail  '!AD668</f>
        <v>0</v>
      </c>
      <c r="X16" s="32">
        <f>'Carton Errector-sealer Detail'!P670</f>
        <v>0</v>
      </c>
      <c r="Y16" s="32"/>
      <c r="Z16" s="43"/>
      <c r="AA16" s="32"/>
      <c r="AB16" s="32"/>
      <c r="AC16" s="32"/>
      <c r="AD16" s="44">
        <f t="shared" si="0"/>
        <v>0</v>
      </c>
      <c r="AE16" s="236">
        <f t="shared" ref="AE16:AE18" si="1">G16-D16</f>
        <v>0</v>
      </c>
      <c r="AH16" s="3"/>
      <c r="AI16" s="23"/>
      <c r="AJ16" s="23"/>
      <c r="AK16" s="54"/>
      <c r="AL16" s="3"/>
      <c r="AM16" s="3"/>
      <c r="AN16" s="3"/>
      <c r="AO16" s="3"/>
      <c r="AP16" s="3"/>
      <c r="AQ16" s="3"/>
      <c r="AR16" s="3"/>
      <c r="AS16" s="3"/>
      <c r="AT16" s="3"/>
      <c r="AU16" s="3"/>
      <c r="AV16" s="3"/>
      <c r="AW16" s="3"/>
      <c r="AX16" s="3"/>
    </row>
    <row r="17" spans="1:50" ht="16.5">
      <c r="A17" s="7"/>
      <c r="B17" s="8"/>
      <c r="C17" s="9"/>
      <c r="D17" s="13"/>
      <c r="E17" s="10"/>
      <c r="F17" s="10"/>
      <c r="G17" s="11"/>
      <c r="H17" s="14"/>
      <c r="I17" s="34"/>
      <c r="J17" s="35"/>
      <c r="K17" s="34"/>
      <c r="L17" s="34"/>
      <c r="M17" s="34"/>
      <c r="N17" s="34"/>
      <c r="O17" s="34">
        <f>'Uncaser Downtime Detail '!AG681</f>
        <v>0</v>
      </c>
      <c r="P17" s="34">
        <f>'Washer Downtime Detail'!BH693</f>
        <v>0</v>
      </c>
      <c r="Q17" s="34">
        <f>'EBI Downtime Detail'!AI688</f>
        <v>0</v>
      </c>
      <c r="R17" s="34">
        <f>'Filler Downtime Detail'!AK678</f>
        <v>0</v>
      </c>
      <c r="S17" s="34">
        <f>'Pasteurizer Downtime Detail'!Z659</f>
        <v>0</v>
      </c>
      <c r="T17" s="34">
        <f>'Labeler Downtime Detail'!AN649</f>
        <v>0</v>
      </c>
      <c r="U17" s="34">
        <f>'Videojet Downtime Detail '!O674</f>
        <v>0</v>
      </c>
      <c r="V17" s="34">
        <f>'Conveyor Downtime (new)'!AV687</f>
        <v>0</v>
      </c>
      <c r="W17" s="34">
        <f>'Packer Downtime Detail  '!AD669</f>
        <v>0</v>
      </c>
      <c r="X17" s="34">
        <f>'Carton Errector-sealer Detail'!P671</f>
        <v>0</v>
      </c>
      <c r="Y17" s="35"/>
      <c r="Z17" s="34"/>
      <c r="AA17" s="34"/>
      <c r="AB17" s="34"/>
      <c r="AC17" s="34"/>
      <c r="AD17" s="44">
        <f t="shared" si="0"/>
        <v>0</v>
      </c>
      <c r="AE17" s="236">
        <f t="shared" si="1"/>
        <v>0</v>
      </c>
      <c r="AH17" s="3"/>
      <c r="AI17" s="23"/>
      <c r="AJ17" s="23"/>
      <c r="AK17" s="54"/>
      <c r="AL17" s="3"/>
      <c r="AM17" s="3"/>
      <c r="AN17" s="3"/>
      <c r="AO17" s="3"/>
      <c r="AP17" s="3"/>
      <c r="AQ17" s="3"/>
      <c r="AR17" s="3"/>
      <c r="AS17" s="3"/>
      <c r="AT17" s="3"/>
      <c r="AU17" s="3"/>
      <c r="AV17" s="3"/>
      <c r="AW17" s="3"/>
      <c r="AX17" s="3"/>
    </row>
    <row r="18" spans="1:50" ht="16.5">
      <c r="A18" s="7"/>
      <c r="B18" s="8"/>
      <c r="C18" s="9"/>
      <c r="D18" s="13"/>
      <c r="E18" s="10"/>
      <c r="F18" s="10"/>
      <c r="G18" s="11"/>
      <c r="H18" s="12"/>
      <c r="I18" s="32"/>
      <c r="J18" s="33"/>
      <c r="K18" s="32"/>
      <c r="L18" s="32"/>
      <c r="M18" s="32"/>
      <c r="N18" s="32"/>
      <c r="O18" s="32">
        <f>'Uncaser Downtime Detail '!AG682</f>
        <v>0</v>
      </c>
      <c r="P18" s="32">
        <f>'Washer Downtime Detail'!BH694</f>
        <v>0</v>
      </c>
      <c r="Q18" s="32">
        <f>'EBI Downtime Detail'!AI689</f>
        <v>0</v>
      </c>
      <c r="R18" s="32">
        <f>'Filler Downtime Detail'!AK679</f>
        <v>0</v>
      </c>
      <c r="S18" s="32">
        <f>'Pasteurizer Downtime Detail'!Z660</f>
        <v>0</v>
      </c>
      <c r="T18" s="32">
        <f>'Labeler Downtime Detail'!AN650</f>
        <v>0</v>
      </c>
      <c r="U18" s="32">
        <f>'Videojet Downtime Detail '!O675</f>
        <v>0</v>
      </c>
      <c r="V18" s="32">
        <f>'Conveyor Downtime (new)'!AV688</f>
        <v>0</v>
      </c>
      <c r="W18" s="32">
        <f>'Packer Downtime Detail  '!AD670</f>
        <v>0</v>
      </c>
      <c r="X18" s="32">
        <f>'Carton Errector-sealer Detail'!P672</f>
        <v>0</v>
      </c>
      <c r="Y18" s="32"/>
      <c r="Z18" s="43"/>
      <c r="AA18" s="32"/>
      <c r="AB18" s="32"/>
      <c r="AC18" s="32"/>
      <c r="AD18" s="44">
        <f t="shared" si="0"/>
        <v>0</v>
      </c>
      <c r="AE18" s="236">
        <f t="shared" si="1"/>
        <v>0</v>
      </c>
      <c r="AH18" s="3"/>
      <c r="AI18" s="23"/>
      <c r="AJ18" s="23"/>
      <c r="AK18" s="54"/>
      <c r="AL18" s="3"/>
      <c r="AM18" s="3"/>
      <c r="AN18" s="3"/>
      <c r="AO18" s="3"/>
      <c r="AP18" s="3"/>
      <c r="AQ18" s="3"/>
      <c r="AR18" s="3"/>
      <c r="AS18" s="3"/>
      <c r="AT18" s="3"/>
      <c r="AU18" s="3"/>
      <c r="AV18" s="3"/>
      <c r="AW18" s="3"/>
      <c r="AX18" s="3"/>
    </row>
    <row r="19" spans="1:50" s="2" customFormat="1" ht="12.75" customHeight="1">
      <c r="A19" s="7"/>
      <c r="B19" s="8"/>
      <c r="C19" s="9"/>
      <c r="D19" s="500"/>
      <c r="E19" s="10"/>
      <c r="F19" s="10"/>
      <c r="G19" s="11"/>
      <c r="H19" s="14"/>
      <c r="I19" s="34"/>
      <c r="J19" s="35"/>
      <c r="K19" s="34"/>
      <c r="L19" s="34"/>
      <c r="M19" s="34"/>
      <c r="N19" s="34"/>
      <c r="O19" s="34">
        <f>'Uncaser Downtime Detail '!AG683</f>
        <v>0</v>
      </c>
      <c r="P19" s="34">
        <f>'Washer Downtime Detail'!BH695</f>
        <v>0</v>
      </c>
      <c r="Q19" s="34">
        <f>'EBI Downtime Detail'!AI690</f>
        <v>0</v>
      </c>
      <c r="R19" s="34">
        <f>'Filler Downtime Detail'!AK680</f>
        <v>0</v>
      </c>
      <c r="S19" s="34">
        <f>'Pasteurizer Downtime Detail'!Z661</f>
        <v>0</v>
      </c>
      <c r="T19" s="34">
        <f>'Labeler Downtime Detail'!AN651</f>
        <v>0</v>
      </c>
      <c r="U19" s="34">
        <f>'Videojet Downtime Detail '!O676</f>
        <v>0</v>
      </c>
      <c r="V19" s="34">
        <f>'Conveyor Downtime (new)'!AV689</f>
        <v>0</v>
      </c>
      <c r="W19" s="34">
        <f>'Packer Downtime Detail  '!AD671</f>
        <v>0</v>
      </c>
      <c r="X19" s="34">
        <f>'Carton Errector-sealer Detail'!P673</f>
        <v>0</v>
      </c>
      <c r="Y19" s="35"/>
      <c r="Z19" s="34"/>
      <c r="AA19" s="34"/>
      <c r="AB19" s="34"/>
      <c r="AC19" s="34"/>
      <c r="AD19" s="44">
        <f t="shared" si="0"/>
        <v>0</v>
      </c>
      <c r="AE19" s="240">
        <f>G20-D19</f>
        <v>0</v>
      </c>
      <c r="AF19"/>
      <c r="AG19"/>
      <c r="AH19" s="3"/>
      <c r="AI19" s="23"/>
      <c r="AJ19" s="23"/>
      <c r="AK19" s="54"/>
      <c r="AL19" s="55"/>
      <c r="AM19" s="55"/>
      <c r="AN19" s="55"/>
      <c r="AO19" s="55"/>
      <c r="AP19" s="55"/>
      <c r="AQ19" s="55"/>
      <c r="AR19" s="55"/>
      <c r="AS19" s="55"/>
      <c r="AT19" s="55"/>
      <c r="AU19" s="55"/>
      <c r="AV19" s="55"/>
      <c r="AW19" s="55"/>
      <c r="AX19" s="55"/>
    </row>
    <row r="20" spans="1:50" s="2" customFormat="1" ht="12.75" customHeight="1">
      <c r="A20" s="7"/>
      <c r="B20" s="8"/>
      <c r="C20" s="9"/>
      <c r="D20" s="500"/>
      <c r="E20" s="10"/>
      <c r="F20" s="10"/>
      <c r="G20" s="11"/>
      <c r="H20" s="12"/>
      <c r="I20" s="32"/>
      <c r="J20" s="33"/>
      <c r="K20" s="32"/>
      <c r="L20" s="32"/>
      <c r="M20" s="32"/>
      <c r="N20" s="32"/>
      <c r="O20" s="32">
        <f>'Uncaser Downtime Detail '!AG684</f>
        <v>0</v>
      </c>
      <c r="P20" s="32">
        <f>'Washer Downtime Detail'!BH696</f>
        <v>0</v>
      </c>
      <c r="Q20" s="32">
        <f>'EBI Downtime Detail'!AI691</f>
        <v>0</v>
      </c>
      <c r="R20" s="32">
        <f>'Filler Downtime Detail'!AK681</f>
        <v>0</v>
      </c>
      <c r="S20" s="32">
        <f>'Pasteurizer Downtime Detail'!Z662</f>
        <v>0</v>
      </c>
      <c r="T20" s="32">
        <f>'Labeler Downtime Detail'!AN652</f>
        <v>0</v>
      </c>
      <c r="U20" s="32">
        <f>'Videojet Downtime Detail '!O677</f>
        <v>0</v>
      </c>
      <c r="V20" s="32">
        <f>'Conveyor Downtime (new)'!AV690</f>
        <v>0</v>
      </c>
      <c r="W20" s="32">
        <f>'Packer Downtime Detail  '!AD672</f>
        <v>0</v>
      </c>
      <c r="X20" s="32">
        <f>'Carton Errector-sealer Detail'!P674</f>
        <v>0</v>
      </c>
      <c r="Y20" s="32"/>
      <c r="Z20" s="43"/>
      <c r="AA20" s="32"/>
      <c r="AB20" s="32"/>
      <c r="AC20" s="32"/>
      <c r="AD20" s="44">
        <f t="shared" si="0"/>
        <v>0</v>
      </c>
      <c r="AE20" s="240"/>
      <c r="AF20"/>
      <c r="AG20"/>
      <c r="AH20" s="3"/>
      <c r="AI20" s="23"/>
      <c r="AJ20" s="23"/>
      <c r="AK20" s="54"/>
      <c r="AL20" s="55"/>
      <c r="AM20" s="55"/>
      <c r="AN20" s="55"/>
      <c r="AO20" s="55"/>
      <c r="AP20" s="55"/>
      <c r="AQ20" s="55"/>
      <c r="AR20" s="55"/>
      <c r="AS20" s="55"/>
      <c r="AT20" s="55"/>
      <c r="AU20" s="55"/>
      <c r="AV20" s="55"/>
      <c r="AW20" s="55"/>
      <c r="AX20" s="55"/>
    </row>
    <row r="21" spans="1:50" s="2" customFormat="1" ht="16.5">
      <c r="A21" s="7"/>
      <c r="B21" s="8"/>
      <c r="C21" s="9"/>
      <c r="D21" s="13"/>
      <c r="E21" s="10"/>
      <c r="F21" s="10"/>
      <c r="G21" s="11"/>
      <c r="H21" s="14"/>
      <c r="I21" s="34"/>
      <c r="J21" s="35"/>
      <c r="K21" s="34"/>
      <c r="L21" s="34"/>
      <c r="M21" s="34"/>
      <c r="N21" s="34"/>
      <c r="O21" s="34">
        <f>'Uncaser Downtime Detail '!AG685</f>
        <v>0</v>
      </c>
      <c r="P21" s="34">
        <f>'Washer Downtime Detail'!BH697</f>
        <v>0</v>
      </c>
      <c r="Q21" s="34">
        <f>'EBI Downtime Detail'!AI692</f>
        <v>0</v>
      </c>
      <c r="R21" s="34"/>
      <c r="S21" s="34">
        <f>'Pasteurizer Downtime Detail'!Z663</f>
        <v>0</v>
      </c>
      <c r="T21" s="34">
        <f>'Labeler Downtime Detail'!AN653</f>
        <v>0</v>
      </c>
      <c r="U21" s="34">
        <f>'Videojet Downtime Detail '!O678</f>
        <v>0</v>
      </c>
      <c r="V21" s="34">
        <f>'Conveyor Downtime (new)'!AV691</f>
        <v>0</v>
      </c>
      <c r="W21" s="34" t="s">
        <v>209</v>
      </c>
      <c r="X21" s="34">
        <f>'Carton Errector-sealer Detail'!P675</f>
        <v>0</v>
      </c>
      <c r="Y21" s="35"/>
      <c r="Z21" s="34"/>
      <c r="AA21" s="34"/>
      <c r="AB21" s="34"/>
      <c r="AC21" s="34"/>
      <c r="AD21" s="44">
        <f t="shared" si="0"/>
        <v>0</v>
      </c>
      <c r="AE21" s="236">
        <f>G21-D21</f>
        <v>0</v>
      </c>
      <c r="AF21"/>
      <c r="AG21"/>
      <c r="AH21" s="3"/>
      <c r="AI21" s="23"/>
      <c r="AJ21" s="23"/>
      <c r="AK21" s="54"/>
      <c r="AL21" s="55"/>
      <c r="AM21" s="55"/>
      <c r="AN21" s="55"/>
      <c r="AO21" s="55"/>
      <c r="AP21" s="55"/>
      <c r="AQ21" s="55"/>
      <c r="AR21" s="55"/>
      <c r="AS21" s="55"/>
      <c r="AT21" s="55"/>
      <c r="AU21" s="55"/>
      <c r="AV21" s="55"/>
      <c r="AW21" s="55"/>
      <c r="AX21" s="55"/>
    </row>
    <row r="22" spans="1:50" s="2" customFormat="1" ht="12.75" customHeight="1">
      <c r="A22" s="7"/>
      <c r="B22" s="8"/>
      <c r="C22" s="9"/>
      <c r="D22" s="500"/>
      <c r="E22" s="10"/>
      <c r="F22" s="10"/>
      <c r="G22" s="11"/>
      <c r="H22" s="12"/>
      <c r="I22" s="32"/>
      <c r="J22" s="33"/>
      <c r="K22" s="32"/>
      <c r="L22" s="32"/>
      <c r="M22" s="32"/>
      <c r="N22" s="32"/>
      <c r="O22" s="32">
        <f>'Uncaser Downtime Detail '!AG686</f>
        <v>0</v>
      </c>
      <c r="P22" s="32">
        <f>'Washer Downtime Detail'!BH698</f>
        <v>0</v>
      </c>
      <c r="Q22" s="32">
        <f>'EBI Downtime Detail'!AI693</f>
        <v>0</v>
      </c>
      <c r="R22" s="32">
        <f>'Filler Downtime Detail'!AK683</f>
        <v>0</v>
      </c>
      <c r="S22" s="32">
        <f>'Pasteurizer Downtime Detail'!Z664</f>
        <v>0</v>
      </c>
      <c r="T22" s="32">
        <f>'Labeler Downtime Detail'!AN654</f>
        <v>0</v>
      </c>
      <c r="U22" s="32">
        <f>'Videojet Downtime Detail '!O679</f>
        <v>0</v>
      </c>
      <c r="V22" s="32">
        <f>'Conveyor Downtime (new)'!AV692</f>
        <v>0</v>
      </c>
      <c r="W22" s="32">
        <f>'Packer Downtime Detail  '!AD674</f>
        <v>0</v>
      </c>
      <c r="X22" s="32">
        <f>'Carton Errector-sealer Detail'!P676</f>
        <v>0</v>
      </c>
      <c r="Y22" s="32"/>
      <c r="Z22" s="43"/>
      <c r="AA22" s="32"/>
      <c r="AB22" s="32"/>
      <c r="AC22" s="32"/>
      <c r="AD22" s="44">
        <f t="shared" si="0"/>
        <v>0</v>
      </c>
      <c r="AE22" s="240">
        <f>G23-D22</f>
        <v>0</v>
      </c>
      <c r="AF22"/>
      <c r="AG22"/>
      <c r="AH22" s="3"/>
      <c r="AI22" s="23"/>
      <c r="AJ22" s="23"/>
      <c r="AK22" s="54"/>
      <c r="AL22" s="55"/>
      <c r="AM22" s="55"/>
      <c r="AN22" s="55"/>
      <c r="AO22" s="55"/>
      <c r="AP22" s="55"/>
      <c r="AQ22" s="55"/>
      <c r="AR22" s="55"/>
      <c r="AS22" s="55"/>
      <c r="AT22" s="55"/>
      <c r="AU22" s="55"/>
      <c r="AV22" s="55"/>
      <c r="AW22" s="55"/>
      <c r="AX22" s="55"/>
    </row>
    <row r="23" spans="1:50" s="2" customFormat="1" ht="12.75" customHeight="1">
      <c r="A23" s="7"/>
      <c r="B23" s="8"/>
      <c r="C23" s="9"/>
      <c r="D23" s="500"/>
      <c r="E23" s="10"/>
      <c r="F23" s="10"/>
      <c r="G23" s="11"/>
      <c r="H23" s="14"/>
      <c r="I23" s="34"/>
      <c r="J23" s="35"/>
      <c r="K23" s="34"/>
      <c r="L23" s="34"/>
      <c r="M23" s="34"/>
      <c r="N23" s="34"/>
      <c r="O23" s="34">
        <f>'Uncaser Downtime Detail '!AG687</f>
        <v>0</v>
      </c>
      <c r="P23" s="34">
        <f>'Washer Downtime Detail'!BH699</f>
        <v>0</v>
      </c>
      <c r="Q23" s="34">
        <f>'EBI Downtime Detail'!AI694</f>
        <v>0</v>
      </c>
      <c r="R23" s="34">
        <f>'Filler Downtime Detail'!AK684</f>
        <v>0</v>
      </c>
      <c r="S23" s="34">
        <f>'Pasteurizer Downtime Detail'!Z665</f>
        <v>0</v>
      </c>
      <c r="T23" s="34">
        <f>'Labeler Downtime Detail'!AN655</f>
        <v>0</v>
      </c>
      <c r="U23" s="34">
        <f>'Videojet Downtime Detail '!O680</f>
        <v>0</v>
      </c>
      <c r="V23" s="34">
        <f>'Conveyor Downtime (new)'!AV693</f>
        <v>0</v>
      </c>
      <c r="W23" s="34">
        <f>'Packer Downtime Detail  '!AD675</f>
        <v>0</v>
      </c>
      <c r="X23" s="34">
        <f>'Carton Errector-sealer Detail'!P677</f>
        <v>0</v>
      </c>
      <c r="Y23" s="35"/>
      <c r="Z23" s="34"/>
      <c r="AA23" s="34"/>
      <c r="AB23" s="34"/>
      <c r="AC23" s="34"/>
      <c r="AD23" s="44">
        <f t="shared" si="0"/>
        <v>0</v>
      </c>
      <c r="AE23" s="240"/>
      <c r="AF23"/>
      <c r="AG23"/>
      <c r="AH23" s="3"/>
      <c r="AI23" s="23"/>
      <c r="AJ23" s="23"/>
      <c r="AK23" s="54"/>
      <c r="AL23" s="55"/>
      <c r="AM23" s="55"/>
      <c r="AN23" s="55"/>
      <c r="AO23" s="55"/>
      <c r="AP23" s="55"/>
      <c r="AQ23" s="55"/>
      <c r="AR23" s="55"/>
      <c r="AS23" s="55"/>
      <c r="AT23" s="55"/>
      <c r="AU23" s="55"/>
      <c r="AV23" s="55"/>
      <c r="AW23" s="55"/>
      <c r="AX23" s="55"/>
    </row>
    <row r="24" spans="1:50" s="2" customFormat="1" ht="16.5">
      <c r="A24" s="7"/>
      <c r="B24" s="8"/>
      <c r="C24" s="9"/>
      <c r="D24" s="13"/>
      <c r="E24" s="10"/>
      <c r="F24" s="10"/>
      <c r="G24" s="11"/>
      <c r="H24" s="12"/>
      <c r="I24" s="32"/>
      <c r="J24" s="33"/>
      <c r="K24" s="32"/>
      <c r="L24" s="32"/>
      <c r="M24" s="32"/>
      <c r="N24" s="32"/>
      <c r="O24" s="32">
        <f>'Uncaser Downtime Detail '!AG688</f>
        <v>0</v>
      </c>
      <c r="P24" s="32">
        <f>'Washer Downtime Detail'!BH700</f>
        <v>0</v>
      </c>
      <c r="Q24" s="32">
        <f>'EBI Downtime Detail'!AI695</f>
        <v>0</v>
      </c>
      <c r="R24" s="32">
        <f>'Filler Downtime Detail'!AK685</f>
        <v>0</v>
      </c>
      <c r="S24" s="32">
        <f>'Pasteurizer Downtime Detail'!Z666</f>
        <v>0</v>
      </c>
      <c r="T24" s="32">
        <f>'Labeler Downtime Detail'!AN656</f>
        <v>0</v>
      </c>
      <c r="U24" s="32">
        <f>'Videojet Downtime Detail '!O681</f>
        <v>0</v>
      </c>
      <c r="V24" s="32">
        <f>'Conveyor Downtime (new)'!AV694</f>
        <v>0</v>
      </c>
      <c r="W24" s="32">
        <f>'Packer Downtime Detail  '!AD676</f>
        <v>0</v>
      </c>
      <c r="X24" s="32">
        <f>'Carton Errector-sealer Detail'!P678</f>
        <v>0</v>
      </c>
      <c r="Y24" s="32"/>
      <c r="Z24" s="43"/>
      <c r="AA24" s="32"/>
      <c r="AB24" s="32"/>
      <c r="AC24" s="32"/>
      <c r="AD24" s="44">
        <f t="shared" si="0"/>
        <v>0</v>
      </c>
      <c r="AE24" s="236">
        <f>G24-D24</f>
        <v>0</v>
      </c>
      <c r="AF24"/>
      <c r="AG24"/>
      <c r="AH24" s="3"/>
      <c r="AI24" s="23"/>
      <c r="AJ24" s="23"/>
      <c r="AK24" s="54"/>
      <c r="AL24" s="55"/>
      <c r="AM24" s="55"/>
      <c r="AN24" s="55"/>
      <c r="AO24" s="55"/>
      <c r="AP24" s="55"/>
      <c r="AQ24" s="55"/>
      <c r="AR24" s="55"/>
      <c r="AS24" s="55"/>
      <c r="AT24" s="55"/>
      <c r="AU24" s="55"/>
      <c r="AV24" s="55"/>
      <c r="AW24" s="55"/>
      <c r="AX24" s="55"/>
    </row>
    <row r="25" spans="1:50" ht="12.75" customHeight="1">
      <c r="A25" s="7"/>
      <c r="B25" s="8"/>
      <c r="C25" s="9"/>
      <c r="D25" s="500"/>
      <c r="E25" s="10"/>
      <c r="F25" s="10"/>
      <c r="G25" s="11"/>
      <c r="H25" s="14"/>
      <c r="I25" s="34"/>
      <c r="J25" s="35"/>
      <c r="K25" s="34"/>
      <c r="L25" s="34"/>
      <c r="M25" s="34"/>
      <c r="N25" s="34"/>
      <c r="O25" s="34">
        <f>'Uncaser Downtime Detail '!AG689</f>
        <v>0</v>
      </c>
      <c r="P25" s="34">
        <f>'Washer Downtime Detail'!BH701</f>
        <v>0</v>
      </c>
      <c r="Q25" s="34">
        <f>'EBI Downtime Detail'!AI696</f>
        <v>0</v>
      </c>
      <c r="R25" s="34">
        <f>'Filler Downtime Detail'!AK686</f>
        <v>0</v>
      </c>
      <c r="S25" s="34">
        <f>'Pasteurizer Downtime Detail'!Z667</f>
        <v>0</v>
      </c>
      <c r="T25" s="34">
        <f>'Labeler Downtime Detail'!AN657</f>
        <v>0</v>
      </c>
      <c r="U25" s="34">
        <f>'Videojet Downtime Detail '!O682</f>
        <v>0</v>
      </c>
      <c r="V25" s="34">
        <f>'Conveyor Downtime (new)'!AV695</f>
        <v>0</v>
      </c>
      <c r="W25" s="34">
        <f>'Packer Downtime Detail  '!AD677</f>
        <v>0</v>
      </c>
      <c r="X25" s="34">
        <f>'Carton Errector-sealer Detail'!P679</f>
        <v>0</v>
      </c>
      <c r="Y25" s="35"/>
      <c r="Z25" s="34"/>
      <c r="AA25" s="34"/>
      <c r="AB25" s="34"/>
      <c r="AC25" s="34"/>
      <c r="AD25" s="44">
        <f t="shared" si="0"/>
        <v>0</v>
      </c>
      <c r="AE25" s="240">
        <f>G27-D25</f>
        <v>0</v>
      </c>
      <c r="AH25" s="3"/>
      <c r="AI25" s="23"/>
      <c r="AJ25" s="23"/>
      <c r="AK25" s="54"/>
      <c r="AL25" s="3"/>
      <c r="AM25" s="3"/>
      <c r="AN25" s="3"/>
      <c r="AO25" s="3"/>
      <c r="AP25" s="3"/>
      <c r="AQ25" s="3"/>
      <c r="AR25" s="3"/>
      <c r="AS25" s="3"/>
      <c r="AT25" s="3"/>
      <c r="AU25" s="3"/>
      <c r="AV25" s="3"/>
      <c r="AW25" s="3"/>
      <c r="AX25" s="3"/>
    </row>
    <row r="26" spans="1:50" ht="14.25" customHeight="1">
      <c r="A26" s="7"/>
      <c r="B26" s="8"/>
      <c r="C26" s="9"/>
      <c r="D26" s="500"/>
      <c r="E26" s="10"/>
      <c r="F26" s="10"/>
      <c r="G26" s="11"/>
      <c r="H26" s="12"/>
      <c r="I26" s="32"/>
      <c r="J26" s="33"/>
      <c r="K26" s="32"/>
      <c r="L26" s="32"/>
      <c r="M26" s="32"/>
      <c r="N26" s="32"/>
      <c r="O26" s="32">
        <f>'Uncaser Downtime Detail '!AG690</f>
        <v>0</v>
      </c>
      <c r="P26" s="32">
        <f>'Washer Downtime Detail'!BH702</f>
        <v>0</v>
      </c>
      <c r="Q26" s="32"/>
      <c r="R26" s="32">
        <f>'Filler Downtime Detail'!AK687</f>
        <v>0</v>
      </c>
      <c r="S26" s="32">
        <f>'Pasteurizer Downtime Detail'!Z668</f>
        <v>0</v>
      </c>
      <c r="T26" s="32">
        <f>'Labeler Downtime Detail'!AN658</f>
        <v>0</v>
      </c>
      <c r="U26" s="32">
        <f>'Videojet Downtime Detail '!O683</f>
        <v>0</v>
      </c>
      <c r="V26" s="32">
        <f>'Conveyor Downtime (new)'!AV696</f>
        <v>0</v>
      </c>
      <c r="W26" s="32">
        <f>'Packer Downtime Detail  '!AD678</f>
        <v>0</v>
      </c>
      <c r="X26" s="32">
        <f>'Carton Errector-sealer Detail'!P680</f>
        <v>0</v>
      </c>
      <c r="Y26" s="32"/>
      <c r="Z26" s="43"/>
      <c r="AA26" s="32"/>
      <c r="AB26" s="32"/>
      <c r="AC26" s="32"/>
      <c r="AD26" s="44">
        <f t="shared" si="0"/>
        <v>0</v>
      </c>
      <c r="AE26" s="240"/>
      <c r="AH26" s="3"/>
      <c r="AI26" s="23"/>
      <c r="AJ26" s="23"/>
      <c r="AK26" s="54"/>
      <c r="AL26" s="3"/>
      <c r="AM26" s="3"/>
      <c r="AN26" s="3"/>
      <c r="AO26" s="3"/>
      <c r="AP26" s="3"/>
      <c r="AQ26" s="3"/>
      <c r="AR26" s="3"/>
      <c r="AS26" s="3"/>
      <c r="AT26" s="3"/>
      <c r="AU26" s="3"/>
      <c r="AV26" s="3"/>
      <c r="AW26" s="3"/>
      <c r="AX26" s="3"/>
    </row>
    <row r="27" spans="1:50" ht="12.75" customHeight="1">
      <c r="A27" s="7"/>
      <c r="B27" s="8"/>
      <c r="C27" s="9"/>
      <c r="D27" s="500"/>
      <c r="E27" s="10"/>
      <c r="F27" s="10"/>
      <c r="G27" s="11"/>
      <c r="H27" s="14"/>
      <c r="I27" s="34"/>
      <c r="J27" s="35"/>
      <c r="K27" s="34"/>
      <c r="L27" s="34"/>
      <c r="M27" s="34"/>
      <c r="N27" s="34"/>
      <c r="O27" s="34">
        <f>'Uncaser Downtime Detail '!AG691</f>
        <v>0</v>
      </c>
      <c r="P27" s="34">
        <f>'Washer Downtime Detail'!BH703</f>
        <v>0</v>
      </c>
      <c r="Q27" s="34">
        <f>'EBI Downtime Detail'!AI698</f>
        <v>0</v>
      </c>
      <c r="R27" s="34">
        <f>'Filler Downtime Detail'!AK688</f>
        <v>0</v>
      </c>
      <c r="S27" s="34">
        <f>'Pasteurizer Downtime Detail'!Z669</f>
        <v>0</v>
      </c>
      <c r="T27" s="34">
        <f>'Labeler Downtime Detail'!AN659</f>
        <v>0</v>
      </c>
      <c r="U27" s="34">
        <f>'Videojet Downtime Detail '!O684</f>
        <v>0</v>
      </c>
      <c r="V27" s="34">
        <f>'Conveyor Downtime (new)'!AV697</f>
        <v>0</v>
      </c>
      <c r="W27" s="34">
        <f>'Packer Downtime Detail  '!AD679</f>
        <v>0</v>
      </c>
      <c r="X27" s="34">
        <f>'Carton Errector-sealer Detail'!P681</f>
        <v>0</v>
      </c>
      <c r="Y27" s="35"/>
      <c r="Z27" s="34"/>
      <c r="AA27" s="34"/>
      <c r="AB27" s="34"/>
      <c r="AC27" s="34"/>
      <c r="AD27" s="44">
        <f t="shared" si="0"/>
        <v>0</v>
      </c>
      <c r="AE27" s="240"/>
      <c r="AH27" s="3"/>
      <c r="AI27" s="23"/>
      <c r="AJ27" s="23"/>
      <c r="AK27" s="54"/>
      <c r="AL27" s="3"/>
      <c r="AM27" s="3"/>
      <c r="AN27" s="3"/>
      <c r="AO27" s="3"/>
      <c r="AP27" s="3"/>
      <c r="AQ27" s="3"/>
      <c r="AR27" s="3"/>
      <c r="AS27" s="3"/>
      <c r="AT27" s="3"/>
      <c r="AU27" s="3"/>
      <c r="AV27" s="3"/>
      <c r="AW27" s="3"/>
      <c r="AX27" s="3"/>
    </row>
    <row r="28" spans="1:50" ht="12" customHeight="1">
      <c r="A28" s="7"/>
      <c r="B28" s="8"/>
      <c r="C28" s="9"/>
      <c r="D28" s="13"/>
      <c r="E28" s="10"/>
      <c r="F28" s="10"/>
      <c r="G28" s="11"/>
      <c r="H28" s="12"/>
      <c r="I28" s="32"/>
      <c r="J28" s="33"/>
      <c r="K28" s="32"/>
      <c r="L28" s="32"/>
      <c r="M28" s="32"/>
      <c r="N28" s="32"/>
      <c r="O28" s="32">
        <f>'Uncaser Downtime Detail '!AG692</f>
        <v>0</v>
      </c>
      <c r="P28" s="32">
        <f>'Washer Downtime Detail'!BH704</f>
        <v>0</v>
      </c>
      <c r="Q28" s="32">
        <f>'EBI Downtime Detail'!AI699</f>
        <v>0</v>
      </c>
      <c r="R28" s="32">
        <f>'Filler Downtime Detail'!AK689</f>
        <v>0</v>
      </c>
      <c r="S28" s="32">
        <f>'Pasteurizer Downtime Detail'!Z670</f>
        <v>0</v>
      </c>
      <c r="T28" s="32">
        <f>'Labeler Downtime Detail'!AN660</f>
        <v>0</v>
      </c>
      <c r="U28" s="32">
        <f>'Videojet Downtime Detail '!O685</f>
        <v>0</v>
      </c>
      <c r="V28" s="32">
        <f>'Conveyor Downtime (new)'!AV698</f>
        <v>0</v>
      </c>
      <c r="W28" s="32">
        <f>'Packer Downtime Detail  '!AD680</f>
        <v>0</v>
      </c>
      <c r="X28" s="32">
        <f>'Carton Errector-sealer Detail'!P682</f>
        <v>0</v>
      </c>
      <c r="Y28" s="32"/>
      <c r="Z28" s="43"/>
      <c r="AA28" s="32"/>
      <c r="AB28" s="32"/>
      <c r="AC28" s="32"/>
      <c r="AD28" s="44">
        <f t="shared" si="0"/>
        <v>0</v>
      </c>
      <c r="AE28" s="236">
        <f>G28-D28</f>
        <v>0</v>
      </c>
      <c r="AH28" s="3"/>
      <c r="AI28" s="23"/>
      <c r="AJ28" s="23"/>
      <c r="AK28" s="54"/>
      <c r="AL28" s="3"/>
      <c r="AM28" s="3"/>
      <c r="AN28" s="3"/>
      <c r="AO28" s="3"/>
      <c r="AP28" s="3"/>
      <c r="AQ28" s="3"/>
      <c r="AR28" s="3"/>
      <c r="AS28" s="3"/>
      <c r="AT28" s="3"/>
      <c r="AU28" s="3"/>
      <c r="AV28" s="3"/>
      <c r="AW28" s="3"/>
      <c r="AX28" s="3"/>
    </row>
    <row r="29" spans="1:50" ht="15.75" customHeight="1">
      <c r="A29" s="7"/>
      <c r="B29" s="8"/>
      <c r="C29" s="9"/>
      <c r="D29" s="500"/>
      <c r="E29" s="10"/>
      <c r="F29" s="10"/>
      <c r="G29" s="11"/>
      <c r="H29" s="14"/>
      <c r="I29" s="34"/>
      <c r="J29" s="35"/>
      <c r="K29" s="34"/>
      <c r="L29" s="34"/>
      <c r="M29" s="34"/>
      <c r="N29" s="34"/>
      <c r="O29" s="34">
        <f>'Uncaser Downtime Detail '!AG693</f>
        <v>0</v>
      </c>
      <c r="P29" s="34">
        <f>'Washer Downtime Detail'!BH705</f>
        <v>0</v>
      </c>
      <c r="Q29" s="34">
        <f>'EBI Downtime Detail'!AI700</f>
        <v>0</v>
      </c>
      <c r="R29" s="34">
        <f>'Filler Downtime Detail'!AK690</f>
        <v>0</v>
      </c>
      <c r="S29" s="34">
        <f>'Pasteurizer Downtime Detail'!Z671</f>
        <v>0</v>
      </c>
      <c r="T29" s="34">
        <f>'Labeler Downtime Detail'!AN661</f>
        <v>0</v>
      </c>
      <c r="U29" s="34">
        <f>'Videojet Downtime Detail '!O686</f>
        <v>0</v>
      </c>
      <c r="V29" s="34">
        <f>'Conveyor Downtime (new)'!AV699</f>
        <v>0</v>
      </c>
      <c r="W29" s="34">
        <f>'Packer Downtime Detail  '!AD681</f>
        <v>0</v>
      </c>
      <c r="X29" s="34">
        <f>'Carton Errector-sealer Detail'!P683</f>
        <v>0</v>
      </c>
      <c r="Y29" s="35"/>
      <c r="Z29" s="34"/>
      <c r="AA29" s="34"/>
      <c r="AB29" s="34"/>
      <c r="AC29" s="34"/>
      <c r="AD29" s="44">
        <f t="shared" si="0"/>
        <v>0</v>
      </c>
      <c r="AE29" s="240">
        <f>G30-D29</f>
        <v>0</v>
      </c>
      <c r="AH29" s="3"/>
      <c r="AI29" s="23"/>
      <c r="AJ29" s="23"/>
      <c r="AK29" s="54"/>
      <c r="AL29" s="3"/>
      <c r="AM29" s="3"/>
      <c r="AN29" s="3"/>
      <c r="AO29" s="3"/>
      <c r="AP29" s="3"/>
      <c r="AQ29" s="3"/>
      <c r="AR29" s="3"/>
      <c r="AS29" s="3"/>
      <c r="AT29" s="3"/>
      <c r="AU29" s="3"/>
      <c r="AV29" s="3"/>
      <c r="AW29" s="3"/>
      <c r="AX29" s="3"/>
    </row>
    <row r="30" spans="1:50" ht="12.75" customHeight="1">
      <c r="A30" s="7"/>
      <c r="B30" s="8"/>
      <c r="C30" s="9"/>
      <c r="D30" s="500"/>
      <c r="E30" s="10"/>
      <c r="F30" s="10"/>
      <c r="G30" s="11"/>
      <c r="H30" s="12"/>
      <c r="I30" s="32"/>
      <c r="J30" s="33"/>
      <c r="K30" s="32"/>
      <c r="L30" s="32"/>
      <c r="M30" s="32"/>
      <c r="N30" s="32"/>
      <c r="O30" s="32">
        <f>'Uncaser Downtime Detail '!AG694</f>
        <v>0</v>
      </c>
      <c r="P30" s="32">
        <f>'Washer Downtime Detail'!BH706</f>
        <v>0</v>
      </c>
      <c r="Q30" s="32">
        <f>'EBI Downtime Detail'!AI701</f>
        <v>0</v>
      </c>
      <c r="R30" s="32">
        <f>'Filler Downtime Detail'!AK691</f>
        <v>0</v>
      </c>
      <c r="S30" s="32">
        <f>'Pasteurizer Downtime Detail'!Z672</f>
        <v>0</v>
      </c>
      <c r="T30" s="32">
        <f>'Labeler Downtime Detail'!AN662</f>
        <v>0</v>
      </c>
      <c r="U30" s="32">
        <f>'Videojet Downtime Detail '!O687</f>
        <v>0</v>
      </c>
      <c r="V30" s="32">
        <f>'Conveyor Downtime (new)'!AV700</f>
        <v>0</v>
      </c>
      <c r="W30" s="32">
        <f>'Packer Downtime Detail  '!AD682</f>
        <v>0</v>
      </c>
      <c r="X30" s="32">
        <f>'Carton Errector-sealer Detail'!P684</f>
        <v>0</v>
      </c>
      <c r="Y30" s="32"/>
      <c r="Z30" s="43"/>
      <c r="AA30" s="32"/>
      <c r="AB30" s="32"/>
      <c r="AC30" s="32"/>
      <c r="AD30" s="44">
        <f t="shared" si="0"/>
        <v>0</v>
      </c>
      <c r="AE30" s="240"/>
      <c r="AH30" s="3"/>
      <c r="AI30" s="23"/>
      <c r="AJ30" s="23"/>
      <c r="AK30" s="54"/>
      <c r="AL30" s="3"/>
      <c r="AM30" s="3"/>
      <c r="AN30" s="3"/>
      <c r="AO30" s="3"/>
      <c r="AP30" s="3"/>
      <c r="AQ30" s="3"/>
      <c r="AR30" s="3"/>
      <c r="AS30" s="3"/>
      <c r="AT30" s="3"/>
      <c r="AU30" s="3"/>
      <c r="AV30" s="3"/>
      <c r="AW30" s="3"/>
      <c r="AX30" s="3"/>
    </row>
    <row r="31" spans="1:50" ht="12.75" customHeight="1">
      <c r="A31" s="7"/>
      <c r="B31" s="8"/>
      <c r="C31" s="9"/>
      <c r="D31" s="500"/>
      <c r="E31" s="10"/>
      <c r="F31" s="10"/>
      <c r="G31" s="11"/>
      <c r="H31" s="14"/>
      <c r="I31" s="34"/>
      <c r="J31" s="35"/>
      <c r="K31" s="34"/>
      <c r="L31" s="34"/>
      <c r="M31" s="34"/>
      <c r="N31" s="34"/>
      <c r="O31" s="34">
        <f>'Uncaser Downtime Detail '!AG695</f>
        <v>0</v>
      </c>
      <c r="P31" s="34">
        <f>'Washer Downtime Detail'!BH707</f>
        <v>0</v>
      </c>
      <c r="Q31" s="34">
        <f>'EBI Downtime Detail'!AI702</f>
        <v>0</v>
      </c>
      <c r="R31" s="34">
        <f>'Filler Downtime Detail'!AK692</f>
        <v>0</v>
      </c>
      <c r="S31" s="34">
        <f>'Pasteurizer Downtime Detail'!Z673</f>
        <v>0</v>
      </c>
      <c r="T31" s="34">
        <f>'Labeler Downtime Detail'!AN663</f>
        <v>0</v>
      </c>
      <c r="U31" s="34">
        <f>'Videojet Downtime Detail '!O688</f>
        <v>0</v>
      </c>
      <c r="V31" s="34">
        <f>'Conveyor Downtime (new)'!AV701</f>
        <v>0</v>
      </c>
      <c r="W31" s="34">
        <f>'Packer Downtime Detail  '!AD683</f>
        <v>0</v>
      </c>
      <c r="X31" s="34">
        <f>'Carton Errector-sealer Detail'!P685</f>
        <v>0</v>
      </c>
      <c r="Y31" s="35"/>
      <c r="Z31" s="34"/>
      <c r="AA31" s="34"/>
      <c r="AB31" s="34"/>
      <c r="AC31" s="34"/>
      <c r="AD31" s="44">
        <f t="shared" si="0"/>
        <v>0</v>
      </c>
      <c r="AE31" s="240">
        <f>G32-D31</f>
        <v>0</v>
      </c>
      <c r="AH31" s="3"/>
      <c r="AI31" s="23"/>
      <c r="AJ31" s="23"/>
      <c r="AK31" s="54"/>
      <c r="AL31" s="3"/>
      <c r="AM31" s="3"/>
      <c r="AN31" s="3"/>
      <c r="AO31" s="3"/>
      <c r="AP31" s="3"/>
      <c r="AQ31" s="3"/>
      <c r="AR31" s="3"/>
      <c r="AS31" s="3"/>
      <c r="AT31" s="3"/>
      <c r="AU31" s="3"/>
      <c r="AV31" s="3"/>
      <c r="AW31" s="3"/>
      <c r="AX31" s="3"/>
    </row>
    <row r="32" spans="1:50" ht="12.75" customHeight="1">
      <c r="A32" s="7"/>
      <c r="B32" s="8"/>
      <c r="C32" s="9"/>
      <c r="D32" s="500"/>
      <c r="E32" s="10"/>
      <c r="F32" s="10"/>
      <c r="G32" s="603"/>
      <c r="H32" s="12"/>
      <c r="I32" s="32"/>
      <c r="J32" s="33"/>
      <c r="K32" s="32"/>
      <c r="L32" s="32"/>
      <c r="M32" s="32"/>
      <c r="N32" s="32"/>
      <c r="O32" s="32">
        <f>'Uncaser Downtime Detail '!AG696</f>
        <v>0</v>
      </c>
      <c r="P32" s="32">
        <f>'Washer Downtime Detail'!BH708</f>
        <v>0</v>
      </c>
      <c r="Q32" s="32">
        <f>'EBI Downtime Detail'!AI703</f>
        <v>0</v>
      </c>
      <c r="R32" s="32">
        <f>'Filler Downtime Detail'!AK693</f>
        <v>0</v>
      </c>
      <c r="S32" s="32">
        <f>'Pasteurizer Downtime Detail'!Z674</f>
        <v>0</v>
      </c>
      <c r="T32" s="32">
        <f>'Labeler Downtime Detail'!AN664</f>
        <v>0</v>
      </c>
      <c r="U32" s="32">
        <f>'Videojet Downtime Detail '!O689</f>
        <v>0</v>
      </c>
      <c r="V32" s="32">
        <f>'Conveyor Downtime (new)'!AV702</f>
        <v>0</v>
      </c>
      <c r="W32" s="32">
        <f>'Packer Downtime Detail  '!AD684</f>
        <v>0</v>
      </c>
      <c r="X32" s="32">
        <f>'Carton Errector-sealer Detail'!P686</f>
        <v>0</v>
      </c>
      <c r="Y32" s="32"/>
      <c r="Z32" s="43"/>
      <c r="AA32" s="32"/>
      <c r="AB32" s="32"/>
      <c r="AC32" s="32"/>
      <c r="AD32" s="44">
        <f t="shared" si="0"/>
        <v>0</v>
      </c>
      <c r="AE32" s="240"/>
      <c r="AH32" s="3"/>
      <c r="AI32" s="23"/>
      <c r="AJ32" s="23"/>
      <c r="AK32" s="54"/>
      <c r="AL32" s="3"/>
      <c r="AM32" s="3"/>
      <c r="AN32" s="3"/>
      <c r="AO32" s="3"/>
      <c r="AP32" s="3"/>
      <c r="AQ32" s="3"/>
      <c r="AR32" s="3"/>
      <c r="AS32" s="3"/>
      <c r="AT32" s="3"/>
      <c r="AU32" s="3"/>
      <c r="AV32" s="3"/>
      <c r="AW32" s="3"/>
      <c r="AX32" s="3"/>
    </row>
    <row r="33" spans="1:50" ht="12.75" customHeight="1">
      <c r="A33" s="7"/>
      <c r="B33" s="8"/>
      <c r="C33" s="9"/>
      <c r="D33" s="500"/>
      <c r="E33" s="10"/>
      <c r="F33" s="10"/>
      <c r="G33" s="11"/>
      <c r="H33" s="14"/>
      <c r="I33" s="34"/>
      <c r="J33" s="35"/>
      <c r="K33" s="34"/>
      <c r="L33" s="34"/>
      <c r="M33" s="34"/>
      <c r="N33" s="34"/>
      <c r="O33" s="34">
        <f>'Uncaser Downtime Detail '!AG697</f>
        <v>0</v>
      </c>
      <c r="P33" s="34">
        <f>'Washer Downtime Detail'!BH709</f>
        <v>0</v>
      </c>
      <c r="Q33" s="34">
        <f>'EBI Downtime Detail'!AI704</f>
        <v>0</v>
      </c>
      <c r="R33" s="34">
        <f>'Filler Downtime Detail'!AK694</f>
        <v>0</v>
      </c>
      <c r="S33" s="34">
        <f>'Pasteurizer Downtime Detail'!Z675</f>
        <v>0</v>
      </c>
      <c r="T33" s="34">
        <f>'Labeler Downtime Detail'!AN665</f>
        <v>0</v>
      </c>
      <c r="U33" s="34">
        <f>'Videojet Downtime Detail '!O690</f>
        <v>0</v>
      </c>
      <c r="V33" s="34">
        <f>'Conveyor Downtime (new)'!AV703</f>
        <v>0</v>
      </c>
      <c r="W33" s="34">
        <f>'Packer Downtime Detail  '!AD685</f>
        <v>0</v>
      </c>
      <c r="X33" s="34">
        <f>'Carton Errector-sealer Detail'!P687</f>
        <v>0</v>
      </c>
      <c r="Y33" s="35"/>
      <c r="Z33" s="34"/>
      <c r="AA33" s="34"/>
      <c r="AB33" s="34"/>
      <c r="AC33" s="34"/>
      <c r="AD33" s="44">
        <f t="shared" si="0"/>
        <v>0</v>
      </c>
      <c r="AE33" s="240">
        <f>G34-D33</f>
        <v>0</v>
      </c>
      <c r="AH33" s="3"/>
      <c r="AI33" s="23"/>
      <c r="AJ33" s="23"/>
      <c r="AK33" s="54"/>
      <c r="AL33" s="3"/>
      <c r="AM33" s="3"/>
      <c r="AN33" s="3"/>
      <c r="AO33" s="3"/>
      <c r="AP33" s="3"/>
      <c r="AQ33" s="3"/>
      <c r="AR33" s="3"/>
      <c r="AS33" s="3"/>
      <c r="AT33" s="3"/>
      <c r="AU33" s="3"/>
      <c r="AV33" s="3"/>
      <c r="AW33" s="3"/>
      <c r="AX33" s="3"/>
    </row>
    <row r="34" spans="1:50" ht="12.75" customHeight="1">
      <c r="A34" s="7"/>
      <c r="B34" s="8"/>
      <c r="C34" s="9"/>
      <c r="D34" s="500"/>
      <c r="E34" s="10"/>
      <c r="F34" s="10"/>
      <c r="G34" s="11"/>
      <c r="H34" s="12"/>
      <c r="I34" s="32"/>
      <c r="J34" s="33"/>
      <c r="K34" s="32"/>
      <c r="L34" s="32"/>
      <c r="M34" s="32"/>
      <c r="N34" s="32"/>
      <c r="O34" s="32">
        <f>'Uncaser Downtime Detail '!AG698</f>
        <v>0</v>
      </c>
      <c r="P34" s="32">
        <f>'Washer Downtime Detail'!BH710</f>
        <v>0</v>
      </c>
      <c r="Q34" s="32">
        <f>'EBI Downtime Detail'!AI705</f>
        <v>0</v>
      </c>
      <c r="R34" s="32">
        <f>'Filler Downtime Detail'!AK695</f>
        <v>0</v>
      </c>
      <c r="S34" s="32">
        <f>'Pasteurizer Downtime Detail'!Z676</f>
        <v>0</v>
      </c>
      <c r="T34" s="32">
        <f>'Labeler Downtime Detail'!AN666</f>
        <v>0</v>
      </c>
      <c r="U34" s="32">
        <f>'Videojet Downtime Detail '!O691</f>
        <v>0</v>
      </c>
      <c r="V34" s="32">
        <f>'Conveyor Downtime (new)'!AV704</f>
        <v>0</v>
      </c>
      <c r="W34" s="32">
        <f>'Packer Downtime Detail  '!AD686</f>
        <v>0</v>
      </c>
      <c r="X34" s="32">
        <f>'Carton Errector-sealer Detail'!P688</f>
        <v>0</v>
      </c>
      <c r="Y34" s="32"/>
      <c r="Z34" s="43"/>
      <c r="AA34" s="32"/>
      <c r="AB34" s="32"/>
      <c r="AC34" s="32"/>
      <c r="AD34" s="44">
        <f t="shared" si="0"/>
        <v>0</v>
      </c>
      <c r="AE34" s="240"/>
      <c r="AH34" s="3"/>
      <c r="AI34" s="23"/>
      <c r="AJ34" s="23"/>
      <c r="AK34" s="54"/>
      <c r="AL34" s="3"/>
      <c r="AM34" s="3"/>
      <c r="AN34" s="3"/>
      <c r="AO34" s="3"/>
      <c r="AP34" s="3"/>
      <c r="AQ34" s="3"/>
      <c r="AR34" s="3"/>
      <c r="AS34" s="3"/>
      <c r="AT34" s="3"/>
      <c r="AU34" s="3"/>
      <c r="AV34" s="3"/>
      <c r="AW34" s="3"/>
      <c r="AX34" s="3"/>
    </row>
    <row r="35" spans="1:50" ht="16.5">
      <c r="A35" s="7"/>
      <c r="B35" s="8"/>
      <c r="C35" s="9"/>
      <c r="D35" s="10"/>
      <c r="E35" s="10"/>
      <c r="F35" s="10"/>
      <c r="G35" s="11"/>
      <c r="H35" s="14"/>
      <c r="I35" s="34"/>
      <c r="J35" s="35"/>
      <c r="K35" s="34"/>
      <c r="L35" s="34"/>
      <c r="M35" s="34"/>
      <c r="N35" s="34"/>
      <c r="O35" s="34">
        <f>'Uncaser Downtime Detail '!AG699</f>
        <v>0</v>
      </c>
      <c r="P35" s="34">
        <f>'Washer Downtime Detail'!BH711</f>
        <v>0</v>
      </c>
      <c r="Q35" s="34">
        <f>'EBI Downtime Detail'!AI706</f>
        <v>0</v>
      </c>
      <c r="R35" s="34">
        <f>'Filler Downtime Detail'!AK696</f>
        <v>0</v>
      </c>
      <c r="S35" s="34">
        <f>'Pasteurizer Downtime Detail'!Z677</f>
        <v>0</v>
      </c>
      <c r="T35" s="34">
        <f>'Labeler Downtime Detail'!AN667</f>
        <v>0</v>
      </c>
      <c r="U35" s="34">
        <f>'Videojet Downtime Detail '!O692</f>
        <v>0</v>
      </c>
      <c r="V35" s="34">
        <f>'Conveyor Downtime (new)'!AV705</f>
        <v>0</v>
      </c>
      <c r="W35" s="34">
        <f>'Packer Downtime Detail  '!AD687</f>
        <v>0</v>
      </c>
      <c r="X35" s="34">
        <f>'Carton Errector-sealer Detail'!P689</f>
        <v>0</v>
      </c>
      <c r="Y35" s="35"/>
      <c r="Z35" s="34"/>
      <c r="AA35" s="34"/>
      <c r="AB35" s="34"/>
      <c r="AC35" s="34"/>
      <c r="AD35" s="44">
        <f t="shared" si="0"/>
        <v>0</v>
      </c>
      <c r="AE35" s="236">
        <f>G35-D35</f>
        <v>0</v>
      </c>
      <c r="AH35" s="3"/>
      <c r="AI35" s="23"/>
      <c r="AJ35" s="23"/>
      <c r="AK35" s="54"/>
      <c r="AL35" s="3"/>
      <c r="AM35" s="3"/>
      <c r="AN35" s="3"/>
      <c r="AO35" s="3"/>
      <c r="AP35" s="3"/>
      <c r="AQ35" s="3"/>
      <c r="AR35" s="3"/>
      <c r="AS35" s="3"/>
      <c r="AT35" s="3"/>
      <c r="AU35" s="3"/>
      <c r="AV35" s="3"/>
      <c r="AW35" s="3"/>
      <c r="AX35" s="3"/>
    </row>
    <row r="36" spans="1:50" ht="16.5" customHeight="1">
      <c r="A36" s="7"/>
      <c r="B36" s="8"/>
      <c r="C36" s="9"/>
      <c r="D36" s="500"/>
      <c r="E36" s="10"/>
      <c r="F36" s="10"/>
      <c r="G36" s="11"/>
      <c r="H36" s="12"/>
      <c r="I36" s="32"/>
      <c r="J36" s="33"/>
      <c r="K36" s="32"/>
      <c r="L36" s="32"/>
      <c r="M36" s="32"/>
      <c r="N36" s="32"/>
      <c r="O36" s="32">
        <f>'Uncaser Downtime Detail '!AG700</f>
        <v>0</v>
      </c>
      <c r="P36" s="32">
        <f>'Washer Downtime Detail'!BH712</f>
        <v>0</v>
      </c>
      <c r="Q36" s="32">
        <f>'EBI Downtime Detail'!AI707</f>
        <v>0</v>
      </c>
      <c r="R36" s="32">
        <f>'Filler Downtime Detail'!AK697</f>
        <v>0</v>
      </c>
      <c r="S36" s="32">
        <f>'Pasteurizer Downtime Detail'!Z678</f>
        <v>0</v>
      </c>
      <c r="T36" s="32">
        <f>'Labeler Downtime Detail'!AN668</f>
        <v>0</v>
      </c>
      <c r="U36" s="32">
        <f>'Videojet Downtime Detail '!O693</f>
        <v>0</v>
      </c>
      <c r="V36" s="32">
        <f>'Conveyor Downtime (new)'!AV706</f>
        <v>0</v>
      </c>
      <c r="W36" s="32">
        <f>'Packer Downtime Detail  '!AD688</f>
        <v>0</v>
      </c>
      <c r="X36" s="32">
        <f>'Carton Errector-sealer Detail'!P690</f>
        <v>0</v>
      </c>
      <c r="Y36" s="32"/>
      <c r="Z36" s="43"/>
      <c r="AA36" s="32"/>
      <c r="AB36" s="32"/>
      <c r="AC36" s="32"/>
      <c r="AD36" s="44">
        <f t="shared" si="0"/>
        <v>0</v>
      </c>
      <c r="AE36" s="240">
        <f>G39-D36</f>
        <v>0</v>
      </c>
      <c r="AH36" s="3"/>
      <c r="AI36" s="23"/>
      <c r="AJ36" s="23"/>
      <c r="AK36" s="54"/>
      <c r="AL36" s="3"/>
      <c r="AM36" s="3"/>
      <c r="AN36" s="3"/>
      <c r="AO36" s="3"/>
      <c r="AP36" s="3"/>
      <c r="AQ36" s="3"/>
      <c r="AR36" s="3"/>
      <c r="AS36" s="3"/>
      <c r="AT36" s="3"/>
      <c r="AU36" s="3"/>
      <c r="AV36" s="3"/>
      <c r="AW36" s="3"/>
      <c r="AX36" s="3"/>
    </row>
    <row r="37" spans="1:50" ht="12.75" customHeight="1">
      <c r="A37" s="7"/>
      <c r="B37" s="8"/>
      <c r="C37" s="9"/>
      <c r="D37" s="500"/>
      <c r="E37" s="10"/>
      <c r="F37" s="10"/>
      <c r="G37" s="11"/>
      <c r="H37" s="14"/>
      <c r="I37" s="34"/>
      <c r="J37" s="35"/>
      <c r="K37" s="34"/>
      <c r="L37" s="34"/>
      <c r="M37" s="34"/>
      <c r="N37" s="34"/>
      <c r="O37" s="34">
        <f>'Uncaser Downtime Detail '!AG701</f>
        <v>0</v>
      </c>
      <c r="P37" s="34">
        <f>'Washer Downtime Detail'!BH713</f>
        <v>0</v>
      </c>
      <c r="Q37" s="34">
        <f>'EBI Downtime Detail'!AI708</f>
        <v>0</v>
      </c>
      <c r="R37" s="34">
        <f>'Filler Downtime Detail'!AK698</f>
        <v>0</v>
      </c>
      <c r="S37" s="34">
        <f>'Pasteurizer Downtime Detail'!Z679</f>
        <v>0</v>
      </c>
      <c r="T37" s="34">
        <f>'Labeler Downtime Detail'!AN669</f>
        <v>0</v>
      </c>
      <c r="U37" s="34">
        <f>'Videojet Downtime Detail '!O694</f>
        <v>0</v>
      </c>
      <c r="V37" s="34">
        <f>'Conveyor Downtime (new)'!AV707</f>
        <v>0</v>
      </c>
      <c r="W37" s="34">
        <f>'Packer Downtime Detail  '!AD689</f>
        <v>0</v>
      </c>
      <c r="X37" s="34">
        <f>'Carton Errector-sealer Detail'!P691</f>
        <v>0</v>
      </c>
      <c r="Y37" s="35"/>
      <c r="Z37" s="34"/>
      <c r="AA37" s="34"/>
      <c r="AB37" s="34"/>
      <c r="AC37" s="34"/>
      <c r="AD37" s="44">
        <f t="shared" si="0"/>
        <v>0</v>
      </c>
      <c r="AE37" s="240"/>
      <c r="AH37" s="3"/>
      <c r="AI37" s="23"/>
      <c r="AJ37" s="23"/>
      <c r="AK37" s="54"/>
      <c r="AL37" s="3"/>
      <c r="AM37" s="3"/>
      <c r="AN37" s="3"/>
      <c r="AO37" s="3"/>
      <c r="AP37" s="3"/>
      <c r="AQ37" s="3"/>
      <c r="AR37" s="3"/>
      <c r="AS37" s="3"/>
      <c r="AT37" s="3"/>
      <c r="AU37" s="3"/>
      <c r="AV37" s="3"/>
      <c r="AW37" s="3"/>
      <c r="AX37" s="3"/>
    </row>
    <row r="38" spans="1:50" ht="12.75" customHeight="1">
      <c r="A38" s="7"/>
      <c r="B38" s="8"/>
      <c r="C38" s="9"/>
      <c r="D38" s="500"/>
      <c r="E38" s="10"/>
      <c r="F38" s="10"/>
      <c r="G38" s="11"/>
      <c r="H38" s="12"/>
      <c r="I38" s="32"/>
      <c r="J38" s="33"/>
      <c r="K38" s="32"/>
      <c r="L38" s="32"/>
      <c r="M38" s="32"/>
      <c r="N38" s="32"/>
      <c r="O38" s="32">
        <f>'Uncaser Downtime Detail '!AG702</f>
        <v>0</v>
      </c>
      <c r="P38" s="32">
        <f>'Washer Downtime Detail'!BH714</f>
        <v>0</v>
      </c>
      <c r="Q38" s="32">
        <f>'EBI Downtime Detail'!AI709</f>
        <v>0</v>
      </c>
      <c r="R38" s="32">
        <f>'Filler Downtime Detail'!AK699</f>
        <v>0</v>
      </c>
      <c r="S38" s="32">
        <f>'Pasteurizer Downtime Detail'!Z680</f>
        <v>0</v>
      </c>
      <c r="T38" s="32">
        <f>'Labeler Downtime Detail'!AN670</f>
        <v>0</v>
      </c>
      <c r="U38" s="32">
        <f>'Videojet Downtime Detail '!O695</f>
        <v>0</v>
      </c>
      <c r="V38" s="32">
        <f>'Conveyor Downtime (new)'!AV708</f>
        <v>0</v>
      </c>
      <c r="W38" s="32">
        <f>'Packer Downtime Detail  '!AD690</f>
        <v>0</v>
      </c>
      <c r="X38" s="32"/>
      <c r="Y38" s="32"/>
      <c r="Z38" s="43"/>
      <c r="AA38" s="32"/>
      <c r="AB38" s="32"/>
      <c r="AC38" s="32"/>
      <c r="AD38" s="44">
        <f t="shared" si="0"/>
        <v>0</v>
      </c>
      <c r="AE38" s="240"/>
      <c r="AH38" s="3"/>
      <c r="AI38" s="23"/>
      <c r="AJ38" s="23"/>
      <c r="AK38" s="54"/>
      <c r="AL38" s="3"/>
      <c r="AM38" s="3"/>
      <c r="AN38" s="3"/>
      <c r="AO38" s="3"/>
      <c r="AP38" s="3"/>
      <c r="AQ38" s="3"/>
      <c r="AR38" s="3"/>
      <c r="AS38" s="3"/>
      <c r="AT38" s="3"/>
      <c r="AU38" s="3"/>
      <c r="AV38" s="3"/>
      <c r="AW38" s="3"/>
      <c r="AX38" s="3"/>
    </row>
    <row r="39" spans="1:50" ht="12.75" customHeight="1">
      <c r="A39" s="7"/>
      <c r="B39" s="8"/>
      <c r="C39" s="9"/>
      <c r="D39" s="500"/>
      <c r="E39" s="10"/>
      <c r="F39" s="10"/>
      <c r="G39" s="11"/>
      <c r="H39" s="14"/>
      <c r="I39" s="34"/>
      <c r="J39" s="35"/>
      <c r="K39" s="34"/>
      <c r="L39" s="34"/>
      <c r="M39" s="34"/>
      <c r="N39" s="34"/>
      <c r="O39" s="34">
        <f>'Uncaser Downtime Detail '!AG703</f>
        <v>0</v>
      </c>
      <c r="P39" s="34">
        <f>'Washer Downtime Detail'!BH715</f>
        <v>0</v>
      </c>
      <c r="Q39" s="34">
        <f>'EBI Downtime Detail'!AI710</f>
        <v>0</v>
      </c>
      <c r="R39" s="34">
        <f>'Filler Downtime Detail'!AK700</f>
        <v>0</v>
      </c>
      <c r="S39" s="34">
        <f>'Pasteurizer Downtime Detail'!Z681</f>
        <v>0</v>
      </c>
      <c r="T39" s="34">
        <f>'Labeler Downtime Detail'!AN671</f>
        <v>0</v>
      </c>
      <c r="U39" s="34">
        <f>'Videojet Downtime Detail '!O696</f>
        <v>0</v>
      </c>
      <c r="V39" s="34">
        <f>'Conveyor Downtime (new)'!AV709</f>
        <v>0</v>
      </c>
      <c r="W39" s="34">
        <f>'Packer Downtime Detail  '!AD691</f>
        <v>0</v>
      </c>
      <c r="X39" s="34">
        <f>'Carton Errector-sealer Detail'!P693</f>
        <v>0</v>
      </c>
      <c r="Y39" s="35"/>
      <c r="Z39" s="34"/>
      <c r="AA39" s="34"/>
      <c r="AB39" s="34"/>
      <c r="AC39" s="34"/>
      <c r="AD39" s="44">
        <f t="shared" si="0"/>
        <v>0</v>
      </c>
      <c r="AE39" s="240"/>
      <c r="AH39" s="3"/>
      <c r="AI39" s="23"/>
      <c r="AJ39" s="23"/>
      <c r="AK39" s="54"/>
      <c r="AL39" s="3"/>
      <c r="AM39" s="3"/>
      <c r="AN39" s="3"/>
      <c r="AO39" s="3"/>
      <c r="AP39" s="3"/>
      <c r="AQ39" s="3"/>
      <c r="AR39" s="3"/>
      <c r="AS39" s="3"/>
      <c r="AT39" s="3"/>
      <c r="AU39" s="3"/>
      <c r="AV39" s="3"/>
      <c r="AW39" s="3"/>
      <c r="AX39" s="3"/>
    </row>
    <row r="40" spans="1:50" ht="12.75" customHeight="1">
      <c r="A40" s="7"/>
      <c r="B40" s="8"/>
      <c r="C40" s="9"/>
      <c r="D40" s="500"/>
      <c r="E40" s="10"/>
      <c r="F40" s="10"/>
      <c r="G40" s="11"/>
      <c r="H40" s="12"/>
      <c r="I40" s="32"/>
      <c r="J40" s="33"/>
      <c r="K40" s="32"/>
      <c r="L40" s="32"/>
      <c r="M40" s="32"/>
      <c r="N40" s="32"/>
      <c r="O40" s="32">
        <f>'Uncaser Downtime Detail '!AG704</f>
        <v>0</v>
      </c>
      <c r="P40" s="32">
        <f>'Washer Downtime Detail'!BH716</f>
        <v>0</v>
      </c>
      <c r="Q40" s="32">
        <f>'EBI Downtime Detail'!AI711</f>
        <v>0</v>
      </c>
      <c r="R40" s="32">
        <f>'Filler Downtime Detail'!AK701</f>
        <v>0</v>
      </c>
      <c r="S40" s="32">
        <f>'Pasteurizer Downtime Detail'!Z682</f>
        <v>0</v>
      </c>
      <c r="T40" s="32">
        <f>'Labeler Downtime Detail'!AN672</f>
        <v>0</v>
      </c>
      <c r="U40" s="32">
        <f>'Videojet Downtime Detail '!O697</f>
        <v>0</v>
      </c>
      <c r="V40" s="32">
        <f>'Conveyor Downtime (new)'!AV710</f>
        <v>0</v>
      </c>
      <c r="W40" s="32">
        <f>'Packer Downtime Detail  '!AD692</f>
        <v>0</v>
      </c>
      <c r="X40" s="32">
        <f>'Carton Errector-sealer Detail'!P694</f>
        <v>0</v>
      </c>
      <c r="Y40" s="32"/>
      <c r="Z40" s="43"/>
      <c r="AA40" s="32"/>
      <c r="AB40" s="32"/>
      <c r="AC40" s="32"/>
      <c r="AD40" s="44">
        <f t="shared" si="0"/>
        <v>0</v>
      </c>
      <c r="AE40" s="240">
        <f>G41-D40</f>
        <v>0</v>
      </c>
      <c r="AH40" s="3"/>
      <c r="AI40" s="23"/>
      <c r="AJ40" s="23"/>
      <c r="AK40" s="54"/>
      <c r="AL40" s="3"/>
      <c r="AM40" s="3"/>
      <c r="AN40" s="3"/>
      <c r="AO40" s="3"/>
      <c r="AP40" s="3"/>
      <c r="AQ40" s="3"/>
      <c r="AR40" s="3"/>
      <c r="AS40" s="3"/>
      <c r="AT40" s="3"/>
      <c r="AU40" s="3"/>
      <c r="AV40" s="3"/>
      <c r="AW40" s="3"/>
      <c r="AX40" s="3"/>
    </row>
    <row r="41" spans="1:50" ht="12.75" customHeight="1">
      <c r="A41" s="7"/>
      <c r="B41" s="8"/>
      <c r="C41" s="9"/>
      <c r="D41" s="500"/>
      <c r="E41" s="10"/>
      <c r="F41" s="10"/>
      <c r="G41" s="11"/>
      <c r="H41" s="14"/>
      <c r="I41" s="34"/>
      <c r="J41" s="35"/>
      <c r="K41" s="34"/>
      <c r="L41" s="34"/>
      <c r="M41" s="34"/>
      <c r="N41" s="34"/>
      <c r="O41" s="34">
        <f>'Uncaser Downtime Detail '!AG705</f>
        <v>0</v>
      </c>
      <c r="P41" s="34">
        <f>'Washer Downtime Detail'!BH717</f>
        <v>0</v>
      </c>
      <c r="Q41" s="34">
        <f>'EBI Downtime Detail'!AI712</f>
        <v>0</v>
      </c>
      <c r="R41" s="34">
        <f>'Filler Downtime Detail'!AK702</f>
        <v>0</v>
      </c>
      <c r="S41" s="34">
        <f>'Pasteurizer Downtime Detail'!Z683</f>
        <v>0</v>
      </c>
      <c r="T41" s="34">
        <f>'Labeler Downtime Detail'!AN673</f>
        <v>0</v>
      </c>
      <c r="U41" s="34">
        <f>'Videojet Downtime Detail '!O698</f>
        <v>0</v>
      </c>
      <c r="V41" s="34">
        <f>'Conveyor Downtime (new)'!AV711</f>
        <v>0</v>
      </c>
      <c r="W41" s="34">
        <f>'Packer Downtime Detail  '!AD693</f>
        <v>0</v>
      </c>
      <c r="X41" s="34"/>
      <c r="Y41" s="35"/>
      <c r="Z41" s="34"/>
      <c r="AA41" s="34"/>
      <c r="AB41" s="34"/>
      <c r="AC41" s="34"/>
      <c r="AD41" s="44">
        <f t="shared" ref="AD41:AD58" si="2">SUM(H41:J41,K41:AB41)</f>
        <v>0</v>
      </c>
      <c r="AE41" s="240"/>
      <c r="AH41" s="3"/>
      <c r="AI41" s="23"/>
      <c r="AJ41" s="23"/>
      <c r="AK41" s="54"/>
      <c r="AL41" s="3"/>
      <c r="AM41" s="3"/>
      <c r="AN41" s="3"/>
      <c r="AO41" s="3"/>
      <c r="AP41" s="3"/>
      <c r="AQ41" s="3"/>
      <c r="AR41" s="3"/>
      <c r="AS41" s="3"/>
      <c r="AT41" s="3"/>
      <c r="AU41" s="3"/>
      <c r="AV41" s="3"/>
      <c r="AW41" s="3"/>
      <c r="AX41" s="3"/>
    </row>
    <row r="42" spans="1:50" ht="16.5">
      <c r="A42" s="7"/>
      <c r="B42" s="8"/>
      <c r="C42" s="9"/>
      <c r="D42" s="13"/>
      <c r="E42" s="10"/>
      <c r="F42" s="10"/>
      <c r="G42" s="11"/>
      <c r="H42" s="12"/>
      <c r="I42" s="32"/>
      <c r="J42" s="33"/>
      <c r="K42" s="32"/>
      <c r="L42" s="32"/>
      <c r="M42" s="32"/>
      <c r="N42" s="32"/>
      <c r="O42" s="32">
        <f>'Uncaser Downtime Detail '!AG706</f>
        <v>0</v>
      </c>
      <c r="P42" s="32">
        <f>'Washer Downtime Detail'!BH718</f>
        <v>0</v>
      </c>
      <c r="Q42" s="32">
        <f>'EBI Downtime Detail'!AI713</f>
        <v>0</v>
      </c>
      <c r="R42" s="32">
        <f>'Filler Downtime Detail'!AK703</f>
        <v>0</v>
      </c>
      <c r="S42" s="32">
        <f>'Pasteurizer Downtime Detail'!Z684</f>
        <v>0</v>
      </c>
      <c r="T42" s="32">
        <f>'Labeler Downtime Detail'!AN674</f>
        <v>0</v>
      </c>
      <c r="U42" s="32"/>
      <c r="V42" s="32">
        <f>'Conveyor Downtime (new)'!AV712</f>
        <v>0</v>
      </c>
      <c r="W42" s="32">
        <f>'Packer Downtime Detail  '!AD694</f>
        <v>0</v>
      </c>
      <c r="X42" s="32"/>
      <c r="Y42" s="32"/>
      <c r="Z42" s="43"/>
      <c r="AA42" s="32"/>
      <c r="AB42" s="3"/>
      <c r="AD42" s="44">
        <f>SUM(H42:J42,K42:AC42)</f>
        <v>0</v>
      </c>
      <c r="AE42" s="236">
        <f>G42-D42</f>
        <v>0</v>
      </c>
      <c r="AH42" s="3"/>
      <c r="AI42" s="23"/>
      <c r="AJ42" s="23"/>
      <c r="AK42" s="54"/>
      <c r="AL42" s="3"/>
      <c r="AM42" s="3"/>
      <c r="AN42" s="3"/>
      <c r="AO42" s="3"/>
      <c r="AP42" s="3"/>
      <c r="AQ42" s="3"/>
      <c r="AR42" s="3"/>
      <c r="AS42" s="3"/>
      <c r="AT42" s="3"/>
      <c r="AU42" s="3"/>
      <c r="AV42" s="3"/>
      <c r="AW42" s="3"/>
      <c r="AX42" s="3"/>
    </row>
    <row r="43" spans="1:50" ht="16.5">
      <c r="A43" s="7"/>
      <c r="B43" s="8"/>
      <c r="C43" s="9"/>
      <c r="D43" s="13"/>
      <c r="E43" s="10"/>
      <c r="F43" s="10"/>
      <c r="G43" s="11"/>
      <c r="H43" s="14"/>
      <c r="I43" s="34"/>
      <c r="J43" s="35"/>
      <c r="K43" s="34"/>
      <c r="L43" s="34"/>
      <c r="M43" s="34"/>
      <c r="N43" s="34"/>
      <c r="O43" s="34">
        <f>'Uncaser Downtime Detail '!AG707</f>
        <v>0</v>
      </c>
      <c r="P43" s="34">
        <f>'Washer Downtime Detail'!BH719</f>
        <v>0</v>
      </c>
      <c r="Q43" s="34">
        <f>'EBI Downtime Detail'!AI714</f>
        <v>0</v>
      </c>
      <c r="R43" s="34">
        <f>'Filler Downtime Detail'!AK704</f>
        <v>0</v>
      </c>
      <c r="S43" s="34">
        <f>'Pasteurizer Downtime Detail'!Z685</f>
        <v>0</v>
      </c>
      <c r="T43" s="34">
        <f>'Labeler Downtime Detail'!AN675</f>
        <v>0</v>
      </c>
      <c r="U43" s="34"/>
      <c r="V43" s="34">
        <f>'Conveyor Downtime (new)'!AV713</f>
        <v>0</v>
      </c>
      <c r="W43" s="34">
        <f>'Packer Downtime Detail  '!AD695</f>
        <v>0</v>
      </c>
      <c r="X43" s="34"/>
      <c r="Y43" s="35"/>
      <c r="Z43" s="34"/>
      <c r="AA43" s="34"/>
      <c r="AB43" s="34"/>
      <c r="AC43" s="34"/>
      <c r="AD43" s="44">
        <f t="shared" si="2"/>
        <v>0</v>
      </c>
      <c r="AE43" s="236">
        <f>G43-D43</f>
        <v>0</v>
      </c>
      <c r="AH43" s="3"/>
      <c r="AI43" s="23"/>
      <c r="AJ43" s="23"/>
      <c r="AK43" s="54"/>
      <c r="AL43" s="3"/>
      <c r="AM43" s="3"/>
      <c r="AN43" s="3"/>
      <c r="AO43" s="3"/>
      <c r="AP43" s="3"/>
      <c r="AQ43" s="3"/>
      <c r="AR43" s="3"/>
      <c r="AS43" s="3"/>
      <c r="AT43" s="3"/>
      <c r="AU43" s="3"/>
      <c r="AV43" s="3"/>
      <c r="AW43" s="3"/>
      <c r="AX43" s="3"/>
    </row>
    <row r="44" spans="1:50" ht="16.5">
      <c r="A44" s="7"/>
      <c r="B44" s="8"/>
      <c r="C44" s="9"/>
      <c r="D44" s="10"/>
      <c r="E44" s="10"/>
      <c r="F44" s="10"/>
      <c r="G44" s="11"/>
      <c r="H44" s="12"/>
      <c r="I44" s="32"/>
      <c r="J44" s="33"/>
      <c r="K44" s="32"/>
      <c r="L44" s="32"/>
      <c r="M44" s="32"/>
      <c r="N44" s="32"/>
      <c r="O44" s="32">
        <f>'Uncaser Downtime Detail '!AG708</f>
        <v>0</v>
      </c>
      <c r="P44" s="32">
        <f>'Washer Downtime Detail'!BH720</f>
        <v>0</v>
      </c>
      <c r="Q44" s="32">
        <f>'EBI Downtime Detail'!AI715</f>
        <v>0</v>
      </c>
      <c r="R44" s="32">
        <f>'Filler Downtime Detail'!AK705</f>
        <v>0</v>
      </c>
      <c r="S44" s="32">
        <f>'Pasteurizer Downtime Detail'!Z686</f>
        <v>0</v>
      </c>
      <c r="T44" s="32">
        <f>'Labeler Downtime Detail'!AN676</f>
        <v>0</v>
      </c>
      <c r="U44" s="32"/>
      <c r="V44" s="32">
        <f>'Conveyor Downtime (new)'!AV714</f>
        <v>0</v>
      </c>
      <c r="W44" s="32">
        <f>'Packer Downtime Detail  '!AD696</f>
        <v>0</v>
      </c>
      <c r="X44" s="32"/>
      <c r="Y44" s="32"/>
      <c r="Z44" s="43"/>
      <c r="AA44" s="32"/>
      <c r="AB44" s="32"/>
      <c r="AC44" s="32"/>
      <c r="AD44" s="44">
        <f t="shared" si="2"/>
        <v>0</v>
      </c>
      <c r="AE44" s="236">
        <f>G44-D44</f>
        <v>0</v>
      </c>
      <c r="AH44" s="3"/>
      <c r="AI44" s="23"/>
      <c r="AJ44" s="23"/>
      <c r="AK44" s="54"/>
      <c r="AL44" s="3"/>
      <c r="AM44" s="3"/>
      <c r="AN44" s="3"/>
      <c r="AO44" s="3"/>
      <c r="AP44" s="3"/>
      <c r="AQ44" s="3"/>
      <c r="AR44" s="3"/>
      <c r="AS44" s="3"/>
      <c r="AT44" s="3"/>
      <c r="AU44" s="3"/>
      <c r="AV44" s="3"/>
      <c r="AW44" s="3"/>
      <c r="AX44" s="3"/>
    </row>
    <row r="45" spans="1:50" ht="12.75" customHeight="1">
      <c r="A45" s="7"/>
      <c r="B45" s="8"/>
      <c r="C45" s="9"/>
      <c r="D45" s="500"/>
      <c r="E45" s="10"/>
      <c r="F45" s="10"/>
      <c r="G45" s="11"/>
      <c r="H45" s="14"/>
      <c r="I45" s="34"/>
      <c r="J45" s="35"/>
      <c r="K45" s="34"/>
      <c r="L45" s="34"/>
      <c r="M45" s="34"/>
      <c r="N45" s="34"/>
      <c r="O45" s="34">
        <f>'Uncaser Downtime Detail '!AG709</f>
        <v>0</v>
      </c>
      <c r="P45" s="34">
        <f>'Washer Downtime Detail'!BH721</f>
        <v>0</v>
      </c>
      <c r="Q45" s="34">
        <f>'EBI Downtime Detail'!AI716</f>
        <v>0</v>
      </c>
      <c r="R45" s="34">
        <f>'Filler Downtime Detail'!AK706</f>
        <v>0</v>
      </c>
      <c r="S45" s="34">
        <f>'Pasteurizer Downtime Detail'!Z687</f>
        <v>0</v>
      </c>
      <c r="T45" s="34">
        <f>'Labeler Downtime Detail'!AN677</f>
        <v>0</v>
      </c>
      <c r="U45" s="34"/>
      <c r="V45" s="34">
        <f>'Conveyor Downtime (new)'!AV715</f>
        <v>0</v>
      </c>
      <c r="W45" s="34">
        <f>'Packer Downtime Detail  '!AD697</f>
        <v>0</v>
      </c>
      <c r="X45" s="34"/>
      <c r="Y45" s="35"/>
      <c r="Z45" s="34"/>
      <c r="AA45" s="34"/>
      <c r="AB45" s="34"/>
      <c r="AC45" s="34"/>
      <c r="AD45" s="44">
        <f>SUM(H45:J45,K45:AB45)</f>
        <v>0</v>
      </c>
      <c r="AE45" s="240">
        <f>G46-D45</f>
        <v>0</v>
      </c>
      <c r="AH45" s="3"/>
      <c r="AI45" s="23"/>
      <c r="AJ45" s="23"/>
      <c r="AK45" s="54"/>
      <c r="AL45" s="3"/>
      <c r="AM45" s="3"/>
      <c r="AN45" s="3"/>
      <c r="AO45" s="3"/>
      <c r="AP45" s="3"/>
      <c r="AQ45" s="3"/>
      <c r="AR45" s="3"/>
      <c r="AS45" s="3"/>
      <c r="AT45" s="3"/>
      <c r="AU45" s="3"/>
      <c r="AV45" s="3"/>
      <c r="AW45" s="3"/>
      <c r="AX45" s="3"/>
    </row>
    <row r="46" spans="1:50" ht="12.75" customHeight="1">
      <c r="A46" s="7"/>
      <c r="B46" s="8"/>
      <c r="C46" s="9"/>
      <c r="D46" s="500"/>
      <c r="E46" s="10"/>
      <c r="F46" s="10"/>
      <c r="G46" s="11"/>
      <c r="H46" s="12"/>
      <c r="I46" s="32"/>
      <c r="J46" s="33"/>
      <c r="K46" s="32"/>
      <c r="L46" s="32"/>
      <c r="M46" s="32"/>
      <c r="N46" s="32"/>
      <c r="O46" s="32">
        <f>'Uncaser Downtime Detail '!AG710</f>
        <v>0</v>
      </c>
      <c r="P46" s="32">
        <f>'Washer Downtime Detail'!BH722</f>
        <v>0</v>
      </c>
      <c r="Q46" s="32">
        <f>'EBI Downtime Detail'!AI717</f>
        <v>0</v>
      </c>
      <c r="R46" s="32">
        <f>'Filler Downtime Detail'!AK707</f>
        <v>0</v>
      </c>
      <c r="S46" s="32">
        <f>'Pasteurizer Downtime Detail'!Z688</f>
        <v>0</v>
      </c>
      <c r="T46" s="32">
        <f>'Labeler Downtime Detail'!AN678</f>
        <v>0</v>
      </c>
      <c r="U46" s="32"/>
      <c r="V46" s="32">
        <f>'Conveyor Downtime (new)'!AV716</f>
        <v>0</v>
      </c>
      <c r="W46" s="32">
        <f>'Packer Downtime Detail  '!AD698</f>
        <v>0</v>
      </c>
      <c r="X46" s="32"/>
      <c r="Y46" s="32"/>
      <c r="Z46" s="43"/>
      <c r="AA46" s="32"/>
      <c r="AB46" s="32"/>
      <c r="AC46" s="32"/>
      <c r="AD46" s="44">
        <f t="shared" si="2"/>
        <v>0</v>
      </c>
      <c r="AE46" s="240"/>
      <c r="AH46" s="3"/>
      <c r="AI46" s="23"/>
      <c r="AJ46" s="23"/>
      <c r="AK46" s="54"/>
      <c r="AL46" s="3"/>
      <c r="AM46" s="3"/>
      <c r="AN46" s="3"/>
      <c r="AO46" s="3"/>
      <c r="AP46" s="3"/>
      <c r="AQ46" s="3"/>
      <c r="AR46" s="3"/>
      <c r="AS46" s="3"/>
      <c r="AT46" s="3"/>
      <c r="AU46" s="3"/>
      <c r="AV46" s="3"/>
      <c r="AW46" s="3"/>
      <c r="AX46" s="3"/>
    </row>
    <row r="47" spans="1:50" ht="12.75" customHeight="1">
      <c r="A47" s="7"/>
      <c r="B47" s="8"/>
      <c r="C47" s="9"/>
      <c r="D47" s="500"/>
      <c r="E47" s="10"/>
      <c r="F47" s="10"/>
      <c r="G47" s="11"/>
      <c r="H47" s="14"/>
      <c r="I47" s="34"/>
      <c r="J47" s="35"/>
      <c r="K47" s="34"/>
      <c r="L47" s="34"/>
      <c r="M47" s="34"/>
      <c r="N47" s="34"/>
      <c r="O47" s="34">
        <f>'Uncaser Downtime Detail '!AG711</f>
        <v>0</v>
      </c>
      <c r="P47" s="34">
        <f>'Washer Downtime Detail'!BH723</f>
        <v>0</v>
      </c>
      <c r="Q47" s="34">
        <f>'EBI Downtime Detail'!AI718</f>
        <v>0</v>
      </c>
      <c r="R47" s="34">
        <f>'Filler Downtime Detail'!AK708</f>
        <v>0</v>
      </c>
      <c r="S47" s="34">
        <f>'Pasteurizer Downtime Detail'!Z689</f>
        <v>0</v>
      </c>
      <c r="T47" s="34">
        <f>'Labeler Downtime Detail'!AN679</f>
        <v>0</v>
      </c>
      <c r="U47" s="34"/>
      <c r="V47" s="34">
        <f>'Conveyor Downtime (new)'!AV717</f>
        <v>0</v>
      </c>
      <c r="W47" s="34">
        <f>'Packer Downtime Detail  '!AD699</f>
        <v>0</v>
      </c>
      <c r="X47" s="34"/>
      <c r="Y47" s="35"/>
      <c r="Z47" s="34"/>
      <c r="AA47" s="34"/>
      <c r="AB47" s="34"/>
      <c r="AC47" s="34"/>
      <c r="AD47" s="44">
        <f t="shared" si="2"/>
        <v>0</v>
      </c>
      <c r="AE47" s="240">
        <f>G48-D47</f>
        <v>0</v>
      </c>
      <c r="AH47" s="3"/>
      <c r="AI47" s="23"/>
      <c r="AJ47" s="23"/>
      <c r="AK47" s="54"/>
      <c r="AL47" s="3"/>
      <c r="AM47" s="3"/>
      <c r="AN47" s="3"/>
      <c r="AO47" s="3"/>
      <c r="AP47" s="3"/>
      <c r="AQ47" s="3"/>
      <c r="AR47" s="3"/>
      <c r="AS47" s="3"/>
      <c r="AT47" s="3"/>
      <c r="AU47" s="3"/>
      <c r="AV47" s="3"/>
      <c r="AW47" s="3"/>
      <c r="AX47" s="3"/>
    </row>
    <row r="48" spans="1:50" ht="12.75" customHeight="1">
      <c r="A48" s="7"/>
      <c r="B48" s="8"/>
      <c r="C48" s="9"/>
      <c r="D48" s="500"/>
      <c r="E48" s="10"/>
      <c r="F48" s="10"/>
      <c r="G48" s="11"/>
      <c r="H48" s="12"/>
      <c r="I48" s="32"/>
      <c r="J48" s="33"/>
      <c r="K48" s="32"/>
      <c r="L48" s="32"/>
      <c r="M48" s="32"/>
      <c r="N48" s="32"/>
      <c r="O48" s="32">
        <f>'Uncaser Downtime Detail '!AG712</f>
        <v>0</v>
      </c>
      <c r="P48" s="32">
        <f>'Washer Downtime Detail'!BH724</f>
        <v>0</v>
      </c>
      <c r="Q48" s="32">
        <f>'EBI Downtime Detail'!AI719</f>
        <v>0</v>
      </c>
      <c r="R48" s="32">
        <f>'Filler Downtime Detail'!AK709</f>
        <v>0</v>
      </c>
      <c r="S48" s="32">
        <f>'Pasteurizer Downtime Detail'!Z690</f>
        <v>0</v>
      </c>
      <c r="T48" s="32">
        <f>'Labeler Downtime Detail'!AN680</f>
        <v>0</v>
      </c>
      <c r="U48" s="32"/>
      <c r="V48" s="32">
        <f>'Conveyor Downtime (new)'!AV718</f>
        <v>0</v>
      </c>
      <c r="W48" s="32">
        <f>'Packer Downtime Detail  '!AD700</f>
        <v>0</v>
      </c>
      <c r="X48" s="32"/>
      <c r="Y48" s="32"/>
      <c r="Z48" s="43"/>
      <c r="AA48" s="32"/>
      <c r="AB48" s="32"/>
      <c r="AC48" s="32"/>
      <c r="AD48" s="44">
        <f t="shared" si="2"/>
        <v>0</v>
      </c>
      <c r="AE48" s="240"/>
      <c r="AH48" s="3"/>
      <c r="AI48" s="23"/>
      <c r="AJ48" s="23"/>
      <c r="AK48" s="54"/>
      <c r="AL48" s="3"/>
      <c r="AM48" s="3"/>
      <c r="AN48" s="3"/>
      <c r="AO48" s="3"/>
      <c r="AP48" s="3"/>
      <c r="AQ48" s="3"/>
      <c r="AR48" s="3"/>
      <c r="AS48" s="3"/>
      <c r="AT48" s="3"/>
      <c r="AU48" s="3"/>
      <c r="AV48" s="3"/>
      <c r="AW48" s="3"/>
      <c r="AX48" s="3"/>
    </row>
    <row r="49" spans="1:50" ht="12.75" customHeight="1">
      <c r="A49" s="7"/>
      <c r="B49" s="8"/>
      <c r="C49" s="9"/>
      <c r="D49" s="500"/>
      <c r="E49" s="10"/>
      <c r="F49" s="10"/>
      <c r="G49" s="11"/>
      <c r="H49" s="14"/>
      <c r="I49" s="34"/>
      <c r="J49" s="35"/>
      <c r="K49" s="34"/>
      <c r="L49" s="34"/>
      <c r="M49" s="34"/>
      <c r="N49" s="34"/>
      <c r="O49" s="34">
        <f>'Uncaser Downtime Detail '!AG713</f>
        <v>0</v>
      </c>
      <c r="P49" s="34">
        <f>'Washer Downtime Detail'!BH725</f>
        <v>0</v>
      </c>
      <c r="Q49" s="34">
        <f>'EBI Downtime Detail'!AI720</f>
        <v>0</v>
      </c>
      <c r="R49" s="34">
        <f>'Filler Downtime Detail'!AK710</f>
        <v>0</v>
      </c>
      <c r="S49" s="34">
        <f>'Pasteurizer Downtime Detail'!Z691</f>
        <v>0</v>
      </c>
      <c r="T49" s="34">
        <f>'Labeler Downtime Detail'!AN681</f>
        <v>0</v>
      </c>
      <c r="U49" s="34"/>
      <c r="V49" s="34">
        <f>'Conveyor Downtime (new)'!AV719</f>
        <v>0</v>
      </c>
      <c r="W49" s="34">
        <f>'Packer Downtime Detail  '!AD701</f>
        <v>0</v>
      </c>
      <c r="X49" s="34"/>
      <c r="Y49" s="35"/>
      <c r="Z49" s="34"/>
      <c r="AA49" s="34"/>
      <c r="AB49" s="34"/>
      <c r="AC49" s="34"/>
      <c r="AD49" s="44">
        <f t="shared" si="2"/>
        <v>0</v>
      </c>
      <c r="AE49" s="240">
        <f>G50-D49</f>
        <v>0</v>
      </c>
      <c r="AH49" s="3"/>
      <c r="AI49" s="23"/>
      <c r="AJ49" s="23"/>
      <c r="AK49" s="54"/>
      <c r="AL49" s="3"/>
      <c r="AM49" s="3"/>
      <c r="AN49" s="3"/>
      <c r="AO49" s="3"/>
      <c r="AP49" s="3"/>
      <c r="AQ49" s="3"/>
      <c r="AR49" s="3"/>
      <c r="AS49" s="3"/>
      <c r="AT49" s="3"/>
      <c r="AU49" s="3"/>
      <c r="AV49" s="3"/>
      <c r="AW49" s="3"/>
      <c r="AX49" s="3"/>
    </row>
    <row r="50" spans="1:50" ht="12.75" customHeight="1">
      <c r="A50" s="7"/>
      <c r="B50" s="8"/>
      <c r="C50" s="9"/>
      <c r="D50" s="500"/>
      <c r="E50" s="10"/>
      <c r="F50" s="10"/>
      <c r="G50" s="11"/>
      <c r="H50" s="12"/>
      <c r="I50" s="32"/>
      <c r="J50" s="33"/>
      <c r="K50" s="32"/>
      <c r="L50" s="32"/>
      <c r="M50" s="32"/>
      <c r="N50" s="32"/>
      <c r="O50" s="32">
        <f>'Uncaser Downtime Detail '!AG714</f>
        <v>0</v>
      </c>
      <c r="P50" s="32">
        <f>'Washer Downtime Detail'!BH726</f>
        <v>0</v>
      </c>
      <c r="Q50" s="32">
        <f>'EBI Downtime Detail'!AI721</f>
        <v>0</v>
      </c>
      <c r="R50" s="32">
        <f>'Filler Downtime Detail'!AK711</f>
        <v>0</v>
      </c>
      <c r="S50" s="32">
        <f>'Pasteurizer Downtime Detail'!Z692</f>
        <v>0</v>
      </c>
      <c r="T50" s="32"/>
      <c r="U50" s="32"/>
      <c r="V50" s="32">
        <f>'Conveyor Downtime (new)'!AV720</f>
        <v>0</v>
      </c>
      <c r="W50" s="32">
        <f>'Packer Downtime Detail  '!AD702</f>
        <v>0</v>
      </c>
      <c r="X50" s="32"/>
      <c r="Y50" s="32"/>
      <c r="Z50" s="43"/>
      <c r="AA50" s="32"/>
      <c r="AB50" s="32"/>
      <c r="AC50" s="32"/>
      <c r="AD50" s="44">
        <f t="shared" si="2"/>
        <v>0</v>
      </c>
      <c r="AE50" s="240"/>
      <c r="AH50" s="3"/>
      <c r="AI50" s="23"/>
      <c r="AJ50" s="23"/>
      <c r="AK50" s="54"/>
      <c r="AL50" s="3"/>
      <c r="AM50" s="3"/>
      <c r="AN50" s="3"/>
      <c r="AO50" s="3"/>
      <c r="AP50" s="3"/>
      <c r="AQ50" s="3"/>
      <c r="AR50" s="3"/>
      <c r="AS50" s="3"/>
      <c r="AT50" s="3"/>
      <c r="AU50" s="3"/>
      <c r="AV50" s="3"/>
      <c r="AW50" s="3"/>
      <c r="AX50" s="3"/>
    </row>
    <row r="51" spans="1:50">
      <c r="A51" s="7"/>
      <c r="B51" s="8"/>
      <c r="C51" s="9" t="e">
        <f>[8]December_2025!$D51</f>
        <v>#REF!</v>
      </c>
      <c r="D51" s="500"/>
      <c r="E51" s="10"/>
      <c r="F51" s="10"/>
      <c r="G51" s="11"/>
      <c r="H51" s="14"/>
      <c r="I51" s="34"/>
      <c r="J51" s="35"/>
      <c r="K51" s="34"/>
      <c r="L51" s="34"/>
      <c r="M51" s="34"/>
      <c r="N51" s="34"/>
      <c r="O51" s="34"/>
      <c r="P51" s="34"/>
      <c r="Q51" s="34"/>
      <c r="R51" s="34"/>
      <c r="S51" s="34"/>
      <c r="T51" s="34"/>
      <c r="U51" s="34"/>
      <c r="V51" s="34"/>
      <c r="W51" s="34"/>
      <c r="X51" s="34"/>
      <c r="Y51" s="35"/>
      <c r="Z51" s="34"/>
      <c r="AA51" s="34"/>
      <c r="AB51" s="34"/>
      <c r="AC51" s="34"/>
      <c r="AD51" s="44">
        <f t="shared" si="2"/>
        <v>0</v>
      </c>
      <c r="AE51" s="91"/>
      <c r="AH51" s="3"/>
      <c r="AI51" s="23"/>
      <c r="AJ51" s="23"/>
      <c r="AK51" s="54"/>
      <c r="AL51" s="3"/>
      <c r="AM51" s="3"/>
      <c r="AN51" s="3"/>
      <c r="AO51" s="3"/>
      <c r="AP51" s="3"/>
      <c r="AQ51" s="3"/>
      <c r="AR51" s="3"/>
      <c r="AS51" s="3"/>
      <c r="AT51" s="3"/>
      <c r="AU51" s="3"/>
      <c r="AV51" s="3"/>
      <c r="AW51" s="3"/>
      <c r="AX51" s="3"/>
    </row>
    <row r="52" spans="1:50">
      <c r="A52" s="7"/>
      <c r="B52" s="8"/>
      <c r="C52" s="9"/>
      <c r="D52" s="500"/>
      <c r="E52" s="10"/>
      <c r="F52" s="10"/>
      <c r="G52" s="11"/>
      <c r="H52" s="12"/>
      <c r="I52" s="32"/>
      <c r="J52" s="33"/>
      <c r="K52" s="32"/>
      <c r="L52" s="32"/>
      <c r="M52" s="32"/>
      <c r="N52" s="32"/>
      <c r="O52" s="32"/>
      <c r="P52" s="32"/>
      <c r="Q52" s="32"/>
      <c r="R52" s="32"/>
      <c r="S52" s="32"/>
      <c r="T52" s="32"/>
      <c r="U52" s="32"/>
      <c r="V52" s="32"/>
      <c r="W52" s="32"/>
      <c r="X52" s="32"/>
      <c r="Y52" s="32"/>
      <c r="Z52" s="43"/>
      <c r="AA52" s="32"/>
      <c r="AB52" s="32"/>
      <c r="AC52" s="32"/>
      <c r="AD52" s="44">
        <f t="shared" si="2"/>
        <v>0</v>
      </c>
      <c r="AE52" s="91"/>
      <c r="AH52" s="3"/>
      <c r="AI52" s="23"/>
      <c r="AJ52" s="23"/>
      <c r="AK52" s="54"/>
      <c r="AL52" s="3"/>
      <c r="AM52" s="3"/>
      <c r="AN52" s="3"/>
      <c r="AO52" s="3"/>
      <c r="AP52" s="3"/>
      <c r="AQ52" s="3"/>
      <c r="AR52" s="3"/>
      <c r="AS52" s="3"/>
      <c r="AT52" s="3"/>
      <c r="AU52" s="3"/>
      <c r="AV52" s="3"/>
      <c r="AW52" s="3"/>
      <c r="AX52" s="3"/>
    </row>
    <row r="53" spans="1:50">
      <c r="A53" s="7"/>
      <c r="B53" s="8"/>
      <c r="C53" s="9"/>
      <c r="D53" s="500"/>
      <c r="E53" s="10"/>
      <c r="F53" s="10"/>
      <c r="G53" s="11"/>
      <c r="H53" s="14"/>
      <c r="I53" s="34"/>
      <c r="J53" s="35"/>
      <c r="K53" s="34"/>
      <c r="L53" s="34"/>
      <c r="M53" s="34"/>
      <c r="N53" s="34"/>
      <c r="O53" s="34"/>
      <c r="P53" s="34"/>
      <c r="Q53" s="34"/>
      <c r="R53" s="34"/>
      <c r="S53" s="34"/>
      <c r="T53" s="34"/>
      <c r="U53" s="34"/>
      <c r="V53" s="34"/>
      <c r="W53" s="34"/>
      <c r="X53" s="34"/>
      <c r="Y53" s="35"/>
      <c r="Z53" s="34"/>
      <c r="AA53" s="34"/>
      <c r="AB53" s="46"/>
      <c r="AC53" s="34"/>
      <c r="AD53" s="44">
        <f t="shared" si="2"/>
        <v>0</v>
      </c>
      <c r="AE53" s="91"/>
      <c r="AH53" s="3"/>
      <c r="AI53" s="23"/>
      <c r="AJ53" s="23"/>
      <c r="AK53" s="54"/>
      <c r="AL53" s="3"/>
      <c r="AM53" s="3"/>
      <c r="AN53" s="3"/>
      <c r="AO53" s="3"/>
      <c r="AP53" s="3"/>
      <c r="AQ53" s="3"/>
      <c r="AR53" s="3"/>
      <c r="AS53" s="3"/>
      <c r="AT53" s="3"/>
      <c r="AU53" s="3"/>
      <c r="AV53" s="3"/>
      <c r="AW53" s="3"/>
      <c r="AX53" s="3"/>
    </row>
    <row r="54" spans="1:50">
      <c r="A54" s="7"/>
      <c r="B54" s="8"/>
      <c r="C54" s="9"/>
      <c r="D54" s="500"/>
      <c r="E54" s="10"/>
      <c r="F54" s="10"/>
      <c r="G54" s="11"/>
      <c r="H54" s="12"/>
      <c r="I54" s="32"/>
      <c r="J54" s="33"/>
      <c r="K54" s="32"/>
      <c r="L54" s="32"/>
      <c r="M54" s="32"/>
      <c r="N54" s="32"/>
      <c r="O54" s="32"/>
      <c r="P54" s="32"/>
      <c r="Q54" s="32"/>
      <c r="R54" s="32"/>
      <c r="S54" s="32"/>
      <c r="T54" s="32"/>
      <c r="U54" s="32"/>
      <c r="V54" s="32"/>
      <c r="W54" s="32"/>
      <c r="X54" s="32"/>
      <c r="Y54" s="32"/>
      <c r="Z54" s="43"/>
      <c r="AA54" s="32"/>
      <c r="AB54" s="32"/>
      <c r="AC54" s="32"/>
      <c r="AD54" s="44">
        <f t="shared" si="2"/>
        <v>0</v>
      </c>
      <c r="AE54" s="91"/>
      <c r="AH54" s="3"/>
      <c r="AI54" s="23"/>
      <c r="AJ54" s="23"/>
      <c r="AK54" s="54"/>
      <c r="AL54" s="3"/>
      <c r="AM54" s="3"/>
      <c r="AN54" s="3"/>
      <c r="AO54" s="3"/>
      <c r="AP54" s="3"/>
      <c r="AQ54" s="3"/>
      <c r="AR54" s="3"/>
      <c r="AS54" s="3"/>
      <c r="AT54" s="3"/>
      <c r="AU54" s="3"/>
      <c r="AV54" s="3"/>
      <c r="AW54" s="3"/>
      <c r="AX54" s="3"/>
    </row>
    <row r="55" spans="1:50">
      <c r="A55" s="7"/>
      <c r="B55" s="8"/>
      <c r="C55" s="9"/>
      <c r="D55" s="500"/>
      <c r="E55" s="10"/>
      <c r="F55" s="10"/>
      <c r="G55" s="11"/>
      <c r="H55" s="14"/>
      <c r="I55" s="34"/>
      <c r="J55" s="35"/>
      <c r="K55" s="34"/>
      <c r="L55" s="34"/>
      <c r="M55" s="34"/>
      <c r="N55" s="34"/>
      <c r="O55" s="34"/>
      <c r="P55" s="34"/>
      <c r="Q55" s="34"/>
      <c r="R55" s="34"/>
      <c r="S55" s="34"/>
      <c r="T55" s="34"/>
      <c r="U55" s="34"/>
      <c r="V55" s="34"/>
      <c r="W55" s="34"/>
      <c r="X55" s="34"/>
      <c r="Y55" s="35"/>
      <c r="Z55" s="34"/>
      <c r="AA55" s="34"/>
      <c r="AB55" s="34"/>
      <c r="AC55" s="34"/>
      <c r="AD55" s="44">
        <f t="shared" si="2"/>
        <v>0</v>
      </c>
      <c r="AE55" s="91"/>
      <c r="AH55" s="3"/>
      <c r="AI55" s="23"/>
      <c r="AJ55" s="23"/>
      <c r="AK55" s="54"/>
      <c r="AL55" s="3"/>
      <c r="AM55" s="3"/>
      <c r="AN55" s="3"/>
      <c r="AO55" s="3"/>
      <c r="AP55" s="3"/>
      <c r="AQ55" s="3"/>
      <c r="AR55" s="3"/>
      <c r="AS55" s="3"/>
      <c r="AT55" s="3"/>
      <c r="AU55" s="3"/>
      <c r="AV55" s="3"/>
      <c r="AW55" s="3"/>
      <c r="AX55" s="3"/>
    </row>
    <row r="56" spans="1:50">
      <c r="A56" s="7"/>
      <c r="B56" s="8"/>
      <c r="C56" s="9"/>
      <c r="D56" s="500"/>
      <c r="E56" s="10"/>
      <c r="F56" s="10"/>
      <c r="G56" s="11"/>
      <c r="H56" s="12"/>
      <c r="I56" s="32"/>
      <c r="J56" s="33"/>
      <c r="K56" s="32"/>
      <c r="L56" s="32"/>
      <c r="M56" s="32"/>
      <c r="N56" s="32"/>
      <c r="O56" s="32"/>
      <c r="P56" s="32"/>
      <c r="Q56" s="32"/>
      <c r="R56" s="32"/>
      <c r="S56" s="32"/>
      <c r="T56" s="32"/>
      <c r="U56" s="32"/>
      <c r="V56" s="32"/>
      <c r="W56" s="32"/>
      <c r="X56" s="32"/>
      <c r="Y56" s="32"/>
      <c r="Z56" s="43"/>
      <c r="AA56" s="32"/>
      <c r="AB56" s="32"/>
      <c r="AC56" s="32"/>
      <c r="AD56" s="44">
        <f t="shared" si="2"/>
        <v>0</v>
      </c>
      <c r="AE56" s="91"/>
      <c r="AH56" s="3"/>
      <c r="AI56" s="23"/>
      <c r="AJ56" s="23"/>
      <c r="AK56" s="54"/>
      <c r="AL56" s="3"/>
      <c r="AM56" s="3"/>
      <c r="AN56" s="3"/>
      <c r="AO56" s="3"/>
      <c r="AP56" s="3"/>
      <c r="AQ56" s="3"/>
      <c r="AR56" s="3"/>
      <c r="AS56" s="3"/>
      <c r="AT56" s="3"/>
      <c r="AU56" s="3"/>
      <c r="AV56" s="3"/>
      <c r="AW56" s="3"/>
      <c r="AX56" s="3"/>
    </row>
    <row r="57" spans="1:50">
      <c r="A57" s="7"/>
      <c r="B57" s="8"/>
      <c r="C57" s="9"/>
      <c r="D57" s="10"/>
      <c r="E57" s="10"/>
      <c r="F57" s="10"/>
      <c r="G57" s="11"/>
      <c r="H57" s="14"/>
      <c r="I57" s="34"/>
      <c r="J57" s="35"/>
      <c r="K57" s="34"/>
      <c r="L57" s="34"/>
      <c r="M57" s="34"/>
      <c r="N57" s="34"/>
      <c r="O57" s="34">
        <f>'Uncaser Downtime Detail '!AG721</f>
        <v>0</v>
      </c>
      <c r="P57" s="34">
        <f>'Washer Downtime Detail'!BH733</f>
        <v>0</v>
      </c>
      <c r="Q57" s="34">
        <f>'EBI Downtime Detail'!AI728</f>
        <v>0</v>
      </c>
      <c r="R57" s="34">
        <f>'Filler Downtime Detail'!AK718</f>
        <v>0</v>
      </c>
      <c r="S57" s="34">
        <f>'Pasteurizer Downtime Detail'!Z699</f>
        <v>0</v>
      </c>
      <c r="T57" s="34">
        <f>'Labeler Downtime Detail'!AN689</f>
        <v>0</v>
      </c>
      <c r="U57" s="34"/>
      <c r="V57" s="34"/>
      <c r="W57" s="34"/>
      <c r="X57" s="34"/>
      <c r="Y57" s="35"/>
      <c r="Z57" s="34"/>
      <c r="AA57" s="34"/>
      <c r="AB57" s="34"/>
      <c r="AC57" s="34"/>
      <c r="AD57" s="44">
        <f t="shared" si="2"/>
        <v>0</v>
      </c>
      <c r="AE57" s="45">
        <f>G57-D57</f>
        <v>0</v>
      </c>
      <c r="AH57" s="3"/>
      <c r="AI57" s="23"/>
      <c r="AJ57" s="23"/>
      <c r="AK57" s="54"/>
      <c r="AL57" s="3"/>
      <c r="AM57" s="3"/>
      <c r="AN57" s="3"/>
      <c r="AO57" s="3"/>
      <c r="AP57" s="3"/>
      <c r="AQ57" s="3"/>
      <c r="AR57" s="3"/>
      <c r="AS57" s="3"/>
      <c r="AT57" s="3"/>
      <c r="AU57" s="3"/>
      <c r="AV57" s="3"/>
      <c r="AW57" s="3"/>
      <c r="AX57" s="3"/>
    </row>
    <row r="58" spans="1:50" ht="15.75" thickBot="1">
      <c r="A58" s="15" t="s">
        <v>427</v>
      </c>
      <c r="B58" s="16"/>
      <c r="C58" s="17"/>
      <c r="D58" s="18"/>
      <c r="E58" s="18"/>
      <c r="F58" s="18"/>
      <c r="G58" s="19">
        <f>SUM(G50:G57)</f>
        <v>0</v>
      </c>
      <c r="H58" s="16">
        <f t="shared" ref="H58:O58" si="3">SUM(H8:H57)</f>
        <v>0</v>
      </c>
      <c r="I58" s="16">
        <f t="shared" si="3"/>
        <v>0</v>
      </c>
      <c r="J58" s="16">
        <f t="shared" si="3"/>
        <v>0</v>
      </c>
      <c r="K58" s="16">
        <f t="shared" si="3"/>
        <v>0</v>
      </c>
      <c r="L58" s="16">
        <f t="shared" si="3"/>
        <v>0</v>
      </c>
      <c r="M58" s="16">
        <f t="shared" si="3"/>
        <v>0</v>
      </c>
      <c r="N58" s="16">
        <f t="shared" si="3"/>
        <v>0</v>
      </c>
      <c r="O58" s="16">
        <f t="shared" si="3"/>
        <v>0</v>
      </c>
      <c r="P58" s="16">
        <f t="shared" ref="P58:AC58" si="4">SUM(P8:P57)</f>
        <v>0</v>
      </c>
      <c r="Q58" s="16">
        <f t="shared" si="4"/>
        <v>0</v>
      </c>
      <c r="R58" s="16">
        <f t="shared" si="4"/>
        <v>0</v>
      </c>
      <c r="S58" s="16">
        <f t="shared" si="4"/>
        <v>0</v>
      </c>
      <c r="T58" s="16">
        <f t="shared" si="4"/>
        <v>0</v>
      </c>
      <c r="U58" s="16">
        <f t="shared" si="4"/>
        <v>0</v>
      </c>
      <c r="V58" s="16">
        <f t="shared" si="4"/>
        <v>0</v>
      </c>
      <c r="W58" s="16">
        <f t="shared" si="4"/>
        <v>0</v>
      </c>
      <c r="X58" s="16">
        <f t="shared" si="4"/>
        <v>0</v>
      </c>
      <c r="Y58" s="16">
        <f t="shared" si="4"/>
        <v>0</v>
      </c>
      <c r="Z58" s="16">
        <f t="shared" si="4"/>
        <v>0</v>
      </c>
      <c r="AA58" s="16">
        <f t="shared" si="4"/>
        <v>0</v>
      </c>
      <c r="AB58" s="16">
        <f t="shared" si="4"/>
        <v>0</v>
      </c>
      <c r="AC58" s="16">
        <f t="shared" si="4"/>
        <v>0</v>
      </c>
      <c r="AD58" s="47">
        <f t="shared" si="2"/>
        <v>0</v>
      </c>
      <c r="AE58" s="48">
        <f>SUM(AE8:AE57)</f>
        <v>0</v>
      </c>
      <c r="AH58" s="3"/>
      <c r="AI58" s="3"/>
      <c r="AJ58" s="3"/>
      <c r="AK58" s="3"/>
      <c r="AL58" s="3"/>
      <c r="AM58" s="3"/>
      <c r="AN58" s="3"/>
      <c r="AO58" s="3"/>
      <c r="AP58" s="3"/>
      <c r="AQ58" s="3"/>
      <c r="AR58" s="3"/>
      <c r="AS58" s="3"/>
      <c r="AT58" s="3"/>
      <c r="AU58" s="3"/>
      <c r="AV58" s="3"/>
      <c r="AW58" s="3"/>
      <c r="AX58" s="3"/>
    </row>
    <row r="59" spans="1:50" ht="13.5" thickTop="1">
      <c r="A59" s="20" t="s">
        <v>45</v>
      </c>
      <c r="B59" s="1"/>
      <c r="C59" s="3"/>
      <c r="D59" s="3"/>
      <c r="E59" s="3"/>
      <c r="F59" s="3"/>
      <c r="G59" s="3"/>
      <c r="H59" s="21" t="e">
        <f t="shared" ref="H59:AB59" si="5">H58/$AD$58</f>
        <v>#DIV/0!</v>
      </c>
      <c r="I59" s="21" t="e">
        <f t="shared" si="5"/>
        <v>#DIV/0!</v>
      </c>
      <c r="J59" s="21" t="e">
        <f t="shared" si="5"/>
        <v>#DIV/0!</v>
      </c>
      <c r="K59" s="21" t="e">
        <f t="shared" si="5"/>
        <v>#DIV/0!</v>
      </c>
      <c r="L59" s="21" t="e">
        <f t="shared" si="5"/>
        <v>#DIV/0!</v>
      </c>
      <c r="M59" s="21" t="e">
        <f t="shared" si="5"/>
        <v>#DIV/0!</v>
      </c>
      <c r="N59" s="21" t="e">
        <f t="shared" si="5"/>
        <v>#DIV/0!</v>
      </c>
      <c r="O59" s="21" t="e">
        <f t="shared" si="5"/>
        <v>#DIV/0!</v>
      </c>
      <c r="P59" s="21" t="e">
        <f t="shared" si="5"/>
        <v>#DIV/0!</v>
      </c>
      <c r="Q59" s="21" t="e">
        <f t="shared" si="5"/>
        <v>#DIV/0!</v>
      </c>
      <c r="R59" s="21" t="e">
        <f t="shared" si="5"/>
        <v>#DIV/0!</v>
      </c>
      <c r="S59" s="21" t="e">
        <f t="shared" si="5"/>
        <v>#DIV/0!</v>
      </c>
      <c r="T59" s="21" t="e">
        <f t="shared" si="5"/>
        <v>#DIV/0!</v>
      </c>
      <c r="U59" s="21" t="e">
        <f t="shared" si="5"/>
        <v>#DIV/0!</v>
      </c>
      <c r="V59" s="21" t="e">
        <f t="shared" si="5"/>
        <v>#DIV/0!</v>
      </c>
      <c r="W59" s="21" t="e">
        <f t="shared" si="5"/>
        <v>#DIV/0!</v>
      </c>
      <c r="X59" s="21" t="e">
        <f t="shared" si="5"/>
        <v>#DIV/0!</v>
      </c>
      <c r="Y59" s="21" t="e">
        <f t="shared" si="5"/>
        <v>#DIV/0!</v>
      </c>
      <c r="Z59" s="21" t="e">
        <f t="shared" si="5"/>
        <v>#DIV/0!</v>
      </c>
      <c r="AA59" s="21" t="e">
        <f t="shared" si="5"/>
        <v>#DIV/0!</v>
      </c>
      <c r="AB59" s="21" t="e">
        <f t="shared" si="5"/>
        <v>#DIV/0!</v>
      </c>
      <c r="AC59" s="21"/>
      <c r="AD59" s="3"/>
      <c r="AE59" s="49"/>
      <c r="AH59" s="3"/>
      <c r="AI59" s="3"/>
      <c r="AJ59" s="3"/>
      <c r="AK59" s="3"/>
      <c r="AL59" s="3"/>
      <c r="AM59" s="3"/>
      <c r="AN59" s="3"/>
      <c r="AO59" s="3"/>
      <c r="AP59" s="3"/>
      <c r="AQ59" s="3"/>
      <c r="AR59" s="3"/>
      <c r="AS59" s="3"/>
      <c r="AT59" s="3"/>
      <c r="AU59" s="3"/>
      <c r="AV59" s="3"/>
      <c r="AW59" s="3"/>
      <c r="AX59" s="3"/>
    </row>
    <row r="60" spans="1:50" ht="15">
      <c r="A60" s="20"/>
      <c r="B60" s="1"/>
      <c r="C60" s="3" t="s">
        <v>174</v>
      </c>
      <c r="D60" s="3"/>
      <c r="E60" s="3"/>
      <c r="F60" s="3"/>
      <c r="G60" s="3"/>
      <c r="H60" s="3"/>
      <c r="I60" s="36" t="s">
        <v>428</v>
      </c>
      <c r="J60" s="3"/>
      <c r="K60" s="37"/>
      <c r="L60" s="37"/>
      <c r="M60" s="3"/>
      <c r="N60" s="3"/>
      <c r="O60" s="3"/>
      <c r="P60" s="3"/>
      <c r="Q60" s="3"/>
      <c r="R60" s="3"/>
      <c r="S60" s="3"/>
      <c r="T60" s="3"/>
      <c r="U60" s="3"/>
      <c r="V60" s="3"/>
      <c r="W60" s="3"/>
      <c r="X60" s="3"/>
      <c r="Y60" s="3"/>
      <c r="Z60" s="3"/>
      <c r="AA60" s="3"/>
      <c r="AB60" s="3"/>
      <c r="AC60" s="3"/>
      <c r="AD60" s="3"/>
      <c r="AH60" s="3"/>
      <c r="AI60" s="3"/>
      <c r="AJ60" s="3"/>
      <c r="AK60" s="3"/>
      <c r="AL60" s="3"/>
      <c r="AM60" s="3"/>
      <c r="AN60" s="3"/>
      <c r="AO60" s="3"/>
      <c r="AP60" s="3"/>
      <c r="AQ60" s="3"/>
      <c r="AR60" s="3"/>
      <c r="AS60" s="3"/>
      <c r="AT60" s="3"/>
      <c r="AU60" s="3"/>
      <c r="AV60" s="3"/>
      <c r="AW60" s="3"/>
      <c r="AX60" s="3"/>
    </row>
    <row r="61" spans="1:50" ht="15">
      <c r="A61" s="1"/>
      <c r="B61" s="22"/>
      <c r="C61" t="s">
        <v>429</v>
      </c>
      <c r="D61" t="s">
        <v>430</v>
      </c>
      <c r="E61" t="s">
        <v>431</v>
      </c>
      <c r="F61" s="23"/>
      <c r="G61" s="23"/>
      <c r="H61" s="3"/>
      <c r="I61" s="38">
        <f>COUNT(I8:I57)</f>
        <v>0</v>
      </c>
      <c r="J61" s="3"/>
      <c r="K61" s="24"/>
      <c r="L61" s="24"/>
      <c r="M61" s="24"/>
      <c r="N61" s="24"/>
      <c r="O61" s="24"/>
      <c r="P61" s="24"/>
      <c r="Q61" s="24"/>
      <c r="R61" s="24"/>
      <c r="S61" s="24"/>
      <c r="T61" s="24"/>
      <c r="U61" s="24"/>
      <c r="V61" s="24"/>
      <c r="W61" s="24"/>
      <c r="X61" s="24"/>
      <c r="Y61" s="24"/>
      <c r="Z61" s="24"/>
      <c r="AA61" s="3"/>
      <c r="AB61" s="3"/>
      <c r="AC61" s="3"/>
      <c r="AH61" s="3"/>
      <c r="AI61" s="3"/>
      <c r="AJ61" s="3"/>
      <c r="AK61" s="3"/>
      <c r="AL61" s="3"/>
      <c r="AM61" s="3"/>
      <c r="AN61" s="3"/>
      <c r="AO61" s="3"/>
      <c r="AP61" s="3"/>
      <c r="AQ61" s="3"/>
      <c r="AR61" s="3"/>
      <c r="AS61" s="3"/>
      <c r="AT61" s="3"/>
      <c r="AU61" s="3"/>
      <c r="AV61" s="3"/>
      <c r="AW61" s="3"/>
      <c r="AX61" s="3"/>
    </row>
    <row r="62" spans="1:50">
      <c r="A62" s="1"/>
      <c r="B62" s="22"/>
      <c r="C62" s="24">
        <f>COUNTA(I8:I57)</f>
        <v>0</v>
      </c>
      <c r="D62" s="24">
        <f>COUNTA(C8:C57)</f>
        <v>2</v>
      </c>
      <c r="E62" s="24">
        <f>COUNTA(A8:A57)</f>
        <v>1</v>
      </c>
      <c r="F62" s="23"/>
      <c r="G62" s="23"/>
      <c r="H62" s="3"/>
      <c r="I62" s="1"/>
      <c r="J62" s="3"/>
      <c r="K62" s="24"/>
      <c r="L62" s="24"/>
      <c r="M62" s="24"/>
      <c r="N62" s="24"/>
      <c r="O62" s="24"/>
      <c r="P62" s="24"/>
      <c r="Q62" s="24"/>
      <c r="R62" s="24"/>
      <c r="S62" s="24"/>
      <c r="T62" s="24"/>
      <c r="U62" s="24"/>
      <c r="V62" s="24"/>
      <c r="W62" s="24"/>
      <c r="X62" s="24"/>
      <c r="Y62" s="24"/>
      <c r="Z62" s="24"/>
      <c r="AA62" s="3"/>
      <c r="AB62" s="3"/>
      <c r="AC62" s="3"/>
      <c r="AH62" s="3"/>
      <c r="AI62" s="3"/>
      <c r="AJ62" s="3"/>
      <c r="AK62" s="3"/>
      <c r="AL62" s="3"/>
      <c r="AM62" s="3"/>
      <c r="AN62" s="3"/>
      <c r="AO62" s="3"/>
      <c r="AP62" s="3"/>
      <c r="AQ62" s="3"/>
      <c r="AR62" s="3"/>
      <c r="AS62" s="3"/>
      <c r="AT62" s="3"/>
      <c r="AU62" s="3"/>
      <c r="AV62" s="3"/>
      <c r="AW62" s="3"/>
      <c r="AX62" s="3"/>
    </row>
    <row r="63" spans="1:50">
      <c r="A63" s="1"/>
      <c r="B63" s="22"/>
      <c r="C63" s="24"/>
      <c r="D63" s="25"/>
      <c r="E63" s="25"/>
      <c r="F63" s="23"/>
      <c r="G63" s="23"/>
      <c r="H63" s="3"/>
      <c r="I63" s="1"/>
      <c r="J63" s="3"/>
      <c r="K63" s="24"/>
      <c r="L63" s="24"/>
      <c r="M63" s="24"/>
      <c r="N63" s="24"/>
      <c r="O63" s="24"/>
      <c r="P63" s="24"/>
      <c r="Q63" s="24"/>
      <c r="R63" s="24"/>
      <c r="S63" s="24"/>
      <c r="T63" s="24"/>
      <c r="U63" s="24"/>
      <c r="V63" s="24"/>
      <c r="W63" s="24"/>
      <c r="X63" s="24"/>
      <c r="Y63" s="24"/>
      <c r="Z63" s="24"/>
      <c r="AA63" s="3"/>
      <c r="AB63" s="3"/>
      <c r="AC63" s="3"/>
      <c r="AD63" s="3"/>
      <c r="AH63" s="3"/>
      <c r="AI63" s="3"/>
      <c r="AJ63" s="3"/>
      <c r="AK63" s="3"/>
      <c r="AL63" s="3"/>
      <c r="AM63" s="3"/>
      <c r="AN63" s="3"/>
      <c r="AO63" s="3"/>
      <c r="AP63" s="3"/>
      <c r="AQ63" s="3"/>
      <c r="AR63" s="3"/>
      <c r="AS63" s="3"/>
      <c r="AT63" s="3"/>
      <c r="AU63" s="3"/>
      <c r="AV63" s="3"/>
      <c r="AW63" s="3"/>
    </row>
    <row r="64" spans="1:50" ht="15">
      <c r="A64" s="26"/>
      <c r="B64" s="26"/>
      <c r="C64" s="27" t="s">
        <v>432</v>
      </c>
      <c r="D64" s="28">
        <f>($D$62/$E$62)</f>
        <v>2</v>
      </c>
      <c r="E64" s="28" t="e">
        <f>($D$62/$E$62)*$I$59</f>
        <v>#DIV/0!</v>
      </c>
      <c r="F64" s="29"/>
      <c r="G64" s="29"/>
      <c r="H64" s="679" t="s">
        <v>433</v>
      </c>
      <c r="I64" s="679"/>
      <c r="J64" s="679"/>
      <c r="K64" s="679"/>
      <c r="L64" s="679"/>
      <c r="M64" s="679"/>
      <c r="N64" s="679"/>
      <c r="O64" s="24"/>
      <c r="P64" s="680" t="s">
        <v>434</v>
      </c>
      <c r="Q64" s="680"/>
      <c r="R64" s="680"/>
      <c r="S64" s="680"/>
      <c r="T64" s="680"/>
      <c r="U64" s="1"/>
      <c r="V64" s="1"/>
      <c r="W64" s="1"/>
      <c r="X64" s="1"/>
      <c r="Y64" s="1"/>
      <c r="Z64" s="1"/>
      <c r="AA64" s="3"/>
      <c r="AB64" s="3"/>
      <c r="AC64" s="3"/>
    </row>
    <row r="65" spans="1:29" ht="25.5">
      <c r="A65" s="1"/>
      <c r="B65" s="1"/>
      <c r="C65" s="3"/>
      <c r="E65" s="3"/>
      <c r="F65" s="3"/>
      <c r="H65" s="30" t="s">
        <v>81</v>
      </c>
      <c r="I65" s="30" t="s">
        <v>435</v>
      </c>
      <c r="J65" s="30" t="s">
        <v>436</v>
      </c>
      <c r="K65" s="30" t="s">
        <v>437</v>
      </c>
      <c r="L65" s="66" t="s">
        <v>438</v>
      </c>
      <c r="M65" s="66" t="s">
        <v>439</v>
      </c>
      <c r="N65" s="66" t="s">
        <v>440</v>
      </c>
      <c r="O65" s="26"/>
      <c r="P65" s="67" t="s">
        <v>81</v>
      </c>
      <c r="Q65" s="67" t="s">
        <v>435</v>
      </c>
      <c r="R65" s="39" t="s">
        <v>436</v>
      </c>
      <c r="S65" s="39" t="s">
        <v>437</v>
      </c>
      <c r="T65" s="73" t="s">
        <v>441</v>
      </c>
      <c r="U65" s="3"/>
      <c r="V65" s="3"/>
      <c r="W65" s="3"/>
      <c r="X65" s="3"/>
      <c r="Y65" s="3"/>
      <c r="Z65" s="3"/>
      <c r="AA65" s="3"/>
      <c r="AB65" s="3"/>
      <c r="AC65" s="3"/>
    </row>
    <row r="66" spans="1:29">
      <c r="A66" s="1"/>
      <c r="B66" s="1"/>
      <c r="C66" s="56"/>
      <c r="D66" s="57"/>
      <c r="E66" s="56"/>
      <c r="F66" s="56"/>
      <c r="G66" s="57"/>
      <c r="H66" s="65">
        <f t="shared" ref="H66:H86" si="6">B8</f>
        <v>0</v>
      </c>
      <c r="I66" s="1">
        <f t="shared" ref="I66:I86" si="7">C8</f>
        <v>0</v>
      </c>
      <c r="J66" s="23">
        <f t="shared" ref="J66:J86" si="8">E8</f>
        <v>0</v>
      </c>
      <c r="K66" s="23">
        <f t="shared" ref="K66:K86" si="9">F8</f>
        <v>0</v>
      </c>
      <c r="L66" s="68">
        <f t="shared" ref="L66:L86" si="10">K66-J66</f>
        <v>0</v>
      </c>
      <c r="M66" s="3"/>
      <c r="N66" s="69">
        <f t="shared" ref="N66:N94" si="11">M66-(H8+J8+K8+L8+M8+N8+AA8+AB8+Z8+AC8)</f>
        <v>0</v>
      </c>
      <c r="O66" s="3"/>
      <c r="P66" s="65">
        <f t="shared" ref="P66:P82" si="12">B8</f>
        <v>0</v>
      </c>
      <c r="Q66" s="74">
        <f t="shared" ref="Q66:Q82" si="13">C8</f>
        <v>0</v>
      </c>
      <c r="R66" s="23">
        <f t="shared" ref="R66" si="14">E8</f>
        <v>0</v>
      </c>
      <c r="S66" s="23">
        <f t="shared" ref="S66" si="15">F8</f>
        <v>0</v>
      </c>
      <c r="T66" s="668">
        <f>S67-R66</f>
        <v>0</v>
      </c>
      <c r="U66" s="3"/>
      <c r="V66" s="3"/>
      <c r="W66" s="3"/>
      <c r="X66" s="3"/>
      <c r="Y66" s="3"/>
      <c r="Z66" s="3"/>
      <c r="AA66" s="3"/>
      <c r="AB66" s="3"/>
      <c r="AC66" s="3"/>
    </row>
    <row r="67" spans="1:29">
      <c r="C67" s="56" t="s">
        <v>43</v>
      </c>
      <c r="D67" s="57"/>
      <c r="E67" s="58"/>
      <c r="F67" s="58"/>
      <c r="G67" s="57"/>
      <c r="H67" s="65">
        <f t="shared" si="6"/>
        <v>0</v>
      </c>
      <c r="I67" s="1">
        <f t="shared" si="7"/>
        <v>0</v>
      </c>
      <c r="J67" s="23">
        <f t="shared" si="8"/>
        <v>0</v>
      </c>
      <c r="K67" s="23">
        <f t="shared" si="9"/>
        <v>0</v>
      </c>
      <c r="L67" s="68">
        <f t="shared" si="10"/>
        <v>0</v>
      </c>
      <c r="M67" s="3"/>
      <c r="N67" s="69">
        <f t="shared" si="11"/>
        <v>0</v>
      </c>
      <c r="O67" s="3"/>
      <c r="P67" s="65">
        <f t="shared" si="12"/>
        <v>0</v>
      </c>
      <c r="Q67" s="74">
        <f t="shared" si="13"/>
        <v>0</v>
      </c>
      <c r="R67" s="23">
        <f t="shared" ref="R67:R99" si="16">E9</f>
        <v>0</v>
      </c>
      <c r="S67" s="23">
        <f t="shared" ref="S67:S99" si="17">F9</f>
        <v>0</v>
      </c>
      <c r="T67" s="668"/>
    </row>
    <row r="68" spans="1:29">
      <c r="C68" s="59" t="s">
        <v>429</v>
      </c>
      <c r="D68" s="59" t="s">
        <v>430</v>
      </c>
      <c r="E68" s="59" t="s">
        <v>431</v>
      </c>
      <c r="F68" s="59" t="s">
        <v>453</v>
      </c>
      <c r="G68" s="57"/>
      <c r="H68" s="65">
        <f t="shared" si="6"/>
        <v>0</v>
      </c>
      <c r="I68" s="1">
        <f t="shared" si="7"/>
        <v>0</v>
      </c>
      <c r="J68" s="23">
        <f t="shared" si="8"/>
        <v>0</v>
      </c>
      <c r="K68" s="23">
        <f t="shared" si="9"/>
        <v>0</v>
      </c>
      <c r="L68" s="68">
        <f t="shared" si="10"/>
        <v>0</v>
      </c>
      <c r="M68" s="3"/>
      <c r="N68" s="69">
        <f t="shared" si="11"/>
        <v>0</v>
      </c>
      <c r="P68" s="65">
        <f t="shared" si="12"/>
        <v>0</v>
      </c>
      <c r="Q68" s="74">
        <f t="shared" si="13"/>
        <v>0</v>
      </c>
      <c r="R68" s="23">
        <f t="shared" si="16"/>
        <v>0</v>
      </c>
      <c r="S68" s="23">
        <f t="shared" si="17"/>
        <v>0</v>
      </c>
      <c r="T68" s="75">
        <f>S68-R68</f>
        <v>0</v>
      </c>
    </row>
    <row r="69" spans="1:29">
      <c r="C69" s="60">
        <f>SUM([10]Jan!C58,Feb!C64,Mar!C66,Apr!C58,May!C67,Jun!C61,Jul!C65,Aug!C72,Sept!C59,Oct!C75,Nov!C74,Dec!C62)</f>
        <v>204</v>
      </c>
      <c r="D69" s="60">
        <f>SUM([10]Jan!D58,Feb!D64,Mar!D66,Apr!D58,May!D67,Jun!D61,Jul!D65,Aug!D72,Sept!D59,Oct!D75,Nov!D74,Dec!D62)</f>
        <v>387</v>
      </c>
      <c r="E69" s="60">
        <f>SUM([10]Jan!E58,Feb!E64,Mar!E66,Apr!E58,May!E67,Jun!E61,Jul!E65,Aug!E72,Sept!E59,Oct!E75,Nov!E74,Dec!E62)</f>
        <v>384</v>
      </c>
      <c r="F69" s="61">
        <f>'[10]Monthly summary loss'!C19</f>
        <v>77.75</v>
      </c>
      <c r="G69" s="57"/>
      <c r="H69" s="65">
        <f t="shared" si="6"/>
        <v>0</v>
      </c>
      <c r="I69" s="1">
        <f t="shared" si="7"/>
        <v>0</v>
      </c>
      <c r="J69" s="23">
        <f t="shared" si="8"/>
        <v>0</v>
      </c>
      <c r="K69" s="23">
        <f t="shared" si="9"/>
        <v>0</v>
      </c>
      <c r="L69" s="68">
        <f t="shared" si="10"/>
        <v>0</v>
      </c>
      <c r="M69" s="3"/>
      <c r="N69" s="69">
        <f t="shared" si="11"/>
        <v>0</v>
      </c>
      <c r="P69" s="65">
        <f t="shared" si="12"/>
        <v>0</v>
      </c>
      <c r="Q69" s="74">
        <f t="shared" si="13"/>
        <v>0</v>
      </c>
      <c r="R69" s="23">
        <f t="shared" si="16"/>
        <v>0</v>
      </c>
      <c r="S69" s="23">
        <f t="shared" si="17"/>
        <v>0</v>
      </c>
      <c r="T69" s="668">
        <f>S70-R69</f>
        <v>0</v>
      </c>
    </row>
    <row r="70" spans="1:29">
      <c r="C70" s="60"/>
      <c r="D70" s="62"/>
      <c r="E70" s="62"/>
      <c r="F70" s="58"/>
      <c r="G70" s="57"/>
      <c r="H70" s="65">
        <f t="shared" si="6"/>
        <v>0</v>
      </c>
      <c r="I70" s="1">
        <f t="shared" si="7"/>
        <v>0</v>
      </c>
      <c r="J70" s="23">
        <f t="shared" si="8"/>
        <v>0</v>
      </c>
      <c r="K70" s="23">
        <f t="shared" si="9"/>
        <v>0</v>
      </c>
      <c r="L70" s="68">
        <f t="shared" si="10"/>
        <v>0</v>
      </c>
      <c r="M70" s="3"/>
      <c r="N70" s="69">
        <f t="shared" si="11"/>
        <v>0</v>
      </c>
      <c r="P70" s="65">
        <f t="shared" si="12"/>
        <v>0</v>
      </c>
      <c r="Q70" s="74">
        <f t="shared" si="13"/>
        <v>0</v>
      </c>
      <c r="R70" s="23">
        <f t="shared" si="16"/>
        <v>0</v>
      </c>
      <c r="S70" s="23">
        <f t="shared" si="17"/>
        <v>0</v>
      </c>
      <c r="T70" s="668"/>
    </row>
    <row r="71" spans="1:29" ht="15">
      <c r="C71" s="63" t="s">
        <v>432</v>
      </c>
      <c r="D71" s="64">
        <f>($D$69/$E$69)</f>
        <v>1.0078125</v>
      </c>
      <c r="E71" s="64">
        <f>($D$69/$E$69)*$F$69</f>
        <v>78.357421875</v>
      </c>
      <c r="F71" s="58"/>
      <c r="G71" s="57"/>
      <c r="H71" s="65">
        <f t="shared" si="6"/>
        <v>0</v>
      </c>
      <c r="I71" s="1">
        <f t="shared" si="7"/>
        <v>0</v>
      </c>
      <c r="J71" s="23">
        <f t="shared" si="8"/>
        <v>0</v>
      </c>
      <c r="K71" s="23">
        <f t="shared" si="9"/>
        <v>0</v>
      </c>
      <c r="L71" s="68">
        <f t="shared" si="10"/>
        <v>0</v>
      </c>
      <c r="M71" s="3"/>
      <c r="N71" s="69">
        <f t="shared" si="11"/>
        <v>0</v>
      </c>
      <c r="P71" s="65">
        <f t="shared" si="12"/>
        <v>0</v>
      </c>
      <c r="Q71" s="74">
        <f t="shared" si="13"/>
        <v>0</v>
      </c>
      <c r="R71" s="23">
        <f t="shared" si="16"/>
        <v>0</v>
      </c>
      <c r="S71" s="23">
        <f t="shared" si="17"/>
        <v>0</v>
      </c>
      <c r="T71" s="668">
        <f>S73-R71</f>
        <v>0</v>
      </c>
    </row>
    <row r="72" spans="1:29">
      <c r="C72" s="58"/>
      <c r="D72" s="57"/>
      <c r="E72" s="58"/>
      <c r="F72" s="58"/>
      <c r="G72" s="57"/>
      <c r="H72" s="65">
        <f t="shared" si="6"/>
        <v>0</v>
      </c>
      <c r="I72" s="1">
        <f t="shared" si="7"/>
        <v>0</v>
      </c>
      <c r="J72" s="23">
        <f t="shared" si="8"/>
        <v>0</v>
      </c>
      <c r="K72" s="23">
        <f t="shared" si="9"/>
        <v>0</v>
      </c>
      <c r="L72" s="68">
        <f t="shared" si="10"/>
        <v>0</v>
      </c>
      <c r="M72" s="3"/>
      <c r="N72" s="69">
        <f t="shared" si="11"/>
        <v>0</v>
      </c>
      <c r="P72" s="65">
        <f t="shared" si="12"/>
        <v>0</v>
      </c>
      <c r="Q72" s="74">
        <f t="shared" si="13"/>
        <v>0</v>
      </c>
      <c r="R72" s="23">
        <f t="shared" si="16"/>
        <v>0</v>
      </c>
      <c r="S72" s="23">
        <f t="shared" si="17"/>
        <v>0</v>
      </c>
      <c r="T72" s="668"/>
    </row>
    <row r="73" spans="1:29">
      <c r="C73" s="58"/>
      <c r="D73" s="57"/>
      <c r="E73" s="58"/>
      <c r="F73" s="58"/>
      <c r="G73" s="57"/>
      <c r="H73" s="65">
        <f t="shared" si="6"/>
        <v>0</v>
      </c>
      <c r="I73" s="1">
        <f t="shared" si="7"/>
        <v>0</v>
      </c>
      <c r="J73" s="23">
        <f t="shared" si="8"/>
        <v>0</v>
      </c>
      <c r="K73" s="23">
        <f t="shared" si="9"/>
        <v>0</v>
      </c>
      <c r="L73" s="68">
        <f t="shared" si="10"/>
        <v>0</v>
      </c>
      <c r="M73" s="3"/>
      <c r="N73" s="69">
        <f t="shared" si="11"/>
        <v>0</v>
      </c>
      <c r="P73" s="65">
        <f t="shared" si="12"/>
        <v>0</v>
      </c>
      <c r="Q73" s="74">
        <f t="shared" si="13"/>
        <v>0</v>
      </c>
      <c r="R73" s="23">
        <f t="shared" si="16"/>
        <v>0</v>
      </c>
      <c r="S73" s="23">
        <f t="shared" si="17"/>
        <v>0</v>
      </c>
      <c r="T73" s="668"/>
    </row>
    <row r="74" spans="1:29">
      <c r="C74" s="58"/>
      <c r="D74" s="57"/>
      <c r="E74" s="58"/>
      <c r="F74" s="58"/>
      <c r="G74" s="57"/>
      <c r="H74" s="65">
        <f t="shared" si="6"/>
        <v>0</v>
      </c>
      <c r="I74" s="1">
        <f t="shared" si="7"/>
        <v>0</v>
      </c>
      <c r="J74" s="23">
        <f t="shared" ref="J74" si="18">E16</f>
        <v>0</v>
      </c>
      <c r="K74" s="23">
        <f t="shared" ref="K74" si="19">F16</f>
        <v>0</v>
      </c>
      <c r="L74" s="68">
        <f t="shared" si="10"/>
        <v>0</v>
      </c>
      <c r="M74" s="3"/>
      <c r="N74" s="69">
        <f t="shared" si="11"/>
        <v>0</v>
      </c>
      <c r="P74" s="65">
        <f t="shared" si="12"/>
        <v>0</v>
      </c>
      <c r="Q74" s="74">
        <f t="shared" si="13"/>
        <v>0</v>
      </c>
      <c r="R74" s="23">
        <f t="shared" si="16"/>
        <v>0</v>
      </c>
      <c r="S74" s="23">
        <f t="shared" si="17"/>
        <v>0</v>
      </c>
      <c r="T74" s="75">
        <f t="shared" ref="T74:T76" si="20">S74-R74</f>
        <v>0</v>
      </c>
    </row>
    <row r="75" spans="1:29">
      <c r="C75" s="58"/>
      <c r="D75" s="57"/>
      <c r="E75" s="58"/>
      <c r="F75" s="58"/>
      <c r="G75" s="57"/>
      <c r="H75" s="65">
        <f t="shared" si="6"/>
        <v>0</v>
      </c>
      <c r="I75" s="1">
        <f t="shared" si="7"/>
        <v>0</v>
      </c>
      <c r="J75" s="23">
        <f t="shared" si="8"/>
        <v>0</v>
      </c>
      <c r="K75" s="23">
        <f t="shared" si="9"/>
        <v>0</v>
      </c>
      <c r="L75" s="68">
        <f t="shared" si="10"/>
        <v>0</v>
      </c>
      <c r="M75" s="3"/>
      <c r="N75" s="69">
        <f t="shared" si="11"/>
        <v>0</v>
      </c>
      <c r="P75" s="65">
        <f t="shared" si="12"/>
        <v>0</v>
      </c>
      <c r="Q75" s="74">
        <f t="shared" si="13"/>
        <v>0</v>
      </c>
      <c r="R75" s="23">
        <f t="shared" si="16"/>
        <v>0</v>
      </c>
      <c r="S75" s="23">
        <f t="shared" si="17"/>
        <v>0</v>
      </c>
      <c r="T75" s="75">
        <f t="shared" si="20"/>
        <v>0</v>
      </c>
    </row>
    <row r="76" spans="1:29">
      <c r="C76" s="58"/>
      <c r="D76" s="57"/>
      <c r="E76" s="58"/>
      <c r="F76" s="58"/>
      <c r="G76" s="57"/>
      <c r="H76" s="65">
        <f t="shared" si="6"/>
        <v>0</v>
      </c>
      <c r="I76" s="1">
        <f t="shared" si="7"/>
        <v>0</v>
      </c>
      <c r="J76" s="23">
        <f t="shared" si="8"/>
        <v>0</v>
      </c>
      <c r="K76" s="23">
        <f t="shared" si="9"/>
        <v>0</v>
      </c>
      <c r="L76" s="68">
        <f t="shared" si="10"/>
        <v>0</v>
      </c>
      <c r="M76" s="3"/>
      <c r="N76" s="69">
        <f t="shared" si="11"/>
        <v>0</v>
      </c>
      <c r="P76" s="65">
        <f t="shared" si="12"/>
        <v>0</v>
      </c>
      <c r="Q76" s="74">
        <f t="shared" si="13"/>
        <v>0</v>
      </c>
      <c r="R76" s="23">
        <f t="shared" si="16"/>
        <v>0</v>
      </c>
      <c r="S76" s="23">
        <f t="shared" si="17"/>
        <v>0</v>
      </c>
      <c r="T76" s="75">
        <f t="shared" si="20"/>
        <v>0</v>
      </c>
    </row>
    <row r="77" spans="1:29">
      <c r="H77" s="65">
        <f t="shared" si="6"/>
        <v>0</v>
      </c>
      <c r="I77" s="1">
        <f t="shared" si="7"/>
        <v>0</v>
      </c>
      <c r="J77" s="23">
        <f t="shared" si="8"/>
        <v>0</v>
      </c>
      <c r="K77" s="23">
        <f t="shared" si="9"/>
        <v>0</v>
      </c>
      <c r="L77" s="68">
        <f t="shared" si="10"/>
        <v>0</v>
      </c>
      <c r="M77" s="3"/>
      <c r="N77" s="69">
        <f t="shared" si="11"/>
        <v>0</v>
      </c>
      <c r="P77" s="65">
        <f t="shared" si="12"/>
        <v>0</v>
      </c>
      <c r="Q77" s="74">
        <f t="shared" si="13"/>
        <v>0</v>
      </c>
      <c r="R77" s="23">
        <f t="shared" si="16"/>
        <v>0</v>
      </c>
      <c r="S77" s="23">
        <f t="shared" si="17"/>
        <v>0</v>
      </c>
      <c r="T77" s="668">
        <f>S78-R77</f>
        <v>0</v>
      </c>
    </row>
    <row r="78" spans="1:29">
      <c r="H78" s="65">
        <f t="shared" si="6"/>
        <v>0</v>
      </c>
      <c r="I78" s="1">
        <f t="shared" si="7"/>
        <v>0</v>
      </c>
      <c r="J78" s="23">
        <f t="shared" si="8"/>
        <v>0</v>
      </c>
      <c r="K78" s="23">
        <f t="shared" si="9"/>
        <v>0</v>
      </c>
      <c r="L78" s="68">
        <f t="shared" si="10"/>
        <v>0</v>
      </c>
      <c r="M78" s="3"/>
      <c r="N78" s="69">
        <f t="shared" si="11"/>
        <v>0</v>
      </c>
      <c r="P78" s="65">
        <f t="shared" si="12"/>
        <v>0</v>
      </c>
      <c r="Q78" s="74">
        <f t="shared" si="13"/>
        <v>0</v>
      </c>
      <c r="R78" s="23">
        <f t="shared" si="16"/>
        <v>0</v>
      </c>
      <c r="S78" s="23">
        <f t="shared" si="17"/>
        <v>0</v>
      </c>
      <c r="T78" s="668"/>
    </row>
    <row r="79" spans="1:29">
      <c r="H79" s="65">
        <f t="shared" si="6"/>
        <v>0</v>
      </c>
      <c r="I79" s="1">
        <f t="shared" si="7"/>
        <v>0</v>
      </c>
      <c r="J79" s="23">
        <f t="shared" si="8"/>
        <v>0</v>
      </c>
      <c r="K79" s="23">
        <f t="shared" si="9"/>
        <v>0</v>
      </c>
      <c r="L79" s="68">
        <f t="shared" si="10"/>
        <v>0</v>
      </c>
      <c r="M79" s="3"/>
      <c r="N79" s="69">
        <f t="shared" si="11"/>
        <v>0</v>
      </c>
      <c r="P79" s="65">
        <f t="shared" si="12"/>
        <v>0</v>
      </c>
      <c r="Q79" s="74">
        <f t="shared" si="13"/>
        <v>0</v>
      </c>
      <c r="R79" s="23">
        <f t="shared" si="16"/>
        <v>0</v>
      </c>
      <c r="S79" s="23">
        <f t="shared" si="17"/>
        <v>0</v>
      </c>
      <c r="T79" s="75">
        <f>S79-R79</f>
        <v>0</v>
      </c>
    </row>
    <row r="80" spans="1:29">
      <c r="H80" s="65">
        <f t="shared" si="6"/>
        <v>0</v>
      </c>
      <c r="I80" s="1">
        <f t="shared" si="7"/>
        <v>0</v>
      </c>
      <c r="J80" s="23">
        <f t="shared" si="8"/>
        <v>0</v>
      </c>
      <c r="K80" s="23">
        <f t="shared" si="9"/>
        <v>0</v>
      </c>
      <c r="L80" s="68">
        <f t="shared" si="10"/>
        <v>0</v>
      </c>
      <c r="M80" s="3"/>
      <c r="N80" s="69">
        <f t="shared" si="11"/>
        <v>0</v>
      </c>
      <c r="P80" s="65">
        <f t="shared" si="12"/>
        <v>0</v>
      </c>
      <c r="Q80" s="74">
        <f t="shared" si="13"/>
        <v>0</v>
      </c>
      <c r="R80" s="23">
        <f t="shared" si="16"/>
        <v>0</v>
      </c>
      <c r="S80" s="23">
        <f t="shared" si="17"/>
        <v>0</v>
      </c>
      <c r="T80" s="668">
        <f>S81-R80</f>
        <v>0</v>
      </c>
    </row>
    <row r="81" spans="8:20">
      <c r="H81" s="65">
        <f t="shared" si="6"/>
        <v>0</v>
      </c>
      <c r="I81" s="1">
        <f t="shared" si="7"/>
        <v>0</v>
      </c>
      <c r="J81" s="23">
        <f t="shared" si="8"/>
        <v>0</v>
      </c>
      <c r="K81" s="23">
        <f t="shared" si="9"/>
        <v>0</v>
      </c>
      <c r="L81" s="68">
        <f t="shared" si="10"/>
        <v>0</v>
      </c>
      <c r="M81" s="3"/>
      <c r="N81" s="69">
        <f t="shared" si="11"/>
        <v>0</v>
      </c>
      <c r="P81" s="65">
        <f t="shared" si="12"/>
        <v>0</v>
      </c>
      <c r="Q81" s="74">
        <f t="shared" si="13"/>
        <v>0</v>
      </c>
      <c r="R81" s="23">
        <f t="shared" si="16"/>
        <v>0</v>
      </c>
      <c r="S81" s="23">
        <f t="shared" si="17"/>
        <v>0</v>
      </c>
      <c r="T81" s="668"/>
    </row>
    <row r="82" spans="8:20">
      <c r="H82" s="65">
        <f t="shared" si="6"/>
        <v>0</v>
      </c>
      <c r="I82" s="1">
        <f t="shared" si="7"/>
        <v>0</v>
      </c>
      <c r="J82" s="23">
        <f t="shared" si="8"/>
        <v>0</v>
      </c>
      <c r="K82" s="23">
        <f t="shared" si="9"/>
        <v>0</v>
      </c>
      <c r="L82" s="68">
        <f t="shared" si="10"/>
        <v>0</v>
      </c>
      <c r="M82" s="3"/>
      <c r="N82" s="69">
        <f t="shared" si="11"/>
        <v>0</v>
      </c>
      <c r="P82" s="65">
        <f t="shared" si="12"/>
        <v>0</v>
      </c>
      <c r="Q82" s="74">
        <f t="shared" si="13"/>
        <v>0</v>
      </c>
      <c r="R82" s="23">
        <f t="shared" si="16"/>
        <v>0</v>
      </c>
      <c r="S82" s="23">
        <f t="shared" si="17"/>
        <v>0</v>
      </c>
      <c r="T82" s="75">
        <f>S82-R82</f>
        <v>0</v>
      </c>
    </row>
    <row r="83" spans="8:20">
      <c r="H83" s="65">
        <f t="shared" si="6"/>
        <v>0</v>
      </c>
      <c r="I83" s="1">
        <f t="shared" si="7"/>
        <v>0</v>
      </c>
      <c r="J83" s="23">
        <f t="shared" si="8"/>
        <v>0</v>
      </c>
      <c r="K83" s="23">
        <f t="shared" si="9"/>
        <v>0</v>
      </c>
      <c r="L83" s="68">
        <f t="shared" si="10"/>
        <v>0</v>
      </c>
      <c r="M83" s="3"/>
      <c r="N83" s="69">
        <f t="shared" si="11"/>
        <v>0</v>
      </c>
      <c r="P83" s="65">
        <f t="shared" ref="P83:P114" si="21">B25</f>
        <v>0</v>
      </c>
      <c r="Q83" s="74">
        <f t="shared" ref="Q83:Q114" si="22">C25</f>
        <v>0</v>
      </c>
      <c r="R83" s="23">
        <f t="shared" si="16"/>
        <v>0</v>
      </c>
      <c r="S83" s="23">
        <f t="shared" si="17"/>
        <v>0</v>
      </c>
      <c r="T83" s="668">
        <f>S85-R83</f>
        <v>0</v>
      </c>
    </row>
    <row r="84" spans="8:20">
      <c r="H84" s="65">
        <f t="shared" si="6"/>
        <v>0</v>
      </c>
      <c r="I84" s="1">
        <f t="shared" si="7"/>
        <v>0</v>
      </c>
      <c r="J84" s="23">
        <f t="shared" si="8"/>
        <v>0</v>
      </c>
      <c r="K84" s="23">
        <f t="shared" si="9"/>
        <v>0</v>
      </c>
      <c r="L84" s="68">
        <f t="shared" si="10"/>
        <v>0</v>
      </c>
      <c r="M84" s="3"/>
      <c r="N84" s="69">
        <f t="shared" si="11"/>
        <v>0</v>
      </c>
      <c r="P84" s="65">
        <f t="shared" si="21"/>
        <v>0</v>
      </c>
      <c r="Q84" s="74">
        <f t="shared" si="22"/>
        <v>0</v>
      </c>
      <c r="R84" s="23">
        <f t="shared" si="16"/>
        <v>0</v>
      </c>
      <c r="S84" s="23">
        <f t="shared" si="17"/>
        <v>0</v>
      </c>
      <c r="T84" s="668"/>
    </row>
    <row r="85" spans="8:20">
      <c r="H85" s="65">
        <f t="shared" si="6"/>
        <v>0</v>
      </c>
      <c r="I85" s="1">
        <f t="shared" si="7"/>
        <v>0</v>
      </c>
      <c r="J85" s="23">
        <f t="shared" si="8"/>
        <v>0</v>
      </c>
      <c r="K85" s="23">
        <f t="shared" si="9"/>
        <v>0</v>
      </c>
      <c r="L85" s="68">
        <f t="shared" si="10"/>
        <v>0</v>
      </c>
      <c r="M85" s="3"/>
      <c r="N85" s="69">
        <f t="shared" si="11"/>
        <v>0</v>
      </c>
      <c r="P85" s="65">
        <f t="shared" si="21"/>
        <v>0</v>
      </c>
      <c r="Q85" s="74">
        <f t="shared" si="22"/>
        <v>0</v>
      </c>
      <c r="R85" s="23">
        <f t="shared" si="16"/>
        <v>0</v>
      </c>
      <c r="S85" s="23">
        <f t="shared" si="17"/>
        <v>0</v>
      </c>
      <c r="T85" s="668"/>
    </row>
    <row r="86" spans="8:20">
      <c r="H86" s="65">
        <f t="shared" si="6"/>
        <v>0</v>
      </c>
      <c r="I86" s="1">
        <f t="shared" si="7"/>
        <v>0</v>
      </c>
      <c r="J86" s="23">
        <f t="shared" si="8"/>
        <v>0</v>
      </c>
      <c r="K86" s="23">
        <f t="shared" si="9"/>
        <v>0</v>
      </c>
      <c r="L86" s="68">
        <f t="shared" si="10"/>
        <v>0</v>
      </c>
      <c r="M86" s="3"/>
      <c r="N86" s="69">
        <f t="shared" si="11"/>
        <v>0</v>
      </c>
      <c r="P86" s="65">
        <f t="shared" si="21"/>
        <v>0</v>
      </c>
      <c r="Q86" s="74">
        <f t="shared" si="22"/>
        <v>0</v>
      </c>
      <c r="R86" s="23">
        <f t="shared" si="16"/>
        <v>0</v>
      </c>
      <c r="S86" s="23">
        <f t="shared" si="17"/>
        <v>0</v>
      </c>
      <c r="T86" s="75">
        <f>S86-R86</f>
        <v>0</v>
      </c>
    </row>
    <row r="87" spans="8:20">
      <c r="H87" s="65">
        <f t="shared" ref="H87:H114" si="23">B29</f>
        <v>0</v>
      </c>
      <c r="I87" s="1">
        <f t="shared" ref="I87:I114" si="24">C29</f>
        <v>0</v>
      </c>
      <c r="J87" s="23">
        <f t="shared" ref="J87:J114" si="25">E29</f>
        <v>0</v>
      </c>
      <c r="K87" s="23">
        <f t="shared" ref="K87:K114" si="26">F29</f>
        <v>0</v>
      </c>
      <c r="L87" s="68">
        <f t="shared" ref="L87:L114" si="27">K87-J87</f>
        <v>0</v>
      </c>
      <c r="M87" s="3"/>
      <c r="N87" s="69">
        <f t="shared" si="11"/>
        <v>0</v>
      </c>
      <c r="P87" s="65">
        <f t="shared" si="21"/>
        <v>0</v>
      </c>
      <c r="Q87" s="74">
        <f t="shared" si="22"/>
        <v>0</v>
      </c>
      <c r="R87" s="23">
        <f t="shared" si="16"/>
        <v>0</v>
      </c>
      <c r="S87" s="23">
        <f t="shared" si="17"/>
        <v>0</v>
      </c>
      <c r="T87" s="75">
        <f t="shared" ref="T87:T88" si="28">S87-R87</f>
        <v>0</v>
      </c>
    </row>
    <row r="88" spans="8:20">
      <c r="H88" s="65">
        <f t="shared" si="23"/>
        <v>0</v>
      </c>
      <c r="I88" s="1">
        <f t="shared" si="24"/>
        <v>0</v>
      </c>
      <c r="J88" s="23">
        <f t="shared" si="25"/>
        <v>0</v>
      </c>
      <c r="K88" s="23">
        <f t="shared" si="26"/>
        <v>0</v>
      </c>
      <c r="L88" s="68">
        <f t="shared" si="27"/>
        <v>0</v>
      </c>
      <c r="M88" s="3"/>
      <c r="N88" s="69">
        <f t="shared" si="11"/>
        <v>0</v>
      </c>
      <c r="P88" s="65">
        <f t="shared" si="21"/>
        <v>0</v>
      </c>
      <c r="Q88" s="74">
        <f t="shared" si="22"/>
        <v>0</v>
      </c>
      <c r="R88" s="23">
        <f t="shared" si="16"/>
        <v>0</v>
      </c>
      <c r="S88" s="23">
        <f t="shared" si="17"/>
        <v>0</v>
      </c>
      <c r="T88" s="75">
        <f t="shared" si="28"/>
        <v>0</v>
      </c>
    </row>
    <row r="89" spans="8:20">
      <c r="H89" s="65">
        <f t="shared" si="23"/>
        <v>0</v>
      </c>
      <c r="I89" s="1">
        <f t="shared" si="24"/>
        <v>0</v>
      </c>
      <c r="J89" s="23">
        <f t="shared" si="25"/>
        <v>0</v>
      </c>
      <c r="K89" s="23">
        <f t="shared" si="26"/>
        <v>0</v>
      </c>
      <c r="L89" s="68">
        <f t="shared" si="27"/>
        <v>0</v>
      </c>
      <c r="M89" s="3"/>
      <c r="N89" s="69">
        <f t="shared" si="11"/>
        <v>0</v>
      </c>
      <c r="P89" s="65">
        <f t="shared" si="21"/>
        <v>0</v>
      </c>
      <c r="Q89" s="74">
        <f t="shared" si="22"/>
        <v>0</v>
      </c>
      <c r="R89" s="23">
        <f t="shared" si="16"/>
        <v>0</v>
      </c>
      <c r="S89" s="23">
        <f t="shared" si="17"/>
        <v>0</v>
      </c>
      <c r="T89" s="668">
        <f>S90-R89</f>
        <v>0</v>
      </c>
    </row>
    <row r="90" spans="8:20">
      <c r="H90" s="65">
        <f t="shared" si="23"/>
        <v>0</v>
      </c>
      <c r="I90" s="1">
        <f t="shared" si="24"/>
        <v>0</v>
      </c>
      <c r="J90" s="23">
        <f t="shared" si="25"/>
        <v>0</v>
      </c>
      <c r="K90" s="23">
        <f t="shared" si="26"/>
        <v>0</v>
      </c>
      <c r="L90" s="68">
        <f t="shared" si="27"/>
        <v>0</v>
      </c>
      <c r="M90" s="3"/>
      <c r="N90" s="69">
        <f t="shared" si="11"/>
        <v>0</v>
      </c>
      <c r="P90" s="65">
        <f t="shared" si="21"/>
        <v>0</v>
      </c>
      <c r="Q90" s="74">
        <f t="shared" si="22"/>
        <v>0</v>
      </c>
      <c r="R90" s="23">
        <f t="shared" si="16"/>
        <v>0</v>
      </c>
      <c r="S90" s="23">
        <f t="shared" si="17"/>
        <v>0</v>
      </c>
      <c r="T90" s="668"/>
    </row>
    <row r="91" spans="8:20">
      <c r="H91" s="65">
        <f t="shared" si="23"/>
        <v>0</v>
      </c>
      <c r="I91" s="1">
        <f t="shared" si="24"/>
        <v>0</v>
      </c>
      <c r="J91" s="23">
        <f t="shared" si="25"/>
        <v>0</v>
      </c>
      <c r="K91" s="23">
        <f t="shared" si="26"/>
        <v>0</v>
      </c>
      <c r="L91" s="68">
        <f t="shared" si="27"/>
        <v>0</v>
      </c>
      <c r="M91" s="3"/>
      <c r="N91" s="69">
        <f t="shared" si="11"/>
        <v>0</v>
      </c>
      <c r="P91" s="65">
        <f t="shared" si="21"/>
        <v>0</v>
      </c>
      <c r="Q91" s="74">
        <f t="shared" si="22"/>
        <v>0</v>
      </c>
      <c r="R91" s="23">
        <f t="shared" si="16"/>
        <v>0</v>
      </c>
      <c r="S91" s="23">
        <f t="shared" si="17"/>
        <v>0</v>
      </c>
      <c r="T91" s="668">
        <f>S92-R91</f>
        <v>0</v>
      </c>
    </row>
    <row r="92" spans="8:20">
      <c r="H92" s="65">
        <f t="shared" si="23"/>
        <v>0</v>
      </c>
      <c r="I92" s="1">
        <f t="shared" si="24"/>
        <v>0</v>
      </c>
      <c r="J92" s="23">
        <f t="shared" si="25"/>
        <v>0</v>
      </c>
      <c r="K92" s="23">
        <f t="shared" si="26"/>
        <v>0</v>
      </c>
      <c r="L92" s="68">
        <f t="shared" si="27"/>
        <v>0</v>
      </c>
      <c r="M92" s="3"/>
      <c r="N92" s="69">
        <f t="shared" si="11"/>
        <v>0</v>
      </c>
      <c r="P92" s="65">
        <f t="shared" si="21"/>
        <v>0</v>
      </c>
      <c r="Q92" s="74">
        <f t="shared" si="22"/>
        <v>0</v>
      </c>
      <c r="R92" s="23">
        <f t="shared" si="16"/>
        <v>0</v>
      </c>
      <c r="S92" s="23">
        <f t="shared" si="17"/>
        <v>0</v>
      </c>
      <c r="T92" s="668"/>
    </row>
    <row r="93" spans="8:20">
      <c r="H93" s="65">
        <f t="shared" si="23"/>
        <v>0</v>
      </c>
      <c r="I93" s="1">
        <f t="shared" si="24"/>
        <v>0</v>
      </c>
      <c r="J93" s="23">
        <f t="shared" si="25"/>
        <v>0</v>
      </c>
      <c r="K93" s="23">
        <f t="shared" si="26"/>
        <v>0</v>
      </c>
      <c r="L93" s="68">
        <f t="shared" si="27"/>
        <v>0</v>
      </c>
      <c r="M93" s="3"/>
      <c r="N93" s="69">
        <f t="shared" si="11"/>
        <v>0</v>
      </c>
      <c r="P93" s="65">
        <f t="shared" si="21"/>
        <v>0</v>
      </c>
      <c r="Q93" s="74">
        <f t="shared" si="22"/>
        <v>0</v>
      </c>
      <c r="R93" s="23">
        <f t="shared" si="16"/>
        <v>0</v>
      </c>
      <c r="S93" s="23">
        <f t="shared" si="17"/>
        <v>0</v>
      </c>
      <c r="T93" s="75">
        <f>S93-R93</f>
        <v>0</v>
      </c>
    </row>
    <row r="94" spans="8:20">
      <c r="H94" s="65">
        <f t="shared" si="23"/>
        <v>0</v>
      </c>
      <c r="I94" s="1">
        <f t="shared" si="24"/>
        <v>0</v>
      </c>
      <c r="J94" s="23">
        <f t="shared" si="25"/>
        <v>0</v>
      </c>
      <c r="K94" s="23">
        <f t="shared" si="26"/>
        <v>0</v>
      </c>
      <c r="L94" s="68">
        <f t="shared" si="27"/>
        <v>0</v>
      </c>
      <c r="M94" s="3"/>
      <c r="N94" s="69">
        <f t="shared" si="11"/>
        <v>0</v>
      </c>
      <c r="P94" s="65">
        <f t="shared" si="21"/>
        <v>0</v>
      </c>
      <c r="Q94" s="74">
        <f t="shared" si="22"/>
        <v>0</v>
      </c>
      <c r="R94" s="23">
        <f t="shared" si="16"/>
        <v>0</v>
      </c>
      <c r="S94" s="23">
        <f t="shared" si="17"/>
        <v>0</v>
      </c>
      <c r="T94" s="668">
        <f>S97-R94</f>
        <v>0</v>
      </c>
    </row>
    <row r="95" spans="8:20">
      <c r="H95" s="65">
        <f t="shared" si="23"/>
        <v>0</v>
      </c>
      <c r="I95" s="1">
        <f t="shared" si="24"/>
        <v>0</v>
      </c>
      <c r="J95" s="23">
        <f t="shared" si="25"/>
        <v>0</v>
      </c>
      <c r="K95" s="23">
        <f t="shared" si="26"/>
        <v>0</v>
      </c>
      <c r="L95" s="68">
        <f t="shared" si="27"/>
        <v>0</v>
      </c>
      <c r="M95" s="3"/>
      <c r="N95" s="69">
        <f t="shared" ref="N95:N114" si="29">M95-(H37+J37+K37+L37+M37+N37+AA37+AB37+Z37+AC37)</f>
        <v>0</v>
      </c>
      <c r="P95" s="65">
        <f t="shared" si="21"/>
        <v>0</v>
      </c>
      <c r="Q95" s="74">
        <f t="shared" si="22"/>
        <v>0</v>
      </c>
      <c r="R95" s="23">
        <f t="shared" si="16"/>
        <v>0</v>
      </c>
      <c r="S95" s="23">
        <f t="shared" si="17"/>
        <v>0</v>
      </c>
      <c r="T95" s="668"/>
    </row>
    <row r="96" spans="8:20">
      <c r="H96" s="65">
        <f t="shared" si="23"/>
        <v>0</v>
      </c>
      <c r="I96" s="1">
        <f t="shared" si="24"/>
        <v>0</v>
      </c>
      <c r="J96" s="23">
        <f t="shared" si="25"/>
        <v>0</v>
      </c>
      <c r="K96" s="23">
        <f t="shared" si="26"/>
        <v>0</v>
      </c>
      <c r="L96" s="68">
        <f t="shared" si="27"/>
        <v>0</v>
      </c>
      <c r="M96" s="3"/>
      <c r="N96" s="69">
        <f t="shared" si="29"/>
        <v>0</v>
      </c>
      <c r="P96" s="65">
        <f t="shared" si="21"/>
        <v>0</v>
      </c>
      <c r="Q96" s="74">
        <f t="shared" si="22"/>
        <v>0</v>
      </c>
      <c r="R96" s="23">
        <f t="shared" si="16"/>
        <v>0</v>
      </c>
      <c r="S96" s="23">
        <f t="shared" si="17"/>
        <v>0</v>
      </c>
      <c r="T96" s="668"/>
    </row>
    <row r="97" spans="8:20">
      <c r="H97" s="65">
        <f t="shared" si="23"/>
        <v>0</v>
      </c>
      <c r="I97" s="1">
        <f t="shared" si="24"/>
        <v>0</v>
      </c>
      <c r="J97" s="23">
        <f t="shared" si="25"/>
        <v>0</v>
      </c>
      <c r="K97" s="23">
        <f t="shared" si="26"/>
        <v>0</v>
      </c>
      <c r="L97" s="68">
        <f t="shared" si="27"/>
        <v>0</v>
      </c>
      <c r="M97" s="3"/>
      <c r="N97" s="69">
        <f t="shared" si="29"/>
        <v>0</v>
      </c>
      <c r="P97" s="65">
        <f t="shared" si="21"/>
        <v>0</v>
      </c>
      <c r="Q97" s="74">
        <f t="shared" si="22"/>
        <v>0</v>
      </c>
      <c r="R97" s="23">
        <f t="shared" si="16"/>
        <v>0</v>
      </c>
      <c r="S97" s="23">
        <f t="shared" si="17"/>
        <v>0</v>
      </c>
      <c r="T97" s="668"/>
    </row>
    <row r="98" spans="8:20">
      <c r="H98" s="65">
        <f t="shared" si="23"/>
        <v>0</v>
      </c>
      <c r="I98" s="1">
        <f t="shared" si="24"/>
        <v>0</v>
      </c>
      <c r="J98" s="23">
        <f t="shared" si="25"/>
        <v>0</v>
      </c>
      <c r="K98" s="23">
        <f t="shared" si="26"/>
        <v>0</v>
      </c>
      <c r="L98" s="68">
        <f t="shared" si="27"/>
        <v>0</v>
      </c>
      <c r="M98" s="3"/>
      <c r="N98" s="69">
        <f t="shared" si="29"/>
        <v>0</v>
      </c>
      <c r="P98" s="65">
        <f t="shared" si="21"/>
        <v>0</v>
      </c>
      <c r="Q98" s="74">
        <f t="shared" si="22"/>
        <v>0</v>
      </c>
      <c r="R98" s="23">
        <f t="shared" si="16"/>
        <v>0</v>
      </c>
      <c r="S98" s="23">
        <f t="shared" si="17"/>
        <v>0</v>
      </c>
      <c r="T98" s="668">
        <f>S99-R98</f>
        <v>0</v>
      </c>
    </row>
    <row r="99" spans="8:20">
      <c r="H99" s="65">
        <f t="shared" si="23"/>
        <v>0</v>
      </c>
      <c r="I99" s="1">
        <f t="shared" si="24"/>
        <v>0</v>
      </c>
      <c r="J99" s="23">
        <f t="shared" si="25"/>
        <v>0</v>
      </c>
      <c r="K99" s="23">
        <f t="shared" si="26"/>
        <v>0</v>
      </c>
      <c r="L99" s="68">
        <f t="shared" si="27"/>
        <v>0</v>
      </c>
      <c r="M99" s="3"/>
      <c r="N99" s="69">
        <f t="shared" si="29"/>
        <v>0</v>
      </c>
      <c r="P99" s="65">
        <f t="shared" si="21"/>
        <v>0</v>
      </c>
      <c r="Q99" s="74">
        <f t="shared" si="22"/>
        <v>0</v>
      </c>
      <c r="R99" s="23">
        <f t="shared" si="16"/>
        <v>0</v>
      </c>
      <c r="S99" s="23">
        <f t="shared" si="17"/>
        <v>0</v>
      </c>
      <c r="T99" s="668"/>
    </row>
    <row r="100" spans="8:20">
      <c r="H100" s="65">
        <f t="shared" si="23"/>
        <v>0</v>
      </c>
      <c r="I100" s="1">
        <f t="shared" si="24"/>
        <v>0</v>
      </c>
      <c r="J100" s="23">
        <f t="shared" si="25"/>
        <v>0</v>
      </c>
      <c r="K100" s="23">
        <f t="shared" si="26"/>
        <v>0</v>
      </c>
      <c r="L100" s="68">
        <f t="shared" si="27"/>
        <v>0</v>
      </c>
      <c r="M100" s="3"/>
      <c r="N100" s="69">
        <f t="shared" si="29"/>
        <v>0</v>
      </c>
      <c r="P100" s="65">
        <f t="shared" si="21"/>
        <v>0</v>
      </c>
      <c r="Q100" s="74">
        <f t="shared" si="22"/>
        <v>0</v>
      </c>
      <c r="R100" s="23">
        <f t="shared" ref="R100:R103" si="30">E42</f>
        <v>0</v>
      </c>
      <c r="S100" s="23">
        <f t="shared" ref="S100:S103" si="31">F42</f>
        <v>0</v>
      </c>
      <c r="T100" s="75">
        <f>S100-R100</f>
        <v>0</v>
      </c>
    </row>
    <row r="101" spans="8:20">
      <c r="H101" s="65">
        <f t="shared" si="23"/>
        <v>0</v>
      </c>
      <c r="I101" s="1">
        <f t="shared" si="24"/>
        <v>0</v>
      </c>
      <c r="J101" s="23">
        <f t="shared" si="25"/>
        <v>0</v>
      </c>
      <c r="K101" s="23">
        <f t="shared" si="26"/>
        <v>0</v>
      </c>
      <c r="L101" s="68">
        <f t="shared" si="27"/>
        <v>0</v>
      </c>
      <c r="M101" s="3"/>
      <c r="N101" s="69">
        <f t="shared" si="29"/>
        <v>0</v>
      </c>
      <c r="P101" s="65">
        <f t="shared" si="21"/>
        <v>0</v>
      </c>
      <c r="Q101" s="74">
        <f t="shared" si="22"/>
        <v>0</v>
      </c>
      <c r="R101" s="23">
        <f t="shared" si="30"/>
        <v>0</v>
      </c>
      <c r="S101" s="23">
        <f t="shared" si="31"/>
        <v>0</v>
      </c>
      <c r="T101" s="75">
        <f>S101-R101</f>
        <v>0</v>
      </c>
    </row>
    <row r="102" spans="8:20">
      <c r="H102" s="65">
        <f t="shared" si="23"/>
        <v>0</v>
      </c>
      <c r="I102" s="1">
        <f t="shared" si="24"/>
        <v>0</v>
      </c>
      <c r="J102" s="23">
        <f t="shared" si="25"/>
        <v>0</v>
      </c>
      <c r="K102" s="23">
        <f t="shared" si="26"/>
        <v>0</v>
      </c>
      <c r="L102" s="68">
        <f t="shared" si="27"/>
        <v>0</v>
      </c>
      <c r="M102" s="3"/>
      <c r="N102" s="69">
        <f t="shared" si="29"/>
        <v>0</v>
      </c>
      <c r="P102" s="65">
        <f t="shared" si="21"/>
        <v>0</v>
      </c>
      <c r="Q102" s="74">
        <f t="shared" si="22"/>
        <v>0</v>
      </c>
      <c r="R102" s="23">
        <f t="shared" si="30"/>
        <v>0</v>
      </c>
      <c r="S102" s="23">
        <f t="shared" si="31"/>
        <v>0</v>
      </c>
      <c r="T102" s="75">
        <f>S102-R102</f>
        <v>0</v>
      </c>
    </row>
    <row r="103" spans="8:20">
      <c r="H103" s="65">
        <f t="shared" si="23"/>
        <v>0</v>
      </c>
      <c r="I103" s="1">
        <f t="shared" si="24"/>
        <v>0</v>
      </c>
      <c r="J103" s="23">
        <f t="shared" si="25"/>
        <v>0</v>
      </c>
      <c r="K103" s="23">
        <f t="shared" si="26"/>
        <v>0</v>
      </c>
      <c r="L103" s="68">
        <f t="shared" si="27"/>
        <v>0</v>
      </c>
      <c r="M103" s="3"/>
      <c r="N103" s="69">
        <f t="shared" si="29"/>
        <v>0</v>
      </c>
      <c r="P103" s="65">
        <f t="shared" si="21"/>
        <v>0</v>
      </c>
      <c r="Q103" s="74">
        <f t="shared" si="22"/>
        <v>0</v>
      </c>
      <c r="R103" s="23">
        <f t="shared" si="30"/>
        <v>0</v>
      </c>
      <c r="S103" s="23">
        <f t="shared" si="31"/>
        <v>0</v>
      </c>
      <c r="T103" s="668">
        <f>S104-R103</f>
        <v>0</v>
      </c>
    </row>
    <row r="104" spans="8:20">
      <c r="H104" s="65">
        <f t="shared" si="23"/>
        <v>0</v>
      </c>
      <c r="I104" s="1">
        <f t="shared" si="24"/>
        <v>0</v>
      </c>
      <c r="J104" s="23">
        <f t="shared" si="25"/>
        <v>0</v>
      </c>
      <c r="K104" s="23">
        <f t="shared" si="26"/>
        <v>0</v>
      </c>
      <c r="L104" s="68">
        <f t="shared" si="27"/>
        <v>0</v>
      </c>
      <c r="M104" s="3"/>
      <c r="N104" s="69">
        <f t="shared" si="29"/>
        <v>0</v>
      </c>
      <c r="P104" s="65">
        <f t="shared" si="21"/>
        <v>0</v>
      </c>
      <c r="Q104" s="74">
        <f t="shared" si="22"/>
        <v>0</v>
      </c>
      <c r="R104" s="23">
        <f t="shared" ref="R104:R114" si="32">E46</f>
        <v>0</v>
      </c>
      <c r="S104" s="23">
        <f t="shared" ref="S104:S114" si="33">F46</f>
        <v>0</v>
      </c>
      <c r="T104" s="668"/>
    </row>
    <row r="105" spans="8:20">
      <c r="H105" s="65">
        <f t="shared" si="23"/>
        <v>0</v>
      </c>
      <c r="I105" s="1">
        <f t="shared" si="24"/>
        <v>0</v>
      </c>
      <c r="J105" s="23">
        <f t="shared" si="25"/>
        <v>0</v>
      </c>
      <c r="K105" s="23">
        <f t="shared" si="26"/>
        <v>0</v>
      </c>
      <c r="L105" s="68">
        <f t="shared" si="27"/>
        <v>0</v>
      </c>
      <c r="M105" s="3"/>
      <c r="N105" s="69">
        <f t="shared" si="29"/>
        <v>0</v>
      </c>
      <c r="P105" s="65">
        <f t="shared" si="21"/>
        <v>0</v>
      </c>
      <c r="Q105" s="74">
        <f t="shared" si="22"/>
        <v>0</v>
      </c>
      <c r="R105" s="23">
        <f t="shared" si="32"/>
        <v>0</v>
      </c>
      <c r="S105" s="23">
        <f t="shared" si="33"/>
        <v>0</v>
      </c>
      <c r="T105" s="668">
        <f>S106-R105</f>
        <v>0</v>
      </c>
    </row>
    <row r="106" spans="8:20">
      <c r="H106" s="65">
        <f t="shared" si="23"/>
        <v>0</v>
      </c>
      <c r="I106" s="1">
        <f t="shared" si="24"/>
        <v>0</v>
      </c>
      <c r="J106" s="23">
        <f t="shared" si="25"/>
        <v>0</v>
      </c>
      <c r="K106" s="23">
        <f t="shared" si="26"/>
        <v>0</v>
      </c>
      <c r="L106" s="68">
        <f t="shared" si="27"/>
        <v>0</v>
      </c>
      <c r="M106" s="3"/>
      <c r="N106" s="69">
        <f t="shared" si="29"/>
        <v>0</v>
      </c>
      <c r="P106" s="65">
        <f t="shared" si="21"/>
        <v>0</v>
      </c>
      <c r="Q106" s="74">
        <f t="shared" si="22"/>
        <v>0</v>
      </c>
      <c r="R106" s="23">
        <f t="shared" si="32"/>
        <v>0</v>
      </c>
      <c r="S106" s="23">
        <f t="shared" si="33"/>
        <v>0</v>
      </c>
      <c r="T106" s="668"/>
    </row>
    <row r="107" spans="8:20">
      <c r="H107" s="65">
        <f t="shared" si="23"/>
        <v>0</v>
      </c>
      <c r="I107" s="1">
        <f t="shared" si="24"/>
        <v>0</v>
      </c>
      <c r="J107" s="23">
        <f t="shared" si="25"/>
        <v>0</v>
      </c>
      <c r="K107" s="23">
        <f t="shared" si="26"/>
        <v>0</v>
      </c>
      <c r="L107" s="68">
        <f t="shared" si="27"/>
        <v>0</v>
      </c>
      <c r="M107" s="3"/>
      <c r="N107" s="69">
        <f t="shared" si="29"/>
        <v>0</v>
      </c>
      <c r="P107" s="65">
        <f t="shared" si="21"/>
        <v>0</v>
      </c>
      <c r="Q107" s="74">
        <f t="shared" si="22"/>
        <v>0</v>
      </c>
      <c r="R107" s="23">
        <f t="shared" si="32"/>
        <v>0</v>
      </c>
      <c r="S107" s="23">
        <f t="shared" si="33"/>
        <v>0</v>
      </c>
      <c r="T107" s="668">
        <f>S108-R107</f>
        <v>0</v>
      </c>
    </row>
    <row r="108" spans="8:20">
      <c r="H108" s="65">
        <f t="shared" si="23"/>
        <v>0</v>
      </c>
      <c r="I108" s="1">
        <f t="shared" si="24"/>
        <v>0</v>
      </c>
      <c r="J108" s="23">
        <f t="shared" si="25"/>
        <v>0</v>
      </c>
      <c r="K108" s="23">
        <f t="shared" si="26"/>
        <v>0</v>
      </c>
      <c r="L108" s="68">
        <f t="shared" si="27"/>
        <v>0</v>
      </c>
      <c r="M108" s="3"/>
      <c r="N108" s="69">
        <f t="shared" si="29"/>
        <v>0</v>
      </c>
      <c r="P108" s="65">
        <f t="shared" si="21"/>
        <v>0</v>
      </c>
      <c r="Q108" s="74">
        <f t="shared" si="22"/>
        <v>0</v>
      </c>
      <c r="R108" s="23">
        <f t="shared" si="32"/>
        <v>0</v>
      </c>
      <c r="S108" s="23">
        <f t="shared" si="33"/>
        <v>0</v>
      </c>
      <c r="T108" s="668"/>
    </row>
    <row r="109" spans="8:20">
      <c r="H109" s="65">
        <f t="shared" si="23"/>
        <v>0</v>
      </c>
      <c r="I109" s="1" t="e">
        <f t="shared" si="24"/>
        <v>#REF!</v>
      </c>
      <c r="J109" s="23">
        <f t="shared" si="25"/>
        <v>0</v>
      </c>
      <c r="K109" s="23">
        <f t="shared" si="26"/>
        <v>0</v>
      </c>
      <c r="L109" s="68">
        <f t="shared" si="27"/>
        <v>0</v>
      </c>
      <c r="M109" s="3"/>
      <c r="N109" s="69">
        <f>M109-(H51+J51+K51+L51+M51+N51+AA51+AB51+Z51+AC51)</f>
        <v>0</v>
      </c>
      <c r="P109" s="65">
        <f t="shared" si="21"/>
        <v>0</v>
      </c>
      <c r="Q109" s="74" t="e">
        <f t="shared" si="22"/>
        <v>#REF!</v>
      </c>
      <c r="R109" s="23">
        <f t="shared" si="32"/>
        <v>0</v>
      </c>
      <c r="S109" s="23">
        <f t="shared" si="33"/>
        <v>0</v>
      </c>
      <c r="T109" s="135">
        <f t="shared" ref="T109:T114" si="34">S110-R109</f>
        <v>0</v>
      </c>
    </row>
    <row r="110" spans="8:20">
      <c r="H110" s="65">
        <f t="shared" si="23"/>
        <v>0</v>
      </c>
      <c r="I110" s="1">
        <f t="shared" si="24"/>
        <v>0</v>
      </c>
      <c r="J110" s="23">
        <f t="shared" si="25"/>
        <v>0</v>
      </c>
      <c r="K110" s="23">
        <f t="shared" si="26"/>
        <v>0</v>
      </c>
      <c r="L110" s="68">
        <f t="shared" si="27"/>
        <v>0</v>
      </c>
      <c r="M110" s="3"/>
      <c r="N110" s="69">
        <f t="shared" si="29"/>
        <v>0</v>
      </c>
      <c r="P110" s="65">
        <f t="shared" si="21"/>
        <v>0</v>
      </c>
      <c r="Q110" s="74">
        <f t="shared" si="22"/>
        <v>0</v>
      </c>
      <c r="R110" s="23">
        <f t="shared" si="32"/>
        <v>0</v>
      </c>
      <c r="S110" s="23">
        <f t="shared" si="33"/>
        <v>0</v>
      </c>
      <c r="T110" s="135">
        <f t="shared" si="34"/>
        <v>0</v>
      </c>
    </row>
    <row r="111" spans="8:20">
      <c r="H111" s="65">
        <f t="shared" si="23"/>
        <v>0</v>
      </c>
      <c r="I111" s="1">
        <f t="shared" si="24"/>
        <v>0</v>
      </c>
      <c r="J111" s="23">
        <f t="shared" si="25"/>
        <v>0</v>
      </c>
      <c r="K111" s="23">
        <f t="shared" si="26"/>
        <v>0</v>
      </c>
      <c r="L111" s="68">
        <f t="shared" si="27"/>
        <v>0</v>
      </c>
      <c r="M111" s="3"/>
      <c r="N111" s="69">
        <f t="shared" si="29"/>
        <v>0</v>
      </c>
      <c r="P111" s="65">
        <f t="shared" si="21"/>
        <v>0</v>
      </c>
      <c r="Q111" s="74">
        <f t="shared" si="22"/>
        <v>0</v>
      </c>
      <c r="R111" s="23">
        <f t="shared" si="32"/>
        <v>0</v>
      </c>
      <c r="S111" s="23">
        <f t="shared" si="33"/>
        <v>0</v>
      </c>
      <c r="T111" s="135">
        <f t="shared" si="34"/>
        <v>0</v>
      </c>
    </row>
    <row r="112" spans="8:20">
      <c r="H112" s="65">
        <f t="shared" si="23"/>
        <v>0</v>
      </c>
      <c r="I112" s="1">
        <f t="shared" si="24"/>
        <v>0</v>
      </c>
      <c r="J112" s="23">
        <f t="shared" si="25"/>
        <v>0</v>
      </c>
      <c r="K112" s="23">
        <f t="shared" si="26"/>
        <v>0</v>
      </c>
      <c r="L112" s="68">
        <f t="shared" si="27"/>
        <v>0</v>
      </c>
      <c r="M112" s="3"/>
      <c r="N112" s="69">
        <f t="shared" si="29"/>
        <v>0</v>
      </c>
      <c r="P112" s="65">
        <f t="shared" si="21"/>
        <v>0</v>
      </c>
      <c r="Q112" s="74">
        <f t="shared" si="22"/>
        <v>0</v>
      </c>
      <c r="R112" s="23">
        <f t="shared" si="32"/>
        <v>0</v>
      </c>
      <c r="S112" s="23">
        <f t="shared" si="33"/>
        <v>0</v>
      </c>
      <c r="T112" s="135">
        <f t="shared" si="34"/>
        <v>0</v>
      </c>
    </row>
    <row r="113" spans="8:20">
      <c r="H113" s="65">
        <f t="shared" si="23"/>
        <v>0</v>
      </c>
      <c r="I113" s="1">
        <f t="shared" si="24"/>
        <v>0</v>
      </c>
      <c r="J113" s="23">
        <f t="shared" si="25"/>
        <v>0</v>
      </c>
      <c r="K113" s="23">
        <f t="shared" si="26"/>
        <v>0</v>
      </c>
      <c r="L113" s="68">
        <f t="shared" si="27"/>
        <v>0</v>
      </c>
      <c r="M113" s="3"/>
      <c r="N113" s="69">
        <f t="shared" si="29"/>
        <v>0</v>
      </c>
      <c r="P113" s="65">
        <f t="shared" si="21"/>
        <v>0</v>
      </c>
      <c r="Q113" s="74">
        <f t="shared" si="22"/>
        <v>0</v>
      </c>
      <c r="R113" s="23">
        <f t="shared" si="32"/>
        <v>0</v>
      </c>
      <c r="S113" s="23">
        <f t="shared" si="33"/>
        <v>0</v>
      </c>
      <c r="T113" s="135">
        <f t="shared" si="34"/>
        <v>0</v>
      </c>
    </row>
    <row r="114" spans="8:20">
      <c r="H114" s="65">
        <f t="shared" si="23"/>
        <v>0</v>
      </c>
      <c r="I114" s="1">
        <f t="shared" si="24"/>
        <v>0</v>
      </c>
      <c r="J114" s="23">
        <f t="shared" si="25"/>
        <v>0</v>
      </c>
      <c r="K114" s="23">
        <f t="shared" si="26"/>
        <v>0</v>
      </c>
      <c r="L114" s="68">
        <f t="shared" si="27"/>
        <v>0</v>
      </c>
      <c r="M114" s="3"/>
      <c r="N114" s="69">
        <f t="shared" si="29"/>
        <v>0</v>
      </c>
      <c r="P114" s="65">
        <f t="shared" si="21"/>
        <v>0</v>
      </c>
      <c r="Q114" s="74">
        <f t="shared" si="22"/>
        <v>0</v>
      </c>
      <c r="R114" s="23">
        <f t="shared" si="32"/>
        <v>0</v>
      </c>
      <c r="S114" s="23">
        <f t="shared" si="33"/>
        <v>0</v>
      </c>
      <c r="T114" s="135">
        <f t="shared" si="34"/>
        <v>0</v>
      </c>
    </row>
    <row r="115" spans="8:20">
      <c r="H115" s="65">
        <f>B57</f>
        <v>0</v>
      </c>
      <c r="I115" s="1">
        <f>C57</f>
        <v>0</v>
      </c>
      <c r="J115" s="23">
        <f>E57</f>
        <v>0</v>
      </c>
      <c r="K115" s="23">
        <f>F57</f>
        <v>0</v>
      </c>
      <c r="L115" s="68"/>
      <c r="M115" s="3"/>
      <c r="N115" s="69"/>
      <c r="P115" s="65">
        <f>B57</f>
        <v>0</v>
      </c>
      <c r="Q115" s="74">
        <f>C57</f>
        <v>0</v>
      </c>
      <c r="R115" s="23">
        <f>E57</f>
        <v>0</v>
      </c>
      <c r="S115" s="23">
        <f>F61</f>
        <v>0</v>
      </c>
    </row>
    <row r="116" spans="8:20">
      <c r="H116" s="65"/>
      <c r="I116" s="1"/>
      <c r="J116" s="23"/>
      <c r="K116" s="23"/>
      <c r="L116" s="68"/>
      <c r="M116" s="3"/>
      <c r="N116" s="69"/>
      <c r="P116" s="65"/>
      <c r="Q116" s="74"/>
      <c r="R116" s="23"/>
    </row>
    <row r="117" spans="8:20">
      <c r="H117" s="65"/>
      <c r="I117" s="1"/>
      <c r="J117" s="23"/>
      <c r="K117" s="23"/>
      <c r="L117" s="68"/>
      <c r="M117" s="3"/>
      <c r="N117" s="69"/>
      <c r="P117" s="65"/>
      <c r="Q117" s="74"/>
      <c r="R117" s="23"/>
    </row>
    <row r="118" spans="8:20">
      <c r="H118" s="65"/>
      <c r="I118" s="1"/>
      <c r="J118" s="23"/>
      <c r="K118" s="23"/>
      <c r="P118" s="65"/>
      <c r="Q118" s="74"/>
      <c r="R118" s="23"/>
    </row>
    <row r="119" spans="8:20">
      <c r="H119" s="65"/>
      <c r="I119" s="1"/>
      <c r="J119" s="23"/>
      <c r="K119" s="23"/>
      <c r="P119" s="65"/>
      <c r="Q119" s="74"/>
      <c r="R119" s="23"/>
    </row>
    <row r="120" spans="8:20">
      <c r="P120" s="65"/>
      <c r="Q120" s="74"/>
      <c r="R120" s="23"/>
    </row>
  </sheetData>
  <mergeCells count="49">
    <mergeCell ref="G4:G7"/>
    <mergeCell ref="H5:H7"/>
    <mergeCell ref="T71:T73"/>
    <mergeCell ref="T69:T70"/>
    <mergeCell ref="A4:A7"/>
    <mergeCell ref="B4:B7"/>
    <mergeCell ref="C4:C7"/>
    <mergeCell ref="D4:D7"/>
    <mergeCell ref="E4:E7"/>
    <mergeCell ref="AL4:AV4"/>
    <mergeCell ref="H64:N64"/>
    <mergeCell ref="P64:T64"/>
    <mergeCell ref="AB5:AB7"/>
    <mergeCell ref="AC5:AC7"/>
    <mergeCell ref="P5:P7"/>
    <mergeCell ref="U5:U7"/>
    <mergeCell ref="Q5:Q7"/>
    <mergeCell ref="R5:R7"/>
    <mergeCell ref="S5:S7"/>
    <mergeCell ref="T5:T7"/>
    <mergeCell ref="V5:V7"/>
    <mergeCell ref="I5:I7"/>
    <mergeCell ref="B2:AE2"/>
    <mergeCell ref="H4:AE4"/>
    <mergeCell ref="K5:K7"/>
    <mergeCell ref="L5:L7"/>
    <mergeCell ref="M5:M7"/>
    <mergeCell ref="N5:N7"/>
    <mergeCell ref="O5:O7"/>
    <mergeCell ref="W5:W7"/>
    <mergeCell ref="X5:X7"/>
    <mergeCell ref="Y5:Y7"/>
    <mergeCell ref="Z5:Z7"/>
    <mergeCell ref="AA5:AA7"/>
    <mergeCell ref="AD5:AD7"/>
    <mergeCell ref="AE5:AE7"/>
    <mergeCell ref="J5:J7"/>
    <mergeCell ref="F4:F7"/>
    <mergeCell ref="T107:T108"/>
    <mergeCell ref="T66:T67"/>
    <mergeCell ref="T105:T106"/>
    <mergeCell ref="T103:T104"/>
    <mergeCell ref="T89:T90"/>
    <mergeCell ref="T83:T85"/>
    <mergeCell ref="T98:T99"/>
    <mergeCell ref="T94:T97"/>
    <mergeCell ref="T80:T81"/>
    <mergeCell ref="T77:T78"/>
    <mergeCell ref="T91:T92"/>
  </mergeCells>
  <conditionalFormatting sqref="E8:E57">
    <cfRule type="cellIs" dxfId="0" priority="1" stopIfTrue="1" operator="greaterThan">
      <formula>$E$3</formula>
    </cfRule>
  </conditionalFormatting>
  <pageMargins left="0.75" right="0.75" top="1" bottom="1" header="0.5" footer="0.5"/>
  <pageSetup scale="37" fitToHeight="2" orientation="landscape" r:id="rId1"/>
  <headerFooter alignWithMargins="0"/>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30</vt:i4>
      </vt:variant>
      <vt:variant>
        <vt:lpstr>Named Ranges</vt:lpstr>
      </vt:variant>
      <vt:variant>
        <vt:i4>38</vt:i4>
      </vt:variant>
    </vt:vector>
  </HeadingPairs>
  <TitlesOfParts>
    <vt:vector size="68" baseType="lpstr">
      <vt:lpstr>Print</vt:lpstr>
      <vt:lpstr>Monthly summary loss</vt:lpstr>
      <vt:lpstr>Pareto YTD</vt:lpstr>
      <vt:lpstr>Pareto Data</vt:lpstr>
      <vt:lpstr>Pareto analysis month </vt:lpstr>
      <vt:lpstr>Uncaser Downtime Detail </vt:lpstr>
      <vt:lpstr>Washer Downtime Detail</vt:lpstr>
      <vt:lpstr>EBI Downtime Detail</vt:lpstr>
      <vt:lpstr>Filler Downtime Detail</vt:lpstr>
      <vt:lpstr>Pasteurizer Downtime Detail</vt:lpstr>
      <vt:lpstr>Videojet Downtime Detail </vt:lpstr>
      <vt:lpstr>Labeler Downtime Detail</vt:lpstr>
      <vt:lpstr>Packer Downtime Detail  </vt:lpstr>
      <vt:lpstr>Carton Errector-sealer Detail</vt:lpstr>
      <vt:lpstr>Conveyor Downtime (new)</vt:lpstr>
      <vt:lpstr>Org &amp; Tech Downtime</vt:lpstr>
      <vt:lpstr>Sept</vt:lpstr>
      <vt:lpstr>Oct</vt:lpstr>
      <vt:lpstr>Data Sheet</vt:lpstr>
      <vt:lpstr>2 weeks Downtime Trend</vt:lpstr>
      <vt:lpstr>Jan</vt:lpstr>
      <vt:lpstr>Feb</vt:lpstr>
      <vt:lpstr>Mar</vt:lpstr>
      <vt:lpstr>Apr</vt:lpstr>
      <vt:lpstr>May</vt:lpstr>
      <vt:lpstr>Jun</vt:lpstr>
      <vt:lpstr>Jul</vt:lpstr>
      <vt:lpstr>Aug</vt:lpstr>
      <vt:lpstr>Nov</vt:lpstr>
      <vt:lpstr>Dec</vt:lpstr>
      <vt:lpstr>Apr!Jan</vt:lpstr>
      <vt:lpstr>Aug!Jan</vt:lpstr>
      <vt:lpstr>Dec!Jan</vt:lpstr>
      <vt:lpstr>Feb!Jan</vt:lpstr>
      <vt:lpstr>Jan!Jan</vt:lpstr>
      <vt:lpstr>Jul!Jan</vt:lpstr>
      <vt:lpstr>Jun!Jan</vt:lpstr>
      <vt:lpstr>Mar!Jan</vt:lpstr>
      <vt:lpstr>May!Jan</vt:lpstr>
      <vt:lpstr>Nov!Jan</vt:lpstr>
      <vt:lpstr>Oct!Jan</vt:lpstr>
      <vt:lpstr>Sept!Jan</vt:lpstr>
      <vt:lpstr>Apr!June</vt:lpstr>
      <vt:lpstr>Aug!June</vt:lpstr>
      <vt:lpstr>Dec!June</vt:lpstr>
      <vt:lpstr>Feb!June</vt:lpstr>
      <vt:lpstr>Jan!June</vt:lpstr>
      <vt:lpstr>Jul!June</vt:lpstr>
      <vt:lpstr>Jun!June</vt:lpstr>
      <vt:lpstr>Mar!June</vt:lpstr>
      <vt:lpstr>May!June</vt:lpstr>
      <vt:lpstr>Nov!June</vt:lpstr>
      <vt:lpstr>Oct!June</vt:lpstr>
      <vt:lpstr>Sept!June</vt:lpstr>
      <vt:lpstr>Apr!Print_Area</vt:lpstr>
      <vt:lpstr>Aug!Print_Area</vt:lpstr>
      <vt:lpstr>Dec!Print_Area</vt:lpstr>
      <vt:lpstr>Feb!Print_Area</vt:lpstr>
      <vt:lpstr>Jan!Print_Area</vt:lpstr>
      <vt:lpstr>Jul!Print_Area</vt:lpstr>
      <vt:lpstr>Jun!Print_Area</vt:lpstr>
      <vt:lpstr>Mar!Print_Area</vt:lpstr>
      <vt:lpstr>May!Print_Area</vt:lpstr>
      <vt:lpstr>'Monthly summary loss'!Print_Area</vt:lpstr>
      <vt:lpstr>Nov!Print_Area</vt:lpstr>
      <vt:lpstr>Oct!Print_Area</vt:lpstr>
      <vt:lpstr>Sept!Print_Area</vt:lpstr>
      <vt:lpstr>Summary</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Michael Julien</cp:lastModifiedBy>
  <cp:lastPrinted>2026-09-07T17:00:09Z</cp:lastPrinted>
  <dcterms:created xsi:type="dcterms:W3CDTF">2003-06-08T10:29:00Z</dcterms:created>
  <dcterms:modified xsi:type="dcterms:W3CDTF">2026-10-01T15:08:57Z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73795C0098C14174ACAA5F815C5242F9_12</vt:lpwstr>
  </property>
  <property fmtid="{D5CDD505-2E9C-101B-9397-08002B2CF9AE}" pid="3" name="KSOProductBuildVer">
    <vt:lpwstr>1033-12.2.0.21179</vt:lpwstr>
  </property>
</Properties>
</file>